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1665" windowWidth="19170" windowHeight="10920" tabRatio="674"/>
  </bookViews>
  <sheets>
    <sheet name="დეფექტური აქტი" sheetId="1" r:id="rId1"/>
    <sheet name="eleqt, sant" sheetId="6" state="hidden" r:id="rId2"/>
    <sheet name="ხარჯთაღრიცხვა" sheetId="5" r:id="rId3"/>
  </sheets>
  <definedNames>
    <definedName name="_xlnm._FilterDatabase" localSheetId="1" hidden="1">'eleqt, sant'!$A$7:$E$63</definedName>
    <definedName name="_xlnm._FilterDatabase" localSheetId="0" hidden="1">'დეფექტური აქტი'!$A$7:$M$701</definedName>
    <definedName name="_xlnm._FilterDatabase" localSheetId="2" hidden="1">ხარჯთაღრიცხვა!$A$6:$M$3568</definedName>
    <definedName name="_xlnm.Print_Area" localSheetId="1">'eleqt, sant'!$A$1:$E$63</definedName>
    <definedName name="_xlnm.Print_Area" localSheetId="0">'დეფექტური აქტი'!$A$1:$N$912</definedName>
    <definedName name="_xlnm.Print_Area" localSheetId="2">ხარჯთაღრიცხვა!$A$1:$M$3567</definedName>
    <definedName name="_xlnm.Print_Titles" localSheetId="0">'დეფექტური აქტი'!$7:$7</definedName>
    <definedName name="_xlnm.Print_Titles" localSheetId="2">ხარჯთაღრიცხვა!$6:$6</definedName>
  </definedNames>
  <calcPr calcId="125725"/>
</workbook>
</file>

<file path=xl/calcChain.xml><?xml version="1.0" encoding="utf-8"?>
<calcChain xmlns="http://schemas.openxmlformats.org/spreadsheetml/2006/main">
  <c r="F219" i="5"/>
  <c r="D1392" l="1"/>
  <c r="D1390"/>
  <c r="D1389"/>
  <c r="F1383"/>
  <c r="F1379"/>
  <c r="F1373"/>
  <c r="F612" l="1"/>
  <c r="F613" s="1"/>
  <c r="F605"/>
  <c r="F607" s="1"/>
  <c r="F1386"/>
  <c r="F1382"/>
  <c r="F1374"/>
  <c r="F614" l="1"/>
  <c r="F611"/>
  <c r="F606"/>
  <c r="F610"/>
  <c r="F617"/>
  <c r="F609"/>
  <c r="F616"/>
  <c r="F1384"/>
  <c r="F1385" s="1"/>
  <c r="F1378"/>
  <c r="F1377"/>
  <c r="F1380"/>
  <c r="F1381" s="1"/>
  <c r="F1375"/>
  <c r="F1551" l="1"/>
  <c r="F1550"/>
  <c r="F1549"/>
  <c r="H1549" s="1"/>
  <c r="M1549" s="1"/>
  <c r="F1548"/>
  <c r="F1547"/>
  <c r="F1546"/>
  <c r="H1546" s="1"/>
  <c r="M1546" s="1"/>
  <c r="F1545"/>
  <c r="F1544"/>
  <c r="F221"/>
  <c r="F1540" l="1"/>
  <c r="F1541" s="1"/>
  <c r="F223"/>
  <c r="F220"/>
  <c r="F224"/>
  <c r="F2939"/>
  <c r="E735" i="1"/>
  <c r="F2936" i="5" s="1"/>
  <c r="F2937" s="1"/>
  <c r="F1552" l="1"/>
  <c r="F1542"/>
  <c r="F2941"/>
  <c r="F2938"/>
  <c r="F2940"/>
  <c r="E56" i="1"/>
  <c r="F373" i="5" l="1"/>
  <c r="F372"/>
  <c r="F371"/>
  <c r="H370"/>
  <c r="M370" s="1"/>
  <c r="F390"/>
  <c r="F389"/>
  <c r="F380"/>
  <c r="F383"/>
  <c r="E93" i="1"/>
  <c r="E94" s="1"/>
  <c r="F359" i="5"/>
  <c r="F362" s="1"/>
  <c r="F366" l="1"/>
  <c r="F374" s="1"/>
  <c r="F388"/>
  <c r="F381"/>
  <c r="F363"/>
  <c r="F364"/>
  <c r="F365"/>
  <c r="F361"/>
  <c r="F360"/>
  <c r="F382"/>
  <c r="F387"/>
  <c r="F386"/>
  <c r="F384"/>
  <c r="F385"/>
  <c r="E736" i="1"/>
  <c r="F391" i="5"/>
  <c r="F368" l="1"/>
  <c r="F375"/>
  <c r="F367"/>
  <c r="E101" i="1"/>
  <c r="F376" i="5" s="1"/>
  <c r="F2942"/>
  <c r="F2944" s="1"/>
  <c r="F2931"/>
  <c r="E733" i="1"/>
  <c r="F2926" i="5" s="1"/>
  <c r="F2928" s="1"/>
  <c r="F2916"/>
  <c r="F2923" s="1"/>
  <c r="H2923" s="1"/>
  <c r="M2923" s="1"/>
  <c r="F2919"/>
  <c r="E2907"/>
  <c r="F2905"/>
  <c r="E2904"/>
  <c r="E2903"/>
  <c r="F2908"/>
  <c r="F2913" s="1"/>
  <c r="H2913" s="1"/>
  <c r="M2913" s="1"/>
  <c r="F2914"/>
  <c r="H2914" s="1"/>
  <c r="M2914" s="1"/>
  <c r="F2902"/>
  <c r="F2904" s="1"/>
  <c r="L2904" s="1"/>
  <c r="M2904" s="1"/>
  <c r="F3045"/>
  <c r="F3042"/>
  <c r="F3046" s="1"/>
  <c r="H3046" s="1"/>
  <c r="M3046" s="1"/>
  <c r="F3077"/>
  <c r="F3081"/>
  <c r="F3074"/>
  <c r="F3068"/>
  <c r="F3140"/>
  <c r="F3145" s="1"/>
  <c r="H3145" s="1"/>
  <c r="M3145" s="1"/>
  <c r="F3134"/>
  <c r="F3136" s="1"/>
  <c r="L3136" s="1"/>
  <c r="M3136" s="1"/>
  <c r="F3128"/>
  <c r="F3130" s="1"/>
  <c r="L3130" s="1"/>
  <c r="F3149"/>
  <c r="F3105"/>
  <c r="F3342"/>
  <c r="F3343" s="1"/>
  <c r="J3343" s="1"/>
  <c r="M3343" s="1"/>
  <c r="F3310"/>
  <c r="F3314" s="1"/>
  <c r="H3314" s="1"/>
  <c r="M3314" s="1"/>
  <c r="E824" i="1"/>
  <c r="F3316" i="5" s="1"/>
  <c r="F3321" s="1"/>
  <c r="H3321" s="1"/>
  <c r="M3321" s="1"/>
  <c r="F3304"/>
  <c r="F3308" s="1"/>
  <c r="H3308" s="1"/>
  <c r="M3308" s="1"/>
  <c r="F3298"/>
  <c r="F3300" s="1"/>
  <c r="L3300" s="1"/>
  <c r="M3300" s="1"/>
  <c r="F3292"/>
  <c r="F3294" s="1"/>
  <c r="L3294" s="1"/>
  <c r="M3294" s="1"/>
  <c r="E802" i="1"/>
  <c r="F3247" i="5" s="1"/>
  <c r="F3241"/>
  <c r="F3290"/>
  <c r="H3290" s="1"/>
  <c r="M3290" s="1"/>
  <c r="F3253"/>
  <c r="F3259"/>
  <c r="F3263" s="1"/>
  <c r="H3263" s="1"/>
  <c r="M3263" s="1"/>
  <c r="F3234"/>
  <c r="F3197"/>
  <c r="F3204" s="1"/>
  <c r="H3204" s="1"/>
  <c r="M3204" s="1"/>
  <c r="F3189"/>
  <c r="F3190" s="1"/>
  <c r="J3190" s="1"/>
  <c r="M3190" s="1"/>
  <c r="F3182"/>
  <c r="F3161"/>
  <c r="F3166" s="1"/>
  <c r="H3166" s="1"/>
  <c r="M3166" s="1"/>
  <c r="F3167"/>
  <c r="F3170" s="1"/>
  <c r="H3170" s="1"/>
  <c r="F3160"/>
  <c r="L3160" s="1"/>
  <c r="M3160" s="1"/>
  <c r="F3158"/>
  <c r="F3159" s="1"/>
  <c r="J3159" s="1"/>
  <c r="M3159" s="1"/>
  <c r="F3156"/>
  <c r="F3097"/>
  <c r="F3099" s="1"/>
  <c r="L3099" s="1"/>
  <c r="M3099" s="1"/>
  <c r="F3089"/>
  <c r="F3048"/>
  <c r="F3052" s="1"/>
  <c r="F3034"/>
  <c r="F3032"/>
  <c r="H3032" s="1"/>
  <c r="M3032" s="1"/>
  <c r="F3025"/>
  <c r="F3019"/>
  <c r="F3023" s="1"/>
  <c r="H3023" s="1"/>
  <c r="M3023" s="1"/>
  <c r="F2996"/>
  <c r="F2989"/>
  <c r="F2995" s="1"/>
  <c r="H2995" s="1"/>
  <c r="M2995" s="1"/>
  <c r="F2901"/>
  <c r="H2901" s="1"/>
  <c r="M2901" s="1"/>
  <c r="F2900"/>
  <c r="H2900" s="1"/>
  <c r="M2900" s="1"/>
  <c r="F2891"/>
  <c r="F2893" s="1"/>
  <c r="L2893" s="1"/>
  <c r="M2893" s="1"/>
  <c r="E725" i="1"/>
  <c r="F2890" i="5" s="1"/>
  <c r="E724" i="1"/>
  <c r="F2889" i="5" s="1"/>
  <c r="E723" i="1"/>
  <c r="F2879" i="5" s="1"/>
  <c r="E717" i="1"/>
  <c r="F2858" i="5" s="1"/>
  <c r="E716" i="1"/>
  <c r="F2857" i="5" s="1"/>
  <c r="E715" i="1"/>
  <c r="F2846" i="5" s="1"/>
  <c r="F2851" s="1"/>
  <c r="E710" i="1"/>
  <c r="F2832" i="5" s="1"/>
  <c r="F2833" s="1"/>
  <c r="E709" i="1"/>
  <c r="F2829" i="5" s="1"/>
  <c r="F2831" s="1"/>
  <c r="D1882"/>
  <c r="D1880"/>
  <c r="E884" i="1"/>
  <c r="F3528" i="5" s="1"/>
  <c r="F3534" s="1"/>
  <c r="H3534" s="1"/>
  <c r="M3534" s="1"/>
  <c r="E881" i="1"/>
  <c r="F3516" i="5"/>
  <c r="F3517" s="1"/>
  <c r="E858" i="1"/>
  <c r="F3437" i="5" s="1"/>
  <c r="F3439" s="1"/>
  <c r="L3439" s="1"/>
  <c r="M3439" s="1"/>
  <c r="E859" i="1"/>
  <c r="F3442" i="5" s="1"/>
  <c r="H3442" s="1"/>
  <c r="M3442" s="1"/>
  <c r="F2379"/>
  <c r="F2380" s="1"/>
  <c r="J2380" s="1"/>
  <c r="M2380" s="1"/>
  <c r="F977"/>
  <c r="E490"/>
  <c r="F3238"/>
  <c r="H3238" s="1"/>
  <c r="M3238" s="1"/>
  <c r="F2947"/>
  <c r="F2951" s="1"/>
  <c r="H2951" s="1"/>
  <c r="M2951" s="1"/>
  <c r="G445"/>
  <c r="E3453"/>
  <c r="E3452"/>
  <c r="E3451"/>
  <c r="E3450"/>
  <c r="E3449"/>
  <c r="E3448"/>
  <c r="E3397"/>
  <c r="E3395"/>
  <c r="E3394"/>
  <c r="E3393"/>
  <c r="E3392"/>
  <c r="E3391"/>
  <c r="E3390"/>
  <c r="E3389"/>
  <c r="N3384"/>
  <c r="E863" i="1"/>
  <c r="F3454" i="5" s="1"/>
  <c r="F3457" s="1"/>
  <c r="E862" i="1"/>
  <c r="F3447" i="5" s="1"/>
  <c r="E861" i="1"/>
  <c r="F3446" i="5" s="1"/>
  <c r="E860" i="1"/>
  <c r="F3441" i="5" s="1"/>
  <c r="H3441" s="1"/>
  <c r="M3441" s="1"/>
  <c r="E855" i="1"/>
  <c r="F3425" i="5" s="1"/>
  <c r="F3426" s="1"/>
  <c r="E854" i="1"/>
  <c r="F3418" i="5" s="1"/>
  <c r="F3423" s="1"/>
  <c r="H3423" s="1"/>
  <c r="M3423" s="1"/>
  <c r="E853" i="1"/>
  <c r="F3416" i="5" s="1"/>
  <c r="H3416" s="1"/>
  <c r="E852" i="1"/>
  <c r="F3410" i="5" s="1"/>
  <c r="E851" i="1"/>
  <c r="F3398" i="5" s="1"/>
  <c r="F3399" s="1"/>
  <c r="J3399" s="1"/>
  <c r="M3399" s="1"/>
  <c r="E850" i="1"/>
  <c r="F3388" i="5" s="1"/>
  <c r="E849" i="1"/>
  <c r="F3386" i="5" s="1"/>
  <c r="F3387" s="1"/>
  <c r="J3387" s="1"/>
  <c r="M3387" s="1"/>
  <c r="E848" i="1"/>
  <c r="F3380" i="5" s="1"/>
  <c r="F3385" s="1"/>
  <c r="H3385" s="1"/>
  <c r="M3385" s="1"/>
  <c r="E847" i="1"/>
  <c r="F3379" i="5" s="1"/>
  <c r="L3379" s="1"/>
  <c r="M3379" s="1"/>
  <c r="E846" i="1"/>
  <c r="F3373" i="5" s="1"/>
  <c r="E865" i="1"/>
  <c r="E864"/>
  <c r="E856"/>
  <c r="F3432" i="5" s="1"/>
  <c r="E873" i="1"/>
  <c r="F3470" i="5" s="1"/>
  <c r="L3470" s="1"/>
  <c r="M3470" s="1"/>
  <c r="E880" i="1"/>
  <c r="F3509" i="5" s="1"/>
  <c r="F3513" s="1"/>
  <c r="L3513" s="1"/>
  <c r="M3513" s="1"/>
  <c r="E889" i="1"/>
  <c r="F3545" i="5" s="1"/>
  <c r="F3547" s="1"/>
  <c r="H3547" s="1"/>
  <c r="E888" i="1"/>
  <c r="F3538" i="5" s="1"/>
  <c r="E887" i="1"/>
  <c r="F3537" i="5" s="1"/>
  <c r="H3537" s="1"/>
  <c r="E885" i="1"/>
  <c r="F3533" i="5" s="1"/>
  <c r="H3533" s="1"/>
  <c r="M3533" s="1"/>
  <c r="E882" i="1"/>
  <c r="F3523" i="5" s="1"/>
  <c r="F3524" s="1"/>
  <c r="H3524" s="1"/>
  <c r="E875" i="1"/>
  <c r="F3477" i="5" s="1"/>
  <c r="F3478" s="1"/>
  <c r="J3478" s="1"/>
  <c r="M3478" s="1"/>
  <c r="E877" i="1"/>
  <c r="F3489" i="5" s="1"/>
  <c r="F3490" s="1"/>
  <c r="J3490" s="1"/>
  <c r="M3490" s="1"/>
  <c r="E3488"/>
  <c r="E3486"/>
  <c r="E3485"/>
  <c r="E3484"/>
  <c r="E3483"/>
  <c r="E3482"/>
  <c r="E3481"/>
  <c r="E3480"/>
  <c r="E876" i="1"/>
  <c r="F3479" i="5" s="1"/>
  <c r="E879" i="1"/>
  <c r="F3507" i="5" s="1"/>
  <c r="H3507" s="1"/>
  <c r="E878" i="1"/>
  <c r="F3501" i="5" s="1"/>
  <c r="F3505" s="1"/>
  <c r="J3505" s="1"/>
  <c r="N3475"/>
  <c r="E874" i="1"/>
  <c r="F3471" i="5" s="1"/>
  <c r="E872" i="1"/>
  <c r="F3464" i="5" s="1"/>
  <c r="F286"/>
  <c r="F293"/>
  <c r="F299" s="1"/>
  <c r="H299" s="1"/>
  <c r="M299" s="1"/>
  <c r="F296"/>
  <c r="F887"/>
  <c r="F891" s="1"/>
  <c r="H891" s="1"/>
  <c r="M891" s="1"/>
  <c r="F890"/>
  <c r="F146"/>
  <c r="F148" s="1"/>
  <c r="L148" s="1"/>
  <c r="M148" s="1"/>
  <c r="G1954"/>
  <c r="F1962"/>
  <c r="F1963" s="1"/>
  <c r="J1963" s="1"/>
  <c r="M1963" s="1"/>
  <c r="M1965"/>
  <c r="N1962"/>
  <c r="F2046"/>
  <c r="H2046" s="1"/>
  <c r="M2046" s="1"/>
  <c r="E886" i="1"/>
  <c r="F3532" i="5" s="1"/>
  <c r="H3532" s="1"/>
  <c r="M3532" s="1"/>
  <c r="E3544"/>
  <c r="E3543"/>
  <c r="E3542"/>
  <c r="E3541"/>
  <c r="E3540"/>
  <c r="E3539"/>
  <c r="E904" i="1"/>
  <c r="F3560" i="5" s="1"/>
  <c r="J3560" s="1"/>
  <c r="E903" i="1"/>
  <c r="F3559" i="5" s="1"/>
  <c r="J3559" s="1"/>
  <c r="E891" i="1"/>
  <c r="E890"/>
  <c r="F354" i="5"/>
  <c r="F357" s="1"/>
  <c r="F348"/>
  <c r="F352" s="1"/>
  <c r="E563" i="1"/>
  <c r="F2324" i="5" s="1"/>
  <c r="F2325" s="1"/>
  <c r="J2325" s="1"/>
  <c r="M2325" s="1"/>
  <c r="F1232"/>
  <c r="L1232" s="1"/>
  <c r="M1232" s="1"/>
  <c r="M2086"/>
  <c r="E3157"/>
  <c r="E3122"/>
  <c r="E3119"/>
  <c r="E3091"/>
  <c r="E3094"/>
  <c r="E3090"/>
  <c r="G3052"/>
  <c r="N2706"/>
  <c r="F2366"/>
  <c r="F2368" s="1"/>
  <c r="L2368" s="1"/>
  <c r="M2368" s="1"/>
  <c r="N1956"/>
  <c r="N1954"/>
  <c r="N1895"/>
  <c r="F992"/>
  <c r="F993" s="1"/>
  <c r="J993" s="1"/>
  <c r="M993" s="1"/>
  <c r="F900"/>
  <c r="F244"/>
  <c r="F246" s="1"/>
  <c r="L246" s="1"/>
  <c r="M246" s="1"/>
  <c r="G1566"/>
  <c r="G996"/>
  <c r="G912"/>
  <c r="G904"/>
  <c r="G746"/>
  <c r="F575"/>
  <c r="F580" s="1"/>
  <c r="H580" s="1"/>
  <c r="M580" s="1"/>
  <c r="N544"/>
  <c r="O255"/>
  <c r="O248"/>
  <c r="F984"/>
  <c r="F985" s="1"/>
  <c r="J985" s="1"/>
  <c r="M985" s="1"/>
  <c r="F3059"/>
  <c r="F3066"/>
  <c r="F3341"/>
  <c r="H3341" s="1"/>
  <c r="M3341" s="1"/>
  <c r="F3126"/>
  <c r="F3127" s="1"/>
  <c r="J3127" s="1"/>
  <c r="M3127" s="1"/>
  <c r="F3063"/>
  <c r="F3009"/>
  <c r="F3011" s="1"/>
  <c r="L3011" s="1"/>
  <c r="M3011" s="1"/>
  <c r="F3002"/>
  <c r="F3004" s="1"/>
  <c r="L3004" s="1"/>
  <c r="M3004" s="1"/>
  <c r="F2961"/>
  <c r="F2962" s="1"/>
  <c r="J2962" s="1"/>
  <c r="M2962" s="1"/>
  <c r="F2954"/>
  <c r="F2955" s="1"/>
  <c r="J2955" s="1"/>
  <c r="M2955" s="1"/>
  <c r="F2878"/>
  <c r="H2878" s="1"/>
  <c r="M2878" s="1"/>
  <c r="F3285"/>
  <c r="H3285" s="1"/>
  <c r="M3285" s="1"/>
  <c r="F3278"/>
  <c r="F3271"/>
  <c r="F3277" s="1"/>
  <c r="H3277" s="1"/>
  <c r="M3277" s="1"/>
  <c r="F3240"/>
  <c r="H3240" s="1"/>
  <c r="M3240" s="1"/>
  <c r="F3218"/>
  <c r="F3223" s="1"/>
  <c r="H3223" s="1"/>
  <c r="M3223" s="1"/>
  <c r="F793"/>
  <c r="H793" s="1"/>
  <c r="M793" s="1"/>
  <c r="F792"/>
  <c r="H792" s="1"/>
  <c r="M792" s="1"/>
  <c r="F784"/>
  <c r="F794" s="1"/>
  <c r="H794" s="1"/>
  <c r="M794" s="1"/>
  <c r="F2950"/>
  <c r="E1304"/>
  <c r="F1843"/>
  <c r="F1844" s="1"/>
  <c r="J1844" s="1"/>
  <c r="M1844" s="1"/>
  <c r="F200"/>
  <c r="F205" s="1"/>
  <c r="H205" s="1"/>
  <c r="M205" s="1"/>
  <c r="E1229"/>
  <c r="F1706"/>
  <c r="H1706" s="1"/>
  <c r="M1706" s="1"/>
  <c r="F1864"/>
  <c r="F1855"/>
  <c r="F1863" s="1"/>
  <c r="F1820"/>
  <c r="F1821" s="1"/>
  <c r="F1662"/>
  <c r="F1663" s="1"/>
  <c r="J1663" s="1"/>
  <c r="M1663" s="1"/>
  <c r="E660" i="1"/>
  <c r="F2689" i="5" s="1"/>
  <c r="H2689" s="1"/>
  <c r="F326"/>
  <c r="F330" s="1"/>
  <c r="H330" s="1"/>
  <c r="M330" s="1"/>
  <c r="F334"/>
  <c r="F336" s="1"/>
  <c r="L336" s="1"/>
  <c r="M336" s="1"/>
  <c r="F341"/>
  <c r="F320"/>
  <c r="F321" s="1"/>
  <c r="J321" s="1"/>
  <c r="M321" s="1"/>
  <c r="F311"/>
  <c r="F319" s="1"/>
  <c r="F1250"/>
  <c r="F1251" s="1"/>
  <c r="J1251" s="1"/>
  <c r="M1251" s="1"/>
  <c r="F1088"/>
  <c r="F1092" s="1"/>
  <c r="H1092" s="1"/>
  <c r="M1092" s="1"/>
  <c r="F539"/>
  <c r="F186"/>
  <c r="F190" s="1"/>
  <c r="H190" s="1"/>
  <c r="M190" s="1"/>
  <c r="F189"/>
  <c r="F1466"/>
  <c r="F1467" s="1"/>
  <c r="F1560"/>
  <c r="F1561" s="1"/>
  <c r="J1561" s="1"/>
  <c r="M1561" s="1"/>
  <c r="F1140"/>
  <c r="H1140" s="1"/>
  <c r="M1140" s="1"/>
  <c r="F1101"/>
  <c r="L1101" s="1"/>
  <c r="M1101" s="1"/>
  <c r="F1099"/>
  <c r="F1100" s="1"/>
  <c r="J1100" s="1"/>
  <c r="M1100" s="1"/>
  <c r="F401"/>
  <c r="F403" s="1"/>
  <c r="F122"/>
  <c r="F78"/>
  <c r="F79" s="1"/>
  <c r="J79" s="1"/>
  <c r="M79" s="1"/>
  <c r="E659" i="1"/>
  <c r="F2688" i="5" s="1"/>
  <c r="H2688" s="1"/>
  <c r="M2688" s="1"/>
  <c r="E658" i="1"/>
  <c r="F2687" i="5" s="1"/>
  <c r="H2687" s="1"/>
  <c r="M2687" s="1"/>
  <c r="E657" i="1"/>
  <c r="F2686" i="5" s="1"/>
  <c r="H2686" s="1"/>
  <c r="M2686" s="1"/>
  <c r="E653" i="1"/>
  <c r="F2669" i="5" s="1"/>
  <c r="F2673" s="1"/>
  <c r="H2673" s="1"/>
  <c r="M2673" s="1"/>
  <c r="E652" i="1"/>
  <c r="F2668" i="5" s="1"/>
  <c r="H2668" s="1"/>
  <c r="M2668" s="1"/>
  <c r="E651" i="1"/>
  <c r="F2658" i="5" s="1"/>
  <c r="F2663" s="1"/>
  <c r="H2663" s="1"/>
  <c r="M2663" s="1"/>
  <c r="E650" i="1"/>
  <c r="F2652" i="5" s="1"/>
  <c r="F2653" s="1"/>
  <c r="J2653" s="1"/>
  <c r="M2653" s="1"/>
  <c r="E649" i="1"/>
  <c r="F2646" i="5" s="1"/>
  <c r="F2650" s="1"/>
  <c r="H2650" s="1"/>
  <c r="M2650" s="1"/>
  <c r="E648" i="1"/>
  <c r="F2644" i="5" s="1"/>
  <c r="F2645" s="1"/>
  <c r="J2645" s="1"/>
  <c r="M2645" s="1"/>
  <c r="E647" i="1"/>
  <c r="F2642" i="5" s="1"/>
  <c r="F2643" s="1"/>
  <c r="J2643" s="1"/>
  <c r="M2643" s="1"/>
  <c r="E570" i="1"/>
  <c r="F2352" i="5" s="1"/>
  <c r="F2353" s="1"/>
  <c r="J2353" s="1"/>
  <c r="M2353" s="1"/>
  <c r="E569" i="1"/>
  <c r="F2346" i="5" s="1"/>
  <c r="F2351" s="1"/>
  <c r="H2351" s="1"/>
  <c r="M2351" s="1"/>
  <c r="E568" i="1"/>
  <c r="F2343" i="5" s="1"/>
  <c r="H2343" s="1"/>
  <c r="M2343" s="1"/>
  <c r="E567" i="1"/>
  <c r="F2342" i="5" s="1"/>
  <c r="H2342" s="1"/>
  <c r="M2342" s="1"/>
  <c r="E566" i="1"/>
  <c r="F2333" i="5" s="1"/>
  <c r="E565" i="1"/>
  <c r="F2327" i="5" s="1"/>
  <c r="F2332" s="1"/>
  <c r="H2332" s="1"/>
  <c r="M2332" s="1"/>
  <c r="E564" i="1"/>
  <c r="F2326" i="5" s="1"/>
  <c r="L2326" s="1"/>
  <c r="M2326" s="1"/>
  <c r="E562" i="1"/>
  <c r="F2322" i="5" s="1"/>
  <c r="F2323" s="1"/>
  <c r="J2323" s="1"/>
  <c r="M2323" s="1"/>
  <c r="E561" i="1"/>
  <c r="F2320" i="5" s="1"/>
  <c r="F2321" s="1"/>
  <c r="J2321" s="1"/>
  <c r="M2321" s="1"/>
  <c r="E553" i="1"/>
  <c r="F2302" i="5" s="1"/>
  <c r="F2306" s="1"/>
  <c r="H2306" s="1"/>
  <c r="M2306" s="1"/>
  <c r="E552" i="1"/>
  <c r="F2296" i="5" s="1"/>
  <c r="F2300" s="1"/>
  <c r="H2300" s="1"/>
  <c r="M2300" s="1"/>
  <c r="E551" i="1"/>
  <c r="F2290" i="5" s="1"/>
  <c r="F2291" s="1"/>
  <c r="J2291" s="1"/>
  <c r="M2291" s="1"/>
  <c r="E550" i="1"/>
  <c r="F2285" i="5" s="1"/>
  <c r="F2289" s="1"/>
  <c r="H2289" s="1"/>
  <c r="M2289" s="1"/>
  <c r="E549" i="1"/>
  <c r="F2279" i="5" s="1"/>
  <c r="F2282" s="1"/>
  <c r="L2282" s="1"/>
  <c r="M2282" s="1"/>
  <c r="E548" i="1"/>
  <c r="F2271" i="5" s="1"/>
  <c r="F2274" s="1"/>
  <c r="L2274" s="1"/>
  <c r="M2274" s="1"/>
  <c r="E547" i="1"/>
  <c r="F2265" i="5" s="1"/>
  <c r="F2269" s="1"/>
  <c r="H2269" s="1"/>
  <c r="M2269" s="1"/>
  <c r="E546" i="1"/>
  <c r="F2259" i="5" s="1"/>
  <c r="F2264" s="1"/>
  <c r="H2264" s="1"/>
  <c r="M2264" s="1"/>
  <c r="F519"/>
  <c r="F523" s="1"/>
  <c r="F75"/>
  <c r="F76" s="1"/>
  <c r="J76" s="1"/>
  <c r="M76" s="1"/>
  <c r="F72"/>
  <c r="F74" s="1"/>
  <c r="L74" s="1"/>
  <c r="M74" s="1"/>
  <c r="F69"/>
  <c r="F66"/>
  <c r="F63"/>
  <c r="F65" s="1"/>
  <c r="L65" s="1"/>
  <c r="M65" s="1"/>
  <c r="F60"/>
  <c r="F61" s="1"/>
  <c r="J61" s="1"/>
  <c r="M61" s="1"/>
  <c r="F44"/>
  <c r="F41"/>
  <c r="F42" s="1"/>
  <c r="E44"/>
  <c r="E41"/>
  <c r="F522"/>
  <c r="F213"/>
  <c r="F215" s="1"/>
  <c r="L215" s="1"/>
  <c r="M215" s="1"/>
  <c r="F206"/>
  <c r="F209" s="1"/>
  <c r="E210"/>
  <c r="E207"/>
  <c r="F396"/>
  <c r="F397" s="1"/>
  <c r="E545" i="1"/>
  <c r="F2254" i="5" s="1"/>
  <c r="E544" i="1"/>
  <c r="F2248" i="5" s="1"/>
  <c r="F2253" s="1"/>
  <c r="H2253" s="1"/>
  <c r="M2253" s="1"/>
  <c r="E543" i="1"/>
  <c r="F2241" i="5" s="1"/>
  <c r="F2243" s="1"/>
  <c r="L2243" s="1"/>
  <c r="M2243" s="1"/>
  <c r="E542" i="1"/>
  <c r="F2237" i="5" s="1"/>
  <c r="E539" i="1"/>
  <c r="F2214" i="5" s="1"/>
  <c r="E538" i="1"/>
  <c r="F2208" i="5" s="1"/>
  <c r="F2212" s="1"/>
  <c r="H2212" s="1"/>
  <c r="M2212" s="1"/>
  <c r="E536" i="1"/>
  <c r="F2196" i="5" s="1"/>
  <c r="E535" i="1"/>
  <c r="F2191" i="5" s="1"/>
  <c r="E534" i="1"/>
  <c r="F2183" i="5" s="1"/>
  <c r="F2190" s="1"/>
  <c r="H2190" s="1"/>
  <c r="M2190" s="1"/>
  <c r="E533" i="1"/>
  <c r="F2176" i="5" s="1"/>
  <c r="F2181" s="1"/>
  <c r="H2181" s="1"/>
  <c r="M2181" s="1"/>
  <c r="E532" i="1"/>
  <c r="F2168" i="5" s="1"/>
  <c r="F2170" s="1"/>
  <c r="L2170" s="1"/>
  <c r="M2170" s="1"/>
  <c r="E531" i="1"/>
  <c r="F2157" i="5" s="1"/>
  <c r="F2165" s="1"/>
  <c r="H2165" s="1"/>
  <c r="M2165" s="1"/>
  <c r="E530" i="1"/>
  <c r="F2150" i="5" s="1"/>
  <c r="F2152" s="1"/>
  <c r="L2152" s="1"/>
  <c r="M2152" s="1"/>
  <c r="E529" i="1"/>
  <c r="F2149" i="5" s="1"/>
  <c r="H2149" s="1"/>
  <c r="M2149" s="1"/>
  <c r="E528" i="1"/>
  <c r="F2148" i="5" s="1"/>
  <c r="H2148" s="1"/>
  <c r="M2148" s="1"/>
  <c r="E527" i="1"/>
  <c r="F2139" i="5" s="1"/>
  <c r="E526" i="1"/>
  <c r="F2138" i="5" s="1"/>
  <c r="H2138" s="1"/>
  <c r="M2138" s="1"/>
  <c r="E525" i="1"/>
  <c r="F2137" i="5" s="1"/>
  <c r="H2137" s="1"/>
  <c r="M2137" s="1"/>
  <c r="E524" i="1"/>
  <c r="F2127" i="5" s="1"/>
  <c r="F2133" s="1"/>
  <c r="H2133" s="1"/>
  <c r="M2133" s="1"/>
  <c r="E523" i="1"/>
  <c r="F2120" i="5" s="1"/>
  <c r="E520" i="1"/>
  <c r="F2110" i="5" s="1"/>
  <c r="H2110" s="1"/>
  <c r="M2110" s="1"/>
  <c r="E519" i="1"/>
  <c r="F2109" i="5" s="1"/>
  <c r="H2109" s="1"/>
  <c r="M2109" s="1"/>
  <c r="E518" i="1"/>
  <c r="F2101" i="5" s="1"/>
  <c r="E517" i="1"/>
  <c r="F2095" i="5" s="1"/>
  <c r="F2100" s="1"/>
  <c r="H2100" s="1"/>
  <c r="M2100" s="1"/>
  <c r="E516" i="1"/>
  <c r="F2089" i="5" s="1"/>
  <c r="E515" i="1"/>
  <c r="F2088" i="5" s="1"/>
  <c r="L2088" s="1"/>
  <c r="M2088" s="1"/>
  <c r="E514" i="1"/>
  <c r="F2086" i="5" s="1"/>
  <c r="F2087" s="1"/>
  <c r="J2087" s="1"/>
  <c r="M2087" s="1"/>
  <c r="E513" i="1"/>
  <c r="F2084" i="5" s="1"/>
  <c r="F2085" s="1"/>
  <c r="J2085" s="1"/>
  <c r="E512" i="1"/>
  <c r="F2082" i="5" s="1"/>
  <c r="F2083" s="1"/>
  <c r="J2083" s="1"/>
  <c r="M2083" s="1"/>
  <c r="F2419"/>
  <c r="F2421" s="1"/>
  <c r="L2421" s="1"/>
  <c r="M2421" s="1"/>
  <c r="F351"/>
  <c r="F1877"/>
  <c r="F1878" s="1"/>
  <c r="L1878" s="1"/>
  <c r="M1878" s="1"/>
  <c r="F1871"/>
  <c r="F1873" s="1"/>
  <c r="L1873" s="1"/>
  <c r="M1873" s="1"/>
  <c r="F1865"/>
  <c r="F1869" s="1"/>
  <c r="H1869" s="1"/>
  <c r="M1869" s="1"/>
  <c r="F1849"/>
  <c r="F1840"/>
  <c r="F1841" s="1"/>
  <c r="J1841" s="1"/>
  <c r="M1841" s="1"/>
  <c r="F1837"/>
  <c r="F1838" s="1"/>
  <c r="L1838" s="1"/>
  <c r="M1838" s="1"/>
  <c r="F1834"/>
  <c r="F1836" s="1"/>
  <c r="H1836" s="1"/>
  <c r="M1836" s="1"/>
  <c r="F1830"/>
  <c r="F1829"/>
  <c r="F1827"/>
  <c r="F1828" s="1"/>
  <c r="F1824"/>
  <c r="F1826" s="1"/>
  <c r="L1826" s="1"/>
  <c r="M1826" s="1"/>
  <c r="F1822"/>
  <c r="F1823" s="1"/>
  <c r="L1823" s="1"/>
  <c r="M1823" s="1"/>
  <c r="F1818"/>
  <c r="F1819" s="1"/>
  <c r="F1812"/>
  <c r="F1817" s="1"/>
  <c r="H1817" s="1"/>
  <c r="M1817" s="1"/>
  <c r="F1832"/>
  <c r="F279"/>
  <c r="F281" s="1"/>
  <c r="D1809"/>
  <c r="D1807"/>
  <c r="F1800"/>
  <c r="F1805" s="1"/>
  <c r="H1805" s="1"/>
  <c r="M1805" s="1"/>
  <c r="F1798"/>
  <c r="F1797"/>
  <c r="F1796"/>
  <c r="F1795"/>
  <c r="F1794"/>
  <c r="F1793"/>
  <c r="H1793" s="1"/>
  <c r="M1793" s="1"/>
  <c r="F1787"/>
  <c r="H1787" s="1"/>
  <c r="M1787" s="1"/>
  <c r="F1786"/>
  <c r="H1786" s="1"/>
  <c r="M1786" s="1"/>
  <c r="F1785"/>
  <c r="H1785" s="1"/>
  <c r="M1785" s="1"/>
  <c r="F1784"/>
  <c r="H1784" s="1"/>
  <c r="M1784" s="1"/>
  <c r="F1783"/>
  <c r="H1783" s="1"/>
  <c r="M1783" s="1"/>
  <c r="F1782"/>
  <c r="H1782" s="1"/>
  <c r="M1782" s="1"/>
  <c r="F1781"/>
  <c r="H1781" s="1"/>
  <c r="M1781" s="1"/>
  <c r="F1780"/>
  <c r="H1780" s="1"/>
  <c r="M1780" s="1"/>
  <c r="F1779"/>
  <c r="H1779" s="1"/>
  <c r="M1779" s="1"/>
  <c r="F1778"/>
  <c r="F1777"/>
  <c r="H1777" s="1"/>
  <c r="M1777" s="1"/>
  <c r="F1776"/>
  <c r="H1776" s="1"/>
  <c r="M1776" s="1"/>
  <c r="F1775"/>
  <c r="H1775" s="1"/>
  <c r="M1775" s="1"/>
  <c r="F1765"/>
  <c r="F1759"/>
  <c r="F1763" s="1"/>
  <c r="H1763" s="1"/>
  <c r="M1763" s="1"/>
  <c r="F1753"/>
  <c r="F1755" s="1"/>
  <c r="L1755" s="1"/>
  <c r="M1755" s="1"/>
  <c r="F1751"/>
  <c r="H1751" s="1"/>
  <c r="M1751" s="1"/>
  <c r="F1750"/>
  <c r="F1740"/>
  <c r="F1742" s="1"/>
  <c r="L1742" s="1"/>
  <c r="M1742" s="1"/>
  <c r="F1734"/>
  <c r="F1739" s="1"/>
  <c r="H1739" s="1"/>
  <c r="M1739" s="1"/>
  <c r="F1722"/>
  <c r="F1733" s="1"/>
  <c r="H1733" s="1"/>
  <c r="M1733" s="1"/>
  <c r="F1721"/>
  <c r="H1721" s="1"/>
  <c r="M1721" s="1"/>
  <c r="F1708"/>
  <c r="F1720" s="1"/>
  <c r="H1720" s="1"/>
  <c r="M1720" s="1"/>
  <c r="F1697"/>
  <c r="F1699" s="1"/>
  <c r="L1699" s="1"/>
  <c r="M1699" s="1"/>
  <c r="F1691"/>
  <c r="F1685"/>
  <c r="F1687" s="1"/>
  <c r="L1687" s="1"/>
  <c r="M1687" s="1"/>
  <c r="F1682"/>
  <c r="F1684" s="1"/>
  <c r="L1684" s="1"/>
  <c r="M1684" s="1"/>
  <c r="F1679"/>
  <c r="F1676"/>
  <c r="F1672"/>
  <c r="F1675" s="1"/>
  <c r="H1675" s="1"/>
  <c r="M1675" s="1"/>
  <c r="F1671"/>
  <c r="L1671" s="1"/>
  <c r="M1671" s="1"/>
  <c r="F1669"/>
  <c r="F1670" s="1"/>
  <c r="J1670" s="1"/>
  <c r="M1670" s="1"/>
  <c r="F1666"/>
  <c r="F1664"/>
  <c r="F1665" s="1"/>
  <c r="L1665" s="1"/>
  <c r="M1665" s="1"/>
  <c r="F1660"/>
  <c r="F1661" s="1"/>
  <c r="J1661" s="1"/>
  <c r="M1661" s="1"/>
  <c r="F1654"/>
  <c r="F1655" s="1"/>
  <c r="J1655" s="1"/>
  <c r="F1674"/>
  <c r="M1669"/>
  <c r="G516"/>
  <c r="G437"/>
  <c r="F2454"/>
  <c r="F2455" s="1"/>
  <c r="J2455" s="1"/>
  <c r="M2455" s="1"/>
  <c r="F2449"/>
  <c r="F2451" s="1"/>
  <c r="L2451" s="1"/>
  <c r="M2451" s="1"/>
  <c r="F742"/>
  <c r="F744" s="1"/>
  <c r="L744" s="1"/>
  <c r="M744" s="1"/>
  <c r="F2098"/>
  <c r="F1633"/>
  <c r="H1633" s="1"/>
  <c r="M1633" s="1"/>
  <c r="F1617"/>
  <c r="F1622" s="1"/>
  <c r="H1622" s="1"/>
  <c r="M1622" s="1"/>
  <c r="F2601"/>
  <c r="F2604" s="1"/>
  <c r="H2604" s="1"/>
  <c r="M2604" s="1"/>
  <c r="F1121"/>
  <c r="F1127" s="1"/>
  <c r="H1127" s="1"/>
  <c r="M1127" s="1"/>
  <c r="F1124"/>
  <c r="F908"/>
  <c r="F916" s="1"/>
  <c r="H916" s="1"/>
  <c r="M916" s="1"/>
  <c r="F911"/>
  <c r="E128"/>
  <c r="E127"/>
  <c r="F126"/>
  <c r="F3360"/>
  <c r="F3354"/>
  <c r="F3359" s="1"/>
  <c r="H3359" s="1"/>
  <c r="M3359" s="1"/>
  <c r="F3348"/>
  <c r="F3349" s="1"/>
  <c r="J3349" s="1"/>
  <c r="M3349" s="1"/>
  <c r="F3340"/>
  <c r="H3340" s="1"/>
  <c r="M3340" s="1"/>
  <c r="F3334"/>
  <c r="F3328"/>
  <c r="F3333" s="1"/>
  <c r="H3333" s="1"/>
  <c r="M3333" s="1"/>
  <c r="F3291"/>
  <c r="H3291" s="1"/>
  <c r="M3291" s="1"/>
  <c r="F3289"/>
  <c r="H3289" s="1"/>
  <c r="M3289" s="1"/>
  <c r="F3288"/>
  <c r="H3288" s="1"/>
  <c r="M3288" s="1"/>
  <c r="F3287"/>
  <c r="H3287" s="1"/>
  <c r="M3287" s="1"/>
  <c r="F3286"/>
  <c r="H3286" s="1"/>
  <c r="M3286" s="1"/>
  <c r="F3239"/>
  <c r="H3239" s="1"/>
  <c r="M3239" s="1"/>
  <c r="F3237"/>
  <c r="H3237" s="1"/>
  <c r="M3237" s="1"/>
  <c r="F3235"/>
  <c r="H3235" s="1"/>
  <c r="M3235" s="1"/>
  <c r="F3224"/>
  <c r="F3228" s="1"/>
  <c r="H3228" s="1"/>
  <c r="M3228" s="1"/>
  <c r="F3212"/>
  <c r="F3193"/>
  <c r="F3194" s="1"/>
  <c r="J3194" s="1"/>
  <c r="F3172"/>
  <c r="F3179" s="1"/>
  <c r="H3179" s="1"/>
  <c r="M3179" s="1"/>
  <c r="F2981"/>
  <c r="F2986" s="1"/>
  <c r="H2986" s="1"/>
  <c r="M2986" s="1"/>
  <c r="F2970"/>
  <c r="F2877"/>
  <c r="H2877" s="1"/>
  <c r="M2877" s="1"/>
  <c r="F2867"/>
  <c r="F2872" s="1"/>
  <c r="H2872" s="1"/>
  <c r="M2872" s="1"/>
  <c r="E706" i="1"/>
  <c r="F2818" i="5" s="1"/>
  <c r="E718" i="1"/>
  <c r="F2859" i="5" s="1"/>
  <c r="E713" i="1"/>
  <c r="F2839" i="5" s="1"/>
  <c r="F2842" s="1"/>
  <c r="E712" i="1"/>
  <c r="F2836" i="5" s="1"/>
  <c r="F2837" s="1"/>
  <c r="E711" i="1"/>
  <c r="F2834" i="5" s="1"/>
  <c r="F2835" s="1"/>
  <c r="E708" i="1"/>
  <c r="F2825" i="5" s="1"/>
  <c r="E707" i="1"/>
  <c r="E3279" i="5"/>
  <c r="F3169"/>
  <c r="M3167"/>
  <c r="M3158"/>
  <c r="F3115"/>
  <c r="F3028"/>
  <c r="F3022"/>
  <c r="F2964"/>
  <c r="F2894"/>
  <c r="F2882"/>
  <c r="F2870"/>
  <c r="F2862"/>
  <c r="F2849"/>
  <c r="F2841"/>
  <c r="F1157"/>
  <c r="F1132"/>
  <c r="F1133" s="1"/>
  <c r="J1133" s="1"/>
  <c r="M1133" s="1"/>
  <c r="F1118"/>
  <c r="H1118" s="1"/>
  <c r="M1118" s="1"/>
  <c r="F1117"/>
  <c r="H1117" s="1"/>
  <c r="M1117" s="1"/>
  <c r="F1108"/>
  <c r="F1116" s="1"/>
  <c r="H1116" s="1"/>
  <c r="M1116" s="1"/>
  <c r="M1099"/>
  <c r="F1102"/>
  <c r="F1107" s="1"/>
  <c r="H1107" s="1"/>
  <c r="M1107" s="1"/>
  <c r="F1097"/>
  <c r="F1098" s="1"/>
  <c r="J1098" s="1"/>
  <c r="M1098" s="1"/>
  <c r="F1096"/>
  <c r="J1096" s="1"/>
  <c r="M1096" s="1"/>
  <c r="M1097"/>
  <c r="M1095"/>
  <c r="F782"/>
  <c r="F764"/>
  <c r="F770" s="1"/>
  <c r="H770" s="1"/>
  <c r="M770" s="1"/>
  <c r="E666"/>
  <c r="E665"/>
  <c r="E663"/>
  <c r="E662"/>
  <c r="F2056"/>
  <c r="H2056" s="1"/>
  <c r="M2056" s="1"/>
  <c r="F2611"/>
  <c r="F1638"/>
  <c r="F1639" s="1"/>
  <c r="J1639" s="1"/>
  <c r="M1639" s="1"/>
  <c r="F1573"/>
  <c r="F1576" s="1"/>
  <c r="F1579" s="1"/>
  <c r="H1579" s="1"/>
  <c r="M1579" s="1"/>
  <c r="F814"/>
  <c r="F819" s="1"/>
  <c r="H819" s="1"/>
  <c r="M819" s="1"/>
  <c r="F806"/>
  <c r="F795"/>
  <c r="F799" s="1"/>
  <c r="H799" s="1"/>
  <c r="M799" s="1"/>
  <c r="F647"/>
  <c r="F655" s="1"/>
  <c r="H655" s="1"/>
  <c r="M655" s="1"/>
  <c r="F2672"/>
  <c r="F2655"/>
  <c r="F2202"/>
  <c r="F2206" s="1"/>
  <c r="H2206" s="1"/>
  <c r="M2206" s="1"/>
  <c r="F433"/>
  <c r="F434" s="1"/>
  <c r="J434" s="1"/>
  <c r="M434" s="1"/>
  <c r="F436"/>
  <c r="F407"/>
  <c r="F413" s="1"/>
  <c r="H413" s="1"/>
  <c r="M413" s="1"/>
  <c r="F422"/>
  <c r="F424" s="1"/>
  <c r="L424" s="1"/>
  <c r="M424" s="1"/>
  <c r="F440"/>
  <c r="F441" s="1"/>
  <c r="J441" s="1"/>
  <c r="M441" s="1"/>
  <c r="F428"/>
  <c r="F431"/>
  <c r="F416"/>
  <c r="F418" s="1"/>
  <c r="L418" s="1"/>
  <c r="M418" s="1"/>
  <c r="F81"/>
  <c r="F83" s="1"/>
  <c r="L83" s="1"/>
  <c r="M83" s="1"/>
  <c r="F852"/>
  <c r="F854" s="1"/>
  <c r="L854" s="1"/>
  <c r="M854" s="1"/>
  <c r="F2797"/>
  <c r="H2797" s="1"/>
  <c r="M2797" s="1"/>
  <c r="F2791"/>
  <c r="F2796" s="1"/>
  <c r="H2796" s="1"/>
  <c r="M2796" s="1"/>
  <c r="F2785"/>
  <c r="F2787" s="1"/>
  <c r="L2787" s="1"/>
  <c r="M2787" s="1"/>
  <c r="F2779"/>
  <c r="F2783" s="1"/>
  <c r="H2783" s="1"/>
  <c r="M2783" s="1"/>
  <c r="F2773"/>
  <c r="F2778" s="1"/>
  <c r="H2778" s="1"/>
  <c r="M2778" s="1"/>
  <c r="F2767"/>
  <c r="F2761"/>
  <c r="F2763" s="1"/>
  <c r="L2763" s="1"/>
  <c r="M2763" s="1"/>
  <c r="F2755"/>
  <c r="F2757" s="1"/>
  <c r="L2757" s="1"/>
  <c r="F2749"/>
  <c r="F2751" s="1"/>
  <c r="L2751" s="1"/>
  <c r="M2751" s="1"/>
  <c r="F2747"/>
  <c r="F2748" s="1"/>
  <c r="J2748" s="1"/>
  <c r="M2748" s="1"/>
  <c r="F2745"/>
  <c r="F2746" s="1"/>
  <c r="J2746" s="1"/>
  <c r="M2746" s="1"/>
  <c r="M2761"/>
  <c r="M2749"/>
  <c r="F938"/>
  <c r="F940" s="1"/>
  <c r="L940" s="1"/>
  <c r="M940" s="1"/>
  <c r="F858"/>
  <c r="F859" s="1"/>
  <c r="J859" s="1"/>
  <c r="M859" s="1"/>
  <c r="F760"/>
  <c r="H760" s="1"/>
  <c r="M760" s="1"/>
  <c r="F2307"/>
  <c r="F2312" s="1"/>
  <c r="H2312" s="1"/>
  <c r="M2312" s="1"/>
  <c r="F2304"/>
  <c r="M2302"/>
  <c r="D2361"/>
  <c r="D2359"/>
  <c r="K2359"/>
  <c r="K2360" s="1"/>
  <c r="K2361" s="1"/>
  <c r="I2359"/>
  <c r="I2360" s="1"/>
  <c r="I2361" s="1"/>
  <c r="M2324"/>
  <c r="M2322"/>
  <c r="M2320"/>
  <c r="F675"/>
  <c r="F681" s="1"/>
  <c r="H681" s="1"/>
  <c r="M681" s="1"/>
  <c r="F671"/>
  <c r="H671" s="1"/>
  <c r="M671" s="1"/>
  <c r="F465"/>
  <c r="F469" s="1"/>
  <c r="H469" s="1"/>
  <c r="M469" s="1"/>
  <c r="F2130"/>
  <c r="C1" i="6"/>
  <c r="E9"/>
  <c r="F1950" i="5"/>
  <c r="F1952" s="1"/>
  <c r="L1952" s="1"/>
  <c r="M1952" s="1"/>
  <c r="E10" i="6"/>
  <c r="F1956" i="5"/>
  <c r="F1957" s="1"/>
  <c r="J1957" s="1"/>
  <c r="M1957" s="1"/>
  <c r="E11" i="6"/>
  <c r="F1968" i="5"/>
  <c r="F1973" s="1"/>
  <c r="E12" i="6"/>
  <c r="F1974" i="5"/>
  <c r="F1975" s="1"/>
  <c r="J1975" s="1"/>
  <c r="M1975" s="1"/>
  <c r="E13" i="6"/>
  <c r="F1980" i="5"/>
  <c r="F1984" s="1"/>
  <c r="H1984" s="1"/>
  <c r="M1984" s="1"/>
  <c r="E14" i="6"/>
  <c r="F2004" i="5"/>
  <c r="F2005" s="1"/>
  <c r="J2005" s="1"/>
  <c r="M2005" s="1"/>
  <c r="E15" i="6"/>
  <c r="F2010" i="5"/>
  <c r="F2014" s="1"/>
  <c r="E16" i="6"/>
  <c r="F2016" i="5"/>
  <c r="F2020" s="1"/>
  <c r="E17" i="6"/>
  <c r="F2022" i="5"/>
  <c r="F2024" s="1"/>
  <c r="L2024" s="1"/>
  <c r="M2024" s="1"/>
  <c r="E18" i="6"/>
  <c r="F2028" i="5"/>
  <c r="H2028" s="1"/>
  <c r="M2028" s="1"/>
  <c r="E19" i="6"/>
  <c r="F2029" i="5"/>
  <c r="E20" i="6"/>
  <c r="E494" i="1" s="1"/>
  <c r="F2042" i="5" s="1"/>
  <c r="H2042" s="1"/>
  <c r="M2042" s="1"/>
  <c r="E21" i="6"/>
  <c r="E22"/>
  <c r="F2044" i="5"/>
  <c r="H2044" s="1"/>
  <c r="M2044" s="1"/>
  <c r="E23" i="6"/>
  <c r="E497" i="1"/>
  <c r="F2045" i="5" s="1"/>
  <c r="H2045" s="1"/>
  <c r="M2045" s="1"/>
  <c r="E24" i="6"/>
  <c r="F2057" i="5"/>
  <c r="E25" i="6"/>
  <c r="F2063" i="5"/>
  <c r="F2067" s="1"/>
  <c r="H2067" s="1"/>
  <c r="M2067" s="1"/>
  <c r="E26" i="6"/>
  <c r="F2069" i="5"/>
  <c r="F2074" s="1"/>
  <c r="H2074" s="1"/>
  <c r="M2074" s="1"/>
  <c r="E28" i="6"/>
  <c r="E29"/>
  <c r="F1403" i="5"/>
  <c r="F1405" s="1"/>
  <c r="E30" i="6"/>
  <c r="F1409" i="5"/>
  <c r="F1415" s="1"/>
  <c r="E31" i="6"/>
  <c r="F1416" i="5"/>
  <c r="F1422" s="1"/>
  <c r="E32" i="6"/>
  <c r="F1423" i="5"/>
  <c r="E33" i="6"/>
  <c r="E34"/>
  <c r="E35"/>
  <c r="E36"/>
  <c r="F1442" i="5"/>
  <c r="F1444" s="1"/>
  <c r="E37" i="6"/>
  <c r="F1448" i="5"/>
  <c r="F1450" s="1"/>
  <c r="E38" i="6"/>
  <c r="F1460" i="5"/>
  <c r="F1465" s="1"/>
  <c r="E40" i="6"/>
  <c r="F1471" i="5"/>
  <c r="F1472" s="1"/>
  <c r="J1472" s="1"/>
  <c r="M1472" s="1"/>
  <c r="E41" i="6"/>
  <c r="F1477" i="5"/>
  <c r="F1481" s="1"/>
  <c r="H1481" s="1"/>
  <c r="M1481" s="1"/>
  <c r="E42" i="6"/>
  <c r="F1483" i="5"/>
  <c r="E43" i="6"/>
  <c r="F1490" i="5"/>
  <c r="F1496" s="1"/>
  <c r="H1496" s="1"/>
  <c r="M1496" s="1"/>
  <c r="E44" i="6"/>
  <c r="F1497" i="5"/>
  <c r="E45" i="6"/>
  <c r="F1498" i="5"/>
  <c r="F1499" s="1"/>
  <c r="J1499" s="1"/>
  <c r="M1499" s="1"/>
  <c r="E46" i="6"/>
  <c r="F1510" i="5"/>
  <c r="E47" i="6"/>
  <c r="F1528" i="5"/>
  <c r="F1533" s="1"/>
  <c r="H1533" s="1"/>
  <c r="M1533" s="1"/>
  <c r="E48" i="6"/>
  <c r="F1516" i="5"/>
  <c r="F1521" s="1"/>
  <c r="H1521" s="1"/>
  <c r="M1521" s="1"/>
  <c r="E49" i="6"/>
  <c r="F1534" i="5"/>
  <c r="F1536" s="1"/>
  <c r="E50" i="6"/>
  <c r="F1553" i="5"/>
  <c r="E52" i="6"/>
  <c r="E457" i="1"/>
  <c r="F1885" i="5" s="1"/>
  <c r="F1889" s="1"/>
  <c r="H1889" s="1"/>
  <c r="M1889" s="1"/>
  <c r="E53" i="6"/>
  <c r="F1891" i="5"/>
  <c r="E54" i="6"/>
  <c r="F1897" i="5"/>
  <c r="F1900" s="1"/>
  <c r="H1900" s="1"/>
  <c r="M1900" s="1"/>
  <c r="E55" i="6"/>
  <c r="F1901" i="5"/>
  <c r="E56" i="6"/>
  <c r="E461" i="1" s="1"/>
  <c r="F1905" i="5" s="1"/>
  <c r="F1906" s="1"/>
  <c r="J1906" s="1"/>
  <c r="M1906" s="1"/>
  <c r="E57" i="6"/>
  <c r="E462" i="1"/>
  <c r="F1911" i="5" s="1"/>
  <c r="H1911" s="1"/>
  <c r="M1911" s="1"/>
  <c r="E58" i="6"/>
  <c r="E59"/>
  <c r="E60"/>
  <c r="F1924" i="5"/>
  <c r="F1926" s="1"/>
  <c r="L1926" s="1"/>
  <c r="M1926" s="1"/>
  <c r="E61" i="6"/>
  <c r="E466" i="1"/>
  <c r="F1930" i="5" s="1"/>
  <c r="F1931" s="1"/>
  <c r="J1931" s="1"/>
  <c r="M1931" s="1"/>
  <c r="E62" i="6"/>
  <c r="E467" i="1"/>
  <c r="F1936" i="5" s="1"/>
  <c r="F1941" s="1"/>
  <c r="H1941" s="1"/>
  <c r="M1941" s="1"/>
  <c r="E63" i="6"/>
  <c r="E468" i="1" s="1"/>
  <c r="F1942" i="5" s="1"/>
  <c r="J1942" s="1"/>
  <c r="M1942" s="1"/>
  <c r="F8"/>
  <c r="F9" s="1"/>
  <c r="J9" s="1"/>
  <c r="M9" s="1"/>
  <c r="F11"/>
  <c r="F12" s="1"/>
  <c r="J12" s="1"/>
  <c r="M12" s="1"/>
  <c r="F14"/>
  <c r="F15" s="1"/>
  <c r="J15" s="1"/>
  <c r="M15" s="1"/>
  <c r="F20"/>
  <c r="F21" s="1"/>
  <c r="J21" s="1"/>
  <c r="M21" s="1"/>
  <c r="F23"/>
  <c r="F24" s="1"/>
  <c r="J24" s="1"/>
  <c r="M24" s="1"/>
  <c r="F26"/>
  <c r="F27" s="1"/>
  <c r="J27" s="1"/>
  <c r="M27" s="1"/>
  <c r="F29"/>
  <c r="F31" s="1"/>
  <c r="F32"/>
  <c r="F34" s="1"/>
  <c r="L34" s="1"/>
  <c r="M34" s="1"/>
  <c r="F35"/>
  <c r="F38"/>
  <c r="F39" s="1"/>
  <c r="J39" s="1"/>
  <c r="M39" s="1"/>
  <c r="F47"/>
  <c r="F48" s="1"/>
  <c r="J48" s="1"/>
  <c r="M48" s="1"/>
  <c r="F50"/>
  <c r="F51" s="1"/>
  <c r="F52"/>
  <c r="F53" s="1"/>
  <c r="J53" s="1"/>
  <c r="M53" s="1"/>
  <c r="F54"/>
  <c r="F57"/>
  <c r="F58" s="1"/>
  <c r="F84"/>
  <c r="F85" s="1"/>
  <c r="J85" s="1"/>
  <c r="M85" s="1"/>
  <c r="F86"/>
  <c r="F89"/>
  <c r="F90" s="1"/>
  <c r="J90" s="1"/>
  <c r="M90" s="1"/>
  <c r="F92"/>
  <c r="F95"/>
  <c r="F96" s="1"/>
  <c r="J96" s="1"/>
  <c r="M96" s="1"/>
  <c r="F97"/>
  <c r="F98" s="1"/>
  <c r="F100"/>
  <c r="F101" s="1"/>
  <c r="F103"/>
  <c r="F106"/>
  <c r="F108" s="1"/>
  <c r="L108" s="1"/>
  <c r="M108" s="1"/>
  <c r="F109"/>
  <c r="F110" s="1"/>
  <c r="J110" s="1"/>
  <c r="M110" s="1"/>
  <c r="F111"/>
  <c r="F112" s="1"/>
  <c r="J112" s="1"/>
  <c r="M112" s="1"/>
  <c r="F114"/>
  <c r="F117"/>
  <c r="F118" s="1"/>
  <c r="J118" s="1"/>
  <c r="M118" s="1"/>
  <c r="F129"/>
  <c r="F130" s="1"/>
  <c r="J130" s="1"/>
  <c r="M130" s="1"/>
  <c r="F131"/>
  <c r="F133" s="1"/>
  <c r="F134"/>
  <c r="F135" s="1"/>
  <c r="J135" s="1"/>
  <c r="M135" s="1"/>
  <c r="F136"/>
  <c r="F137" s="1"/>
  <c r="F138"/>
  <c r="F139" s="1"/>
  <c r="F140"/>
  <c r="F141" s="1"/>
  <c r="F142"/>
  <c r="F143" s="1"/>
  <c r="F144"/>
  <c r="F145" s="1"/>
  <c r="J145" s="1"/>
  <c r="M145" s="1"/>
  <c r="F151"/>
  <c r="F152" s="1"/>
  <c r="D159"/>
  <c r="D161"/>
  <c r="F165"/>
  <c r="F171" s="1"/>
  <c r="F172"/>
  <c r="F173" s="1"/>
  <c r="J173" s="1"/>
  <c r="M173" s="1"/>
  <c r="F179"/>
  <c r="F185" s="1"/>
  <c r="H185" s="1"/>
  <c r="M185" s="1"/>
  <c r="F182"/>
  <c r="F192"/>
  <c r="F195" s="1"/>
  <c r="F225"/>
  <c r="F227" s="1"/>
  <c r="F230"/>
  <c r="F238"/>
  <c r="F243" s="1"/>
  <c r="H243" s="1"/>
  <c r="M243" s="1"/>
  <c r="F251"/>
  <c r="F257" s="1"/>
  <c r="H257" s="1"/>
  <c r="M257" s="1"/>
  <c r="F258"/>
  <c r="F264"/>
  <c r="F269" s="1"/>
  <c r="H269" s="1"/>
  <c r="M269" s="1"/>
  <c r="F270"/>
  <c r="F274" s="1"/>
  <c r="H274" s="1"/>
  <c r="M274" s="1"/>
  <c r="F300"/>
  <c r="F301" s="1"/>
  <c r="J301" s="1"/>
  <c r="M301" s="1"/>
  <c r="F306"/>
  <c r="F447"/>
  <c r="F448" s="1"/>
  <c r="J448" s="1"/>
  <c r="M448" s="1"/>
  <c r="F455"/>
  <c r="F458" s="1"/>
  <c r="H458" s="1"/>
  <c r="M458" s="1"/>
  <c r="F460"/>
  <c r="F461" s="1"/>
  <c r="J461" s="1"/>
  <c r="M461" s="1"/>
  <c r="F473"/>
  <c r="F475" s="1"/>
  <c r="L475" s="1"/>
  <c r="M475" s="1"/>
  <c r="F478"/>
  <c r="F485" s="1"/>
  <c r="H485" s="1"/>
  <c r="M485" s="1"/>
  <c r="F486"/>
  <c r="F487" s="1"/>
  <c r="J487" s="1"/>
  <c r="M487" s="1"/>
  <c r="F492"/>
  <c r="F497" s="1"/>
  <c r="H497" s="1"/>
  <c r="M497" s="1"/>
  <c r="F499"/>
  <c r="F505"/>
  <c r="F506" s="1"/>
  <c r="J506" s="1"/>
  <c r="M506" s="1"/>
  <c r="F510"/>
  <c r="F511" s="1"/>
  <c r="J511" s="1"/>
  <c r="M511" s="1"/>
  <c r="F526"/>
  <c r="F527" s="1"/>
  <c r="J527" s="1"/>
  <c r="M527" s="1"/>
  <c r="F533"/>
  <c r="F537" s="1"/>
  <c r="H537" s="1"/>
  <c r="M537" s="1"/>
  <c r="F541"/>
  <c r="F542" s="1"/>
  <c r="J542" s="1"/>
  <c r="M542" s="1"/>
  <c r="F545"/>
  <c r="F550" s="1"/>
  <c r="F551"/>
  <c r="F557"/>
  <c r="F561" s="1"/>
  <c r="H561" s="1"/>
  <c r="M561" s="1"/>
  <c r="F563"/>
  <c r="F568" s="1"/>
  <c r="H568" s="1"/>
  <c r="M568" s="1"/>
  <c r="F569"/>
  <c r="F570" s="1"/>
  <c r="J570" s="1"/>
  <c r="M570" s="1"/>
  <c r="F581"/>
  <c r="F586" s="1"/>
  <c r="H586" s="1"/>
  <c r="M586" s="1"/>
  <c r="F589"/>
  <c r="F596" s="1"/>
  <c r="H596" s="1"/>
  <c r="M596" s="1"/>
  <c r="F597"/>
  <c r="F602" s="1"/>
  <c r="H602" s="1"/>
  <c r="M602" s="1"/>
  <c r="F618"/>
  <c r="F622" s="1"/>
  <c r="H622" s="1"/>
  <c r="M622" s="1"/>
  <c r="F625"/>
  <c r="F626" s="1"/>
  <c r="J626" s="1"/>
  <c r="M626" s="1"/>
  <c r="F633"/>
  <c r="F636" s="1"/>
  <c r="F637"/>
  <c r="F640" s="1"/>
  <c r="H640" s="1"/>
  <c r="M640" s="1"/>
  <c r="F641"/>
  <c r="F643" s="1"/>
  <c r="F654"/>
  <c r="H654" s="1"/>
  <c r="M654" s="1"/>
  <c r="F656"/>
  <c r="F657" s="1"/>
  <c r="J657" s="1"/>
  <c r="M657" s="1"/>
  <c r="F659"/>
  <c r="H659" s="1"/>
  <c r="M659" s="1"/>
  <c r="F661"/>
  <c r="F682"/>
  <c r="F683" s="1"/>
  <c r="J683" s="1"/>
  <c r="M683" s="1"/>
  <c r="F688"/>
  <c r="F693" s="1"/>
  <c r="H693" s="1"/>
  <c r="M693" s="1"/>
  <c r="F694"/>
  <c r="F698" s="1"/>
  <c r="H698" s="1"/>
  <c r="M698" s="1"/>
  <c r="F700"/>
  <c r="F705" s="1"/>
  <c r="F706"/>
  <c r="F712"/>
  <c r="F713" s="1"/>
  <c r="J713" s="1"/>
  <c r="M713" s="1"/>
  <c r="F716"/>
  <c r="F717" s="1"/>
  <c r="F720"/>
  <c r="F725" s="1"/>
  <c r="H725" s="1"/>
  <c r="M725" s="1"/>
  <c r="F730"/>
  <c r="F738"/>
  <c r="F748"/>
  <c r="F752" s="1"/>
  <c r="H752" s="1"/>
  <c r="M752" s="1"/>
  <c r="F771"/>
  <c r="F772" s="1"/>
  <c r="J772" s="1"/>
  <c r="M772" s="1"/>
  <c r="F778"/>
  <c r="F821"/>
  <c r="F825" s="1"/>
  <c r="H825" s="1"/>
  <c r="M825" s="1"/>
  <c r="F829"/>
  <c r="F833" s="1"/>
  <c r="H833" s="1"/>
  <c r="M833" s="1"/>
  <c r="F834"/>
  <c r="F840"/>
  <c r="F841" s="1"/>
  <c r="J841" s="1"/>
  <c r="M841" s="1"/>
  <c r="F846"/>
  <c r="F848" s="1"/>
  <c r="L848" s="1"/>
  <c r="M848" s="1"/>
  <c r="F864"/>
  <c r="F869" s="1"/>
  <c r="H869" s="1"/>
  <c r="M869" s="1"/>
  <c r="F870"/>
  <c r="F880"/>
  <c r="F881" s="1"/>
  <c r="J881" s="1"/>
  <c r="M881" s="1"/>
  <c r="F892"/>
  <c r="F896" s="1"/>
  <c r="H896" s="1"/>
  <c r="M896" s="1"/>
  <c r="F917"/>
  <c r="F919" s="1"/>
  <c r="L919" s="1"/>
  <c r="M919" s="1"/>
  <c r="F926"/>
  <c r="F927" s="1"/>
  <c r="J927" s="1"/>
  <c r="M927" s="1"/>
  <c r="F932"/>
  <c r="F934" s="1"/>
  <c r="L934" s="1"/>
  <c r="M934" s="1"/>
  <c r="F944"/>
  <c r="F945" s="1"/>
  <c r="J945" s="1"/>
  <c r="M945" s="1"/>
  <c r="F951"/>
  <c r="F953" s="1"/>
  <c r="L953" s="1"/>
  <c r="M953" s="1"/>
  <c r="F956"/>
  <c r="F962"/>
  <c r="F967" s="1"/>
  <c r="H967" s="1"/>
  <c r="M967" s="1"/>
  <c r="F969"/>
  <c r="F973" s="1"/>
  <c r="H973" s="1"/>
  <c r="M973" s="1"/>
  <c r="F1000"/>
  <c r="H1000" s="1"/>
  <c r="M1000" s="1"/>
  <c r="F1002"/>
  <c r="F1010" s="1"/>
  <c r="H1010" s="1"/>
  <c r="M1010" s="1"/>
  <c r="F1012"/>
  <c r="H1012" s="1"/>
  <c r="M1012" s="1"/>
  <c r="F1013"/>
  <c r="H1013" s="1"/>
  <c r="M1013" s="1"/>
  <c r="F1015"/>
  <c r="F1019" s="1"/>
  <c r="H1019" s="1"/>
  <c r="M1019" s="1"/>
  <c r="F1022"/>
  <c r="F1024" s="1"/>
  <c r="L1024" s="1"/>
  <c r="M1024" s="1"/>
  <c r="F1029"/>
  <c r="F1033" s="1"/>
  <c r="H1033" s="1"/>
  <c r="M1033" s="1"/>
  <c r="F1036"/>
  <c r="F1042"/>
  <c r="F1043" s="1"/>
  <c r="J1043" s="1"/>
  <c r="M1043" s="1"/>
  <c r="F1046"/>
  <c r="F1049" s="1"/>
  <c r="H1049" s="1"/>
  <c r="M1049" s="1"/>
  <c r="F1050"/>
  <c r="F1052" s="1"/>
  <c r="L1052" s="1"/>
  <c r="M1052" s="1"/>
  <c r="F1056"/>
  <c r="F1060" s="1"/>
  <c r="H1060" s="1"/>
  <c r="M1060" s="1"/>
  <c r="F1061"/>
  <c r="F1063" s="1"/>
  <c r="L1063" s="1"/>
  <c r="M1063" s="1"/>
  <c r="F1069"/>
  <c r="F1073" s="1"/>
  <c r="H1073" s="1"/>
  <c r="M1073" s="1"/>
  <c r="F1075"/>
  <c r="F1080" s="1"/>
  <c r="H1080" s="1"/>
  <c r="M1080" s="1"/>
  <c r="F1081"/>
  <c r="F1087" s="1"/>
  <c r="H1087" s="1"/>
  <c r="M1087" s="1"/>
  <c r="F1129"/>
  <c r="F1137"/>
  <c r="H1137" s="1"/>
  <c r="M1137" s="1"/>
  <c r="F1138"/>
  <c r="H1138" s="1"/>
  <c r="M1138" s="1"/>
  <c r="F1139"/>
  <c r="H1139" s="1"/>
  <c r="M1139" s="1"/>
  <c r="F1143"/>
  <c r="F1146" s="1"/>
  <c r="H1146" s="1"/>
  <c r="M1146" s="1"/>
  <c r="F1147"/>
  <c r="F1154" s="1"/>
  <c r="H1154" s="1"/>
  <c r="M1154" s="1"/>
  <c r="F1163"/>
  <c r="F1167" s="1"/>
  <c r="H1167" s="1"/>
  <c r="M1167" s="1"/>
  <c r="F1171"/>
  <c r="F1172" s="1"/>
  <c r="J1172" s="1"/>
  <c r="M1172" s="1"/>
  <c r="F1173"/>
  <c r="F1174" s="1"/>
  <c r="J1174" s="1"/>
  <c r="M1174" s="1"/>
  <c r="F1175"/>
  <c r="F1176" s="1"/>
  <c r="J1176" s="1"/>
  <c r="M1176" s="1"/>
  <c r="M1175"/>
  <c r="F1177"/>
  <c r="L1177" s="1"/>
  <c r="M1177" s="1"/>
  <c r="F1178"/>
  <c r="F1182" s="1"/>
  <c r="H1182" s="1"/>
  <c r="M1182" s="1"/>
  <c r="F1184"/>
  <c r="F1185" s="1"/>
  <c r="J1185" s="1"/>
  <c r="M1185" s="1"/>
  <c r="F1189"/>
  <c r="F1196" s="1"/>
  <c r="H1196" s="1"/>
  <c r="M1196" s="1"/>
  <c r="F1200"/>
  <c r="F1202" s="1"/>
  <c r="L1202" s="1"/>
  <c r="M1202" s="1"/>
  <c r="F1206"/>
  <c r="F1211" s="1"/>
  <c r="H1211" s="1"/>
  <c r="M1211" s="1"/>
  <c r="F1212"/>
  <c r="F1213" s="1"/>
  <c r="J1213" s="1"/>
  <c r="M1213" s="1"/>
  <c r="F1219"/>
  <c r="F1226" s="1"/>
  <c r="H1226" s="1"/>
  <c r="M1226" s="1"/>
  <c r="F1228"/>
  <c r="F1230"/>
  <c r="F1231" s="1"/>
  <c r="J1231" s="1"/>
  <c r="M1231" s="1"/>
  <c r="M1230"/>
  <c r="F1233"/>
  <c r="F1239"/>
  <c r="F1245"/>
  <c r="M1245"/>
  <c r="F1247"/>
  <c r="F1258"/>
  <c r="F1260" s="1"/>
  <c r="L1260" s="1"/>
  <c r="M1260" s="1"/>
  <c r="F1267"/>
  <c r="F1268" s="1"/>
  <c r="J1268" s="1"/>
  <c r="M1268" s="1"/>
  <c r="F1269"/>
  <c r="F1270" s="1"/>
  <c r="J1270" s="1"/>
  <c r="M1270" s="1"/>
  <c r="F1271"/>
  <c r="F1272" s="1"/>
  <c r="J1272" s="1"/>
  <c r="M1272" s="1"/>
  <c r="M1271"/>
  <c r="F1274"/>
  <c r="F1279" s="1"/>
  <c r="H1279" s="1"/>
  <c r="M1279" s="1"/>
  <c r="F1280"/>
  <c r="F1281" s="1"/>
  <c r="J1281" s="1"/>
  <c r="M1281" s="1"/>
  <c r="F1289"/>
  <c r="H1289" s="1"/>
  <c r="M1289" s="1"/>
  <c r="F1290"/>
  <c r="H1290" s="1"/>
  <c r="M1290" s="1"/>
  <c r="F1293"/>
  <c r="F1295" s="1"/>
  <c r="L1295" s="1"/>
  <c r="M1295" s="1"/>
  <c r="F1301"/>
  <c r="H1301" s="1"/>
  <c r="F1303"/>
  <c r="F1305"/>
  <c r="F1306" s="1"/>
  <c r="J1306" s="1"/>
  <c r="M1306" s="1"/>
  <c r="F1307"/>
  <c r="F1308" s="1"/>
  <c r="J1308" s="1"/>
  <c r="M1308" s="1"/>
  <c r="M1307"/>
  <c r="F1309"/>
  <c r="L1309" s="1"/>
  <c r="M1309" s="1"/>
  <c r="F1310"/>
  <c r="F1315" s="1"/>
  <c r="H1315" s="1"/>
  <c r="M1315" s="1"/>
  <c r="F1316"/>
  <c r="F1318" s="1"/>
  <c r="L1318" s="1"/>
  <c r="M1318" s="1"/>
  <c r="F1326"/>
  <c r="F1327" s="1"/>
  <c r="J1327" s="1"/>
  <c r="M1327" s="1"/>
  <c r="F1330"/>
  <c r="H1330" s="1"/>
  <c r="M1330" s="1"/>
  <c r="F1331"/>
  <c r="H1331" s="1"/>
  <c r="M1331" s="1"/>
  <c r="F1332"/>
  <c r="H1332" s="1"/>
  <c r="M1332" s="1"/>
  <c r="F1333"/>
  <c r="H1333" s="1"/>
  <c r="M1333" s="1"/>
  <c r="F1334"/>
  <c r="H1334" s="1"/>
  <c r="M1334" s="1"/>
  <c r="F1335"/>
  <c r="H1335" s="1"/>
  <c r="M1335" s="1"/>
  <c r="F1336"/>
  <c r="H1336" s="1"/>
  <c r="M1336" s="1"/>
  <c r="F1337"/>
  <c r="H1337" s="1"/>
  <c r="M1337" s="1"/>
  <c r="F1338"/>
  <c r="H1338" s="1"/>
  <c r="M1338" s="1"/>
  <c r="F1341"/>
  <c r="F1345"/>
  <c r="H1345" s="1"/>
  <c r="M1345" s="1"/>
  <c r="F1346"/>
  <c r="H1346" s="1"/>
  <c r="M1346" s="1"/>
  <c r="F1347"/>
  <c r="H1347" s="1"/>
  <c r="M1347" s="1"/>
  <c r="F1348"/>
  <c r="H1348" s="1"/>
  <c r="M1348" s="1"/>
  <c r="F1352"/>
  <c r="F1354" s="1"/>
  <c r="L1354" s="1"/>
  <c r="M1354" s="1"/>
  <c r="F1359"/>
  <c r="F1360" s="1"/>
  <c r="J1360" s="1"/>
  <c r="M1360" s="1"/>
  <c r="D1368"/>
  <c r="D1370"/>
  <c r="F1397"/>
  <c r="F1402" s="1"/>
  <c r="F1454"/>
  <c r="F1456" s="1"/>
  <c r="L1456" s="1"/>
  <c r="M1456" s="1"/>
  <c r="F1504"/>
  <c r="F1509" s="1"/>
  <c r="H1509" s="1"/>
  <c r="M1509" s="1"/>
  <c r="F1522"/>
  <c r="F1526" s="1"/>
  <c r="H1526" s="1"/>
  <c r="M1526" s="1"/>
  <c r="M1560"/>
  <c r="F1562"/>
  <c r="F1563" s="1"/>
  <c r="J1563" s="1"/>
  <c r="M1563" s="1"/>
  <c r="F1565"/>
  <c r="H1565" s="1"/>
  <c r="M1565" s="1"/>
  <c r="F1566"/>
  <c r="F1567"/>
  <c r="F1571" s="1"/>
  <c r="H1571" s="1"/>
  <c r="M1571" s="1"/>
  <c r="F1581"/>
  <c r="F1583" s="1"/>
  <c r="L1583" s="1"/>
  <c r="M1583" s="1"/>
  <c r="F1587"/>
  <c r="F1591" s="1"/>
  <c r="H1591" s="1"/>
  <c r="M1591" s="1"/>
  <c r="F1593"/>
  <c r="F1597" s="1"/>
  <c r="H1597" s="1"/>
  <c r="M1597" s="1"/>
  <c r="F1599"/>
  <c r="F1605"/>
  <c r="F1610" s="1"/>
  <c r="H1610" s="1"/>
  <c r="M1610" s="1"/>
  <c r="F1611"/>
  <c r="F1613" s="1"/>
  <c r="L1613" s="1"/>
  <c r="M1613" s="1"/>
  <c r="F1627"/>
  <c r="H1627" s="1"/>
  <c r="M1627" s="1"/>
  <c r="F1628"/>
  <c r="H1628" s="1"/>
  <c r="M1628" s="1"/>
  <c r="F1629"/>
  <c r="H1629" s="1"/>
  <c r="M1629" s="1"/>
  <c r="F1630"/>
  <c r="F1631"/>
  <c r="H1631" s="1"/>
  <c r="M1631" s="1"/>
  <c r="F1632"/>
  <c r="H1632" s="1"/>
  <c r="M1632" s="1"/>
  <c r="F1635"/>
  <c r="H1635" s="1"/>
  <c r="M1635" s="1"/>
  <c r="F1636"/>
  <c r="H1636" s="1"/>
  <c r="M1636" s="1"/>
  <c r="F1637"/>
  <c r="H1637" s="1"/>
  <c r="M1637" s="1"/>
  <c r="F1646"/>
  <c r="F1647" s="1"/>
  <c r="J1647" s="1"/>
  <c r="M1647" s="1"/>
  <c r="D1649"/>
  <c r="D1651"/>
  <c r="F1912"/>
  <c r="F1913" s="1"/>
  <c r="J1913" s="1"/>
  <c r="M1913" s="1"/>
  <c r="F1918"/>
  <c r="F1922" s="1"/>
  <c r="H1922" s="1"/>
  <c r="M1922" s="1"/>
  <c r="D1945"/>
  <c r="I1946"/>
  <c r="I1947" s="1"/>
  <c r="I1948" s="1"/>
  <c r="K1946"/>
  <c r="K1947" s="1"/>
  <c r="K1948" s="1"/>
  <c r="D1947"/>
  <c r="M1953"/>
  <c r="M1959"/>
  <c r="F1986"/>
  <c r="F1987" s="1"/>
  <c r="F1992"/>
  <c r="F1998"/>
  <c r="F2003" s="1"/>
  <c r="H2003" s="1"/>
  <c r="M2003" s="1"/>
  <c r="F2053"/>
  <c r="H2053" s="1"/>
  <c r="M2053" s="1"/>
  <c r="F2054"/>
  <c r="H2054" s="1"/>
  <c r="M2054" s="1"/>
  <c r="D2076"/>
  <c r="D2078"/>
  <c r="M2082"/>
  <c r="M2084"/>
  <c r="F2111"/>
  <c r="F2115" s="1"/>
  <c r="H2115" s="1"/>
  <c r="M2115" s="1"/>
  <c r="F2119"/>
  <c r="H2119" s="1"/>
  <c r="M2119" s="1"/>
  <c r="F2220"/>
  <c r="F2225" s="1"/>
  <c r="H2225" s="1"/>
  <c r="M2225" s="1"/>
  <c r="F2226"/>
  <c r="F2230" s="1"/>
  <c r="H2230" s="1"/>
  <c r="M2230" s="1"/>
  <c r="D2315"/>
  <c r="I2315"/>
  <c r="I2316" s="1"/>
  <c r="I2317" s="1"/>
  <c r="K2315"/>
  <c r="K2316" s="1"/>
  <c r="K2317" s="1"/>
  <c r="D2317"/>
  <c r="F2364"/>
  <c r="F2365" s="1"/>
  <c r="J2365" s="1"/>
  <c r="M2365" s="1"/>
  <c r="M2364"/>
  <c r="F2372"/>
  <c r="F2376" s="1"/>
  <c r="H2376" s="1"/>
  <c r="M2376" s="1"/>
  <c r="F2378"/>
  <c r="H2378" s="1"/>
  <c r="M2378" s="1"/>
  <c r="F2387"/>
  <c r="F2388" s="1"/>
  <c r="J2388" s="1"/>
  <c r="M2388" s="1"/>
  <c r="F2393"/>
  <c r="F2396" s="1"/>
  <c r="H2396" s="1"/>
  <c r="M2396" s="1"/>
  <c r="F2397"/>
  <c r="F2398" s="1"/>
  <c r="J2398" s="1"/>
  <c r="M2398" s="1"/>
  <c r="F2401"/>
  <c r="F2404" s="1"/>
  <c r="H2404" s="1"/>
  <c r="F2405"/>
  <c r="F2406" s="1"/>
  <c r="J2406" s="1"/>
  <c r="M2406" s="1"/>
  <c r="D2414"/>
  <c r="I2415"/>
  <c r="I2417" s="1"/>
  <c r="K2415"/>
  <c r="K2417" s="1"/>
  <c r="D2416"/>
  <c r="F2424"/>
  <c r="F2426" s="1"/>
  <c r="L2426" s="1"/>
  <c r="M2426" s="1"/>
  <c r="F2429"/>
  <c r="F2431" s="1"/>
  <c r="L2431" s="1"/>
  <c r="M2431" s="1"/>
  <c r="F2434"/>
  <c r="F2435" s="1"/>
  <c r="J2435" s="1"/>
  <c r="M2435" s="1"/>
  <c r="F2439"/>
  <c r="F2443" s="1"/>
  <c r="H2443" s="1"/>
  <c r="M2443" s="1"/>
  <c r="F2444"/>
  <c r="F2458"/>
  <c r="F2462"/>
  <c r="F2463" s="1"/>
  <c r="J2463" s="1"/>
  <c r="M2463" s="1"/>
  <c r="F2466"/>
  <c r="F2467" s="1"/>
  <c r="J2467" s="1"/>
  <c r="M2467" s="1"/>
  <c r="F2471"/>
  <c r="F2472" s="1"/>
  <c r="J2472" s="1"/>
  <c r="M2472" s="1"/>
  <c r="F2476"/>
  <c r="F2480"/>
  <c r="F2482" s="1"/>
  <c r="L2482" s="1"/>
  <c r="M2482" s="1"/>
  <c r="F2486"/>
  <c r="H2486" s="1"/>
  <c r="M2486" s="1"/>
  <c r="F2487"/>
  <c r="F2488"/>
  <c r="F2490" s="1"/>
  <c r="L2490" s="1"/>
  <c r="M2490" s="1"/>
  <c r="F2494"/>
  <c r="F2495" s="1"/>
  <c r="J2495" s="1"/>
  <c r="M2495" s="1"/>
  <c r="F2500"/>
  <c r="F2505" s="1"/>
  <c r="H2505" s="1"/>
  <c r="M2505" s="1"/>
  <c r="F2506"/>
  <c r="F2508" s="1"/>
  <c r="L2508" s="1"/>
  <c r="M2508" s="1"/>
  <c r="F2512"/>
  <c r="F2516" s="1"/>
  <c r="H2516" s="1"/>
  <c r="M2516" s="1"/>
  <c r="F2518"/>
  <c r="H2518" s="1"/>
  <c r="M2518" s="1"/>
  <c r="F2523"/>
  <c r="H2523" s="1"/>
  <c r="M2523" s="1"/>
  <c r="F2524"/>
  <c r="F2525"/>
  <c r="H2525" s="1"/>
  <c r="M2525" s="1"/>
  <c r="F2526"/>
  <c r="H2526" s="1"/>
  <c r="M2526" s="1"/>
  <c r="F2528"/>
  <c r="F2530" s="1"/>
  <c r="L2530" s="1"/>
  <c r="M2530" s="1"/>
  <c r="F2536"/>
  <c r="F2539" s="1"/>
  <c r="H2539" s="1"/>
  <c r="M2539" s="1"/>
  <c r="F2541"/>
  <c r="F2545" s="1"/>
  <c r="H2545" s="1"/>
  <c r="M2545" s="1"/>
  <c r="F2546"/>
  <c r="F2552"/>
  <c r="F2554" s="1"/>
  <c r="L2554" s="1"/>
  <c r="M2554" s="1"/>
  <c r="F2558"/>
  <c r="F2559" s="1"/>
  <c r="J2559" s="1"/>
  <c r="M2559" s="1"/>
  <c r="F2564"/>
  <c r="F2569" s="1"/>
  <c r="H2569" s="1"/>
  <c r="M2569" s="1"/>
  <c r="F2570"/>
  <c r="F2576"/>
  <c r="F2581" s="1"/>
  <c r="H2581" s="1"/>
  <c r="M2581" s="1"/>
  <c r="F2582"/>
  <c r="F2584" s="1"/>
  <c r="L2584" s="1"/>
  <c r="M2584" s="1"/>
  <c r="F2588"/>
  <c r="F2594"/>
  <c r="H2594" s="1"/>
  <c r="M2594" s="1"/>
  <c r="F2595"/>
  <c r="F2596" s="1"/>
  <c r="J2596" s="1"/>
  <c r="M2596" s="1"/>
  <c r="F2605"/>
  <c r="F2609" s="1"/>
  <c r="H2609" s="1"/>
  <c r="M2609" s="1"/>
  <c r="F2619"/>
  <c r="F2623"/>
  <c r="D2633"/>
  <c r="D2634"/>
  <c r="D2636"/>
  <c r="I2636"/>
  <c r="K2636"/>
  <c r="E2674"/>
  <c r="F2674"/>
  <c r="F2676" s="1"/>
  <c r="L2676" s="1"/>
  <c r="M2676" s="1"/>
  <c r="F2680"/>
  <c r="F2691" s="1"/>
  <c r="H2691" s="1"/>
  <c r="M2691" s="1"/>
  <c r="F2685"/>
  <c r="H2685" s="1"/>
  <c r="M2685" s="1"/>
  <c r="D2696"/>
  <c r="D2697"/>
  <c r="D2699"/>
  <c r="F2702"/>
  <c r="F2707" s="1"/>
  <c r="H2707" s="1"/>
  <c r="M2707" s="1"/>
  <c r="M2705"/>
  <c r="F2708"/>
  <c r="F2709" s="1"/>
  <c r="J2709" s="1"/>
  <c r="M2709" s="1"/>
  <c r="F2714"/>
  <c r="F2718" s="1"/>
  <c r="H2718" s="1"/>
  <c r="F2720"/>
  <c r="H2720" s="1"/>
  <c r="M2720" s="1"/>
  <c r="F2721"/>
  <c r="F2726" s="1"/>
  <c r="H2726" s="1"/>
  <c r="M2726" s="1"/>
  <c r="F2727"/>
  <c r="F2728" s="1"/>
  <c r="J2728" s="1"/>
  <c r="M2728" s="1"/>
  <c r="F2733"/>
  <c r="F2737" s="1"/>
  <c r="H2737" s="1"/>
  <c r="M2737" s="1"/>
  <c r="D2740"/>
  <c r="D2742"/>
  <c r="I2742"/>
  <c r="K2742"/>
  <c r="M2745"/>
  <c r="M2747"/>
  <c r="M2755"/>
  <c r="M2767"/>
  <c r="F2798"/>
  <c r="F2802" s="1"/>
  <c r="H2802" s="1"/>
  <c r="M2802" s="1"/>
  <c r="D2807"/>
  <c r="I2807"/>
  <c r="I2808" s="1"/>
  <c r="I2809" s="1"/>
  <c r="K2807"/>
  <c r="K2808" s="1"/>
  <c r="K2809" s="1"/>
  <c r="D2809"/>
  <c r="D3555"/>
  <c r="D3557"/>
  <c r="D3562"/>
  <c r="F1424"/>
  <c r="F1425" s="1"/>
  <c r="F1430"/>
  <c r="F1432" s="1"/>
  <c r="F1436"/>
  <c r="F1441" s="1"/>
  <c r="H2812"/>
  <c r="E499" i="1"/>
  <c r="F2052" i="5" s="1"/>
  <c r="H2052" s="1"/>
  <c r="M2052" s="1"/>
  <c r="F2036"/>
  <c r="E495" i="1"/>
  <c r="F2043" i="5" s="1"/>
  <c r="H2043" s="1"/>
  <c r="M2043" s="1"/>
  <c r="J2812"/>
  <c r="J2813" s="1"/>
  <c r="L2812"/>
  <c r="L2813" s="1"/>
  <c r="L4" i="1"/>
  <c r="F2035" i="5"/>
  <c r="L3" i="1"/>
  <c r="F2030" i="5"/>
  <c r="H2030" s="1"/>
  <c r="M2030" s="1"/>
  <c r="H884"/>
  <c r="M884" s="1"/>
  <c r="F3056"/>
  <c r="H498"/>
  <c r="M498" s="1"/>
  <c r="F2924"/>
  <c r="H2924" s="1"/>
  <c r="M2924" s="1"/>
  <c r="E58" i="1"/>
  <c r="F157" i="5" s="1"/>
  <c r="F392"/>
  <c r="F393" s="1"/>
  <c r="F394"/>
  <c r="H394" s="1"/>
  <c r="M394" s="1"/>
  <c r="F3498"/>
  <c r="H3498" s="1"/>
  <c r="M3498" s="1"/>
  <c r="F3491"/>
  <c r="L3491" s="1"/>
  <c r="M3491" s="1"/>
  <c r="F3112"/>
  <c r="F3116" s="1"/>
  <c r="H3116" s="1"/>
  <c r="M3116" s="1"/>
  <c r="F3118"/>
  <c r="F3311" l="1"/>
  <c r="J3311" s="1"/>
  <c r="M3311" s="1"/>
  <c r="F3129"/>
  <c r="J3129" s="1"/>
  <c r="F3495"/>
  <c r="L3495" s="1"/>
  <c r="M3495" s="1"/>
  <c r="F1804"/>
  <c r="H1804" s="1"/>
  <c r="M1804" s="1"/>
  <c r="F1689"/>
  <c r="H1689" s="1"/>
  <c r="M1689" s="1"/>
  <c r="F3492"/>
  <c r="L3492" s="1"/>
  <c r="M3492" s="1"/>
  <c r="F2436"/>
  <c r="L2436" s="1"/>
  <c r="M2436" s="1"/>
  <c r="F3500"/>
  <c r="H3500" s="1"/>
  <c r="M3500" s="1"/>
  <c r="F2948"/>
  <c r="J2948" s="1"/>
  <c r="M2948" s="1"/>
  <c r="F3493"/>
  <c r="L3493" s="1"/>
  <c r="M3493" s="1"/>
  <c r="F3499"/>
  <c r="H3499" s="1"/>
  <c r="M3499" s="1"/>
  <c r="H1566"/>
  <c r="M1566" s="1"/>
  <c r="F1229"/>
  <c r="J1229" s="1"/>
  <c r="M1229" s="1"/>
  <c r="F3448"/>
  <c r="J3448" s="1"/>
  <c r="F3202"/>
  <c r="H3202" s="1"/>
  <c r="M3202" s="1"/>
  <c r="F2906"/>
  <c r="H2906" s="1"/>
  <c r="M2906" s="1"/>
  <c r="F3171"/>
  <c r="H3171" s="1"/>
  <c r="M3171" s="1"/>
  <c r="F3198"/>
  <c r="J3198" s="1"/>
  <c r="M3198" s="1"/>
  <c r="F2925"/>
  <c r="H2925" s="1"/>
  <c r="N2925" s="1"/>
  <c r="F3201"/>
  <c r="H3201" s="1"/>
  <c r="M3201" s="1"/>
  <c r="F3299"/>
  <c r="J3299" s="1"/>
  <c r="M3299" s="1"/>
  <c r="F2921"/>
  <c r="H2921" s="1"/>
  <c r="M2921" s="1"/>
  <c r="F3168"/>
  <c r="J3168" s="1"/>
  <c r="M3168" s="1"/>
  <c r="F2920"/>
  <c r="H2920" s="1"/>
  <c r="M2920" s="1"/>
  <c r="F2922"/>
  <c r="H2922" s="1"/>
  <c r="M2922" s="1"/>
  <c r="F3203"/>
  <c r="H3203" s="1"/>
  <c r="M3203" s="1"/>
  <c r="F3199"/>
  <c r="L3199" s="1"/>
  <c r="M3199" s="1"/>
  <c r="F3302"/>
  <c r="H3302" s="1"/>
  <c r="M3302" s="1"/>
  <c r="F3303"/>
  <c r="H3303" s="1"/>
  <c r="M3303" s="1"/>
  <c r="F3347"/>
  <c r="H3347" s="1"/>
  <c r="M3347" s="1"/>
  <c r="F2918"/>
  <c r="L2918" s="1"/>
  <c r="M2918" s="1"/>
  <c r="F2917"/>
  <c r="J2917" s="1"/>
  <c r="M2917" s="1"/>
  <c r="F2169"/>
  <c r="J2169" s="1"/>
  <c r="M2169" s="1"/>
  <c r="F1690"/>
  <c r="H1690" s="1"/>
  <c r="M1690" s="1"/>
  <c r="F2654"/>
  <c r="L2654" s="1"/>
  <c r="M2654" s="1"/>
  <c r="F1801"/>
  <c r="J1801" s="1"/>
  <c r="M1801" s="1"/>
  <c r="F295"/>
  <c r="L295" s="1"/>
  <c r="M295" s="1"/>
  <c r="F16"/>
  <c r="L16" s="1"/>
  <c r="M16" s="1"/>
  <c r="F2775"/>
  <c r="L2775" s="1"/>
  <c r="M2775" s="1"/>
  <c r="J3547"/>
  <c r="M3547" s="1"/>
  <c r="F515"/>
  <c r="H515" s="1"/>
  <c r="M515" s="1"/>
  <c r="F17"/>
  <c r="F19" s="1"/>
  <c r="L19" s="1"/>
  <c r="M19" s="1"/>
  <c r="F930"/>
  <c r="H930" s="1"/>
  <c r="M930" s="1"/>
  <c r="F1964"/>
  <c r="L1964" s="1"/>
  <c r="M1964" s="1"/>
  <c r="F1218"/>
  <c r="H1218" s="1"/>
  <c r="M1218" s="1"/>
  <c r="F3443"/>
  <c r="H3443" s="1"/>
  <c r="M3443" s="1"/>
  <c r="F1459"/>
  <c r="H1459" s="1"/>
  <c r="M1459" s="1"/>
  <c r="J3507"/>
  <c r="M3507" s="1"/>
  <c r="F996"/>
  <c r="H996" s="1"/>
  <c r="M996" s="1"/>
  <c r="F2963"/>
  <c r="L2963" s="1"/>
  <c r="M2963" s="1"/>
  <c r="F3131"/>
  <c r="L3131" s="1"/>
  <c r="M3131" s="1"/>
  <c r="F3003"/>
  <c r="J3003" s="1"/>
  <c r="M3003" s="1"/>
  <c r="F3008"/>
  <c r="H3008" s="1"/>
  <c r="M3008" s="1"/>
  <c r="F3222"/>
  <c r="H3222" s="1"/>
  <c r="M3222" s="1"/>
  <c r="F3293"/>
  <c r="J3293" s="1"/>
  <c r="M3293" s="1"/>
  <c r="F2800"/>
  <c r="L2800" s="1"/>
  <c r="M2800" s="1"/>
  <c r="F488"/>
  <c r="L488" s="1"/>
  <c r="M488" s="1"/>
  <c r="F1148"/>
  <c r="J1148" s="1"/>
  <c r="M1148" s="1"/>
  <c r="F1106"/>
  <c r="H1106" s="1"/>
  <c r="M1106" s="1"/>
  <c r="F1216"/>
  <c r="H1216" s="1"/>
  <c r="M1216" s="1"/>
  <c r="F2311"/>
  <c r="H2311" s="1"/>
  <c r="M2311" s="1"/>
  <c r="F1292"/>
  <c r="H1292" s="1"/>
  <c r="M1292" s="1"/>
  <c r="F2394"/>
  <c r="J2394" s="1"/>
  <c r="M2394" s="1"/>
  <c r="F1188"/>
  <c r="H1188" s="1"/>
  <c r="M1188" s="1"/>
  <c r="F638"/>
  <c r="J638" s="1"/>
  <c r="M638" s="1"/>
  <c r="F472"/>
  <c r="H472" s="1"/>
  <c r="M472" s="1"/>
  <c r="F2313"/>
  <c r="H2313" s="1"/>
  <c r="M2313" s="1"/>
  <c r="F722"/>
  <c r="L722" s="1"/>
  <c r="M722" s="1"/>
  <c r="F408"/>
  <c r="J408" s="1"/>
  <c r="M408" s="1"/>
  <c r="F1609"/>
  <c r="H1609" s="1"/>
  <c r="M1609" s="1"/>
  <c r="F928"/>
  <c r="L928" s="1"/>
  <c r="M928" s="1"/>
  <c r="F1455"/>
  <c r="J1455" s="1"/>
  <c r="M1455" s="1"/>
  <c r="F2777"/>
  <c r="H2777" s="1"/>
  <c r="M2777" s="1"/>
  <c r="F1217"/>
  <c r="H1217" s="1"/>
  <c r="M1217" s="1"/>
  <c r="F889"/>
  <c r="L889" s="1"/>
  <c r="M889" s="1"/>
  <c r="F997"/>
  <c r="H997" s="1"/>
  <c r="M997" s="1"/>
  <c r="F986"/>
  <c r="L986" s="1"/>
  <c r="M986" s="1"/>
  <c r="F2249"/>
  <c r="J2249" s="1"/>
  <c r="M2249" s="1"/>
  <c r="F59"/>
  <c r="E2668"/>
  <c r="F30"/>
  <c r="F701"/>
  <c r="F1074"/>
  <c r="H1074" s="1"/>
  <c r="M1074" s="1"/>
  <c r="F1339"/>
  <c r="J1339" s="1"/>
  <c r="F1607"/>
  <c r="L1607" s="1"/>
  <c r="M1607" s="1"/>
  <c r="F277"/>
  <c r="H277" s="1"/>
  <c r="M277" s="1"/>
  <c r="F577"/>
  <c r="L577" s="1"/>
  <c r="M577" s="1"/>
  <c r="F2774"/>
  <c r="J2774" s="1"/>
  <c r="M2774" s="1"/>
  <c r="F2308"/>
  <c r="J2308" s="1"/>
  <c r="M2308" s="1"/>
  <c r="F1916"/>
  <c r="H1916" s="1"/>
  <c r="M1916" s="1"/>
  <c r="F1876"/>
  <c r="H1876" s="1"/>
  <c r="M1876" s="1"/>
  <c r="F49"/>
  <c r="L49" s="1"/>
  <c r="M49" s="1"/>
  <c r="F704"/>
  <c r="F1151"/>
  <c r="H1151" s="1"/>
  <c r="M1151" s="1"/>
  <c r="F1340"/>
  <c r="H1340" s="1"/>
  <c r="M1340" s="1"/>
  <c r="F1585"/>
  <c r="H1585" s="1"/>
  <c r="M1585" s="1"/>
  <c r="F728"/>
  <c r="H728" s="1"/>
  <c r="M728" s="1"/>
  <c r="F276"/>
  <c r="H276" s="1"/>
  <c r="M276" s="1"/>
  <c r="F411"/>
  <c r="H411" s="1"/>
  <c r="M411" s="1"/>
  <c r="F2309"/>
  <c r="L2309" s="1"/>
  <c r="M2309" s="1"/>
  <c r="F1719"/>
  <c r="H1719" s="1"/>
  <c r="M1719" s="1"/>
  <c r="F3148"/>
  <c r="H3148" s="1"/>
  <c r="M3148" s="1"/>
  <c r="F3535"/>
  <c r="H3535" s="1"/>
  <c r="M3535" s="1"/>
  <c r="F3229"/>
  <c r="H3229" s="1"/>
  <c r="M3229" s="1"/>
  <c r="F2985"/>
  <c r="H2985" s="1"/>
  <c r="M2985" s="1"/>
  <c r="F3163"/>
  <c r="L3163" s="1"/>
  <c r="M3163" s="1"/>
  <c r="F3530"/>
  <c r="L3530" s="1"/>
  <c r="M3530" s="1"/>
  <c r="F3225"/>
  <c r="J3225" s="1"/>
  <c r="M3225" s="1"/>
  <c r="F405"/>
  <c r="F2907"/>
  <c r="H2907" s="1"/>
  <c r="M2907" s="1"/>
  <c r="F3529"/>
  <c r="J3529" s="1"/>
  <c r="F3226"/>
  <c r="L3226" s="1"/>
  <c r="M3226" s="1"/>
  <c r="F2266"/>
  <c r="J2266" s="1"/>
  <c r="M2266" s="1"/>
  <c r="F801"/>
  <c r="H801" s="1"/>
  <c r="M801" s="1"/>
  <c r="F3350"/>
  <c r="L3350" s="1"/>
  <c r="M3350" s="1"/>
  <c r="F2457"/>
  <c r="H2457" s="1"/>
  <c r="M2457" s="1"/>
  <c r="F918"/>
  <c r="J918" s="1"/>
  <c r="M918" s="1"/>
  <c r="F3546"/>
  <c r="J3546" s="1"/>
  <c r="F579"/>
  <c r="H579" s="1"/>
  <c r="M579" s="1"/>
  <c r="F1966"/>
  <c r="H1966" s="1"/>
  <c r="M1966" s="1"/>
  <c r="F888"/>
  <c r="J888" s="1"/>
  <c r="M888" s="1"/>
  <c r="F2367"/>
  <c r="J2367" s="1"/>
  <c r="M2367" s="1"/>
  <c r="F994"/>
  <c r="L994" s="1"/>
  <c r="M994" s="1"/>
  <c r="F2965"/>
  <c r="H2965" s="1"/>
  <c r="M2965" s="1"/>
  <c r="F989"/>
  <c r="H989" s="1"/>
  <c r="M989" s="1"/>
  <c r="F1673"/>
  <c r="J1673" s="1"/>
  <c r="M1673" s="1"/>
  <c r="F439"/>
  <c r="H439" s="1"/>
  <c r="M439" s="1"/>
  <c r="F1621"/>
  <c r="H1621" s="1"/>
  <c r="M1621" s="1"/>
  <c r="F3526"/>
  <c r="J3526" s="1"/>
  <c r="F576"/>
  <c r="J576" s="1"/>
  <c r="M576" s="1"/>
  <c r="F1093"/>
  <c r="H1093" s="1"/>
  <c r="M1093" s="1"/>
  <c r="F43"/>
  <c r="F2370"/>
  <c r="H2370" s="1"/>
  <c r="M2370" s="1"/>
  <c r="F998"/>
  <c r="H998" s="1"/>
  <c r="M998" s="1"/>
  <c r="F3440"/>
  <c r="L3440" s="1"/>
  <c r="M3440" s="1"/>
  <c r="F3452"/>
  <c r="H3452" s="1"/>
  <c r="F2967"/>
  <c r="H2967" s="1"/>
  <c r="M2967" s="1"/>
  <c r="F988"/>
  <c r="H988" s="1"/>
  <c r="M988" s="1"/>
  <c r="F1304"/>
  <c r="J1304" s="1"/>
  <c r="M1304" s="1"/>
  <c r="F3444"/>
  <c r="H3444" s="1"/>
  <c r="M3444" s="1"/>
  <c r="F3449"/>
  <c r="L3449" s="1"/>
  <c r="M3449" s="1"/>
  <c r="F991"/>
  <c r="H991" s="1"/>
  <c r="M991" s="1"/>
  <c r="F3450"/>
  <c r="J3450" s="1"/>
  <c r="F3445"/>
  <c r="H3445" s="1"/>
  <c r="M3445" s="1"/>
  <c r="F3453"/>
  <c r="H3453" s="1"/>
  <c r="F3383"/>
  <c r="L3383" s="1"/>
  <c r="M3383" s="1"/>
  <c r="F3438"/>
  <c r="J3438" s="1"/>
  <c r="F3220"/>
  <c r="L3220" s="1"/>
  <c r="M3220" s="1"/>
  <c r="F604"/>
  <c r="H604" s="1"/>
  <c r="M604" s="1"/>
  <c r="F132"/>
  <c r="F1802"/>
  <c r="L1802" s="1"/>
  <c r="M1802" s="1"/>
  <c r="F3525"/>
  <c r="L3525" s="1"/>
  <c r="M3525" s="1"/>
  <c r="F3006"/>
  <c r="H3006" s="1"/>
  <c r="M3006" s="1"/>
  <c r="F3007"/>
  <c r="H3007" s="1"/>
  <c r="M3007" s="1"/>
  <c r="F2371"/>
  <c r="H2371" s="1"/>
  <c r="M2371" s="1"/>
  <c r="F999"/>
  <c r="H999" s="1"/>
  <c r="M999" s="1"/>
  <c r="F2966"/>
  <c r="H2966" s="1"/>
  <c r="M2966" s="1"/>
  <c r="F990"/>
  <c r="H990" s="1"/>
  <c r="M990" s="1"/>
  <c r="F490"/>
  <c r="H490" s="1"/>
  <c r="M490" s="1"/>
  <c r="J3524"/>
  <c r="M3524" s="1"/>
  <c r="F3434"/>
  <c r="L3434" s="1"/>
  <c r="M3434" s="1"/>
  <c r="F3435"/>
  <c r="J3435" s="1"/>
  <c r="F3436"/>
  <c r="H3436" s="1"/>
  <c r="F3433"/>
  <c r="F3469"/>
  <c r="H3469" s="1"/>
  <c r="M3469" s="1"/>
  <c r="F3467"/>
  <c r="L3467" s="1"/>
  <c r="M3467" s="1"/>
  <c r="F3465"/>
  <c r="J3465" s="1"/>
  <c r="M3465" s="1"/>
  <c r="F3473"/>
  <c r="L3473" s="1"/>
  <c r="M3473" s="1"/>
  <c r="F3476"/>
  <c r="H3476" s="1"/>
  <c r="M3476" s="1"/>
  <c r="F3474"/>
  <c r="L3474" s="1"/>
  <c r="M3474" s="1"/>
  <c r="F3472"/>
  <c r="J3472" s="1"/>
  <c r="M3472" s="1"/>
  <c r="F3415"/>
  <c r="J3415" s="1"/>
  <c r="F3417"/>
  <c r="H3417" s="1"/>
  <c r="F3412"/>
  <c r="L3412" s="1"/>
  <c r="M3412" s="1"/>
  <c r="F3411"/>
  <c r="H3411" s="1"/>
  <c r="F3376"/>
  <c r="L3376" s="1"/>
  <c r="M3376" s="1"/>
  <c r="F3375"/>
  <c r="L3375" s="1"/>
  <c r="M3375" s="1"/>
  <c r="F3378"/>
  <c r="H3378" s="1"/>
  <c r="M3378" s="1"/>
  <c r="F3374"/>
  <c r="J3374" s="1"/>
  <c r="M3374" s="1"/>
  <c r="F3531"/>
  <c r="L3531" s="1"/>
  <c r="M3531" s="1"/>
  <c r="F3381"/>
  <c r="J3381" s="1"/>
  <c r="M3381" s="1"/>
  <c r="F3382"/>
  <c r="L3382" s="1"/>
  <c r="M3382" s="1"/>
  <c r="F3536"/>
  <c r="H3536" s="1"/>
  <c r="M3536" s="1"/>
  <c r="F3541"/>
  <c r="J3541" s="1"/>
  <c r="F3451"/>
  <c r="J3451" s="1"/>
  <c r="F3147"/>
  <c r="H3147" s="1"/>
  <c r="M3147" s="1"/>
  <c r="F3146"/>
  <c r="H3146" s="1"/>
  <c r="M3146" s="1"/>
  <c r="F3142"/>
  <c r="L3142" s="1"/>
  <c r="M3142" s="1"/>
  <c r="F3144"/>
  <c r="H3144" s="1"/>
  <c r="M3144" s="1"/>
  <c r="F3165"/>
  <c r="H3165" s="1"/>
  <c r="M3165" s="1"/>
  <c r="F3141"/>
  <c r="J3141" s="1"/>
  <c r="M3141" s="1"/>
  <c r="F3162"/>
  <c r="J3162" s="1"/>
  <c r="M3162" s="1"/>
  <c r="F2903"/>
  <c r="J2903" s="1"/>
  <c r="M2903" s="1"/>
  <c r="F2216"/>
  <c r="L2216" s="1"/>
  <c r="M2216" s="1"/>
  <c r="F2215"/>
  <c r="J2215" s="1"/>
  <c r="M2215" s="1"/>
  <c r="F2219"/>
  <c r="H2219" s="1"/>
  <c r="M2219" s="1"/>
  <c r="F2339"/>
  <c r="H2339" s="1"/>
  <c r="M2339" s="1"/>
  <c r="F2334"/>
  <c r="J2334" s="1"/>
  <c r="M2334" s="1"/>
  <c r="F2340"/>
  <c r="H2340" s="1"/>
  <c r="M2340" s="1"/>
  <c r="F2337"/>
  <c r="H2337" s="1"/>
  <c r="M2337" s="1"/>
  <c r="F2656"/>
  <c r="H2656" s="1"/>
  <c r="M2656" s="1"/>
  <c r="F2781"/>
  <c r="L2781" s="1"/>
  <c r="M2781" s="1"/>
  <c r="F509"/>
  <c r="H509" s="1"/>
  <c r="M509" s="1"/>
  <c r="F2578"/>
  <c r="L2578" s="1"/>
  <c r="M2578" s="1"/>
  <c r="F1017"/>
  <c r="L1017" s="1"/>
  <c r="M1017" s="1"/>
  <c r="F696"/>
  <c r="L696" s="1"/>
  <c r="M696" s="1"/>
  <c r="F1717"/>
  <c r="H1717" s="1"/>
  <c r="M1717" s="1"/>
  <c r="F785"/>
  <c r="J785" s="1"/>
  <c r="M785" s="1"/>
  <c r="F2174"/>
  <c r="H2174" s="1"/>
  <c r="M2174" s="1"/>
  <c r="F1365"/>
  <c r="H1365" s="1"/>
  <c r="M1365" s="1"/>
  <c r="F2610"/>
  <c r="H2610" s="1"/>
  <c r="M2610" s="1"/>
  <c r="F2441"/>
  <c r="L2441" s="1"/>
  <c r="M2441" s="1"/>
  <c r="F1686"/>
  <c r="J1686" s="1"/>
  <c r="M1686" s="1"/>
  <c r="F565"/>
  <c r="L565" s="1"/>
  <c r="M565" s="1"/>
  <c r="F750"/>
  <c r="L750" s="1"/>
  <c r="M750" s="1"/>
  <c r="F2804"/>
  <c r="H2804" s="1"/>
  <c r="M2804" s="1"/>
  <c r="F2562"/>
  <c r="H2562" s="1"/>
  <c r="M2562" s="1"/>
  <c r="F2682"/>
  <c r="L2682" s="1"/>
  <c r="M2682" s="1"/>
  <c r="F1020"/>
  <c r="H1020" s="1"/>
  <c r="M1020" s="1"/>
  <c r="F1917"/>
  <c r="H1917" s="1"/>
  <c r="M1917" s="1"/>
  <c r="F1287"/>
  <c r="H1287" s="1"/>
  <c r="M1287" s="1"/>
  <c r="F333"/>
  <c r="H333" s="1"/>
  <c r="M333" s="1"/>
  <c r="F1421"/>
  <c r="F1187"/>
  <c r="H1187" s="1"/>
  <c r="M1187" s="1"/>
  <c r="F2929"/>
  <c r="F2927"/>
  <c r="F480"/>
  <c r="L480" s="1"/>
  <c r="M480" s="1"/>
  <c r="F1066"/>
  <c r="H1066" s="1"/>
  <c r="M1066" s="1"/>
  <c r="F598"/>
  <c r="J598" s="1"/>
  <c r="M598" s="1"/>
  <c r="F865"/>
  <c r="J865" s="1"/>
  <c r="M865" s="1"/>
  <c r="F1859"/>
  <c r="F332"/>
  <c r="H332" s="1"/>
  <c r="M332" s="1"/>
  <c r="F1683"/>
  <c r="J1683" s="1"/>
  <c r="M1683" s="1"/>
  <c r="F2145"/>
  <c r="H2145" s="1"/>
  <c r="M2145" s="1"/>
  <c r="F2144"/>
  <c r="H2144" s="1"/>
  <c r="M2144" s="1"/>
  <c r="F2103"/>
  <c r="L2103" s="1"/>
  <c r="M2103" s="1"/>
  <c r="F2107"/>
  <c r="H2107" s="1"/>
  <c r="M2107" s="1"/>
  <c r="F2106"/>
  <c r="H2106" s="1"/>
  <c r="M2106" s="1"/>
  <c r="F2105"/>
  <c r="H2105" s="1"/>
  <c r="M2105" s="1"/>
  <c r="F2201"/>
  <c r="H2201" s="1"/>
  <c r="M2201" s="1"/>
  <c r="F2200"/>
  <c r="H2200" s="1"/>
  <c r="M2200" s="1"/>
  <c r="F2930"/>
  <c r="F1935"/>
  <c r="H1935" s="1"/>
  <c r="M1935" s="1"/>
  <c r="F968"/>
  <c r="H968" s="1"/>
  <c r="M968" s="1"/>
  <c r="F2261"/>
  <c r="L2261" s="1"/>
  <c r="M2261" s="1"/>
  <c r="F2224"/>
  <c r="H2224" s="1"/>
  <c r="M2224" s="1"/>
  <c r="F1273"/>
  <c r="L1273" s="1"/>
  <c r="M1273" s="1"/>
  <c r="F2128"/>
  <c r="J2128" s="1"/>
  <c r="M2128" s="1"/>
  <c r="F2131"/>
  <c r="H2131" s="1"/>
  <c r="M2131" s="1"/>
  <c r="F2400"/>
  <c r="H2400" s="1"/>
  <c r="M2400" s="1"/>
  <c r="F167"/>
  <c r="F925"/>
  <c r="H925" s="1"/>
  <c r="M925" s="1"/>
  <c r="F2218"/>
  <c r="H2218" s="1"/>
  <c r="M2218" s="1"/>
  <c r="F2172"/>
  <c r="H2172" s="1"/>
  <c r="M2172" s="1"/>
  <c r="F2108"/>
  <c r="H2108" s="1"/>
  <c r="M2108" s="1"/>
  <c r="F2657"/>
  <c r="H2657" s="1"/>
  <c r="M2657" s="1"/>
  <c r="F667"/>
  <c r="F674" s="1"/>
  <c r="H674" s="1"/>
  <c r="M674" s="1"/>
  <c r="F1366"/>
  <c r="H1366" s="1"/>
  <c r="M1366" s="1"/>
  <c r="F1606"/>
  <c r="J1606" s="1"/>
  <c r="M1606" s="1"/>
  <c r="F1047"/>
  <c r="J1047" s="1"/>
  <c r="M1047" s="1"/>
  <c r="F1288"/>
  <c r="H1288" s="1"/>
  <c r="M1288" s="1"/>
  <c r="F749"/>
  <c r="J749" s="1"/>
  <c r="M749" s="1"/>
  <c r="F113"/>
  <c r="L113" s="1"/>
  <c r="M113" s="1"/>
  <c r="F482"/>
  <c r="H482" s="1"/>
  <c r="M482" s="1"/>
  <c r="F102"/>
  <c r="F484"/>
  <c r="H484" s="1"/>
  <c r="M484" s="1"/>
  <c r="F567"/>
  <c r="H567" s="1"/>
  <c r="M567" s="1"/>
  <c r="F599"/>
  <c r="L599" s="1"/>
  <c r="M599" s="1"/>
  <c r="F719"/>
  <c r="F753"/>
  <c r="H753" s="1"/>
  <c r="M753" s="1"/>
  <c r="F868"/>
  <c r="H868" s="1"/>
  <c r="M868" s="1"/>
  <c r="F952"/>
  <c r="J952" s="1"/>
  <c r="M952" s="1"/>
  <c r="F1062"/>
  <c r="J1062" s="1"/>
  <c r="M1062" s="1"/>
  <c r="F2113"/>
  <c r="L2113" s="1"/>
  <c r="M2113" s="1"/>
  <c r="F1940"/>
  <c r="H1940" s="1"/>
  <c r="M1940" s="1"/>
  <c r="F1914"/>
  <c r="L1914" s="1"/>
  <c r="M1914" s="1"/>
  <c r="F1286"/>
  <c r="H1286" s="1"/>
  <c r="M1286" s="1"/>
  <c r="F2468"/>
  <c r="L2468" s="1"/>
  <c r="M2468" s="1"/>
  <c r="F331"/>
  <c r="H331" s="1"/>
  <c r="M331" s="1"/>
  <c r="F1420"/>
  <c r="F1408"/>
  <c r="F40"/>
  <c r="L40" s="1"/>
  <c r="M40" s="1"/>
  <c r="F544"/>
  <c r="H544" s="1"/>
  <c r="M544" s="1"/>
  <c r="F1023"/>
  <c r="J1023" s="1"/>
  <c r="M1023" s="1"/>
  <c r="F1156"/>
  <c r="H1156" s="1"/>
  <c r="M1156" s="1"/>
  <c r="F2943"/>
  <c r="F2946"/>
  <c r="F923"/>
  <c r="H923" s="1"/>
  <c r="M923" s="1"/>
  <c r="F1149"/>
  <c r="L1149" s="1"/>
  <c r="M1149" s="1"/>
  <c r="F1458"/>
  <c r="H1458" s="1"/>
  <c r="M1458" s="1"/>
  <c r="F2173"/>
  <c r="H2173" s="1"/>
  <c r="M2173" s="1"/>
  <c r="F2175"/>
  <c r="H2175" s="1"/>
  <c r="M2175" s="1"/>
  <c r="F2102"/>
  <c r="J2102" s="1"/>
  <c r="M2102" s="1"/>
  <c r="F2607"/>
  <c r="L2607" s="1"/>
  <c r="M2607" s="1"/>
  <c r="F702"/>
  <c r="F1011"/>
  <c r="H1011" s="1"/>
  <c r="M1011" s="1"/>
  <c r="F1153"/>
  <c r="H1153" s="1"/>
  <c r="M1153" s="1"/>
  <c r="F1328"/>
  <c r="L1328" s="1"/>
  <c r="M1328" s="1"/>
  <c r="F2540"/>
  <c r="H2540" s="1"/>
  <c r="M2540" s="1"/>
  <c r="F1285"/>
  <c r="H1285" s="1"/>
  <c r="M1285" s="1"/>
  <c r="F1214"/>
  <c r="L1214" s="1"/>
  <c r="M1214" s="1"/>
  <c r="F831"/>
  <c r="L831" s="1"/>
  <c r="M831" s="1"/>
  <c r="F483"/>
  <c r="H483" s="1"/>
  <c r="M483" s="1"/>
  <c r="F2504"/>
  <c r="H2504" s="1"/>
  <c r="M2504" s="1"/>
  <c r="F508"/>
  <c r="H508" s="1"/>
  <c r="M508" s="1"/>
  <c r="F564"/>
  <c r="J564" s="1"/>
  <c r="M564" s="1"/>
  <c r="F601"/>
  <c r="H601" s="1"/>
  <c r="M601" s="1"/>
  <c r="F695"/>
  <c r="J695" s="1"/>
  <c r="M695" s="1"/>
  <c r="F830"/>
  <c r="J830" s="1"/>
  <c r="M830" s="1"/>
  <c r="F866"/>
  <c r="L866" s="1"/>
  <c r="M866" s="1"/>
  <c r="F1021"/>
  <c r="H1021" s="1"/>
  <c r="M1021" s="1"/>
  <c r="F1180"/>
  <c r="L1180" s="1"/>
  <c r="M1180" s="1"/>
  <c r="F2502"/>
  <c r="L2502" s="1"/>
  <c r="M2502" s="1"/>
  <c r="F91"/>
  <c r="L91" s="1"/>
  <c r="M91" s="1"/>
  <c r="F1297"/>
  <c r="H1297" s="1"/>
  <c r="M1297" s="1"/>
  <c r="F524"/>
  <c r="F1937"/>
  <c r="J1937" s="1"/>
  <c r="M1937" s="1"/>
  <c r="F1282"/>
  <c r="L1282" s="1"/>
  <c r="M1282" s="1"/>
  <c r="F754"/>
  <c r="H754" s="1"/>
  <c r="M754" s="1"/>
  <c r="F699"/>
  <c r="H699" s="1"/>
  <c r="M699" s="1"/>
  <c r="F1045"/>
  <c r="H1045" s="1"/>
  <c r="M1045" s="1"/>
  <c r="F479"/>
  <c r="J479" s="1"/>
  <c r="M479" s="1"/>
  <c r="F603"/>
  <c r="H603" s="1"/>
  <c r="M603" s="1"/>
  <c r="F755"/>
  <c r="H755" s="1"/>
  <c r="M755" s="1"/>
  <c r="F1016"/>
  <c r="J1016" s="1"/>
  <c r="M1016" s="1"/>
  <c r="F1325"/>
  <c r="H1325" s="1"/>
  <c r="M1325" s="1"/>
  <c r="F2599"/>
  <c r="H2599" s="1"/>
  <c r="M2599" s="1"/>
  <c r="F1276"/>
  <c r="L1276" s="1"/>
  <c r="M1276" s="1"/>
  <c r="F377"/>
  <c r="F379"/>
  <c r="F2197"/>
  <c r="J2197" s="1"/>
  <c r="M2197" s="1"/>
  <c r="F2129"/>
  <c r="L2129" s="1"/>
  <c r="M2129" s="1"/>
  <c r="F2135"/>
  <c r="H2135" s="1"/>
  <c r="M2135" s="1"/>
  <c r="F2402"/>
  <c r="J2402" s="1"/>
  <c r="M2402" s="1"/>
  <c r="F2146"/>
  <c r="H2146" s="1"/>
  <c r="M2146" s="1"/>
  <c r="F1872"/>
  <c r="J1872" s="1"/>
  <c r="M1872" s="1"/>
  <c r="F1120"/>
  <c r="H1120" s="1"/>
  <c r="M1120" s="1"/>
  <c r="F684"/>
  <c r="L684" s="1"/>
  <c r="M684" s="1"/>
  <c r="F3496"/>
  <c r="L3496" s="1"/>
  <c r="M3496" s="1"/>
  <c r="J3416"/>
  <c r="M3416" s="1"/>
  <c r="F2263"/>
  <c r="H2263" s="1"/>
  <c r="M2263" s="1"/>
  <c r="F3466"/>
  <c r="L3466" s="1"/>
  <c r="M3466" s="1"/>
  <c r="F1440"/>
  <c r="F427"/>
  <c r="H427" s="1"/>
  <c r="M427" s="1"/>
  <c r="F73"/>
  <c r="J73" s="1"/>
  <c r="M73" s="1"/>
  <c r="F2252"/>
  <c r="H2252" s="1"/>
  <c r="M2252" s="1"/>
  <c r="F2180"/>
  <c r="H2180" s="1"/>
  <c r="M2180" s="1"/>
  <c r="J3537"/>
  <c r="M3537" s="1"/>
  <c r="F2143"/>
  <c r="H2143" s="1"/>
  <c r="M2143" s="1"/>
  <c r="F2140"/>
  <c r="J2140" s="1"/>
  <c r="M2140" s="1"/>
  <c r="F2450"/>
  <c r="J2450" s="1"/>
  <c r="M2450" s="1"/>
  <c r="F1967"/>
  <c r="H1967" s="1"/>
  <c r="M1967" s="1"/>
  <c r="F3494"/>
  <c r="L3494" s="1"/>
  <c r="M3494" s="1"/>
  <c r="F2177"/>
  <c r="J2177" s="1"/>
  <c r="M2177" s="1"/>
  <c r="F2250"/>
  <c r="L2250" s="1"/>
  <c r="M2250" s="1"/>
  <c r="F406"/>
  <c r="F1760"/>
  <c r="J1760" s="1"/>
  <c r="M1760" s="1"/>
  <c r="F769"/>
  <c r="H769" s="1"/>
  <c r="M769" s="1"/>
  <c r="F62"/>
  <c r="L62" s="1"/>
  <c r="M62" s="1"/>
  <c r="F1839"/>
  <c r="H1839" s="1"/>
  <c r="M1839" s="1"/>
  <c r="F2000"/>
  <c r="L2000" s="1"/>
  <c r="M2000" s="1"/>
  <c r="F280"/>
  <c r="F1736"/>
  <c r="L1736" s="1"/>
  <c r="M1736" s="1"/>
  <c r="F194"/>
  <c r="F803"/>
  <c r="H803" s="1"/>
  <c r="M803" s="1"/>
  <c r="F2338"/>
  <c r="H2338" s="1"/>
  <c r="M2338" s="1"/>
  <c r="F2345"/>
  <c r="H2345" s="1"/>
  <c r="M2345" s="1"/>
  <c r="F863"/>
  <c r="H863" s="1"/>
  <c r="M863" s="1"/>
  <c r="F2762"/>
  <c r="J2762" s="1"/>
  <c r="M2762" s="1"/>
  <c r="F1856"/>
  <c r="F402"/>
  <c r="F2734"/>
  <c r="J2734" s="1"/>
  <c r="M2734" s="1"/>
  <c r="F2602"/>
  <c r="J2602" s="1"/>
  <c r="M2602" s="1"/>
  <c r="F3133"/>
  <c r="H3133" s="1"/>
  <c r="M3133" s="1"/>
  <c r="F2198"/>
  <c r="L2198" s="1"/>
  <c r="M2198" s="1"/>
  <c r="F2136"/>
  <c r="H2136" s="1"/>
  <c r="M2136" s="1"/>
  <c r="F2134"/>
  <c r="H2134" s="1"/>
  <c r="M2134" s="1"/>
  <c r="H3560"/>
  <c r="M3560" s="1"/>
  <c r="F3192"/>
  <c r="H3192" s="1"/>
  <c r="M3192" s="1"/>
  <c r="F2341"/>
  <c r="H2341" s="1"/>
  <c r="M2341" s="1"/>
  <c r="F2344"/>
  <c r="H2344" s="1"/>
  <c r="M2344" s="1"/>
  <c r="F2132"/>
  <c r="H2132" s="1"/>
  <c r="M2132" s="1"/>
  <c r="F2945"/>
  <c r="F2335"/>
  <c r="L2335" s="1"/>
  <c r="M2335" s="1"/>
  <c r="F2260"/>
  <c r="J2260" s="1"/>
  <c r="M2260" s="1"/>
  <c r="F651"/>
  <c r="H651" s="1"/>
  <c r="M651" s="1"/>
  <c r="F1089"/>
  <c r="J1089" s="1"/>
  <c r="M1089" s="1"/>
  <c r="F325"/>
  <c r="H325" s="1"/>
  <c r="M325" s="1"/>
  <c r="F1112"/>
  <c r="H1112" s="1"/>
  <c r="M1112" s="1"/>
  <c r="F2690"/>
  <c r="H2690" s="1"/>
  <c r="M2690" s="1"/>
  <c r="F2147"/>
  <c r="H2147" s="1"/>
  <c r="M2147" s="1"/>
  <c r="F2141"/>
  <c r="L2141" s="1"/>
  <c r="M2141" s="1"/>
  <c r="F1589"/>
  <c r="L1589" s="1"/>
  <c r="M1589" s="1"/>
  <c r="F1714"/>
  <c r="H1714" s="1"/>
  <c r="M1714" s="1"/>
  <c r="F1875"/>
  <c r="H1875" s="1"/>
  <c r="M1875" s="1"/>
  <c r="F2517"/>
  <c r="H2517" s="1"/>
  <c r="M2517" s="1"/>
  <c r="F1113"/>
  <c r="H1113" s="1"/>
  <c r="M1113" s="1"/>
  <c r="F2205"/>
  <c r="F2185"/>
  <c r="L2185" s="1"/>
  <c r="M2185" s="1"/>
  <c r="F1910"/>
  <c r="H1910" s="1"/>
  <c r="M1910" s="1"/>
  <c r="F2453"/>
  <c r="H2453" s="1"/>
  <c r="M2453" s="1"/>
  <c r="F2580"/>
  <c r="H2580" s="1"/>
  <c r="M2580" s="1"/>
  <c r="F1414"/>
  <c r="F2440"/>
  <c r="J2440" s="1"/>
  <c r="M2440" s="1"/>
  <c r="F2600"/>
  <c r="H2600" s="1"/>
  <c r="M2600" s="1"/>
  <c r="F2803"/>
  <c r="H2803" s="1"/>
  <c r="M2803" s="1"/>
  <c r="F1619"/>
  <c r="L1619" s="1"/>
  <c r="M1619" s="1"/>
  <c r="F1861"/>
  <c r="F1857"/>
  <c r="F1709"/>
  <c r="J1709" s="1"/>
  <c r="M1709" s="1"/>
  <c r="F423"/>
  <c r="J423" s="1"/>
  <c r="M423" s="1"/>
  <c r="F2577"/>
  <c r="J2577" s="1"/>
  <c r="M2577" s="1"/>
  <c r="F2799"/>
  <c r="J2799" s="1"/>
  <c r="M2799" s="1"/>
  <c r="F1469"/>
  <c r="F805"/>
  <c r="H805" s="1"/>
  <c r="M805" s="1"/>
  <c r="F1710"/>
  <c r="L1710" s="1"/>
  <c r="M1710" s="1"/>
  <c r="F1508"/>
  <c r="H1508" s="1"/>
  <c r="M1508" s="1"/>
  <c r="F1164"/>
  <c r="J1164" s="1"/>
  <c r="M1164" s="1"/>
  <c r="F284"/>
  <c r="F285"/>
  <c r="F1909"/>
  <c r="H1909" s="1"/>
  <c r="M1909" s="1"/>
  <c r="F2267"/>
  <c r="L2267" s="1"/>
  <c r="M2267" s="1"/>
  <c r="F788"/>
  <c r="H788" s="1"/>
  <c r="M788" s="1"/>
  <c r="F253"/>
  <c r="L253" s="1"/>
  <c r="M253" s="1"/>
  <c r="F494"/>
  <c r="L494" s="1"/>
  <c r="M494" s="1"/>
  <c r="F2204"/>
  <c r="L2204" s="1"/>
  <c r="M2204" s="1"/>
  <c r="F2203"/>
  <c r="J2203" s="1"/>
  <c r="M2203" s="1"/>
  <c r="F420"/>
  <c r="H420" s="1"/>
  <c r="M420" s="1"/>
  <c r="F796"/>
  <c r="J796" s="1"/>
  <c r="M796" s="1"/>
  <c r="F417"/>
  <c r="J417" s="1"/>
  <c r="M417" s="1"/>
  <c r="F914"/>
  <c r="H914" s="1"/>
  <c r="M914" s="1"/>
  <c r="F913"/>
  <c r="H913" s="1"/>
  <c r="M913" s="1"/>
  <c r="F2348"/>
  <c r="L2348" s="1"/>
  <c r="M2348" s="1"/>
  <c r="F912"/>
  <c r="H912" s="1"/>
  <c r="M912" s="1"/>
  <c r="F2533"/>
  <c r="H2533" s="1"/>
  <c r="M2533" s="1"/>
  <c r="F2597"/>
  <c r="L2597" s="1"/>
  <c r="M2597" s="1"/>
  <c r="F915"/>
  <c r="H915" s="1"/>
  <c r="M915" s="1"/>
  <c r="F1860"/>
  <c r="F302"/>
  <c r="L302" s="1"/>
  <c r="M302" s="1"/>
  <c r="F324"/>
  <c r="H324" s="1"/>
  <c r="M324" s="1"/>
  <c r="F1055"/>
  <c r="H1055" s="1"/>
  <c r="M1055" s="1"/>
  <c r="F797"/>
  <c r="L797" s="1"/>
  <c r="M797" s="1"/>
  <c r="F201"/>
  <c r="J201" s="1"/>
  <c r="M201" s="1"/>
  <c r="F204"/>
  <c r="H204" s="1"/>
  <c r="M204" s="1"/>
  <c r="F202"/>
  <c r="L202" s="1"/>
  <c r="M202" s="1"/>
  <c r="F1745"/>
  <c r="H1745" s="1"/>
  <c r="M1745" s="1"/>
  <c r="F1712"/>
  <c r="H1712" s="1"/>
  <c r="M1712" s="1"/>
  <c r="F1615"/>
  <c r="H1615" s="1"/>
  <c r="M1615" s="1"/>
  <c r="F1195"/>
  <c r="H1195" s="1"/>
  <c r="M1195" s="1"/>
  <c r="F283"/>
  <c r="F1413"/>
  <c r="F1718"/>
  <c r="H1718" s="1"/>
  <c r="M1718" s="1"/>
  <c r="F789"/>
  <c r="H789" s="1"/>
  <c r="M789" s="1"/>
  <c r="F882"/>
  <c r="L882" s="1"/>
  <c r="M882" s="1"/>
  <c r="F1643"/>
  <c r="H1643" s="1"/>
  <c r="M1643" s="1"/>
  <c r="F2207"/>
  <c r="H2207" s="1"/>
  <c r="M2207" s="1"/>
  <c r="F421"/>
  <c r="H421" s="1"/>
  <c r="M421" s="1"/>
  <c r="F128"/>
  <c r="L128" s="1"/>
  <c r="M128" s="1"/>
  <c r="M2812"/>
  <c r="M2813" s="1"/>
  <c r="F1618"/>
  <c r="J1618" s="1"/>
  <c r="M1618" s="1"/>
  <c r="F909"/>
  <c r="J909" s="1"/>
  <c r="M909" s="1"/>
  <c r="F2501"/>
  <c r="J2501" s="1"/>
  <c r="M2501" s="1"/>
  <c r="F2529"/>
  <c r="J2529" s="1"/>
  <c r="M2529" s="1"/>
  <c r="F2805"/>
  <c r="H2805" s="1"/>
  <c r="M2805" s="1"/>
  <c r="F910"/>
  <c r="L910" s="1"/>
  <c r="M910" s="1"/>
  <c r="F1862"/>
  <c r="F426"/>
  <c r="H426" s="1"/>
  <c r="M426" s="1"/>
  <c r="F1090"/>
  <c r="L1090" s="1"/>
  <c r="M1090" s="1"/>
  <c r="F322"/>
  <c r="L322" s="1"/>
  <c r="M322" s="1"/>
  <c r="F800"/>
  <c r="H800" s="1"/>
  <c r="M800" s="1"/>
  <c r="F1713"/>
  <c r="H1713" s="1"/>
  <c r="M1713" s="1"/>
  <c r="F1198"/>
  <c r="H1198" s="1"/>
  <c r="M1198" s="1"/>
  <c r="F1842"/>
  <c r="L1842" s="1"/>
  <c r="M1842" s="1"/>
  <c r="F2270"/>
  <c r="H2270" s="1"/>
  <c r="M2270" s="1"/>
  <c r="F936"/>
  <c r="H936" s="1"/>
  <c r="M936" s="1"/>
  <c r="F885"/>
  <c r="H885" s="1"/>
  <c r="M885" s="1"/>
  <c r="F1645"/>
  <c r="H1645" s="1"/>
  <c r="M1645" s="1"/>
  <c r="F802"/>
  <c r="H802" s="1"/>
  <c r="M802" s="1"/>
  <c r="F804"/>
  <c r="H804" s="1"/>
  <c r="M804" s="1"/>
  <c r="F2470"/>
  <c r="H2470" s="1"/>
  <c r="M2470" s="1"/>
  <c r="F1999"/>
  <c r="J1999" s="1"/>
  <c r="M1999" s="1"/>
  <c r="F1329"/>
  <c r="L1329" s="1"/>
  <c r="M1329" s="1"/>
  <c r="H2813"/>
  <c r="F3119"/>
  <c r="J3119" s="1"/>
  <c r="M3119" s="1"/>
  <c r="F1527"/>
  <c r="H1527" s="1"/>
  <c r="M1527" s="1"/>
  <c r="H3052"/>
  <c r="M3052" s="1"/>
  <c r="F1887"/>
  <c r="L1887" s="1"/>
  <c r="M1887" s="1"/>
  <c r="F1291"/>
  <c r="H1291" s="1"/>
  <c r="M1291" s="1"/>
  <c r="F1284"/>
  <c r="H1284" s="1"/>
  <c r="M1284" s="1"/>
  <c r="F2002"/>
  <c r="H2002" s="1"/>
  <c r="M2002" s="1"/>
  <c r="F931"/>
  <c r="H931" s="1"/>
  <c r="M931" s="1"/>
  <c r="F1008"/>
  <c r="H1008" s="1"/>
  <c r="M1008" s="1"/>
  <c r="F1642"/>
  <c r="H1642" s="1"/>
  <c r="M1642" s="1"/>
  <c r="F1644"/>
  <c r="H1644" s="1"/>
  <c r="M1644" s="1"/>
  <c r="F1640"/>
  <c r="L1640" s="1"/>
  <c r="M1640" s="1"/>
  <c r="F3157"/>
  <c r="J3157" s="1"/>
  <c r="M3157" s="1"/>
  <c r="F1991"/>
  <c r="F2276"/>
  <c r="H2276" s="1"/>
  <c r="M2276" s="1"/>
  <c r="F3178"/>
  <c r="H3178" s="1"/>
  <c r="M3178" s="1"/>
  <c r="F1482"/>
  <c r="H1482" s="1"/>
  <c r="M1482" s="1"/>
  <c r="F1523"/>
  <c r="J1523" s="1"/>
  <c r="M1523" s="1"/>
  <c r="F1314"/>
  <c r="H1314" s="1"/>
  <c r="M1314" s="1"/>
  <c r="F2712"/>
  <c r="H2712" s="1"/>
  <c r="M2712" s="1"/>
  <c r="F2568"/>
  <c r="H2568" s="1"/>
  <c r="M2568" s="1"/>
  <c r="F2544"/>
  <c r="H2544" s="1"/>
  <c r="M2544" s="1"/>
  <c r="F2409"/>
  <c r="H2409" s="1"/>
  <c r="M2409" s="1"/>
  <c r="F1595"/>
  <c r="L1595" s="1"/>
  <c r="M1595" s="1"/>
  <c r="F1990"/>
  <c r="F715"/>
  <c r="H715" s="1"/>
  <c r="M715" s="1"/>
  <c r="F856"/>
  <c r="H856" s="1"/>
  <c r="M856" s="1"/>
  <c r="F1447"/>
  <c r="F10"/>
  <c r="L10" s="1"/>
  <c r="M10" s="1"/>
  <c r="F690"/>
  <c r="L690" s="1"/>
  <c r="M690" s="1"/>
  <c r="F2006"/>
  <c r="L2006" s="1"/>
  <c r="M2006" s="1"/>
  <c r="F2492"/>
  <c r="H2492" s="1"/>
  <c r="M2492" s="1"/>
  <c r="F974"/>
  <c r="H974" s="1"/>
  <c r="M974" s="1"/>
  <c r="H3505"/>
  <c r="M3505" s="1"/>
  <c r="F1535"/>
  <c r="F2759"/>
  <c r="H2759" s="1"/>
  <c r="M2759" s="1"/>
  <c r="F1082"/>
  <c r="J1082" s="1"/>
  <c r="M1082" s="1"/>
  <c r="F2756"/>
  <c r="J2756" s="1"/>
  <c r="M2756" s="1"/>
  <c r="F1502"/>
  <c r="H1502" s="1"/>
  <c r="M1502" s="1"/>
  <c r="F1988"/>
  <c r="F1978"/>
  <c r="H1978" s="1"/>
  <c r="M1978" s="1"/>
  <c r="F2018"/>
  <c r="F2392"/>
  <c r="H2392" s="1"/>
  <c r="M2392" s="1"/>
  <c r="F1524"/>
  <c r="L1524" s="1"/>
  <c r="M1524" s="1"/>
  <c r="F2542"/>
  <c r="J2542" s="1"/>
  <c r="M2542" s="1"/>
  <c r="F898"/>
  <c r="H898" s="1"/>
  <c r="M898" s="1"/>
  <c r="F2391"/>
  <c r="H2391" s="1"/>
  <c r="M2391" s="1"/>
  <c r="F2713"/>
  <c r="H2713" s="1"/>
  <c r="M2713" s="1"/>
  <c r="F1598"/>
  <c r="H1598" s="1"/>
  <c r="M1598" s="1"/>
  <c r="F2489"/>
  <c r="J2489" s="1"/>
  <c r="M2489" s="1"/>
  <c r="F2513"/>
  <c r="J2513" s="1"/>
  <c r="M2513" s="1"/>
  <c r="F2565"/>
  <c r="J2565" s="1"/>
  <c r="M2565" s="1"/>
  <c r="F1086"/>
  <c r="H1086" s="1"/>
  <c r="M1086" s="1"/>
  <c r="F1085"/>
  <c r="H1085" s="1"/>
  <c r="M1085" s="1"/>
  <c r="F1532"/>
  <c r="H1532" s="1"/>
  <c r="M1532" s="1"/>
  <c r="F2048"/>
  <c r="F2055" s="1"/>
  <c r="H2055" s="1"/>
  <c r="M2055" s="1"/>
  <c r="F592"/>
  <c r="L592" s="1"/>
  <c r="M592" s="1"/>
  <c r="F897"/>
  <c r="H897" s="1"/>
  <c r="M897" s="1"/>
  <c r="F2389"/>
  <c r="L2389" s="1"/>
  <c r="M2389" s="1"/>
  <c r="F2710"/>
  <c r="L2710" s="1"/>
  <c r="M2710" s="1"/>
  <c r="F1594"/>
  <c r="J1594" s="1"/>
  <c r="M1594" s="1"/>
  <c r="F2493"/>
  <c r="H2493" s="1"/>
  <c r="M2493" s="1"/>
  <c r="F2514"/>
  <c r="L2514" s="1"/>
  <c r="M2514" s="1"/>
  <c r="F2566"/>
  <c r="L2566" s="1"/>
  <c r="M2566" s="1"/>
  <c r="F827"/>
  <c r="H827" s="1"/>
  <c r="M827" s="1"/>
  <c r="F1083"/>
  <c r="L1083" s="1"/>
  <c r="M1083" s="1"/>
  <c r="F679"/>
  <c r="H679" s="1"/>
  <c r="M679" s="1"/>
  <c r="F1128"/>
  <c r="H1128" s="1"/>
  <c r="M1128" s="1"/>
  <c r="F1478"/>
  <c r="J1478" s="1"/>
  <c r="M1478" s="1"/>
  <c r="F1731"/>
  <c r="H1731" s="1"/>
  <c r="M1731" s="1"/>
  <c r="F680"/>
  <c r="H680" s="1"/>
  <c r="M680" s="1"/>
  <c r="F1464"/>
  <c r="F950"/>
  <c r="H950" s="1"/>
  <c r="M950" s="1"/>
  <c r="F1539"/>
  <c r="F25"/>
  <c r="L25" s="1"/>
  <c r="M25" s="1"/>
  <c r="F3174"/>
  <c r="L3174" s="1"/>
  <c r="M3174" s="1"/>
  <c r="F1179"/>
  <c r="J1179" s="1"/>
  <c r="M1179" s="1"/>
  <c r="F2221"/>
  <c r="J2221" s="1"/>
  <c r="M2221" s="1"/>
  <c r="F1437"/>
  <c r="F1479"/>
  <c r="L1479" s="1"/>
  <c r="M1479" s="1"/>
  <c r="F226"/>
  <c r="F1031"/>
  <c r="L1031" s="1"/>
  <c r="M1031" s="1"/>
  <c r="F594"/>
  <c r="H594" s="1"/>
  <c r="M594" s="1"/>
  <c r="F2031"/>
  <c r="F2037" s="1"/>
  <c r="F660"/>
  <c r="H660" s="1"/>
  <c r="M660" s="1"/>
  <c r="F893"/>
  <c r="J893" s="1"/>
  <c r="M893" s="1"/>
  <c r="F899"/>
  <c r="H899" s="1"/>
  <c r="M899" s="1"/>
  <c r="F1051"/>
  <c r="J1051" s="1"/>
  <c r="M1051" s="1"/>
  <c r="F2692"/>
  <c r="H2692" s="1"/>
  <c r="M2692" s="1"/>
  <c r="F3356"/>
  <c r="L3356" s="1"/>
  <c r="M3356" s="1"/>
  <c r="F946"/>
  <c r="L946" s="1"/>
  <c r="M946" s="1"/>
  <c r="F2499"/>
  <c r="H2499" s="1"/>
  <c r="M2499" s="1"/>
  <c r="F2213"/>
  <c r="H2213" s="1"/>
  <c r="M2213" s="1"/>
  <c r="F1961"/>
  <c r="H1961" s="1"/>
  <c r="M1961" s="1"/>
  <c r="F1866"/>
  <c r="J1866" s="1"/>
  <c r="M1866" s="1"/>
  <c r="F2484"/>
  <c r="H2484" s="1"/>
  <c r="M2484" s="1"/>
  <c r="F1461"/>
  <c r="F2068"/>
  <c r="H2068" s="1"/>
  <c r="M2068" s="1"/>
  <c r="F1529"/>
  <c r="J1529" s="1"/>
  <c r="M1529" s="1"/>
  <c r="F178"/>
  <c r="H178" s="1"/>
  <c r="M178" s="1"/>
  <c r="F634"/>
  <c r="F823"/>
  <c r="L823" s="1"/>
  <c r="M823" s="1"/>
  <c r="F948"/>
  <c r="H948" s="1"/>
  <c r="M948" s="1"/>
  <c r="F210"/>
  <c r="H210" s="1"/>
  <c r="M210" s="1"/>
  <c r="F1492"/>
  <c r="L1492" s="1"/>
  <c r="M1492" s="1"/>
  <c r="F970"/>
  <c r="J970" s="1"/>
  <c r="M970" s="1"/>
  <c r="F756"/>
  <c r="F758" s="1"/>
  <c r="L758" s="1"/>
  <c r="M758" s="1"/>
  <c r="F1494"/>
  <c r="H1494" s="1"/>
  <c r="M1494" s="1"/>
  <c r="F1890"/>
  <c r="H1890" s="1"/>
  <c r="M1890" s="1"/>
  <c r="F2009"/>
  <c r="H2009" s="1"/>
  <c r="M2009" s="1"/>
  <c r="F1298"/>
  <c r="H1298" s="1"/>
  <c r="M1298" s="1"/>
  <c r="F3176"/>
  <c r="H3176" s="1"/>
  <c r="M3176" s="1"/>
  <c r="F1958"/>
  <c r="L1958" s="1"/>
  <c r="M1958" s="1"/>
  <c r="F1322"/>
  <c r="H1322" s="1"/>
  <c r="M1322" s="1"/>
  <c r="F2357"/>
  <c r="H2357" s="1"/>
  <c r="M2357" s="1"/>
  <c r="F818"/>
  <c r="H818" s="1"/>
  <c r="M818" s="1"/>
  <c r="F857"/>
  <c r="H857" s="1"/>
  <c r="M857" s="1"/>
  <c r="F2760"/>
  <c r="H2760" s="1"/>
  <c r="M2760" s="1"/>
  <c r="F2064"/>
  <c r="J2064" s="1"/>
  <c r="M2064" s="1"/>
  <c r="F1491"/>
  <c r="J1491" s="1"/>
  <c r="M1491" s="1"/>
  <c r="F1500"/>
  <c r="L1500" s="1"/>
  <c r="M1500" s="1"/>
  <c r="F1538"/>
  <c r="F1898"/>
  <c r="J1898" s="1"/>
  <c r="M1898" s="1"/>
  <c r="F1183"/>
  <c r="H1183" s="1"/>
  <c r="M1183" s="1"/>
  <c r="F1960"/>
  <c r="H1960" s="1"/>
  <c r="M1960" s="1"/>
  <c r="F1144"/>
  <c r="J1144" s="1"/>
  <c r="M1144" s="1"/>
  <c r="F3177"/>
  <c r="H3177" s="1"/>
  <c r="M3177" s="1"/>
  <c r="F677"/>
  <c r="L677" s="1"/>
  <c r="M677" s="1"/>
  <c r="F1438"/>
  <c r="F229"/>
  <c r="F595"/>
  <c r="H595" s="1"/>
  <c r="M595" s="1"/>
  <c r="F99"/>
  <c r="F1035"/>
  <c r="H1035" s="1"/>
  <c r="M1035" s="1"/>
  <c r="F2096"/>
  <c r="J2096" s="1"/>
  <c r="M2096" s="1"/>
  <c r="F1034"/>
  <c r="H1034" s="1"/>
  <c r="M1034" s="1"/>
  <c r="F64"/>
  <c r="J64" s="1"/>
  <c r="M64" s="1"/>
  <c r="F851"/>
  <c r="H851" s="1"/>
  <c r="M851" s="1"/>
  <c r="F894"/>
  <c r="L894" s="1"/>
  <c r="M894" s="1"/>
  <c r="F1054"/>
  <c r="H1054" s="1"/>
  <c r="M1054" s="1"/>
  <c r="F2681"/>
  <c r="J2681" s="1"/>
  <c r="M2681" s="1"/>
  <c r="F949"/>
  <c r="H949" s="1"/>
  <c r="M949" s="1"/>
  <c r="F2498"/>
  <c r="H2498" s="1"/>
  <c r="M2498" s="1"/>
  <c r="F2161"/>
  <c r="H2161" s="1"/>
  <c r="M2161" s="1"/>
  <c r="F1976"/>
  <c r="L1976" s="1"/>
  <c r="M1976" s="1"/>
  <c r="F2738"/>
  <c r="H2738" s="1"/>
  <c r="M2738" s="1"/>
  <c r="F2438"/>
  <c r="H2438" s="1"/>
  <c r="M2438" s="1"/>
  <c r="F77"/>
  <c r="L77" s="1"/>
  <c r="M77" s="1"/>
  <c r="F2065"/>
  <c r="L2065" s="1"/>
  <c r="M2065" s="1"/>
  <c r="F1886"/>
  <c r="J1886" s="1"/>
  <c r="M1886" s="1"/>
  <c r="F850"/>
  <c r="H850" s="1"/>
  <c r="M850" s="1"/>
  <c r="F976"/>
  <c r="H976" s="1"/>
  <c r="M976" s="1"/>
  <c r="F3455"/>
  <c r="H3455" s="1"/>
  <c r="F2647"/>
  <c r="J2647" s="1"/>
  <c r="M2647" s="1"/>
  <c r="F853"/>
  <c r="J853" s="1"/>
  <c r="M853" s="1"/>
  <c r="F1503"/>
  <c r="H1503" s="1"/>
  <c r="M1503" s="1"/>
  <c r="F1530"/>
  <c r="L1530" s="1"/>
  <c r="M1530" s="1"/>
  <c r="F2222"/>
  <c r="L2222" s="1"/>
  <c r="M2222" s="1"/>
  <c r="F2021"/>
  <c r="F3120"/>
  <c r="L3120" s="1"/>
  <c r="M3120" s="1"/>
  <c r="F2670"/>
  <c r="J2670" s="1"/>
  <c r="M2670" s="1"/>
  <c r="F3122"/>
  <c r="H3122" s="1"/>
  <c r="M3122" s="1"/>
  <c r="F2242"/>
  <c r="J2242" s="1"/>
  <c r="M2242" s="1"/>
  <c r="F3044"/>
  <c r="L3044" s="1"/>
  <c r="M3044" s="1"/>
  <c r="F1495"/>
  <c r="H1495" s="1"/>
  <c r="M1495" s="1"/>
  <c r="F1979"/>
  <c r="H1979" s="1"/>
  <c r="M1979" s="1"/>
  <c r="F2017"/>
  <c r="F2273"/>
  <c r="L2273" s="1"/>
  <c r="M2273" s="1"/>
  <c r="F3173"/>
  <c r="J3173" s="1"/>
  <c r="M3173" s="1"/>
  <c r="F1278"/>
  <c r="H1278" s="1"/>
  <c r="M1278" s="1"/>
  <c r="F676"/>
  <c r="J676" s="1"/>
  <c r="M676" s="1"/>
  <c r="F1275"/>
  <c r="J1275" s="1"/>
  <c r="M1275" s="1"/>
  <c r="F3358"/>
  <c r="H3358" s="1"/>
  <c r="M3358" s="1"/>
  <c r="F1729"/>
  <c r="H1729" s="1"/>
  <c r="M1729" s="1"/>
  <c r="F591"/>
  <c r="L591" s="1"/>
  <c r="M591" s="1"/>
  <c r="F590"/>
  <c r="J590" s="1"/>
  <c r="M590" s="1"/>
  <c r="F1030"/>
  <c r="J1030" s="1"/>
  <c r="M1030" s="1"/>
  <c r="F208"/>
  <c r="L208" s="1"/>
  <c r="M208" s="1"/>
  <c r="F847"/>
  <c r="J847" s="1"/>
  <c r="M847" s="1"/>
  <c r="F2162"/>
  <c r="H2162" s="1"/>
  <c r="M2162" s="1"/>
  <c r="F2683"/>
  <c r="L2683" s="1"/>
  <c r="M2683" s="1"/>
  <c r="F2496"/>
  <c r="L2496" s="1"/>
  <c r="M2496" s="1"/>
  <c r="F2159"/>
  <c r="L2159" s="1"/>
  <c r="M2159" s="1"/>
  <c r="F2008"/>
  <c r="H2008" s="1"/>
  <c r="M2008" s="1"/>
  <c r="F2735"/>
  <c r="L2735" s="1"/>
  <c r="M2735" s="1"/>
  <c r="F2485"/>
  <c r="H2485" s="1"/>
  <c r="M2485" s="1"/>
  <c r="F2465"/>
  <c r="H2465" s="1"/>
  <c r="M2465" s="1"/>
  <c r="F1462"/>
  <c r="F975"/>
  <c r="H975" s="1"/>
  <c r="M975" s="1"/>
  <c r="F2481"/>
  <c r="J2481" s="1"/>
  <c r="M2481" s="1"/>
  <c r="F971"/>
  <c r="L971" s="1"/>
  <c r="M971" s="1"/>
  <c r="F3114"/>
  <c r="L3114" s="1"/>
  <c r="M3114" s="1"/>
  <c r="H3517"/>
  <c r="J3517"/>
  <c r="F2671"/>
  <c r="L2671" s="1"/>
  <c r="M2671" s="1"/>
  <c r="F3430"/>
  <c r="H3430" s="1"/>
  <c r="M3430" s="1"/>
  <c r="F2651"/>
  <c r="H2651" s="1"/>
  <c r="M2651" s="1"/>
  <c r="F3261"/>
  <c r="L3261" s="1"/>
  <c r="M3261" s="1"/>
  <c r="F2356"/>
  <c r="H2356" s="1"/>
  <c r="M2356" s="1"/>
  <c r="F1907"/>
  <c r="L1907" s="1"/>
  <c r="M1907" s="1"/>
  <c r="F1006"/>
  <c r="H1006" s="1"/>
  <c r="M1006" s="1"/>
  <c r="F1009"/>
  <c r="H1009" s="1"/>
  <c r="M1009" s="1"/>
  <c r="F1070"/>
  <c r="J1070" s="1"/>
  <c r="M1070" s="1"/>
  <c r="F2425"/>
  <c r="J2425" s="1"/>
  <c r="M2425" s="1"/>
  <c r="F2537"/>
  <c r="J2537" s="1"/>
  <c r="M2537" s="1"/>
  <c r="F2606"/>
  <c r="J2606" s="1"/>
  <c r="M2606" s="1"/>
  <c r="F2766"/>
  <c r="H2766" s="1"/>
  <c r="M2766" s="1"/>
  <c r="F1919"/>
  <c r="J1919" s="1"/>
  <c r="M1919" s="1"/>
  <c r="F649"/>
  <c r="L649" s="1"/>
  <c r="M649" s="1"/>
  <c r="F1574"/>
  <c r="J1574" s="1"/>
  <c r="M1574" s="1"/>
  <c r="F766"/>
  <c r="L766" s="1"/>
  <c r="M766" s="1"/>
  <c r="F435"/>
  <c r="L435" s="1"/>
  <c r="M435" s="1"/>
  <c r="F2786"/>
  <c r="J2786" s="1"/>
  <c r="M2786" s="1"/>
  <c r="F860"/>
  <c r="L860" s="1"/>
  <c r="M860" s="1"/>
  <c r="F1580"/>
  <c r="H1580" s="1"/>
  <c r="M1580" s="1"/>
  <c r="F1727"/>
  <c r="H1727" s="1"/>
  <c r="M1727" s="1"/>
  <c r="F1726"/>
  <c r="H1726" s="1"/>
  <c r="M1726" s="1"/>
  <c r="F22"/>
  <c r="L22" s="1"/>
  <c r="M22" s="1"/>
  <c r="F252"/>
  <c r="J252" s="1"/>
  <c r="M252" s="1"/>
  <c r="F1934"/>
  <c r="H1934" s="1"/>
  <c r="M1934" s="1"/>
  <c r="F211"/>
  <c r="H211" s="1"/>
  <c r="M211" s="1"/>
  <c r="F1115"/>
  <c r="H1115" s="1"/>
  <c r="M1115" s="1"/>
  <c r="F2209"/>
  <c r="J2209" s="1"/>
  <c r="M2209" s="1"/>
  <c r="F1592"/>
  <c r="H1592" s="1"/>
  <c r="M1592" s="1"/>
  <c r="F2164"/>
  <c r="H2164" s="1"/>
  <c r="M2164" s="1"/>
  <c r="F2167"/>
  <c r="H2167" s="1"/>
  <c r="M2167" s="1"/>
  <c r="F2210"/>
  <c r="L2210" s="1"/>
  <c r="M2210" s="1"/>
  <c r="F648"/>
  <c r="J648" s="1"/>
  <c r="M648" s="1"/>
  <c r="F1868"/>
  <c r="H1868" s="1"/>
  <c r="M1868" s="1"/>
  <c r="F2586"/>
  <c r="H2586" s="1"/>
  <c r="M2586" s="1"/>
  <c r="F1506"/>
  <c r="L1506" s="1"/>
  <c r="M1506" s="1"/>
  <c r="F1114"/>
  <c r="H1114" s="1"/>
  <c r="M1114" s="1"/>
  <c r="F966"/>
  <c r="H966" s="1"/>
  <c r="M966" s="1"/>
  <c r="F1194"/>
  <c r="H1194" s="1"/>
  <c r="M1194" s="1"/>
  <c r="F1225"/>
  <c r="H1225" s="1"/>
  <c r="M1225" s="1"/>
  <c r="F1612"/>
  <c r="J1612" s="1"/>
  <c r="M1612" s="1"/>
  <c r="F1122"/>
  <c r="J1122" s="1"/>
  <c r="M1122" s="1"/>
  <c r="F2292"/>
  <c r="L2292" s="1"/>
  <c r="M2292" s="1"/>
  <c r="F1071"/>
  <c r="L1071" s="1"/>
  <c r="M1071" s="1"/>
  <c r="F2428"/>
  <c r="H2428" s="1"/>
  <c r="M2428" s="1"/>
  <c r="F166"/>
  <c r="F198"/>
  <c r="F169"/>
  <c r="F463"/>
  <c r="H463" s="1"/>
  <c r="M463" s="1"/>
  <c r="F199"/>
  <c r="F305"/>
  <c r="H305" s="1"/>
  <c r="M305" s="1"/>
  <c r="F631"/>
  <c r="H631" s="1"/>
  <c r="M631" s="1"/>
  <c r="F1197"/>
  <c r="H1197" s="1"/>
  <c r="M1197" s="1"/>
  <c r="F1254"/>
  <c r="H1254" s="1"/>
  <c r="M1254" s="1"/>
  <c r="F1577"/>
  <c r="J1577" s="1"/>
  <c r="M1577" s="1"/>
  <c r="F2648"/>
  <c r="L2648" s="1"/>
  <c r="M2648" s="1"/>
  <c r="F2354"/>
  <c r="L2354" s="1"/>
  <c r="M2354" s="1"/>
  <c r="F1003"/>
  <c r="J1003" s="1"/>
  <c r="M1003" s="1"/>
  <c r="F1004"/>
  <c r="L1004" s="1"/>
  <c r="M1004" s="1"/>
  <c r="F2723"/>
  <c r="L2723" s="1"/>
  <c r="M2723" s="1"/>
  <c r="F765"/>
  <c r="J765" s="1"/>
  <c r="M765" s="1"/>
  <c r="F2247"/>
  <c r="H2247" s="1"/>
  <c r="M2247" s="1"/>
  <c r="F862"/>
  <c r="H862" s="1"/>
  <c r="M862" s="1"/>
  <c r="F2272"/>
  <c r="J2272" s="1"/>
  <c r="M2272" s="1"/>
  <c r="F653"/>
  <c r="H653" s="1"/>
  <c r="M653" s="1"/>
  <c r="F438"/>
  <c r="H438" s="1"/>
  <c r="M438" s="1"/>
  <c r="F2765"/>
  <c r="H2765" s="1"/>
  <c r="M2765" s="1"/>
  <c r="F1411"/>
  <c r="F1732"/>
  <c r="H1732" s="1"/>
  <c r="M1732" s="1"/>
  <c r="F1724"/>
  <c r="L1724" s="1"/>
  <c r="M1724" s="1"/>
  <c r="F1835"/>
  <c r="J1835" s="1"/>
  <c r="M1835" s="1"/>
  <c r="F1723"/>
  <c r="J1723" s="1"/>
  <c r="M1723" s="1"/>
  <c r="F255"/>
  <c r="H255" s="1"/>
  <c r="M255" s="1"/>
  <c r="F2560"/>
  <c r="L2560" s="1"/>
  <c r="M2560" s="1"/>
  <c r="F2097"/>
  <c r="L2097" s="1"/>
  <c r="M2097" s="1"/>
  <c r="F1932"/>
  <c r="L1932" s="1"/>
  <c r="M1932" s="1"/>
  <c r="F207"/>
  <c r="J207" s="1"/>
  <c r="M207" s="1"/>
  <c r="F1119"/>
  <c r="H1119" s="1"/>
  <c r="M1119" s="1"/>
  <c r="F1410"/>
  <c r="F2166"/>
  <c r="H2166" s="1"/>
  <c r="M2166" s="1"/>
  <c r="F2158"/>
  <c r="J2158" s="1"/>
  <c r="M2158" s="1"/>
  <c r="F437"/>
  <c r="H437" s="1"/>
  <c r="M437" s="1"/>
  <c r="F1870"/>
  <c r="H1870" s="1"/>
  <c r="M1870" s="1"/>
  <c r="F1825"/>
  <c r="J1825" s="1"/>
  <c r="M1825" s="1"/>
  <c r="F2583"/>
  <c r="J2583" s="1"/>
  <c r="M2583" s="1"/>
  <c r="F1505"/>
  <c r="J1505" s="1"/>
  <c r="M1505" s="1"/>
  <c r="F1110"/>
  <c r="L1110" s="1"/>
  <c r="M1110" s="1"/>
  <c r="F933"/>
  <c r="J933" s="1"/>
  <c r="M933" s="1"/>
  <c r="F963"/>
  <c r="J963" s="1"/>
  <c r="M963" s="1"/>
  <c r="F1199"/>
  <c r="H1199" s="1"/>
  <c r="M1199" s="1"/>
  <c r="F1221"/>
  <c r="L1221" s="1"/>
  <c r="M1221" s="1"/>
  <c r="F1616"/>
  <c r="H1616" s="1"/>
  <c r="M1616" s="1"/>
  <c r="F2295"/>
  <c r="H2295" s="1"/>
  <c r="M2295" s="1"/>
  <c r="F2294"/>
  <c r="H2294" s="1"/>
  <c r="M2294" s="1"/>
  <c r="F1007"/>
  <c r="H1007" s="1"/>
  <c r="M1007" s="1"/>
  <c r="F197"/>
  <c r="F964"/>
  <c r="L964" s="1"/>
  <c r="M964" s="1"/>
  <c r="F107"/>
  <c r="J107" s="1"/>
  <c r="M107" s="1"/>
  <c r="F256"/>
  <c r="H256" s="1"/>
  <c r="M256" s="1"/>
  <c r="F464"/>
  <c r="H464" s="1"/>
  <c r="M464" s="1"/>
  <c r="F1223"/>
  <c r="H1223" s="1"/>
  <c r="M1223" s="1"/>
  <c r="F193"/>
  <c r="F303"/>
  <c r="L303" s="1"/>
  <c r="M303" s="1"/>
  <c r="F80"/>
  <c r="L80" s="1"/>
  <c r="M80" s="1"/>
  <c r="F2246"/>
  <c r="H2246" s="1"/>
  <c r="M2246" s="1"/>
  <c r="F2587"/>
  <c r="H2587" s="1"/>
  <c r="M2587" s="1"/>
  <c r="F2843"/>
  <c r="F1014"/>
  <c r="H1014" s="1"/>
  <c r="M1014" s="1"/>
  <c r="F2475"/>
  <c r="H2475" s="1"/>
  <c r="M2475" s="1"/>
  <c r="F2245"/>
  <c r="H2245" s="1"/>
  <c r="M2245" s="1"/>
  <c r="F652"/>
  <c r="H652" s="1"/>
  <c r="M652" s="1"/>
  <c r="F768"/>
  <c r="H768" s="1"/>
  <c r="M768" s="1"/>
  <c r="F1728"/>
  <c r="H1728" s="1"/>
  <c r="M1728" s="1"/>
  <c r="F1730"/>
  <c r="H1730" s="1"/>
  <c r="M1730" s="1"/>
  <c r="F2099"/>
  <c r="H2099" s="1"/>
  <c r="M2099" s="1"/>
  <c r="F2563"/>
  <c r="H2563" s="1"/>
  <c r="M2563" s="1"/>
  <c r="F212"/>
  <c r="H212" s="1"/>
  <c r="M212" s="1"/>
  <c r="F1109"/>
  <c r="J1109" s="1"/>
  <c r="M1109" s="1"/>
  <c r="F1575"/>
  <c r="L1575" s="1"/>
  <c r="M1575" s="1"/>
  <c r="F1588"/>
  <c r="J1588" s="1"/>
  <c r="M1588" s="1"/>
  <c r="F2163"/>
  <c r="H2163" s="1"/>
  <c r="M2163" s="1"/>
  <c r="F82"/>
  <c r="J82" s="1"/>
  <c r="M82" s="1"/>
  <c r="F33"/>
  <c r="J33" s="1"/>
  <c r="M33" s="1"/>
  <c r="F937"/>
  <c r="H937" s="1"/>
  <c r="M937" s="1"/>
  <c r="F1193"/>
  <c r="H1193" s="1"/>
  <c r="M1193" s="1"/>
  <c r="F1125"/>
  <c r="H1125" s="1"/>
  <c r="M1125" s="1"/>
  <c r="F170"/>
  <c r="F886"/>
  <c r="H886" s="1"/>
  <c r="M886" s="1"/>
  <c r="J3426"/>
  <c r="H3426"/>
  <c r="J3457"/>
  <c r="H3457"/>
  <c r="F2448"/>
  <c r="H2448" s="1"/>
  <c r="M2448" s="1"/>
  <c r="F2445"/>
  <c r="J2445" s="1"/>
  <c r="M2445" s="1"/>
  <c r="F2446"/>
  <c r="L2446" s="1"/>
  <c r="M2446" s="1"/>
  <c r="F3065"/>
  <c r="L3065" s="1"/>
  <c r="M3065" s="1"/>
  <c r="F3064"/>
  <c r="J3064" s="1"/>
  <c r="M3064" s="1"/>
  <c r="F3487"/>
  <c r="F3481"/>
  <c r="L3481" s="1"/>
  <c r="M3481" s="1"/>
  <c r="F3484"/>
  <c r="L3484" s="1"/>
  <c r="M3484" s="1"/>
  <c r="F3486"/>
  <c r="L3486" s="1"/>
  <c r="M3486" s="1"/>
  <c r="F3488"/>
  <c r="F3485"/>
  <c r="L3485" s="1"/>
  <c r="M3485" s="1"/>
  <c r="F3482"/>
  <c r="L3482" s="1"/>
  <c r="M3482" s="1"/>
  <c r="F3480"/>
  <c r="F3483"/>
  <c r="L3483" s="1"/>
  <c r="M3483" s="1"/>
  <c r="F3511"/>
  <c r="L3511" s="1"/>
  <c r="M3511" s="1"/>
  <c r="F3510"/>
  <c r="F983"/>
  <c r="H983" s="1"/>
  <c r="M983" s="1"/>
  <c r="F982"/>
  <c r="H982" s="1"/>
  <c r="M982" s="1"/>
  <c r="F978"/>
  <c r="J978" s="1"/>
  <c r="M978" s="1"/>
  <c r="F981"/>
  <c r="H981" s="1"/>
  <c r="M981" s="1"/>
  <c r="F3520"/>
  <c r="H3520" s="1"/>
  <c r="M3520" s="1"/>
  <c r="F3521"/>
  <c r="H3521" s="1"/>
  <c r="M3521" s="1"/>
  <c r="F2850"/>
  <c r="F2854"/>
  <c r="F2852"/>
  <c r="F2848"/>
  <c r="F3456"/>
  <c r="J3456" s="1"/>
  <c r="F3260"/>
  <c r="J3260" s="1"/>
  <c r="M3260" s="1"/>
  <c r="F3320"/>
  <c r="H3320" s="1"/>
  <c r="M3320" s="1"/>
  <c r="F2473"/>
  <c r="L2473" s="1"/>
  <c r="M2473" s="1"/>
  <c r="F3275"/>
  <c r="H3275" s="1"/>
  <c r="M3275" s="1"/>
  <c r="F446"/>
  <c r="H446" s="1"/>
  <c r="M446" s="1"/>
  <c r="F445"/>
  <c r="H445" s="1"/>
  <c r="M445" s="1"/>
  <c r="F3519"/>
  <c r="L3519" s="1"/>
  <c r="M3519" s="1"/>
  <c r="F3067"/>
  <c r="H3067" s="1"/>
  <c r="M3067" s="1"/>
  <c r="F355"/>
  <c r="F1586"/>
  <c r="H1586" s="1"/>
  <c r="M1586" s="1"/>
  <c r="F1582"/>
  <c r="J1582" s="1"/>
  <c r="M1582" s="1"/>
  <c r="F839"/>
  <c r="H839" s="1"/>
  <c r="M839" s="1"/>
  <c r="F835"/>
  <c r="J835" s="1"/>
  <c r="M835" s="1"/>
  <c r="F838"/>
  <c r="H838" s="1"/>
  <c r="M838" s="1"/>
  <c r="F836"/>
  <c r="L836" s="1"/>
  <c r="M836" s="1"/>
  <c r="F777"/>
  <c r="H777" s="1"/>
  <c r="M777" s="1"/>
  <c r="F776"/>
  <c r="H776" s="1"/>
  <c r="M776" s="1"/>
  <c r="F775"/>
  <c r="H775" s="1"/>
  <c r="M775" s="1"/>
  <c r="F724"/>
  <c r="H724" s="1"/>
  <c r="M724" s="1"/>
  <c r="F727"/>
  <c r="H727" s="1"/>
  <c r="M727" s="1"/>
  <c r="F729"/>
  <c r="H729" s="1"/>
  <c r="M729" s="1"/>
  <c r="F721"/>
  <c r="J721" s="1"/>
  <c r="M721" s="1"/>
  <c r="F726"/>
  <c r="H726" s="1"/>
  <c r="M726" s="1"/>
  <c r="F665"/>
  <c r="H665" s="1"/>
  <c r="M665" s="1"/>
  <c r="F663"/>
  <c r="L663" s="1"/>
  <c r="M663" s="1"/>
  <c r="F666"/>
  <c r="H666" s="1"/>
  <c r="M666" s="1"/>
  <c r="F571"/>
  <c r="L571" s="1"/>
  <c r="M571" s="1"/>
  <c r="F574"/>
  <c r="H574" s="1"/>
  <c r="M574" s="1"/>
  <c r="F573"/>
  <c r="H573" s="1"/>
  <c r="M573" s="1"/>
  <c r="F549"/>
  <c r="F546"/>
  <c r="F517"/>
  <c r="H517" s="1"/>
  <c r="M517" s="1"/>
  <c r="F512"/>
  <c r="L512" s="1"/>
  <c r="M512" s="1"/>
  <c r="F516"/>
  <c r="H516" s="1"/>
  <c r="M516" s="1"/>
  <c r="F518"/>
  <c r="H518" s="1"/>
  <c r="M518" s="1"/>
  <c r="F514"/>
  <c r="H514" s="1"/>
  <c r="M514" s="1"/>
  <c r="F459"/>
  <c r="H459" s="1"/>
  <c r="M459" s="1"/>
  <c r="F456"/>
  <c r="J456" s="1"/>
  <c r="M456" s="1"/>
  <c r="F278"/>
  <c r="H278" s="1"/>
  <c r="M278" s="1"/>
  <c r="F272"/>
  <c r="L272" s="1"/>
  <c r="M272" s="1"/>
  <c r="F275"/>
  <c r="H275" s="1"/>
  <c r="M275" s="1"/>
  <c r="F271"/>
  <c r="J271" s="1"/>
  <c r="M271" s="1"/>
  <c r="F239"/>
  <c r="J239" s="1"/>
  <c r="M239" s="1"/>
  <c r="F240"/>
  <c r="L240" s="1"/>
  <c r="M240" s="1"/>
  <c r="F242"/>
  <c r="H242" s="1"/>
  <c r="M242" s="1"/>
  <c r="F115"/>
  <c r="F116"/>
  <c r="F105"/>
  <c r="F104"/>
  <c r="F1982"/>
  <c r="L1982" s="1"/>
  <c r="M1982" s="1"/>
  <c r="F1981"/>
  <c r="J1981" s="1"/>
  <c r="M1981" s="1"/>
  <c r="F1985"/>
  <c r="H1985" s="1"/>
  <c r="M1985" s="1"/>
  <c r="F1969"/>
  <c r="F1970"/>
  <c r="F1972"/>
  <c r="F1954"/>
  <c r="H1954" s="1"/>
  <c r="M1954" s="1"/>
  <c r="F1951"/>
  <c r="J1951" s="1"/>
  <c r="M1951" s="1"/>
  <c r="F1955"/>
  <c r="H1955" s="1"/>
  <c r="M1955" s="1"/>
  <c r="F467"/>
  <c r="L467" s="1"/>
  <c r="M467" s="1"/>
  <c r="F470"/>
  <c r="H470" s="1"/>
  <c r="M470" s="1"/>
  <c r="F471"/>
  <c r="H471" s="1"/>
  <c r="M471" s="1"/>
  <c r="F466"/>
  <c r="J466" s="1"/>
  <c r="M466" s="1"/>
  <c r="F942"/>
  <c r="H942" s="1"/>
  <c r="M942" s="1"/>
  <c r="F943"/>
  <c r="H943" s="1"/>
  <c r="M943" s="1"/>
  <c r="F939"/>
  <c r="J939" s="1"/>
  <c r="M939" s="1"/>
  <c r="F2772"/>
  <c r="H2772" s="1"/>
  <c r="M2772" s="1"/>
  <c r="F2771"/>
  <c r="H2771" s="1"/>
  <c r="M2771" s="1"/>
  <c r="F2768"/>
  <c r="J2768" s="1"/>
  <c r="M2768" s="1"/>
  <c r="F2769"/>
  <c r="L2769" s="1"/>
  <c r="M2769" s="1"/>
  <c r="F746"/>
  <c r="H746" s="1"/>
  <c r="M746" s="1"/>
  <c r="F743"/>
  <c r="J743" s="1"/>
  <c r="M743" s="1"/>
  <c r="F747"/>
  <c r="H747" s="1"/>
  <c r="M747" s="1"/>
  <c r="F1681"/>
  <c r="H1681" s="1"/>
  <c r="M1681" s="1"/>
  <c r="F1680"/>
  <c r="L1680" s="1"/>
  <c r="M1680" s="1"/>
  <c r="F1701"/>
  <c r="H1701" s="1"/>
  <c r="M1701" s="1"/>
  <c r="F1702"/>
  <c r="H1702" s="1"/>
  <c r="M1702" s="1"/>
  <c r="F1698"/>
  <c r="J1698" s="1"/>
  <c r="M1698" s="1"/>
  <c r="F1707"/>
  <c r="H1707" s="1"/>
  <c r="M1707" s="1"/>
  <c r="F1704"/>
  <c r="H1704" s="1"/>
  <c r="M1704" s="1"/>
  <c r="F1705"/>
  <c r="H1705" s="1"/>
  <c r="M1705" s="1"/>
  <c r="F1703"/>
  <c r="H1703" s="1"/>
  <c r="M1703" s="1"/>
  <c r="F1738"/>
  <c r="H1738" s="1"/>
  <c r="M1738" s="1"/>
  <c r="F1735"/>
  <c r="J1735" s="1"/>
  <c r="M1735" s="1"/>
  <c r="F1758"/>
  <c r="H1758" s="1"/>
  <c r="M1758" s="1"/>
  <c r="F1754"/>
  <c r="J1754" s="1"/>
  <c r="M1754" s="1"/>
  <c r="F1757"/>
  <c r="H1757" s="1"/>
  <c r="M1757" s="1"/>
  <c r="F2420"/>
  <c r="J2420" s="1"/>
  <c r="M2420" s="1"/>
  <c r="F2423"/>
  <c r="H2423" s="1"/>
  <c r="M2423" s="1"/>
  <c r="F2125"/>
  <c r="H2125" s="1"/>
  <c r="M2125" s="1"/>
  <c r="F2126"/>
  <c r="H2126" s="1"/>
  <c r="M2126" s="1"/>
  <c r="F2124"/>
  <c r="H2124" s="1"/>
  <c r="M2124" s="1"/>
  <c r="F2122"/>
  <c r="L2122" s="1"/>
  <c r="M2122" s="1"/>
  <c r="F2121"/>
  <c r="J2121" s="1"/>
  <c r="M2121" s="1"/>
  <c r="F2192"/>
  <c r="J2192" s="1"/>
  <c r="M2192" s="1"/>
  <c r="F2195"/>
  <c r="H2195" s="1"/>
  <c r="M2195" s="1"/>
  <c r="F2193"/>
  <c r="L2193" s="1"/>
  <c r="M2193" s="1"/>
  <c r="F216"/>
  <c r="F217"/>
  <c r="H217" s="1"/>
  <c r="M217" s="1"/>
  <c r="F218"/>
  <c r="H218" s="1"/>
  <c r="M218" s="1"/>
  <c r="F214"/>
  <c r="J214" s="1"/>
  <c r="M214" s="1"/>
  <c r="F68"/>
  <c r="L68" s="1"/>
  <c r="M68" s="1"/>
  <c r="F67"/>
  <c r="J67" s="1"/>
  <c r="M67" s="1"/>
  <c r="F2280"/>
  <c r="J2280" s="1"/>
  <c r="M2280" s="1"/>
  <c r="F2284"/>
  <c r="H2284" s="1"/>
  <c r="M2284" s="1"/>
  <c r="F2281"/>
  <c r="L2281" s="1"/>
  <c r="M2281" s="1"/>
  <c r="F2328"/>
  <c r="J2328" s="1"/>
  <c r="M2328" s="1"/>
  <c r="F2331"/>
  <c r="H2331" s="1"/>
  <c r="M2331" s="1"/>
  <c r="F2329"/>
  <c r="L2329" s="1"/>
  <c r="M2329" s="1"/>
  <c r="F316"/>
  <c r="F312"/>
  <c r="F317"/>
  <c r="F313"/>
  <c r="F315"/>
  <c r="F318"/>
  <c r="F338"/>
  <c r="H338" s="1"/>
  <c r="M338" s="1"/>
  <c r="F340"/>
  <c r="H340" s="1"/>
  <c r="M340" s="1"/>
  <c r="F339"/>
  <c r="H339" s="1"/>
  <c r="M339" s="1"/>
  <c r="F335"/>
  <c r="J335" s="1"/>
  <c r="M335" s="1"/>
  <c r="F3043"/>
  <c r="J3043" s="1"/>
  <c r="M3043" s="1"/>
  <c r="F2856"/>
  <c r="F2855"/>
  <c r="F3431"/>
  <c r="H3431" s="1"/>
  <c r="M3431" s="1"/>
  <c r="F3428"/>
  <c r="L3428" s="1"/>
  <c r="M3428" s="1"/>
  <c r="H3559"/>
  <c r="M3559" s="1"/>
  <c r="F3264"/>
  <c r="H3264" s="1"/>
  <c r="M3264" s="1"/>
  <c r="F3047"/>
  <c r="H3047" s="1"/>
  <c r="M3047" s="1"/>
  <c r="F3318"/>
  <c r="L3318" s="1"/>
  <c r="M3318" s="1"/>
  <c r="F442"/>
  <c r="L442" s="1"/>
  <c r="M442" s="1"/>
  <c r="F444"/>
  <c r="H444" s="1"/>
  <c r="M444" s="1"/>
  <c r="F3518"/>
  <c r="L3518" s="1"/>
  <c r="M3518" s="1"/>
  <c r="F3514"/>
  <c r="H3514" s="1"/>
  <c r="M3514" s="1"/>
  <c r="F2853"/>
  <c r="F547"/>
  <c r="F773"/>
  <c r="L773" s="1"/>
  <c r="M773" s="1"/>
  <c r="F491"/>
  <c r="H491" s="1"/>
  <c r="M491" s="1"/>
  <c r="F3058"/>
  <c r="L3058" s="1"/>
  <c r="M3058" s="1"/>
  <c r="F3061"/>
  <c r="H3061" s="1"/>
  <c r="M3061" s="1"/>
  <c r="F3060"/>
  <c r="H3060" s="1"/>
  <c r="M3060" s="1"/>
  <c r="F3062"/>
  <c r="H3062" s="1"/>
  <c r="M3062" s="1"/>
  <c r="F3057"/>
  <c r="J3057" s="1"/>
  <c r="M3057" s="1"/>
  <c r="F2719"/>
  <c r="H2719" s="1"/>
  <c r="M2719" s="1"/>
  <c r="F2715"/>
  <c r="J2715" s="1"/>
  <c r="M2715" s="1"/>
  <c r="F2716"/>
  <c r="L2716" s="1"/>
  <c r="M2716" s="1"/>
  <c r="F2575"/>
  <c r="H2575" s="1"/>
  <c r="M2575" s="1"/>
  <c r="F2571"/>
  <c r="J2571" s="1"/>
  <c r="M2571" s="1"/>
  <c r="F2572"/>
  <c r="L2572" s="1"/>
  <c r="M2572" s="1"/>
  <c r="F2574"/>
  <c r="H2574" s="1"/>
  <c r="M2574" s="1"/>
  <c r="F2550"/>
  <c r="H2550" s="1"/>
  <c r="M2550" s="1"/>
  <c r="F2548"/>
  <c r="L2548" s="1"/>
  <c r="M2548" s="1"/>
  <c r="F2547"/>
  <c r="J2547" s="1"/>
  <c r="M2547" s="1"/>
  <c r="F2551"/>
  <c r="H2551" s="1"/>
  <c r="M2551" s="1"/>
  <c r="F2753"/>
  <c r="H2753" s="1"/>
  <c r="M2753" s="1"/>
  <c r="F2754"/>
  <c r="H2754" s="1"/>
  <c r="M2754" s="1"/>
  <c r="F2750"/>
  <c r="J2750" s="1"/>
  <c r="M2750" s="1"/>
  <c r="F1429"/>
  <c r="F1426"/>
  <c r="F1428"/>
  <c r="F2789"/>
  <c r="H2789" s="1"/>
  <c r="M2789" s="1"/>
  <c r="F2790"/>
  <c r="H2790" s="1"/>
  <c r="M2790" s="1"/>
  <c r="F1848"/>
  <c r="H1848" s="1"/>
  <c r="M1848" s="1"/>
  <c r="F1845"/>
  <c r="L1845" s="1"/>
  <c r="M1845" s="1"/>
  <c r="F1847"/>
  <c r="H1847" s="1"/>
  <c r="M1847" s="1"/>
  <c r="F2960"/>
  <c r="H2960" s="1"/>
  <c r="M2960" s="1"/>
  <c r="F2958"/>
  <c r="H2958" s="1"/>
  <c r="M2958" s="1"/>
  <c r="F2959"/>
  <c r="H2959" s="1"/>
  <c r="M2959" s="1"/>
  <c r="F906"/>
  <c r="H906" s="1"/>
  <c r="M906" s="1"/>
  <c r="F907"/>
  <c r="H907" s="1"/>
  <c r="M907" s="1"/>
  <c r="F901"/>
  <c r="J901" s="1"/>
  <c r="M901" s="1"/>
  <c r="F902"/>
  <c r="L902" s="1"/>
  <c r="M902" s="1"/>
  <c r="F904"/>
  <c r="H904" s="1"/>
  <c r="M904" s="1"/>
  <c r="F3390"/>
  <c r="L3390" s="1"/>
  <c r="M3390" s="1"/>
  <c r="F3392"/>
  <c r="L3392" s="1"/>
  <c r="M3392" s="1"/>
  <c r="F3395"/>
  <c r="L3395" s="1"/>
  <c r="M3395" s="1"/>
  <c r="F3397"/>
  <c r="H3397" s="1"/>
  <c r="F3396"/>
  <c r="F3394"/>
  <c r="L3394" s="1"/>
  <c r="M3394" s="1"/>
  <c r="F3393"/>
  <c r="L3393" s="1"/>
  <c r="M3393" s="1"/>
  <c r="F3389"/>
  <c r="J3389" s="1"/>
  <c r="F3391"/>
  <c r="L3391" s="1"/>
  <c r="M3391" s="1"/>
  <c r="F3150"/>
  <c r="J3150" s="1"/>
  <c r="M3150" s="1"/>
  <c r="F3151"/>
  <c r="L3151" s="1"/>
  <c r="M3151" s="1"/>
  <c r="F3427"/>
  <c r="L3427" s="1"/>
  <c r="M3427" s="1"/>
  <c r="F2847"/>
  <c r="F3429"/>
  <c r="H3429" s="1"/>
  <c r="M3429" s="1"/>
  <c r="F3317"/>
  <c r="J3317" s="1"/>
  <c r="M3317" s="1"/>
  <c r="F3522"/>
  <c r="H3522" s="1"/>
  <c r="M3522" s="1"/>
  <c r="F3512"/>
  <c r="L3512" s="1"/>
  <c r="M3512" s="1"/>
  <c r="F3153"/>
  <c r="H3153" s="1"/>
  <c r="M3153" s="1"/>
  <c r="F662"/>
  <c r="J662" s="1"/>
  <c r="M662" s="1"/>
  <c r="F979"/>
  <c r="L979" s="1"/>
  <c r="M979" s="1"/>
  <c r="F2956"/>
  <c r="L2956" s="1"/>
  <c r="M2956" s="1"/>
  <c r="F905"/>
  <c r="H905" s="1"/>
  <c r="M905" s="1"/>
  <c r="F2679"/>
  <c r="H2679" s="1"/>
  <c r="M2679" s="1"/>
  <c r="F2675"/>
  <c r="J2675" s="1"/>
  <c r="M2675" s="1"/>
  <c r="F2678"/>
  <c r="H2678" s="1"/>
  <c r="M2678" s="1"/>
  <c r="F2622"/>
  <c r="H2622" s="1"/>
  <c r="M2622" s="1"/>
  <c r="F2620"/>
  <c r="J2620" s="1"/>
  <c r="M2620" s="1"/>
  <c r="F2592"/>
  <c r="H2592" s="1"/>
  <c r="M2592" s="1"/>
  <c r="F2589"/>
  <c r="J2589" s="1"/>
  <c r="M2589" s="1"/>
  <c r="F2430"/>
  <c r="J2430" s="1"/>
  <c r="M2430" s="1"/>
  <c r="F2433"/>
  <c r="H2433" s="1"/>
  <c r="M2433" s="1"/>
  <c r="F2407"/>
  <c r="L2407" s="1"/>
  <c r="M2407" s="1"/>
  <c r="F2411"/>
  <c r="H2411" s="1"/>
  <c r="M2411" s="1"/>
  <c r="F2412"/>
  <c r="H2412" s="1"/>
  <c r="M2412" s="1"/>
  <c r="F2410"/>
  <c r="H2410" s="1"/>
  <c r="M2410" s="1"/>
  <c r="F1311"/>
  <c r="J1311" s="1"/>
  <c r="M1311" s="1"/>
  <c r="F1312"/>
  <c r="L1312" s="1"/>
  <c r="M1312" s="1"/>
  <c r="F1259"/>
  <c r="J1259" s="1"/>
  <c r="M1259" s="1"/>
  <c r="F1263"/>
  <c r="H1263" s="1"/>
  <c r="M1263" s="1"/>
  <c r="F1264"/>
  <c r="H1264" s="1"/>
  <c r="M1264" s="1"/>
  <c r="F1240"/>
  <c r="J1240" s="1"/>
  <c r="M1240" s="1"/>
  <c r="F1242"/>
  <c r="H1242" s="1"/>
  <c r="M1242" s="1"/>
  <c r="F1244"/>
  <c r="H1244" s="1"/>
  <c r="M1244" s="1"/>
  <c r="F1243"/>
  <c r="H1243" s="1"/>
  <c r="M1243" s="1"/>
  <c r="F1204"/>
  <c r="H1204" s="1"/>
  <c r="M1204" s="1"/>
  <c r="F1201"/>
  <c r="J1201" s="1"/>
  <c r="M1201" s="1"/>
  <c r="F1142"/>
  <c r="H1142" s="1"/>
  <c r="M1142" s="1"/>
  <c r="F1141"/>
  <c r="H1141" s="1"/>
  <c r="M1141" s="1"/>
  <c r="F1136"/>
  <c r="H1136" s="1"/>
  <c r="M1136" s="1"/>
  <c r="F1134"/>
  <c r="L1134" s="1"/>
  <c r="M1134" s="1"/>
  <c r="F2875"/>
  <c r="H2875" s="1"/>
  <c r="M2875" s="1"/>
  <c r="F2868"/>
  <c r="J2868" s="1"/>
  <c r="M2868" s="1"/>
  <c r="F2871"/>
  <c r="H2871" s="1"/>
  <c r="M2871" s="1"/>
  <c r="F127"/>
  <c r="J127" s="1"/>
  <c r="M127" s="1"/>
  <c r="F2869"/>
  <c r="L2869" s="1"/>
  <c r="M2869" s="1"/>
  <c r="F2873"/>
  <c r="H2873" s="1"/>
  <c r="M2873" s="1"/>
  <c r="F2874"/>
  <c r="H2874" s="1"/>
  <c r="M2874" s="1"/>
  <c r="F2876"/>
  <c r="H2876" s="1"/>
  <c r="M2876" s="1"/>
  <c r="F3355"/>
  <c r="J3355" s="1"/>
  <c r="M3355" s="1"/>
  <c r="F3344"/>
  <c r="L3344" s="1"/>
  <c r="M3344" s="1"/>
  <c r="F3346"/>
  <c r="H3346" s="1"/>
  <c r="M3346" s="1"/>
  <c r="F3330"/>
  <c r="L3330" s="1"/>
  <c r="M3330" s="1"/>
  <c r="F3312"/>
  <c r="L3312" s="1"/>
  <c r="M3312" s="1"/>
  <c r="F3315"/>
  <c r="H3315" s="1"/>
  <c r="M3315" s="1"/>
  <c r="F3297"/>
  <c r="H3297" s="1"/>
  <c r="M3297" s="1"/>
  <c r="F3296"/>
  <c r="H3296" s="1"/>
  <c r="M3296" s="1"/>
  <c r="F3196"/>
  <c r="H3196" s="1"/>
  <c r="M3196" s="1"/>
  <c r="F3121"/>
  <c r="F3123"/>
  <c r="H3123" s="1"/>
  <c r="M3123" s="1"/>
  <c r="F3027"/>
  <c r="L3027" s="1"/>
  <c r="M3027" s="1"/>
  <c r="F3030"/>
  <c r="H3030" s="1"/>
  <c r="M3030" s="1"/>
  <c r="F3026"/>
  <c r="J3026" s="1"/>
  <c r="M3026" s="1"/>
  <c r="F3031"/>
  <c r="H3031" s="1"/>
  <c r="M3031" s="1"/>
  <c r="F3029"/>
  <c r="H3029" s="1"/>
  <c r="M3029" s="1"/>
  <c r="F3033"/>
  <c r="H3033" s="1"/>
  <c r="M3033" s="1"/>
  <c r="F3246"/>
  <c r="H3246" s="1"/>
  <c r="M3246" s="1"/>
  <c r="F3242"/>
  <c r="J3242" s="1"/>
  <c r="M3242" s="1"/>
  <c r="F3243"/>
  <c r="L3243" s="1"/>
  <c r="M3243" s="1"/>
  <c r="F3245"/>
  <c r="H3245" s="1"/>
  <c r="M3245" s="1"/>
  <c r="F2864"/>
  <c r="F2860"/>
  <c r="F2861"/>
  <c r="F2863"/>
  <c r="F2886"/>
  <c r="F2880"/>
  <c r="F2884"/>
  <c r="F2888"/>
  <c r="F2885"/>
  <c r="F2883"/>
  <c r="F2887"/>
  <c r="F2881"/>
  <c r="F3001"/>
  <c r="H3001" s="1"/>
  <c r="M3001" s="1"/>
  <c r="F2997"/>
  <c r="J2997" s="1"/>
  <c r="M2997" s="1"/>
  <c r="F2998"/>
  <c r="L2998" s="1"/>
  <c r="M2998" s="1"/>
  <c r="F3000"/>
  <c r="H3000" s="1"/>
  <c r="M3000" s="1"/>
  <c r="F3335"/>
  <c r="J3335" s="1"/>
  <c r="M3335" s="1"/>
  <c r="F3338"/>
  <c r="H3338" s="1"/>
  <c r="M3338" s="1"/>
  <c r="F3336"/>
  <c r="L3336" s="1"/>
  <c r="M3336" s="1"/>
  <c r="F3339"/>
  <c r="H3339" s="1"/>
  <c r="M3339" s="1"/>
  <c r="F3279"/>
  <c r="J3279" s="1"/>
  <c r="M3279" s="1"/>
  <c r="F3282"/>
  <c r="H3282" s="1"/>
  <c r="M3282" s="1"/>
  <c r="F3092"/>
  <c r="L3092" s="1"/>
  <c r="M3092" s="1"/>
  <c r="F3093"/>
  <c r="F3091"/>
  <c r="L3091" s="1"/>
  <c r="M3091" s="1"/>
  <c r="F3096"/>
  <c r="H3096" s="1"/>
  <c r="M3096" s="1"/>
  <c r="F3095"/>
  <c r="H3095" s="1"/>
  <c r="M3095" s="1"/>
  <c r="F3090"/>
  <c r="J3090" s="1"/>
  <c r="M3090" s="1"/>
  <c r="F3094"/>
  <c r="H3094" s="1"/>
  <c r="M3094" s="1"/>
  <c r="F3257"/>
  <c r="H3257" s="1"/>
  <c r="M3257" s="1"/>
  <c r="F3255"/>
  <c r="L3255" s="1"/>
  <c r="M3255" s="1"/>
  <c r="F3254"/>
  <c r="J3254" s="1"/>
  <c r="M3254" s="1"/>
  <c r="F3258"/>
  <c r="H3258" s="1"/>
  <c r="M3258" s="1"/>
  <c r="F3365"/>
  <c r="H3365" s="1"/>
  <c r="M3365" s="1"/>
  <c r="F3364"/>
  <c r="H3364" s="1"/>
  <c r="M3364" s="1"/>
  <c r="F3361"/>
  <c r="J3361" s="1"/>
  <c r="M3361" s="1"/>
  <c r="F3362"/>
  <c r="L3362" s="1"/>
  <c r="M3362" s="1"/>
  <c r="F3038"/>
  <c r="H3038" s="1"/>
  <c r="M3038" s="1"/>
  <c r="F3037"/>
  <c r="F3036"/>
  <c r="L3036" s="1"/>
  <c r="M3036" s="1"/>
  <c r="F3039"/>
  <c r="H3039" s="1"/>
  <c r="M3039" s="1"/>
  <c r="F3041"/>
  <c r="H3041" s="1"/>
  <c r="M3041" s="1"/>
  <c r="F3035"/>
  <c r="J3035" s="1"/>
  <c r="M3035" s="1"/>
  <c r="F3040"/>
  <c r="H3040" s="1"/>
  <c r="M3040" s="1"/>
  <c r="F3075"/>
  <c r="J3075" s="1"/>
  <c r="M3075" s="1"/>
  <c r="F3076"/>
  <c r="L3076" s="1"/>
  <c r="M3076" s="1"/>
  <c r="F3078"/>
  <c r="H3078" s="1"/>
  <c r="M3078" s="1"/>
  <c r="F3080"/>
  <c r="H3080" s="1"/>
  <c r="M3080" s="1"/>
  <c r="F3079"/>
  <c r="H3079" s="1"/>
  <c r="M3079" s="1"/>
  <c r="F3353"/>
  <c r="H3353" s="1"/>
  <c r="M3353" s="1"/>
  <c r="F3332"/>
  <c r="H3332" s="1"/>
  <c r="M3332" s="1"/>
  <c r="F3352"/>
  <c r="H3352" s="1"/>
  <c r="M3352" s="1"/>
  <c r="F2838"/>
  <c r="F3329"/>
  <c r="J3329" s="1"/>
  <c r="M3329" s="1"/>
  <c r="J392"/>
  <c r="M392" s="1"/>
  <c r="F1572"/>
  <c r="H1572" s="1"/>
  <c r="M1572" s="1"/>
  <c r="F1568"/>
  <c r="J1568" s="1"/>
  <c r="M1568" s="1"/>
  <c r="F1131"/>
  <c r="L1131" s="1"/>
  <c r="M1131" s="1"/>
  <c r="F1130"/>
  <c r="J1130" s="1"/>
  <c r="M1130" s="1"/>
  <c r="F266"/>
  <c r="L266" s="1"/>
  <c r="M266" s="1"/>
  <c r="F268"/>
  <c r="H268" s="1"/>
  <c r="M268" s="1"/>
  <c r="F265"/>
  <c r="J265" s="1"/>
  <c r="M265" s="1"/>
  <c r="F237"/>
  <c r="H237" s="1"/>
  <c r="M237" s="1"/>
  <c r="F236"/>
  <c r="H236" s="1"/>
  <c r="M236" s="1"/>
  <c r="F232"/>
  <c r="L232" s="1"/>
  <c r="M232" s="1"/>
  <c r="F235"/>
  <c r="H235" s="1"/>
  <c r="M235" s="1"/>
  <c r="F234"/>
  <c r="H234" s="1"/>
  <c r="M234" s="1"/>
  <c r="F180"/>
  <c r="J180" s="1"/>
  <c r="M180" s="1"/>
  <c r="F181"/>
  <c r="L181" s="1"/>
  <c r="M181" s="1"/>
  <c r="F124"/>
  <c r="L124" s="1"/>
  <c r="M124" s="1"/>
  <c r="F125"/>
  <c r="L125" s="1"/>
  <c r="M125" s="1"/>
  <c r="F2385"/>
  <c r="H2385" s="1"/>
  <c r="M2385" s="1"/>
  <c r="F2381"/>
  <c r="L2381" s="1"/>
  <c r="M2381" s="1"/>
  <c r="F2384"/>
  <c r="H2384" s="1"/>
  <c r="M2384" s="1"/>
  <c r="F2386"/>
  <c r="H2386" s="1"/>
  <c r="M2386" s="1"/>
  <c r="F2383"/>
  <c r="H2383" s="1"/>
  <c r="M2383" s="1"/>
  <c r="F184"/>
  <c r="H184" s="1"/>
  <c r="M184" s="1"/>
  <c r="F452"/>
  <c r="H452" s="1"/>
  <c r="M452" s="1"/>
  <c r="F123"/>
  <c r="J123" s="1"/>
  <c r="M123" s="1"/>
  <c r="F2116"/>
  <c r="H2116" s="1"/>
  <c r="M2116" s="1"/>
  <c r="F2117"/>
  <c r="H2117" s="1"/>
  <c r="M2117" s="1"/>
  <c r="F2112"/>
  <c r="J2112" s="1"/>
  <c r="M2112" s="1"/>
  <c r="F2118"/>
  <c r="H2118" s="1"/>
  <c r="M2118" s="1"/>
  <c r="F1923"/>
  <c r="H1923" s="1"/>
  <c r="M1923" s="1"/>
  <c r="F1920"/>
  <c r="L1920" s="1"/>
  <c r="M1920" s="1"/>
  <c r="F1165"/>
  <c r="L1165" s="1"/>
  <c r="M1165" s="1"/>
  <c r="F1168"/>
  <c r="H1168" s="1"/>
  <c r="M1168" s="1"/>
  <c r="F1169"/>
  <c r="H1169" s="1"/>
  <c r="M1169" s="1"/>
  <c r="F559"/>
  <c r="L559" s="1"/>
  <c r="M559" s="1"/>
  <c r="F558"/>
  <c r="J558" s="1"/>
  <c r="M558" s="1"/>
  <c r="F562"/>
  <c r="H562" s="1"/>
  <c r="M562" s="1"/>
  <c r="F534"/>
  <c r="J534" s="1"/>
  <c r="M534" s="1"/>
  <c r="F535"/>
  <c r="L535" s="1"/>
  <c r="M535" s="1"/>
  <c r="F538"/>
  <c r="H538" s="1"/>
  <c r="M538" s="1"/>
  <c r="F503"/>
  <c r="H503" s="1"/>
  <c r="M503" s="1"/>
  <c r="F501"/>
  <c r="L501" s="1"/>
  <c r="M501" s="1"/>
  <c r="F474"/>
  <c r="J474" s="1"/>
  <c r="M474" s="1"/>
  <c r="F477"/>
  <c r="H477" s="1"/>
  <c r="M477" s="1"/>
  <c r="F45"/>
  <c r="J45" s="1"/>
  <c r="M45" s="1"/>
  <c r="F46"/>
  <c r="L46" s="1"/>
  <c r="M46" s="1"/>
  <c r="F70"/>
  <c r="F71"/>
  <c r="F2301"/>
  <c r="H2301" s="1"/>
  <c r="M2301" s="1"/>
  <c r="F2297"/>
  <c r="J2297" s="1"/>
  <c r="M2297" s="1"/>
  <c r="F2298"/>
  <c r="L2298" s="1"/>
  <c r="M2298" s="1"/>
  <c r="F3276"/>
  <c r="H3276" s="1"/>
  <c r="M3276" s="1"/>
  <c r="F3273"/>
  <c r="L3273" s="1"/>
  <c r="M3273" s="1"/>
  <c r="F3272"/>
  <c r="J3272" s="1"/>
  <c r="M3272" s="1"/>
  <c r="F3014"/>
  <c r="H3014" s="1"/>
  <c r="M3014" s="1"/>
  <c r="F3013"/>
  <c r="H3013" s="1"/>
  <c r="M3013" s="1"/>
  <c r="F3015"/>
  <c r="H3015" s="1"/>
  <c r="M3015" s="1"/>
  <c r="F3010"/>
  <c r="J3010" s="1"/>
  <c r="M3010" s="1"/>
  <c r="F3016"/>
  <c r="H3016" s="1"/>
  <c r="M3016" s="1"/>
  <c r="F248"/>
  <c r="H248" s="1"/>
  <c r="M248" s="1"/>
  <c r="F245"/>
  <c r="J245" s="1"/>
  <c r="M245" s="1"/>
  <c r="F250"/>
  <c r="H250" s="1"/>
  <c r="M250" s="1"/>
  <c r="F249"/>
  <c r="H249" s="1"/>
  <c r="M249" s="1"/>
  <c r="F349"/>
  <c r="F350"/>
  <c r="F353"/>
  <c r="F147"/>
  <c r="J147" s="1"/>
  <c r="M147" s="1"/>
  <c r="F150"/>
  <c r="H150" s="1"/>
  <c r="M150" s="1"/>
  <c r="F149"/>
  <c r="H149" s="1"/>
  <c r="M149" s="1"/>
  <c r="F294"/>
  <c r="J294" s="1"/>
  <c r="M294" s="1"/>
  <c r="F297"/>
  <c r="H297" s="1"/>
  <c r="M297" s="1"/>
  <c r="F298"/>
  <c r="H298" s="1"/>
  <c r="M298" s="1"/>
  <c r="F3506"/>
  <c r="F3503"/>
  <c r="L3503" s="1"/>
  <c r="M3503" s="1"/>
  <c r="F3504"/>
  <c r="F3508"/>
  <c r="F3502"/>
  <c r="F3543"/>
  <c r="H3543" s="1"/>
  <c r="F3539"/>
  <c r="F3542"/>
  <c r="F3544"/>
  <c r="F3540"/>
  <c r="L3540" s="1"/>
  <c r="M3540" s="1"/>
  <c r="H3446"/>
  <c r="J3446"/>
  <c r="F449"/>
  <c r="L449" s="1"/>
  <c r="M449" s="1"/>
  <c r="F1434"/>
  <c r="F1435"/>
  <c r="F1431"/>
  <c r="F2703"/>
  <c r="J2703" s="1"/>
  <c r="M2703" s="1"/>
  <c r="F2706"/>
  <c r="H2706" s="1"/>
  <c r="M2706" s="1"/>
  <c r="F2704"/>
  <c r="L2704" s="1"/>
  <c r="M2704" s="1"/>
  <c r="F2628"/>
  <c r="H2628" s="1"/>
  <c r="M2628" s="1"/>
  <c r="F2625"/>
  <c r="L2625" s="1"/>
  <c r="M2625" s="1"/>
  <c r="F2624"/>
  <c r="J2624" s="1"/>
  <c r="M2624" s="1"/>
  <c r="F2627"/>
  <c r="H2627" s="1"/>
  <c r="M2627" s="1"/>
  <c r="F2556"/>
  <c r="H2556" s="1"/>
  <c r="M2556" s="1"/>
  <c r="F2553"/>
  <c r="J2553" s="1"/>
  <c r="M2553" s="1"/>
  <c r="F2557"/>
  <c r="H2557" s="1"/>
  <c r="M2557" s="1"/>
  <c r="F2507"/>
  <c r="J2507" s="1"/>
  <c r="M2507" s="1"/>
  <c r="F2510"/>
  <c r="H2510" s="1"/>
  <c r="M2510" s="1"/>
  <c r="F2511"/>
  <c r="H2511" s="1"/>
  <c r="M2511" s="1"/>
  <c r="F2477"/>
  <c r="J2477" s="1"/>
  <c r="M2477" s="1"/>
  <c r="F2479"/>
  <c r="H2479" s="1"/>
  <c r="M2479" s="1"/>
  <c r="F2461"/>
  <c r="H2461" s="1"/>
  <c r="M2461" s="1"/>
  <c r="F2459"/>
  <c r="J2459" s="1"/>
  <c r="M2459" s="1"/>
  <c r="F2377"/>
  <c r="H2377" s="1"/>
  <c r="M2377" s="1"/>
  <c r="F2373"/>
  <c r="J2373" s="1"/>
  <c r="M2373" s="1"/>
  <c r="F2374"/>
  <c r="L2374" s="1"/>
  <c r="M2374" s="1"/>
  <c r="F1294"/>
  <c r="J1294" s="1"/>
  <c r="M1294" s="1"/>
  <c r="F1299"/>
  <c r="H1299" s="1"/>
  <c r="M1299" s="1"/>
  <c r="F1246"/>
  <c r="J1246" s="1"/>
  <c r="M1246" s="1"/>
  <c r="F1248"/>
  <c r="H1248" s="1"/>
  <c r="M1248" s="1"/>
  <c r="F1249"/>
  <c r="H1249" s="1"/>
  <c r="M1249" s="1"/>
  <c r="F1207"/>
  <c r="J1207" s="1"/>
  <c r="M1207" s="1"/>
  <c r="F1210"/>
  <c r="H1210" s="1"/>
  <c r="M1210" s="1"/>
  <c r="F1208"/>
  <c r="L1208" s="1"/>
  <c r="M1208" s="1"/>
  <c r="F958"/>
  <c r="L958" s="1"/>
  <c r="M958" s="1"/>
  <c r="F960"/>
  <c r="H960" s="1"/>
  <c r="M960" s="1"/>
  <c r="F711"/>
  <c r="F710"/>
  <c r="F707"/>
  <c r="F708"/>
  <c r="F687"/>
  <c r="H687" s="1"/>
  <c r="M687" s="1"/>
  <c r="F686"/>
  <c r="H686" s="1"/>
  <c r="M686" s="1"/>
  <c r="F629"/>
  <c r="H629" s="1"/>
  <c r="M629" s="1"/>
  <c r="F630"/>
  <c r="H630" s="1"/>
  <c r="M630" s="1"/>
  <c r="F627"/>
  <c r="L627" s="1"/>
  <c r="M627" s="1"/>
  <c r="F585"/>
  <c r="H585" s="1"/>
  <c r="M585" s="1"/>
  <c r="F583"/>
  <c r="L583" s="1"/>
  <c r="M583" s="1"/>
  <c r="F588"/>
  <c r="H588" s="1"/>
  <c r="M588" s="1"/>
  <c r="F582"/>
  <c r="J582" s="1"/>
  <c r="M582" s="1"/>
  <c r="F587"/>
  <c r="H587" s="1"/>
  <c r="M587" s="1"/>
  <c r="F2784"/>
  <c r="H2784" s="1"/>
  <c r="M2784" s="1"/>
  <c r="F2780"/>
  <c r="J2780" s="1"/>
  <c r="M2780" s="1"/>
  <c r="F430"/>
  <c r="L430" s="1"/>
  <c r="M430" s="1"/>
  <c r="F429"/>
  <c r="J429" s="1"/>
  <c r="M429" s="1"/>
  <c r="F432"/>
  <c r="H432" s="1"/>
  <c r="M432" s="1"/>
  <c r="F412"/>
  <c r="H412" s="1"/>
  <c r="M412" s="1"/>
  <c r="F409"/>
  <c r="L409" s="1"/>
  <c r="M409" s="1"/>
  <c r="F414"/>
  <c r="H414" s="1"/>
  <c r="M414" s="1"/>
  <c r="F415"/>
  <c r="H415" s="1"/>
  <c r="M415" s="1"/>
  <c r="H1778"/>
  <c r="M1778" s="1"/>
  <c r="F1771"/>
  <c r="F1788" s="1"/>
  <c r="H1788" s="1"/>
  <c r="M1788" s="1"/>
  <c r="F1603"/>
  <c r="H1603" s="1"/>
  <c r="M1603" s="1"/>
  <c r="F1604"/>
  <c r="H1604" s="1"/>
  <c r="M1604" s="1"/>
  <c r="F1600"/>
  <c r="J1600" s="1"/>
  <c r="M1600" s="1"/>
  <c r="F1601"/>
  <c r="L1601" s="1"/>
  <c r="M1601" s="1"/>
  <c r="F1399"/>
  <c r="F1401"/>
  <c r="F1398"/>
  <c r="F1358"/>
  <c r="H1358" s="1"/>
  <c r="M1358" s="1"/>
  <c r="F1356"/>
  <c r="H1356" s="1"/>
  <c r="M1356" s="1"/>
  <c r="F454"/>
  <c r="H454" s="1"/>
  <c r="M454" s="1"/>
  <c r="F453"/>
  <c r="H453" s="1"/>
  <c r="M453" s="1"/>
  <c r="F451"/>
  <c r="H451" s="1"/>
  <c r="M451" s="1"/>
  <c r="F1815"/>
  <c r="L1815" s="1"/>
  <c r="M1815" s="1"/>
  <c r="F1813"/>
  <c r="J1813" s="1"/>
  <c r="M1813" s="1"/>
  <c r="F191"/>
  <c r="H191" s="1"/>
  <c r="M191" s="1"/>
  <c r="F187"/>
  <c r="J187" s="1"/>
  <c r="M187" s="1"/>
  <c r="F188"/>
  <c r="L188" s="1"/>
  <c r="M188" s="1"/>
  <c r="F2896"/>
  <c r="H2896" s="1"/>
  <c r="M2896" s="1"/>
  <c r="F183"/>
  <c r="H183" s="1"/>
  <c r="M183" s="1"/>
  <c r="F231"/>
  <c r="J231" s="1"/>
  <c r="M231" s="1"/>
  <c r="F1569"/>
  <c r="L1569" s="1"/>
  <c r="M1569" s="1"/>
  <c r="F1814"/>
  <c r="L1814" s="1"/>
  <c r="M1814" s="1"/>
  <c r="F1077"/>
  <c r="L1077" s="1"/>
  <c r="M1077" s="1"/>
  <c r="F1076"/>
  <c r="J1076" s="1"/>
  <c r="M1076" s="1"/>
  <c r="F1079"/>
  <c r="H1079" s="1"/>
  <c r="M1079" s="1"/>
  <c r="F1041"/>
  <c r="H1041" s="1"/>
  <c r="M1041" s="1"/>
  <c r="F1040"/>
  <c r="H1040" s="1"/>
  <c r="M1040" s="1"/>
  <c r="F1037"/>
  <c r="J1037" s="1"/>
  <c r="M1037" s="1"/>
  <c r="F1038"/>
  <c r="L1038" s="1"/>
  <c r="M1038" s="1"/>
  <c r="F93"/>
  <c r="J93" s="1"/>
  <c r="M93" s="1"/>
  <c r="F94"/>
  <c r="L94" s="1"/>
  <c r="M94" s="1"/>
  <c r="F1452"/>
  <c r="F1449"/>
  <c r="F1453"/>
  <c r="F2059"/>
  <c r="L2059" s="1"/>
  <c r="M2059" s="1"/>
  <c r="F2062"/>
  <c r="H2062" s="1"/>
  <c r="M2062" s="1"/>
  <c r="F2023"/>
  <c r="J2023" s="1"/>
  <c r="M2023" s="1"/>
  <c r="F2027"/>
  <c r="H2027" s="1"/>
  <c r="M2027" s="1"/>
  <c r="F2026"/>
  <c r="H2026" s="1"/>
  <c r="M2026" s="1"/>
  <c r="F2011"/>
  <c r="F2015"/>
  <c r="F2012"/>
  <c r="F3214"/>
  <c r="L3214" s="1"/>
  <c r="M3214" s="1"/>
  <c r="F3217"/>
  <c r="H3217" s="1"/>
  <c r="M3217" s="1"/>
  <c r="F3213"/>
  <c r="J3213" s="1"/>
  <c r="M3213" s="1"/>
  <c r="F3216"/>
  <c r="H3216" s="1"/>
  <c r="M3216" s="1"/>
  <c r="F1659"/>
  <c r="H1659" s="1"/>
  <c r="M1659" s="1"/>
  <c r="F1657"/>
  <c r="L1657" s="1"/>
  <c r="M1657" s="1"/>
  <c r="F1656"/>
  <c r="L1656" s="1"/>
  <c r="M1656" s="1"/>
  <c r="F1678"/>
  <c r="H1678" s="1"/>
  <c r="M1678" s="1"/>
  <c r="F1677"/>
  <c r="J1677" s="1"/>
  <c r="M1677" s="1"/>
  <c r="F1257"/>
  <c r="H1257" s="1"/>
  <c r="M1257" s="1"/>
  <c r="F1252"/>
  <c r="L1252" s="1"/>
  <c r="M1252" s="1"/>
  <c r="F1255"/>
  <c r="H1255" s="1"/>
  <c r="M1255" s="1"/>
  <c r="F1256"/>
  <c r="H1256" s="1"/>
  <c r="M1256" s="1"/>
  <c r="F1789"/>
  <c r="F2233"/>
  <c r="H2237"/>
  <c r="M2237" s="1"/>
  <c r="F2659"/>
  <c r="J2659" s="1"/>
  <c r="M2659" s="1"/>
  <c r="F2666"/>
  <c r="H2666" s="1"/>
  <c r="M2666" s="1"/>
  <c r="F2665"/>
  <c r="H2665" s="1"/>
  <c r="M2665" s="1"/>
  <c r="F2660"/>
  <c r="L2660" s="1"/>
  <c r="M2660" s="1"/>
  <c r="F2662"/>
  <c r="H2662" s="1"/>
  <c r="F2667"/>
  <c r="H2667" s="1"/>
  <c r="M2667" s="1"/>
  <c r="F2664"/>
  <c r="H2664" s="1"/>
  <c r="M2664" s="1"/>
  <c r="F342"/>
  <c r="J342" s="1"/>
  <c r="M342" s="1"/>
  <c r="F343"/>
  <c r="L343" s="1"/>
  <c r="M343" s="1"/>
  <c r="F345"/>
  <c r="H345" s="1"/>
  <c r="M345" s="1"/>
  <c r="F347"/>
  <c r="H347" s="1"/>
  <c r="M347" s="1"/>
  <c r="F3400"/>
  <c r="L3400" s="1"/>
  <c r="M3400" s="1"/>
  <c r="F3407"/>
  <c r="H3407" s="1"/>
  <c r="M3407" s="1"/>
  <c r="F3405"/>
  <c r="L3405" s="1"/>
  <c r="M3405" s="1"/>
  <c r="F3408"/>
  <c r="H3408" s="1"/>
  <c r="M3408" s="1"/>
  <c r="F3403"/>
  <c r="L3403" s="1"/>
  <c r="M3403" s="1"/>
  <c r="F3402"/>
  <c r="L3402" s="1"/>
  <c r="M3402" s="1"/>
  <c r="F3409"/>
  <c r="H3409" s="1"/>
  <c r="M3409" s="1"/>
  <c r="F3401"/>
  <c r="L3401" s="1"/>
  <c r="M3401" s="1"/>
  <c r="F3421"/>
  <c r="L3421" s="1"/>
  <c r="M3421" s="1"/>
  <c r="F3419"/>
  <c r="F3422"/>
  <c r="L3422" s="1"/>
  <c r="M3422" s="1"/>
  <c r="F3420"/>
  <c r="L3420" s="1"/>
  <c r="M3420" s="1"/>
  <c r="F2993"/>
  <c r="H2993" s="1"/>
  <c r="M2993" s="1"/>
  <c r="F2994"/>
  <c r="H2994" s="1"/>
  <c r="M2994" s="1"/>
  <c r="F2991"/>
  <c r="L2991" s="1"/>
  <c r="M2991" s="1"/>
  <c r="F2990"/>
  <c r="J2990" s="1"/>
  <c r="M2990" s="1"/>
  <c r="F3230"/>
  <c r="H3234"/>
  <c r="M3234" s="1"/>
  <c r="F3248"/>
  <c r="J3248" s="1"/>
  <c r="M3248" s="1"/>
  <c r="F3251"/>
  <c r="H3251" s="1"/>
  <c r="M3251" s="1"/>
  <c r="F3252"/>
  <c r="H3252" s="1"/>
  <c r="M3252" s="1"/>
  <c r="F3106"/>
  <c r="J3106" s="1"/>
  <c r="M3106" s="1"/>
  <c r="F3111"/>
  <c r="H3111" s="1"/>
  <c r="M3111" s="1"/>
  <c r="F3109"/>
  <c r="H3109" s="1"/>
  <c r="M3109" s="1"/>
  <c r="F3110"/>
  <c r="H3110" s="1"/>
  <c r="M3110" s="1"/>
  <c r="F3107"/>
  <c r="L3107" s="1"/>
  <c r="M3107" s="1"/>
  <c r="F3135"/>
  <c r="J3135" s="1"/>
  <c r="M3135" s="1"/>
  <c r="F3139"/>
  <c r="H3139" s="1"/>
  <c r="M3139" s="1"/>
  <c r="F3138"/>
  <c r="H3138" s="1"/>
  <c r="M3138" s="1"/>
  <c r="F3073"/>
  <c r="H3073" s="1"/>
  <c r="M3073" s="1"/>
  <c r="F3072"/>
  <c r="H3072" s="1"/>
  <c r="M3072" s="1"/>
  <c r="F3070"/>
  <c r="L3070" s="1"/>
  <c r="F2933"/>
  <c r="L2933" s="1"/>
  <c r="M2933" s="1"/>
  <c r="F2935"/>
  <c r="H2935" s="1"/>
  <c r="M2935" s="1"/>
  <c r="F2932"/>
  <c r="J2932" s="1"/>
  <c r="M2932" s="1"/>
  <c r="F2934"/>
  <c r="H2934" s="1"/>
  <c r="M2934" s="1"/>
  <c r="M1655"/>
  <c r="F2830"/>
  <c r="F876"/>
  <c r="H876" s="1"/>
  <c r="M876" s="1"/>
  <c r="F878"/>
  <c r="H878" s="1"/>
  <c r="M878" s="1"/>
  <c r="F879"/>
  <c r="H879" s="1"/>
  <c r="M879" s="1"/>
  <c r="F871"/>
  <c r="J871" s="1"/>
  <c r="M871" s="1"/>
  <c r="F874"/>
  <c r="H874" s="1"/>
  <c r="M874" s="1"/>
  <c r="F877"/>
  <c r="H877" s="1"/>
  <c r="M877" s="1"/>
  <c r="F875"/>
  <c r="H875" s="1"/>
  <c r="M875" s="1"/>
  <c r="F779"/>
  <c r="J779" s="1"/>
  <c r="M779" s="1"/>
  <c r="F781"/>
  <c r="H781" s="1"/>
  <c r="M781" s="1"/>
  <c r="F731"/>
  <c r="J731" s="1"/>
  <c r="M731" s="1"/>
  <c r="F737"/>
  <c r="H737" s="1"/>
  <c r="M737" s="1"/>
  <c r="F736"/>
  <c r="H736" s="1"/>
  <c r="M736" s="1"/>
  <c r="F735"/>
  <c r="H735" s="1"/>
  <c r="M735" s="1"/>
  <c r="F732"/>
  <c r="L732" s="1"/>
  <c r="M732" s="1"/>
  <c r="F734"/>
  <c r="H734" s="1"/>
  <c r="M734" s="1"/>
  <c r="F1904"/>
  <c r="H1904" s="1"/>
  <c r="M1904" s="1"/>
  <c r="F1902"/>
  <c r="J1902" s="1"/>
  <c r="M1902" s="1"/>
  <c r="F1895"/>
  <c r="H1895" s="1"/>
  <c r="F1893"/>
  <c r="L1893" s="1"/>
  <c r="M1893" s="1"/>
  <c r="F1892"/>
  <c r="J1892" s="1"/>
  <c r="M1892" s="1"/>
  <c r="F1555"/>
  <c r="L1555" s="1"/>
  <c r="M1555" s="1"/>
  <c r="F1557"/>
  <c r="H1557" s="1"/>
  <c r="M1557" s="1"/>
  <c r="F1517"/>
  <c r="J1517" s="1"/>
  <c r="M1517" s="1"/>
  <c r="F1518"/>
  <c r="L1518" s="1"/>
  <c r="M1518" s="1"/>
  <c r="F1520"/>
  <c r="H1520" s="1"/>
  <c r="M1520" s="1"/>
  <c r="F1514"/>
  <c r="H1514" s="1"/>
  <c r="M1514" s="1"/>
  <c r="F1511"/>
  <c r="J1511" s="1"/>
  <c r="M1511" s="1"/>
  <c r="F1512"/>
  <c r="L1512" s="1"/>
  <c r="M1512" s="1"/>
  <c r="F1515"/>
  <c r="H1515" s="1"/>
  <c r="M1515" s="1"/>
  <c r="H1497"/>
  <c r="J1497"/>
  <c r="F1488"/>
  <c r="H1488" s="1"/>
  <c r="M1488" s="1"/>
  <c r="F1487"/>
  <c r="H1487" s="1"/>
  <c r="M1487" s="1"/>
  <c r="F1484"/>
  <c r="J1484" s="1"/>
  <c r="M1484" s="1"/>
  <c r="F1489"/>
  <c r="H1489" s="1"/>
  <c r="M1489" s="1"/>
  <c r="F1485"/>
  <c r="L1485" s="1"/>
  <c r="M1485" s="1"/>
  <c r="F1473"/>
  <c r="L1473" s="1"/>
  <c r="M1473" s="1"/>
  <c r="F1476"/>
  <c r="H1476" s="1"/>
  <c r="M1476" s="1"/>
  <c r="F1475"/>
  <c r="H1475" s="1"/>
  <c r="M1475" s="1"/>
  <c r="F2071"/>
  <c r="L2071" s="1"/>
  <c r="M2071" s="1"/>
  <c r="F2070"/>
  <c r="J2070" s="1"/>
  <c r="M2070" s="1"/>
  <c r="F2073"/>
  <c r="H2073" s="1"/>
  <c r="M2073" s="1"/>
  <c r="F813"/>
  <c r="H813" s="1"/>
  <c r="M813" s="1"/>
  <c r="F808"/>
  <c r="L808" s="1"/>
  <c r="M808" s="1"/>
  <c r="F810"/>
  <c r="H810" s="1"/>
  <c r="M810" s="1"/>
  <c r="F807"/>
  <c r="J807" s="1"/>
  <c r="M807" s="1"/>
  <c r="F811"/>
  <c r="H811" s="1"/>
  <c r="M811" s="1"/>
  <c r="F812"/>
  <c r="H812" s="1"/>
  <c r="M812" s="1"/>
  <c r="F2616"/>
  <c r="H2616" s="1"/>
  <c r="M2616" s="1"/>
  <c r="F2615"/>
  <c r="H2615" s="1"/>
  <c r="M2615" s="1"/>
  <c r="F2618"/>
  <c r="H2618" s="1"/>
  <c r="M2618" s="1"/>
  <c r="F2613"/>
  <c r="L2613" s="1"/>
  <c r="M2613" s="1"/>
  <c r="F2612"/>
  <c r="J2612" s="1"/>
  <c r="M2612" s="1"/>
  <c r="J782"/>
  <c r="H782"/>
  <c r="F1161"/>
  <c r="H1161" s="1"/>
  <c r="M1161" s="1"/>
  <c r="F1159"/>
  <c r="L1159" s="1"/>
  <c r="M1159" s="1"/>
  <c r="F1162"/>
  <c r="H1162" s="1"/>
  <c r="M1162" s="1"/>
  <c r="F2828"/>
  <c r="F2827"/>
  <c r="F2826"/>
  <c r="F2821"/>
  <c r="F2819"/>
  <c r="F2824"/>
  <c r="F2820"/>
  <c r="F2823"/>
  <c r="F2977"/>
  <c r="H2977" s="1"/>
  <c r="M2977" s="1"/>
  <c r="F2978"/>
  <c r="H2978" s="1"/>
  <c r="M2978" s="1"/>
  <c r="F2972"/>
  <c r="L2972" s="1"/>
  <c r="F2976"/>
  <c r="H2976" s="1"/>
  <c r="M2976" s="1"/>
  <c r="F2979"/>
  <c r="H2979" s="1"/>
  <c r="M2979" s="1"/>
  <c r="F2975"/>
  <c r="H2975" s="1"/>
  <c r="M2975" s="1"/>
  <c r="F2974"/>
  <c r="H2974" s="1"/>
  <c r="M2974" s="1"/>
  <c r="F2971"/>
  <c r="J2971" s="1"/>
  <c r="M2971" s="1"/>
  <c r="F1693"/>
  <c r="L1693" s="1"/>
  <c r="M1693" s="1"/>
  <c r="F1692"/>
  <c r="J1692" s="1"/>
  <c r="M1692" s="1"/>
  <c r="F1696"/>
  <c r="H1696" s="1"/>
  <c r="M1696" s="1"/>
  <c r="F1695"/>
  <c r="H1695" s="1"/>
  <c r="M1695" s="1"/>
  <c r="H1750"/>
  <c r="M1750" s="1"/>
  <c r="F1746"/>
  <c r="F1767"/>
  <c r="L1767" s="1"/>
  <c r="M1767" s="1"/>
  <c r="F1766"/>
  <c r="J1766" s="1"/>
  <c r="M1766" s="1"/>
  <c r="F1770"/>
  <c r="H1770" s="1"/>
  <c r="M1770" s="1"/>
  <c r="F1769"/>
  <c r="H1769" s="1"/>
  <c r="M1769" s="1"/>
  <c r="F1831"/>
  <c r="F1833"/>
  <c r="F1851"/>
  <c r="F1850"/>
  <c r="F1854"/>
  <c r="M2085"/>
  <c r="F2093"/>
  <c r="H2093" s="1"/>
  <c r="F2091"/>
  <c r="L2091" s="1"/>
  <c r="F2090"/>
  <c r="J2090" s="1"/>
  <c r="M2090" s="1"/>
  <c r="F2094"/>
  <c r="H2094" s="1"/>
  <c r="M2094" s="1"/>
  <c r="F2154"/>
  <c r="H2154" s="1"/>
  <c r="M2154" s="1"/>
  <c r="F2151"/>
  <c r="J2151" s="1"/>
  <c r="M2151" s="1"/>
  <c r="F2156"/>
  <c r="H2156" s="1"/>
  <c r="M2156" s="1"/>
  <c r="F2187"/>
  <c r="H2187" s="1"/>
  <c r="M2187" s="1"/>
  <c r="F2189"/>
  <c r="H2189" s="1"/>
  <c r="M2189" s="1"/>
  <c r="F2188"/>
  <c r="H2188" s="1"/>
  <c r="M2188" s="1"/>
  <c r="F2184"/>
  <c r="J2184" s="1"/>
  <c r="M2184" s="1"/>
  <c r="F2255"/>
  <c r="J2255" s="1"/>
  <c r="M2255" s="1"/>
  <c r="F2257"/>
  <c r="H2257" s="1"/>
  <c r="M2257" s="1"/>
  <c r="F2258"/>
  <c r="H2258" s="1"/>
  <c r="M2258" s="1"/>
  <c r="M2689"/>
  <c r="F2897"/>
  <c r="H2897" s="1"/>
  <c r="M2897" s="1"/>
  <c r="F2895"/>
  <c r="H2895" s="1"/>
  <c r="M2895" s="1"/>
  <c r="F2899"/>
  <c r="H2899" s="1"/>
  <c r="M2899" s="1"/>
  <c r="F2892"/>
  <c r="J2892" s="1"/>
  <c r="M2892" s="1"/>
  <c r="F2898"/>
  <c r="H2898" s="1"/>
  <c r="M2898" s="1"/>
  <c r="F3024"/>
  <c r="H3024" s="1"/>
  <c r="M3024" s="1"/>
  <c r="F3021"/>
  <c r="L3021" s="1"/>
  <c r="M3021" s="1"/>
  <c r="F3020"/>
  <c r="J3020" s="1"/>
  <c r="M3020" s="1"/>
  <c r="F3053"/>
  <c r="H3053" s="1"/>
  <c r="M3053" s="1"/>
  <c r="F3049"/>
  <c r="J3049" s="1"/>
  <c r="M3049" s="1"/>
  <c r="F3050"/>
  <c r="L3050" s="1"/>
  <c r="M3050" s="1"/>
  <c r="F3098"/>
  <c r="J3098" s="1"/>
  <c r="M3098" s="1"/>
  <c r="F3101"/>
  <c r="H3101" s="1"/>
  <c r="M3101" s="1"/>
  <c r="F3104"/>
  <c r="H3104" s="1"/>
  <c r="M3104" s="1"/>
  <c r="F3100"/>
  <c r="F3102"/>
  <c r="H3102" s="1"/>
  <c r="M3102" s="1"/>
  <c r="F3103"/>
  <c r="H3103" s="1"/>
  <c r="M3103" s="1"/>
  <c r="F3183"/>
  <c r="J3183" s="1"/>
  <c r="M3183" s="1"/>
  <c r="F3188"/>
  <c r="H3188" s="1"/>
  <c r="M3188" s="1"/>
  <c r="F3187"/>
  <c r="H3187" s="1"/>
  <c r="M3187" s="1"/>
  <c r="F3186"/>
  <c r="H3186" s="1"/>
  <c r="M3186" s="1"/>
  <c r="F3184"/>
  <c r="L3184" s="1"/>
  <c r="F3306"/>
  <c r="L3306" s="1"/>
  <c r="M3306" s="1"/>
  <c r="F3309"/>
  <c r="H3309" s="1"/>
  <c r="M3309" s="1"/>
  <c r="F3305"/>
  <c r="J3305" s="1"/>
  <c r="M3305" s="1"/>
  <c r="F3082"/>
  <c r="J3082" s="1"/>
  <c r="M3082" s="1"/>
  <c r="F3083"/>
  <c r="L3083" s="1"/>
  <c r="M3083" s="1"/>
  <c r="F3086"/>
  <c r="H3086" s="1"/>
  <c r="M3086" s="1"/>
  <c r="F2155"/>
  <c r="H2155" s="1"/>
  <c r="M2155" s="1"/>
  <c r="F3404"/>
  <c r="L3404" s="1"/>
  <c r="M3404" s="1"/>
  <c r="F1853"/>
  <c r="F872"/>
  <c r="L872" s="1"/>
  <c r="M872" s="1"/>
  <c r="F2912"/>
  <c r="H2912" s="1"/>
  <c r="M2912" s="1"/>
  <c r="F2909"/>
  <c r="J2909" s="1"/>
  <c r="M2909" s="1"/>
  <c r="F2915"/>
  <c r="H2915" s="1"/>
  <c r="M2915" s="1"/>
  <c r="F2910"/>
  <c r="L2910" s="1"/>
  <c r="M2910" s="1"/>
  <c r="F3069"/>
  <c r="J3069" s="1"/>
  <c r="M3069" s="1"/>
  <c r="F3085"/>
  <c r="H3085" s="1"/>
  <c r="M3085" s="1"/>
  <c r="F3249"/>
  <c r="L3249" s="1"/>
  <c r="M3249" s="1"/>
  <c r="F2980"/>
  <c r="H2980" s="1"/>
  <c r="M2980" s="1"/>
  <c r="F346"/>
  <c r="H346" s="1"/>
  <c r="M346" s="1"/>
  <c r="F2617"/>
  <c r="H2617" s="1"/>
  <c r="M2617" s="1"/>
  <c r="F1896"/>
  <c r="H1896" s="1"/>
  <c r="M1896" s="1"/>
  <c r="F1558"/>
  <c r="H1558" s="1"/>
  <c r="M1558" s="1"/>
  <c r="F1554"/>
  <c r="J1554" s="1"/>
  <c r="M1554" s="1"/>
  <c r="F1158"/>
  <c r="J1158" s="1"/>
  <c r="M1158" s="1"/>
  <c r="F1343"/>
  <c r="L1343" s="1"/>
  <c r="M1343" s="1"/>
  <c r="F1351"/>
  <c r="H1351" s="1"/>
  <c r="M1351" s="1"/>
  <c r="F1350"/>
  <c r="F623"/>
  <c r="H623" s="1"/>
  <c r="M623" s="1"/>
  <c r="F619"/>
  <c r="J619" s="1"/>
  <c r="M619" s="1"/>
  <c r="F620"/>
  <c r="L620" s="1"/>
  <c r="M620" s="1"/>
  <c r="F555"/>
  <c r="H555" s="1"/>
  <c r="M555" s="1"/>
  <c r="F552"/>
  <c r="J552" s="1"/>
  <c r="M552" s="1"/>
  <c r="F553"/>
  <c r="L553" s="1"/>
  <c r="M553" s="1"/>
  <c r="F310"/>
  <c r="F307"/>
  <c r="F308"/>
  <c r="F260"/>
  <c r="L260" s="1"/>
  <c r="M260" s="1"/>
  <c r="F262"/>
  <c r="H262" s="1"/>
  <c r="M262" s="1"/>
  <c r="F177"/>
  <c r="H177" s="1"/>
  <c r="M177" s="1"/>
  <c r="F174"/>
  <c r="L174" s="1"/>
  <c r="M174" s="1"/>
  <c r="F176"/>
  <c r="H176" s="1"/>
  <c r="M176" s="1"/>
  <c r="F55"/>
  <c r="J55" s="1"/>
  <c r="M55" s="1"/>
  <c r="F56"/>
  <c r="L56" s="1"/>
  <c r="M56" s="1"/>
  <c r="F1925"/>
  <c r="J1925" s="1"/>
  <c r="M1925" s="1"/>
  <c r="F1928"/>
  <c r="H1928" s="1"/>
  <c r="M1928" s="1"/>
  <c r="F1407"/>
  <c r="F1404"/>
  <c r="F816"/>
  <c r="L816" s="1"/>
  <c r="M816" s="1"/>
  <c r="F820"/>
  <c r="H820" s="1"/>
  <c r="M820" s="1"/>
  <c r="F2982"/>
  <c r="J2982" s="1"/>
  <c r="M2982" s="1"/>
  <c r="F2987"/>
  <c r="H2987" s="1"/>
  <c r="M2987" s="1"/>
  <c r="F2287"/>
  <c r="L2287" s="1"/>
  <c r="M2287" s="1"/>
  <c r="F2286"/>
  <c r="J2286" s="1"/>
  <c r="M2286" s="1"/>
  <c r="F2305"/>
  <c r="H2305" s="1"/>
  <c r="M2305" s="1"/>
  <c r="F2303"/>
  <c r="J2303" s="1"/>
  <c r="M2303" s="1"/>
  <c r="F2349"/>
  <c r="L2349" s="1"/>
  <c r="M2349" s="1"/>
  <c r="F2347"/>
  <c r="J2347" s="1"/>
  <c r="M2347" s="1"/>
  <c r="F3280"/>
  <c r="L3280" s="1"/>
  <c r="M3280" s="1"/>
  <c r="F3284"/>
  <c r="H3284" s="1"/>
  <c r="M3284" s="1"/>
  <c r="F288"/>
  <c r="F291"/>
  <c r="F290"/>
  <c r="F292"/>
  <c r="F1997"/>
  <c r="H1997" s="1"/>
  <c r="M1997" s="1"/>
  <c r="F1993"/>
  <c r="J1993" s="1"/>
  <c r="M1993" s="1"/>
  <c r="F1317"/>
  <c r="J1317" s="1"/>
  <c r="M1317" s="1"/>
  <c r="F1321"/>
  <c r="H1321" s="1"/>
  <c r="M1321" s="1"/>
  <c r="F1320"/>
  <c r="H1320" s="1"/>
  <c r="M1320" s="1"/>
  <c r="F921"/>
  <c r="H921" s="1"/>
  <c r="M921" s="1"/>
  <c r="F924"/>
  <c r="H924" s="1"/>
  <c r="M924" s="1"/>
  <c r="F496"/>
  <c r="H496" s="1"/>
  <c r="M496" s="1"/>
  <c r="F493"/>
  <c r="J493" s="1"/>
  <c r="M493" s="1"/>
  <c r="F3113"/>
  <c r="J3113" s="1"/>
  <c r="M3113" s="1"/>
  <c r="F3283"/>
  <c r="H3283" s="1"/>
  <c r="M3283" s="1"/>
  <c r="F2983"/>
  <c r="L2983" s="1"/>
  <c r="M2983" s="1"/>
  <c r="F3219"/>
  <c r="J3219" s="1"/>
  <c r="M3219" s="1"/>
  <c r="F1152"/>
  <c r="H1152" s="1"/>
  <c r="M1152" s="1"/>
  <c r="F1104"/>
  <c r="L1104" s="1"/>
  <c r="M1104" s="1"/>
  <c r="F13"/>
  <c r="L13" s="1"/>
  <c r="M13" s="1"/>
  <c r="F922"/>
  <c r="H922" s="1"/>
  <c r="M922" s="1"/>
  <c r="F1324"/>
  <c r="H1324" s="1"/>
  <c r="M1324" s="1"/>
  <c r="F3527"/>
  <c r="F642"/>
  <c r="F1205"/>
  <c r="H1205" s="1"/>
  <c r="M1205" s="1"/>
  <c r="F1996"/>
  <c r="H1996" s="1"/>
  <c r="M1996" s="1"/>
  <c r="F624"/>
  <c r="H624" s="1"/>
  <c r="M624" s="1"/>
  <c r="F1929"/>
  <c r="H1929" s="1"/>
  <c r="M1929" s="1"/>
  <c r="F1344"/>
  <c r="L1344" s="1"/>
  <c r="M1344" s="1"/>
  <c r="J1301"/>
  <c r="M1301" s="1"/>
  <c r="F3413"/>
  <c r="F1349"/>
  <c r="H1349" s="1"/>
  <c r="M1349" s="1"/>
  <c r="F259"/>
  <c r="J259" s="1"/>
  <c r="M259" s="1"/>
  <c r="F556"/>
  <c r="H556" s="1"/>
  <c r="M556" s="1"/>
  <c r="F2278"/>
  <c r="H2278" s="1"/>
  <c r="M2278" s="1"/>
  <c r="F2277"/>
  <c r="H2277" s="1"/>
  <c r="M2277" s="1"/>
  <c r="F791"/>
  <c r="H791" s="1"/>
  <c r="M791" s="1"/>
  <c r="F786"/>
  <c r="L786" s="1"/>
  <c r="M786" s="1"/>
  <c r="F790"/>
  <c r="H790" s="1"/>
  <c r="M790" s="1"/>
  <c r="F528"/>
  <c r="L528" s="1"/>
  <c r="M528" s="1"/>
  <c r="F532"/>
  <c r="H532" s="1"/>
  <c r="M532" s="1"/>
  <c r="F530"/>
  <c r="H530" s="1"/>
  <c r="M530" s="1"/>
  <c r="F531"/>
  <c r="H531" s="1"/>
  <c r="M531" s="1"/>
  <c r="F2988"/>
  <c r="H2988" s="1"/>
  <c r="M2988" s="1"/>
  <c r="F3117"/>
  <c r="H3117" s="1"/>
  <c r="M3117" s="1"/>
  <c r="F2840"/>
  <c r="F815"/>
  <c r="J815" s="1"/>
  <c r="M815" s="1"/>
  <c r="F1155"/>
  <c r="H1155" s="1"/>
  <c r="M1155" s="1"/>
  <c r="F955"/>
  <c r="H955" s="1"/>
  <c r="M955" s="1"/>
  <c r="F1103"/>
  <c r="J1103" s="1"/>
  <c r="M1103" s="1"/>
  <c r="F28"/>
  <c r="L28" s="1"/>
  <c r="M28" s="1"/>
  <c r="F1323"/>
  <c r="H1323" s="1"/>
  <c r="M1323" s="1"/>
  <c r="F3548"/>
  <c r="F645"/>
  <c r="F1994"/>
  <c r="L1994" s="1"/>
  <c r="M1994" s="1"/>
  <c r="F646"/>
  <c r="F1938"/>
  <c r="L1938" s="1"/>
  <c r="M1938" s="1"/>
  <c r="F1342"/>
  <c r="J1342" s="1"/>
  <c r="M1342" s="1"/>
  <c r="F287"/>
  <c r="F3414"/>
  <c r="F263"/>
  <c r="H263" s="1"/>
  <c r="M263" s="1"/>
  <c r="F2729"/>
  <c r="L2729" s="1"/>
  <c r="M2729" s="1"/>
  <c r="F2731"/>
  <c r="H2731" s="1"/>
  <c r="M2731" s="1"/>
  <c r="F2732"/>
  <c r="H2732" s="1"/>
  <c r="M2732" s="1"/>
  <c r="F2535"/>
  <c r="H2535" s="1"/>
  <c r="M2535" s="1"/>
  <c r="F2532"/>
  <c r="H2532" s="1"/>
  <c r="M2532" s="1"/>
  <c r="F2534"/>
  <c r="H2534" s="1"/>
  <c r="M2534" s="1"/>
  <c r="H2524"/>
  <c r="M2524" s="1"/>
  <c r="F2519"/>
  <c r="H2487"/>
  <c r="J2487"/>
  <c r="F2227"/>
  <c r="J2227" s="1"/>
  <c r="M2227" s="1"/>
  <c r="F2232"/>
  <c r="H2232" s="1"/>
  <c r="M2232" s="1"/>
  <c r="F2231"/>
  <c r="H2231" s="1"/>
  <c r="M2231" s="1"/>
  <c r="F2228"/>
  <c r="L2228" s="1"/>
  <c r="M2228" s="1"/>
  <c r="H1630"/>
  <c r="M1630" s="1"/>
  <c r="F1623"/>
  <c r="F1353"/>
  <c r="J1353" s="1"/>
  <c r="M1353" s="1"/>
  <c r="F1357"/>
  <c r="H1357" s="1"/>
  <c r="M1357" s="1"/>
  <c r="F1068"/>
  <c r="H1068" s="1"/>
  <c r="M1068" s="1"/>
  <c r="F1065"/>
  <c r="H1065" s="1"/>
  <c r="M1065" s="1"/>
  <c r="F1067"/>
  <c r="H1067" s="1"/>
  <c r="M1067" s="1"/>
  <c r="F692"/>
  <c r="H692" s="1"/>
  <c r="M692" s="1"/>
  <c r="F689"/>
  <c r="J689" s="1"/>
  <c r="M689" s="1"/>
  <c r="F121"/>
  <c r="H121" s="1"/>
  <c r="M121" s="1"/>
  <c r="F120"/>
  <c r="H120" s="1"/>
  <c r="F119"/>
  <c r="L119" s="1"/>
  <c r="M119" s="1"/>
  <c r="F1123"/>
  <c r="L1123" s="1"/>
  <c r="M1123" s="1"/>
  <c r="F1126"/>
  <c r="H1126" s="1"/>
  <c r="M1126" s="1"/>
  <c r="F2725"/>
  <c r="H2725" s="1"/>
  <c r="M2725" s="1"/>
  <c r="F2722"/>
  <c r="J2722" s="1"/>
  <c r="M2722" s="1"/>
  <c r="F2593"/>
  <c r="H2593" s="1"/>
  <c r="M2593" s="1"/>
  <c r="F2590"/>
  <c r="L2590" s="1"/>
  <c r="M2590" s="1"/>
  <c r="F961"/>
  <c r="H961" s="1"/>
  <c r="M961" s="1"/>
  <c r="F957"/>
  <c r="J957" s="1"/>
  <c r="M957" s="1"/>
  <c r="F844"/>
  <c r="H844" s="1"/>
  <c r="M844" s="1"/>
  <c r="F845"/>
  <c r="H845" s="1"/>
  <c r="M845" s="1"/>
  <c r="F842"/>
  <c r="L842" s="1"/>
  <c r="M842" s="1"/>
  <c r="F826"/>
  <c r="H826" s="1"/>
  <c r="M826" s="1"/>
  <c r="F828"/>
  <c r="H828" s="1"/>
  <c r="M828" s="1"/>
  <c r="F822"/>
  <c r="J822" s="1"/>
  <c r="M822" s="1"/>
  <c r="F739"/>
  <c r="J739" s="1"/>
  <c r="M739" s="1"/>
  <c r="F741"/>
  <c r="H741" s="1"/>
  <c r="M741" s="1"/>
  <c r="F87"/>
  <c r="J87" s="1"/>
  <c r="M87" s="1"/>
  <c r="F88"/>
  <c r="L88" s="1"/>
  <c r="M88" s="1"/>
  <c r="F36"/>
  <c r="J36" s="1"/>
  <c r="M36" s="1"/>
  <c r="F37"/>
  <c r="L37" s="1"/>
  <c r="M37" s="1"/>
  <c r="F1443"/>
  <c r="F1446"/>
  <c r="F1668"/>
  <c r="F1667"/>
  <c r="F1715"/>
  <c r="H1715" s="1"/>
  <c r="M1715" s="1"/>
  <c r="F1716"/>
  <c r="H1716" s="1"/>
  <c r="M1716" s="1"/>
  <c r="F1741"/>
  <c r="J1741" s="1"/>
  <c r="M1741" s="1"/>
  <c r="F1744"/>
  <c r="H1744" s="1"/>
  <c r="M1744" s="1"/>
  <c r="F1761"/>
  <c r="L1761" s="1"/>
  <c r="M1761" s="1"/>
  <c r="F1764"/>
  <c r="H1764" s="1"/>
  <c r="M1764" s="1"/>
  <c r="F2182"/>
  <c r="H2182" s="1"/>
  <c r="M2182" s="1"/>
  <c r="F2178"/>
  <c r="L2178" s="1"/>
  <c r="M2178" s="1"/>
  <c r="F525"/>
  <c r="F520"/>
  <c r="F521"/>
  <c r="F327"/>
  <c r="J327" s="1"/>
  <c r="M327" s="1"/>
  <c r="F328"/>
  <c r="L328" s="1"/>
  <c r="M328" s="1"/>
  <c r="F1364"/>
  <c r="H1364" s="1"/>
  <c r="M1364" s="1"/>
  <c r="F1363"/>
  <c r="H1363" s="1"/>
  <c r="M1363" s="1"/>
  <c r="F1361"/>
  <c r="L1361" s="1"/>
  <c r="M1361" s="1"/>
  <c r="F1234"/>
  <c r="J1234" s="1"/>
  <c r="M1234" s="1"/>
  <c r="F1237"/>
  <c r="H1237" s="1"/>
  <c r="M1237" s="1"/>
  <c r="F1238"/>
  <c r="H1238" s="1"/>
  <c r="M1238" s="1"/>
  <c r="F1235"/>
  <c r="L1235" s="1"/>
  <c r="M1235" s="1"/>
  <c r="F1224"/>
  <c r="H1224" s="1"/>
  <c r="M1224" s="1"/>
  <c r="F1220"/>
  <c r="J1220" s="1"/>
  <c r="M1220" s="1"/>
  <c r="F1191"/>
  <c r="L1191" s="1"/>
  <c r="M1191" s="1"/>
  <c r="F1190"/>
  <c r="J1190" s="1"/>
  <c r="M1190" s="1"/>
  <c r="F1026"/>
  <c r="H1026" s="1"/>
  <c r="M1026" s="1"/>
  <c r="F1028"/>
  <c r="H1028" s="1"/>
  <c r="M1028" s="1"/>
  <c r="F1027"/>
  <c r="H1027" s="1"/>
  <c r="M1027" s="1"/>
  <c r="F504"/>
  <c r="H504" s="1"/>
  <c r="M504" s="1"/>
  <c r="F500"/>
  <c r="J500" s="1"/>
  <c r="M500" s="1"/>
  <c r="F2795"/>
  <c r="H2795" s="1"/>
  <c r="M2795" s="1"/>
  <c r="F2793"/>
  <c r="L2793" s="1"/>
  <c r="M2793" s="1"/>
  <c r="F2792"/>
  <c r="J2792" s="1"/>
  <c r="F153"/>
  <c r="F154" s="1"/>
  <c r="E57" i="1"/>
  <c r="F155" i="5" s="1"/>
  <c r="F156" s="1"/>
  <c r="F2949"/>
  <c r="L2949" s="1"/>
  <c r="M2949" s="1"/>
  <c r="F2953"/>
  <c r="H2953" s="1"/>
  <c r="M2953" s="1"/>
  <c r="F2952"/>
  <c r="H2952" s="1"/>
  <c r="M2952" s="1"/>
  <c r="M3130"/>
  <c r="M2718"/>
  <c r="M3129"/>
  <c r="M2757"/>
  <c r="M2404"/>
  <c r="M3170"/>
  <c r="M3194"/>
  <c r="F1262"/>
  <c r="H1262" s="1"/>
  <c r="M1262" s="1"/>
  <c r="F1265"/>
  <c r="H1265" s="1"/>
  <c r="M1265" s="1"/>
  <c r="F2038"/>
  <c r="F1059"/>
  <c r="H1059" s="1"/>
  <c r="M1059" s="1"/>
  <c r="F1057"/>
  <c r="J1057" s="1"/>
  <c r="M1057" s="1"/>
  <c r="F2061"/>
  <c r="H2061" s="1"/>
  <c r="M2061" s="1"/>
  <c r="F2058"/>
  <c r="J2058" s="1"/>
  <c r="M2058" s="1"/>
  <c r="F1418"/>
  <c r="F1417"/>
  <c r="F400"/>
  <c r="F398"/>
  <c r="H3450" l="1"/>
  <c r="M3450" s="1"/>
  <c r="J3452"/>
  <c r="M3452" s="1"/>
  <c r="H3451"/>
  <c r="M3451" s="1"/>
  <c r="H3448"/>
  <c r="M3448" s="1"/>
  <c r="H3546"/>
  <c r="M3546" s="1"/>
  <c r="H3529"/>
  <c r="M3529" s="1"/>
  <c r="M2925"/>
  <c r="F18"/>
  <c r="J18" s="1"/>
  <c r="M18" s="1"/>
  <c r="H1339"/>
  <c r="M1339" s="1"/>
  <c r="J3417"/>
  <c r="M3417" s="1"/>
  <c r="H3526"/>
  <c r="M3526" s="1"/>
  <c r="J3453"/>
  <c r="M3453" s="1"/>
  <c r="H3435"/>
  <c r="M3435" s="1"/>
  <c r="H3438"/>
  <c r="M3438" s="1"/>
  <c r="J2695"/>
  <c r="J2697" s="1"/>
  <c r="F761"/>
  <c r="H761" s="1"/>
  <c r="M761" s="1"/>
  <c r="J3411"/>
  <c r="M3411" s="1"/>
  <c r="H3541"/>
  <c r="M3541" s="1"/>
  <c r="H3415"/>
  <c r="M3415" s="1"/>
  <c r="H3433"/>
  <c r="J3433"/>
  <c r="J3436"/>
  <c r="M3436" s="1"/>
  <c r="H3180"/>
  <c r="F669"/>
  <c r="L669" s="1"/>
  <c r="M669" s="1"/>
  <c r="F668"/>
  <c r="J668" s="1"/>
  <c r="M668" s="1"/>
  <c r="F672"/>
  <c r="H672" s="1"/>
  <c r="M672" s="1"/>
  <c r="F673"/>
  <c r="H673" s="1"/>
  <c r="M673" s="1"/>
  <c r="H2695"/>
  <c r="H2697" s="1"/>
  <c r="L2806"/>
  <c r="L2807" s="1"/>
  <c r="L2808" s="1"/>
  <c r="L3154"/>
  <c r="L2695"/>
  <c r="L2697" s="1"/>
  <c r="J3180"/>
  <c r="F2050"/>
  <c r="L2050" s="1"/>
  <c r="M2050" s="1"/>
  <c r="L3180"/>
  <c r="F2049"/>
  <c r="J2049" s="1"/>
  <c r="M2049" s="1"/>
  <c r="F763"/>
  <c r="H763" s="1"/>
  <c r="M763" s="1"/>
  <c r="F2033"/>
  <c r="F2032"/>
  <c r="J3455"/>
  <c r="M3455" s="1"/>
  <c r="J3366"/>
  <c r="J3367" s="1"/>
  <c r="M3367" s="1"/>
  <c r="F1773"/>
  <c r="L1773" s="1"/>
  <c r="M1773" s="1"/>
  <c r="J3154"/>
  <c r="M782"/>
  <c r="M1497"/>
  <c r="M3180"/>
  <c r="M3426"/>
  <c r="M3517"/>
  <c r="F762"/>
  <c r="H762" s="1"/>
  <c r="M762" s="1"/>
  <c r="F757"/>
  <c r="J757" s="1"/>
  <c r="M757" s="1"/>
  <c r="H3456"/>
  <c r="M3456" s="1"/>
  <c r="M3457"/>
  <c r="J3397"/>
  <c r="M3397" s="1"/>
  <c r="J3543"/>
  <c r="M3543" s="1"/>
  <c r="L2413"/>
  <c r="L2414" s="1"/>
  <c r="L2415" s="1"/>
  <c r="L2416" s="1"/>
  <c r="L2417" s="1"/>
  <c r="L3549"/>
  <c r="L3550" s="1"/>
  <c r="H2358"/>
  <c r="H2359" s="1"/>
  <c r="H2360" s="1"/>
  <c r="H3389"/>
  <c r="M3389" s="1"/>
  <c r="J2693"/>
  <c r="J2694" s="1"/>
  <c r="J2696" s="1"/>
  <c r="J2698" s="1"/>
  <c r="M2630"/>
  <c r="M2638" s="1"/>
  <c r="M2632"/>
  <c r="J2632" s="1"/>
  <c r="H3205"/>
  <c r="L2739"/>
  <c r="L2741" s="1"/>
  <c r="L2742" s="1"/>
  <c r="L2743" s="1"/>
  <c r="J2413"/>
  <c r="J2414" s="1"/>
  <c r="J2415" s="1"/>
  <c r="J2416" s="1"/>
  <c r="J2417" s="1"/>
  <c r="F1772"/>
  <c r="J1772" s="1"/>
  <c r="M1772" s="1"/>
  <c r="H3396"/>
  <c r="J3396"/>
  <c r="H3488"/>
  <c r="J3488"/>
  <c r="J3487"/>
  <c r="H3487"/>
  <c r="L3366"/>
  <c r="L3368" s="1"/>
  <c r="L3369" s="1"/>
  <c r="L3370" s="1"/>
  <c r="L3124"/>
  <c r="H3480"/>
  <c r="J3480"/>
  <c r="H3510"/>
  <c r="F3515"/>
  <c r="H3515" s="1"/>
  <c r="M3515" s="1"/>
  <c r="J3510"/>
  <c r="H3366"/>
  <c r="H3368" s="1"/>
  <c r="H3369" s="1"/>
  <c r="H3370" s="1"/>
  <c r="H3322"/>
  <c r="H3323" s="1"/>
  <c r="H3324" s="1"/>
  <c r="J3322"/>
  <c r="J3323" s="1"/>
  <c r="J3324" s="1"/>
  <c r="F1799"/>
  <c r="H1799" s="1"/>
  <c r="M1799" s="1"/>
  <c r="F1790"/>
  <c r="J1790" s="1"/>
  <c r="M1790" s="1"/>
  <c r="F1791"/>
  <c r="L1791" s="1"/>
  <c r="M1791" s="1"/>
  <c r="J3504"/>
  <c r="H3504"/>
  <c r="J3205"/>
  <c r="J3087"/>
  <c r="M3154"/>
  <c r="H3017"/>
  <c r="J3054"/>
  <c r="M2413"/>
  <c r="M2414" s="1"/>
  <c r="M2415" s="1"/>
  <c r="H3054"/>
  <c r="J3544"/>
  <c r="H3544"/>
  <c r="H3502"/>
  <c r="J3502"/>
  <c r="J3506"/>
  <c r="H3506"/>
  <c r="J3539"/>
  <c r="H3539"/>
  <c r="J1943"/>
  <c r="J1945" s="1"/>
  <c r="M1945" s="1"/>
  <c r="H2413"/>
  <c r="H2414" s="1"/>
  <c r="H2415" s="1"/>
  <c r="H2739"/>
  <c r="H2741" s="1"/>
  <c r="M2487"/>
  <c r="J2739"/>
  <c r="M2740" s="1"/>
  <c r="J2740" s="1"/>
  <c r="J2741" s="1"/>
  <c r="J2742" s="1"/>
  <c r="J2743" s="1"/>
  <c r="M3446"/>
  <c r="J3542"/>
  <c r="H3542"/>
  <c r="J3508"/>
  <c r="H3508"/>
  <c r="H3414"/>
  <c r="J3414"/>
  <c r="L2358"/>
  <c r="L2359" s="1"/>
  <c r="L2360" s="1"/>
  <c r="J2358"/>
  <c r="J2359" s="1"/>
  <c r="J2360" s="1"/>
  <c r="L2693"/>
  <c r="M2739"/>
  <c r="L3458"/>
  <c r="L3459" s="1"/>
  <c r="L3460" s="1"/>
  <c r="M3124"/>
  <c r="M2792"/>
  <c r="M2806" s="1"/>
  <c r="J2806"/>
  <c r="J3413"/>
  <c r="H3413"/>
  <c r="H3527"/>
  <c r="J3527"/>
  <c r="J1350"/>
  <c r="H1350"/>
  <c r="H2806"/>
  <c r="H2807" s="1"/>
  <c r="H2808" s="1"/>
  <c r="H2809" s="1"/>
  <c r="H2810" s="1"/>
  <c r="M3184"/>
  <c r="M3205" s="1"/>
  <c r="L3205"/>
  <c r="M2091"/>
  <c r="M2972"/>
  <c r="M3017" s="1"/>
  <c r="L3017"/>
  <c r="M3070"/>
  <c r="M3087" s="1"/>
  <c r="L3087"/>
  <c r="F2235"/>
  <c r="L2235" s="1"/>
  <c r="M2235" s="1"/>
  <c r="F2234"/>
  <c r="J2234" s="1"/>
  <c r="M2234" s="1"/>
  <c r="F2238"/>
  <c r="H2238" s="1"/>
  <c r="M2238" s="1"/>
  <c r="F2240"/>
  <c r="H2240" s="1"/>
  <c r="M2240" s="1"/>
  <c r="F2239"/>
  <c r="H2239" s="1"/>
  <c r="M2239" s="1"/>
  <c r="H1944"/>
  <c r="M1944" s="1"/>
  <c r="M1895"/>
  <c r="M1943" s="1"/>
  <c r="F3231"/>
  <c r="J3231" s="1"/>
  <c r="M3231" s="1"/>
  <c r="F3232"/>
  <c r="L3232" s="1"/>
  <c r="F3236"/>
  <c r="H3236" s="1"/>
  <c r="M2695"/>
  <c r="M2697" s="1"/>
  <c r="M2358"/>
  <c r="M2359" s="1"/>
  <c r="M2360" s="1"/>
  <c r="J3017"/>
  <c r="L3054"/>
  <c r="L3322"/>
  <c r="L3323" s="1"/>
  <c r="L3324" s="1"/>
  <c r="H3124"/>
  <c r="M120"/>
  <c r="J3124"/>
  <c r="H3154"/>
  <c r="L1943"/>
  <c r="L1946" s="1"/>
  <c r="M2093"/>
  <c r="F1747"/>
  <c r="J1747" s="1"/>
  <c r="F1752"/>
  <c r="H1752" s="1"/>
  <c r="M1752" s="1"/>
  <c r="F1748"/>
  <c r="L1748" s="1"/>
  <c r="H1943"/>
  <c r="H1946" s="1"/>
  <c r="H3087"/>
  <c r="F1625"/>
  <c r="L1625" s="1"/>
  <c r="M1625" s="1"/>
  <c r="F1624"/>
  <c r="J1624" s="1"/>
  <c r="M1624" s="1"/>
  <c r="F1634"/>
  <c r="H1634" s="1"/>
  <c r="M1634" s="1"/>
  <c r="F2527"/>
  <c r="H2527" s="1"/>
  <c r="M2527" s="1"/>
  <c r="F2521"/>
  <c r="L2521" s="1"/>
  <c r="F2520"/>
  <c r="J2520" s="1"/>
  <c r="H3548"/>
  <c r="J3548"/>
  <c r="J3419"/>
  <c r="F3424"/>
  <c r="H3424" s="1"/>
  <c r="M3424" s="1"/>
  <c r="H3419"/>
  <c r="M2662"/>
  <c r="M2693" s="1"/>
  <c r="H2693"/>
  <c r="F2047"/>
  <c r="H2047" s="1"/>
  <c r="F2040"/>
  <c r="L2040" s="1"/>
  <c r="F2039"/>
  <c r="J2039" s="1"/>
  <c r="M3366"/>
  <c r="H2742"/>
  <c r="H2743" s="1"/>
  <c r="M3322"/>
  <c r="M3054"/>
  <c r="M3433" l="1"/>
  <c r="L2694"/>
  <c r="L2696" s="1"/>
  <c r="L2698" s="1"/>
  <c r="L2699" s="1"/>
  <c r="L2700" s="1"/>
  <c r="H2694"/>
  <c r="H2696" s="1"/>
  <c r="H2698" s="1"/>
  <c r="H2699" s="1"/>
  <c r="H2700" s="1"/>
  <c r="M2634"/>
  <c r="J2634" s="1"/>
  <c r="N3154"/>
  <c r="H2630"/>
  <c r="H3549"/>
  <c r="H3550" s="1"/>
  <c r="M3510"/>
  <c r="L2314"/>
  <c r="L2315" s="1"/>
  <c r="L2316" s="1"/>
  <c r="L2317" s="1"/>
  <c r="L2318" s="1"/>
  <c r="M3487"/>
  <c r="M3396"/>
  <c r="N3054"/>
  <c r="M1350"/>
  <c r="M3413"/>
  <c r="M2741"/>
  <c r="M2742" s="1"/>
  <c r="M2743" s="1"/>
  <c r="M3488"/>
  <c r="N3017"/>
  <c r="M3414"/>
  <c r="M3502"/>
  <c r="M3480"/>
  <c r="N3087"/>
  <c r="N3124"/>
  <c r="M3508"/>
  <c r="M3506"/>
  <c r="M3544"/>
  <c r="M3504"/>
  <c r="J2314"/>
  <c r="J2315" s="1"/>
  <c r="J2316" s="1"/>
  <c r="J2317" s="1"/>
  <c r="J2318" s="1"/>
  <c r="H1947"/>
  <c r="H1948" s="1"/>
  <c r="M2314"/>
  <c r="M2315" s="1"/>
  <c r="M2316" s="1"/>
  <c r="M2317" s="1"/>
  <c r="M2318" s="1"/>
  <c r="M3542"/>
  <c r="M3539"/>
  <c r="M2807"/>
  <c r="M2808" s="1"/>
  <c r="M2809" s="1"/>
  <c r="M2810" s="1"/>
  <c r="M2520"/>
  <c r="J2629"/>
  <c r="J2631" s="1"/>
  <c r="J2633" s="1"/>
  <c r="M1747"/>
  <c r="J1806"/>
  <c r="J1807" s="1"/>
  <c r="J1808" s="1"/>
  <c r="J1809" s="1"/>
  <c r="J1810" s="1"/>
  <c r="L1947"/>
  <c r="L1948" s="1"/>
  <c r="M3236"/>
  <c r="H3265"/>
  <c r="H3266" s="1"/>
  <c r="H3267" s="1"/>
  <c r="H3268" s="1"/>
  <c r="H3269" s="1"/>
  <c r="H1806"/>
  <c r="M2521"/>
  <c r="L2629"/>
  <c r="L2631" s="1"/>
  <c r="L2633" s="1"/>
  <c r="L2635" s="1"/>
  <c r="L2636" s="1"/>
  <c r="L2637" s="1"/>
  <c r="H3458"/>
  <c r="H3459" s="1"/>
  <c r="H3460" s="1"/>
  <c r="H2314"/>
  <c r="M3232"/>
  <c r="L3265"/>
  <c r="L3266" s="1"/>
  <c r="L3267" s="1"/>
  <c r="L3268" s="1"/>
  <c r="L3269" s="1"/>
  <c r="J3458"/>
  <c r="J3459" s="1"/>
  <c r="J3460" s="1"/>
  <c r="J3461" s="1"/>
  <c r="J3462" s="1"/>
  <c r="H2629"/>
  <c r="M3419"/>
  <c r="M3548"/>
  <c r="M1748"/>
  <c r="L1806"/>
  <c r="L1807" s="1"/>
  <c r="L1808" s="1"/>
  <c r="J3549"/>
  <c r="M3527"/>
  <c r="J2807"/>
  <c r="J2808" s="1"/>
  <c r="J2809" s="1"/>
  <c r="J2810" s="1"/>
  <c r="J3265"/>
  <c r="L3551"/>
  <c r="L3552" s="1"/>
  <c r="L3553" s="1"/>
  <c r="J3368"/>
  <c r="J3369" s="1"/>
  <c r="J3370" s="1"/>
  <c r="M3368"/>
  <c r="M3369" s="1"/>
  <c r="M3370" s="1"/>
  <c r="M1946"/>
  <c r="M1947" s="1"/>
  <c r="M1948" s="1"/>
  <c r="L2809"/>
  <c r="L2810" s="1"/>
  <c r="J2361"/>
  <c r="J2362" s="1"/>
  <c r="J3325"/>
  <c r="J3326" s="1"/>
  <c r="J2699"/>
  <c r="J2700" s="1"/>
  <c r="M2416"/>
  <c r="M2417" s="1"/>
  <c r="H3325"/>
  <c r="H3326" s="1"/>
  <c r="H2416"/>
  <c r="H2417" s="1"/>
  <c r="L3461"/>
  <c r="L2361"/>
  <c r="L2362" s="1"/>
  <c r="M2039"/>
  <c r="M3323"/>
  <c r="M3324" s="1"/>
  <c r="H2361"/>
  <c r="H2362" s="1"/>
  <c r="L3325"/>
  <c r="L3326" s="1"/>
  <c r="M2047"/>
  <c r="J1946"/>
  <c r="M2694"/>
  <c r="M2696" s="1"/>
  <c r="M2698" s="1"/>
  <c r="M2361"/>
  <c r="M2362" s="1"/>
  <c r="M2040"/>
  <c r="J2635" l="1"/>
  <c r="J2636" s="1"/>
  <c r="J2637" s="1"/>
  <c r="M2640"/>
  <c r="M3458"/>
  <c r="M1806"/>
  <c r="M1807" s="1"/>
  <c r="M1808" s="1"/>
  <c r="M1809" s="1"/>
  <c r="M1810" s="1"/>
  <c r="J3550"/>
  <c r="J3551" s="1"/>
  <c r="J3266"/>
  <c r="J3267" s="1"/>
  <c r="J3268" s="1"/>
  <c r="J3269" s="1"/>
  <c r="N3269" s="1"/>
  <c r="M3549"/>
  <c r="L1809"/>
  <c r="L1810" s="1"/>
  <c r="M3459"/>
  <c r="M3265"/>
  <c r="M3266" s="1"/>
  <c r="M3267" s="1"/>
  <c r="M3268" s="1"/>
  <c r="M3269" s="1"/>
  <c r="H3461"/>
  <c r="M3461" s="1"/>
  <c r="H3551"/>
  <c r="H3552" s="1"/>
  <c r="H2631"/>
  <c r="H2633" s="1"/>
  <c r="H2635" s="1"/>
  <c r="H2315"/>
  <c r="H2316" s="1"/>
  <c r="H1807"/>
  <c r="H1808" s="1"/>
  <c r="H1809" s="1"/>
  <c r="H1810" s="1"/>
  <c r="M2629"/>
  <c r="M2631" s="1"/>
  <c r="M2633" s="1"/>
  <c r="M2635" s="1"/>
  <c r="M2636" s="1"/>
  <c r="M2637" s="1"/>
  <c r="N3370"/>
  <c r="M3325"/>
  <c r="M3326" s="1"/>
  <c r="N3326"/>
  <c r="M2699"/>
  <c r="M2700" s="1"/>
  <c r="L3462"/>
  <c r="J1947"/>
  <c r="J1948" s="1"/>
  <c r="M2639" l="1"/>
  <c r="M3460"/>
  <c r="N1810"/>
  <c r="M3550"/>
  <c r="M3551" s="1"/>
  <c r="H3462"/>
  <c r="M3462" s="1"/>
  <c r="H2317"/>
  <c r="H2318" s="1"/>
  <c r="H2636"/>
  <c r="H2637" s="1"/>
  <c r="J3552"/>
  <c r="J3553" s="1"/>
  <c r="H3553"/>
  <c r="M3553" l="1"/>
  <c r="M3552"/>
  <c r="M3564" l="1"/>
  <c r="M3565" s="1"/>
  <c r="N3" i="1" s="1"/>
  <c r="F4" i="6" l="1"/>
</calcChain>
</file>

<file path=xl/sharedStrings.xml><?xml version="1.0" encoding="utf-8"?>
<sst xmlns="http://schemas.openxmlformats.org/spreadsheetml/2006/main" count="8964" uniqueCount="1888">
  <si>
    <t>Weris SeRebva zeTovani saRebaviT orjer</t>
  </si>
  <si>
    <t>xelsabani niJaris mowyoba</t>
  </si>
  <si>
    <t>Semrevis mowyoba xelsabanisTvis</t>
  </si>
  <si>
    <t>unitazis (Camrecxi avziT) mowyoba SezRuduli unaris mqone pirTaTvis</t>
  </si>
  <si>
    <t>kompl</t>
  </si>
  <si>
    <t>unitazis (Camrecxi avziT) mowyoba</t>
  </si>
  <si>
    <t>gaTboba</t>
  </si>
  <si>
    <t>gauTvaliswinebeli xarjebi</t>
  </si>
  <si>
    <t xml:space="preserve">dRg </t>
  </si>
  <si>
    <t>fanjris gisosis demontaJi</t>
  </si>
  <si>
    <t>safuZveli: defeqturi aqti</t>
  </si>
  <si>
    <t>obieqtis dasaxeleba:</t>
  </si>
  <si>
    <t>karis blokis demontaJi</t>
  </si>
  <si>
    <t>iatakis demontaJi konstruqciamde</t>
  </si>
  <si>
    <t>kedlebidan saRebavis moxsna</t>
  </si>
  <si>
    <t>Weridan saRebavis moxsna</t>
  </si>
  <si>
    <t>kedlebidan keramikuli filebis demontaJi</t>
  </si>
  <si>
    <t>kedlebidan nalesis moxsna</t>
  </si>
  <si>
    <t>Weridan nalesis moxsna</t>
  </si>
  <si>
    <t>fanjris blokis demontaJi</t>
  </si>
  <si>
    <t>Sekiduli Weris demontaJi</t>
  </si>
  <si>
    <t>fanjris rafis demontaJi</t>
  </si>
  <si>
    <t>kedlebidan xis masalis panelis demontaJi</t>
  </si>
  <si>
    <t>eleqtroqselis sruli demontaJi</t>
  </si>
  <si>
    <t>wylis sistemis sruli demontaJi</t>
  </si>
  <si>
    <t>unitazis demontaJi</t>
  </si>
  <si>
    <t>xelsabanis demontaJi</t>
  </si>
  <si>
    <t>Turquli jamis demontaJi</t>
  </si>
  <si>
    <t>sakanalizacio sistemis sruli demontaJi</t>
  </si>
  <si>
    <t>Senobis gasufTaveba samSeneblo nagvisagan</t>
  </si>
  <si>
    <t>nestgamZle TabaSirmuyaos ormagi sakedle filis mowyoba</t>
  </si>
  <si>
    <t>TabaSirmuyaos ormagi sakedle filis mowyoba</t>
  </si>
  <si>
    <t>TabaSirmuyaos tixrebis mowyoba ormagi sakedle filebiT (kompleqti)</t>
  </si>
  <si>
    <t>nestgamZle TabaSirmuyaos tixrebis mowyoba ormagi sakedle filebiT (kompleqti)</t>
  </si>
  <si>
    <t>erT. fasi</t>
  </si>
  <si>
    <t>kar-fanjrebis ferdoebis gajis xsnariT lesva</t>
  </si>
  <si>
    <t>plintusis mowyoba</t>
  </si>
  <si>
    <t>cementis xsnariT lesva</t>
  </si>
  <si>
    <t>gajis xsnariT lesva</t>
  </si>
  <si>
    <r>
      <t>arxis gaWra gruntSi Senobamde kveTiT 0,4</t>
    </r>
    <r>
      <rPr>
        <sz val="10"/>
        <rFont val="Calibri"/>
        <family val="2"/>
      </rPr>
      <t>×</t>
    </r>
    <r>
      <rPr>
        <sz val="10"/>
        <rFont val="AcadNusx"/>
      </rPr>
      <t>0,2 da ukuCayra</t>
    </r>
  </si>
  <si>
    <t>arxis gaWra gruntSi Senobamde kveTiT 0,4X0,2 da ukuCayra</t>
  </si>
  <si>
    <t>1mm sisqis liTonis furcliT magari jiSis xis karis mopirkeTeba (cali mxridan)</t>
  </si>
  <si>
    <t>SeniSvna :</t>
  </si>
  <si>
    <t>bunebrivi qviT mopirkeTeba</t>
  </si>
  <si>
    <t>xelovnuri granitiT mopirkeTeba</t>
  </si>
  <si>
    <t>kibe</t>
  </si>
  <si>
    <t>xis moajiris damuSaveba</t>
  </si>
  <si>
    <t>xis moajiris mowyoba</t>
  </si>
  <si>
    <t>xis moajiris reabilitacia</t>
  </si>
  <si>
    <t>xis moajiris zeTovani saRebaviT orjer SeRebva</t>
  </si>
  <si>
    <t>xis moajiris laqiT samjer SeRebva</t>
  </si>
  <si>
    <t>plintusze ori piri laqis wasma</t>
  </si>
  <si>
    <t>polipropilenis milebis mowy.Ød=50 mm-mde</t>
  </si>
  <si>
    <t>ventilebis mowyoba d=50 mm-mde</t>
  </si>
  <si>
    <t>Senobis mowyobis samuSaoebi</t>
  </si>
  <si>
    <t>plastmasis sakanalizacio milebi d=50 mm</t>
  </si>
  <si>
    <t>sqelkedliani plastmasis sakanalizacio milebi d=100 mm</t>
  </si>
  <si>
    <t>lari</t>
  </si>
  <si>
    <t>safuZveli</t>
  </si>
  <si>
    <t>normatiuli</t>
  </si>
  <si>
    <t>resursi</t>
  </si>
  <si>
    <t>meqanizmebi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</si>
  <si>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</si>
  <si>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</si>
  <si>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</si>
  <si>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</si>
  <si>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</si>
  <si>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</si>
  <si>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</si>
  <si>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</si>
  <si>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</si>
  <si>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</si>
  <si>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</si>
  <si>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</si>
  <si>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</si>
  <si>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</si>
  <si>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1. demontaJis samuSaoebi</t>
  </si>
  <si>
    <t>46-26-4</t>
  </si>
  <si>
    <t>m2</t>
  </si>
  <si>
    <t xml:space="preserve">Sromis danaxarjebi  </t>
  </si>
  <si>
    <t>kac/sT</t>
  </si>
  <si>
    <t>sxva manqana</t>
  </si>
  <si>
    <t>46-15-2</t>
  </si>
  <si>
    <t>46-30-3</t>
  </si>
  <si>
    <t>46-31-12</t>
  </si>
  <si>
    <t xml:space="preserve">arsebuli cementis moWimvis ayra </t>
  </si>
  <si>
    <t>11-7-1</t>
  </si>
  <si>
    <t>keramzitis fenis moxsna</t>
  </si>
  <si>
    <t>m3</t>
  </si>
  <si>
    <t>Sromis danaxarjebi 3.58X0,4=</t>
  </si>
  <si>
    <t>sxva manqana 1,08X0,4=</t>
  </si>
  <si>
    <t>46-32-3</t>
  </si>
  <si>
    <t>9-5-1</t>
  </si>
  <si>
    <t xml:space="preserve">fanjris gisosis demontaJi </t>
  </si>
  <si>
    <t>Sromis danaxarjebi 1,11X0.6=</t>
  </si>
  <si>
    <t>sxva manqana 1,56X0.7=</t>
  </si>
  <si>
    <t>eleqtrodi 0,048X0,5=</t>
  </si>
  <si>
    <t>kg</t>
  </si>
  <si>
    <t>sxva masala 0,054X0.5=</t>
  </si>
  <si>
    <t>sabazro</t>
  </si>
  <si>
    <t>46-32-2</t>
  </si>
  <si>
    <t xml:space="preserve">fanjris blokis demontaJi </t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</si>
  <si>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25-16-54</t>
    </r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</si>
  <si>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25-16-53</t>
    </r>
  </si>
  <si>
    <t>saxarjTaRricxvo Rirebuleba</t>
  </si>
  <si>
    <t xml:space="preserve"> maT Soris xelfasi</t>
  </si>
  <si>
    <t>#</t>
  </si>
  <si>
    <t>ganz.</t>
  </si>
  <si>
    <t>xelfasi</t>
  </si>
  <si>
    <t>masala</t>
  </si>
  <si>
    <t>jami</t>
  </si>
  <si>
    <t>sul</t>
  </si>
  <si>
    <t>kv.m.</t>
  </si>
  <si>
    <t>cali</t>
  </si>
  <si>
    <t>tona</t>
  </si>
  <si>
    <t>zednadebi xarjebi</t>
  </si>
  <si>
    <t>mogeba</t>
  </si>
  <si>
    <t>samSeneblo samuSaoebi</t>
  </si>
  <si>
    <t>kedlebi</t>
  </si>
  <si>
    <t>iataki</t>
  </si>
  <si>
    <t>xelovnuri granitis plintusebis mowyoba</t>
  </si>
  <si>
    <t>Weri</t>
  </si>
  <si>
    <t>grZ.m</t>
  </si>
  <si>
    <t>kar-fanjrebi</t>
  </si>
  <si>
    <t>grZ.m.</t>
  </si>
  <si>
    <t>fasonuri nawilebis mowyoba</t>
  </si>
  <si>
    <t xml:space="preserve">kar-fanjrebis ferdoebis Selesva gajiT </t>
  </si>
  <si>
    <t xml:space="preserve">  10-60-4</t>
  </si>
  <si>
    <t>Sromis danaxarjebi</t>
  </si>
  <si>
    <t>TabaSirmuyaos tixari (kompleqti)</t>
  </si>
  <si>
    <t xml:space="preserve">sxva masala </t>
  </si>
  <si>
    <t>TabaSirmuyaos fila (kompleqti)</t>
  </si>
  <si>
    <t xml:space="preserve">nestgamZle TabaSir-muyaos ormagi sakedle filis mowyoba  (kompleqti ) </t>
  </si>
  <si>
    <t xml:space="preserve">sxva manqana </t>
  </si>
  <si>
    <t>safiTxni</t>
  </si>
  <si>
    <t>kedlebis SeRebva zeTovani saRebaviT Selesvaze orjer</t>
  </si>
  <si>
    <t>zeTovani saRebavi "beteki"-s</t>
  </si>
  <si>
    <t>sagrunti zeTovani</t>
  </si>
  <si>
    <t>olifa</t>
  </si>
  <si>
    <t>kedlebis SeRebva wyalemulsiuri saRebaviT orjer</t>
  </si>
  <si>
    <t>saRebavi pva "alpina"</t>
  </si>
  <si>
    <t>15-14-1</t>
  </si>
  <si>
    <t xml:space="preserve">sxvadasxva manqanebi normiT </t>
  </si>
  <si>
    <t>webo-cementi</t>
  </si>
  <si>
    <t>sxvadasxva masala normiT</t>
  </si>
  <si>
    <t>15-156-4-23</t>
  </si>
  <si>
    <t xml:space="preserve">fasadis saRebaviT orjer SeRebva </t>
  </si>
  <si>
    <t>saRebavi mSrali</t>
  </si>
  <si>
    <t>gamxsneli</t>
  </si>
  <si>
    <t>sagrunti</t>
  </si>
  <si>
    <t>15-54</t>
  </si>
  <si>
    <t>marmarilos nafxveni</t>
  </si>
  <si>
    <t>saRebavi</t>
  </si>
  <si>
    <t>laqi ak-113</t>
  </si>
  <si>
    <t>iatakebi</t>
  </si>
  <si>
    <t>cementis moWimvis mowyoba sisqiT 40mm</t>
  </si>
  <si>
    <t>Sromis danaxarjebi 0,188+0,0034X4=</t>
  </si>
  <si>
    <t>sxvadasxva manqanebi normiT 0,0095+0,0023X4=</t>
  </si>
  <si>
    <t>cementis xsnari m150 0,0204+0,0051X4=</t>
  </si>
  <si>
    <t>11-27-6</t>
  </si>
  <si>
    <t>parketis iatakis mowyoba plintusebis gaTvaliswinebiT</t>
  </si>
  <si>
    <t>webo</t>
  </si>
  <si>
    <t>parketis iatakis moxvewa da dafarva 3 fena laqiT</t>
  </si>
  <si>
    <t>parketis laqi</t>
  </si>
  <si>
    <t>11-7-4</t>
  </si>
  <si>
    <t>Sewebebuli faneris mowyoba sisqiT 10mm</t>
  </si>
  <si>
    <t>Sewebebuli fanera 10mm</t>
  </si>
  <si>
    <t>plastmasis mili d=100 mm (gamwovi arxebisTvis)</t>
  </si>
  <si>
    <t>cementis xsnariT Selesva</t>
  </si>
  <si>
    <t>gajis xsnariT Selesva</t>
  </si>
  <si>
    <t>"barisoli"-s tipis Weris mowyoba</t>
  </si>
  <si>
    <t>izoaluminis samkameriani karis mowyoba</t>
  </si>
  <si>
    <t>izoaluminis samkameriani fanjris mowyoba</t>
  </si>
  <si>
    <t>"amstrongis" filebi liTonis karkasiT</t>
  </si>
  <si>
    <t>sxva masala 0,389+0,163=</t>
  </si>
  <si>
    <t>sxva manqana 0,035+0,07=</t>
  </si>
  <si>
    <t>sxva masala 0,389+0,55=</t>
  </si>
  <si>
    <t>sxva manqana 0,035+0,1=</t>
  </si>
  <si>
    <t>sxva masala 0,389+0,56=</t>
  </si>
  <si>
    <t>16-6-2</t>
  </si>
  <si>
    <t>plastmasis mili d=100mm (gamwovi arxebisaTvis)</t>
  </si>
  <si>
    <t xml:space="preserve">sxva manqana  </t>
  </si>
  <si>
    <t>samagri</t>
  </si>
  <si>
    <t>10-20-1</t>
  </si>
  <si>
    <t>toli</t>
  </si>
  <si>
    <t>karis mowyobiloba</t>
  </si>
  <si>
    <t>zeTovani saRebavi</t>
  </si>
  <si>
    <t>9-14-5</t>
  </si>
  <si>
    <t xml:space="preserve">metaloplastmasis fanjris montaJi da Rirebuleba </t>
  </si>
  <si>
    <t>metaloplastmasis  fanjara</t>
  </si>
  <si>
    <t>metaloplastmasis fanjris reabilitacia</t>
  </si>
  <si>
    <t>metaloplastmasis fanjaris (minapaketi, Stapikebi, saketebi da sxva)</t>
  </si>
  <si>
    <t xml:space="preserve">metaloplastmasis rafis mowyoba </t>
  </si>
  <si>
    <t>metaloplastmasis rafa</t>
  </si>
  <si>
    <t>12-8-5</t>
  </si>
  <si>
    <t>15-14-2</t>
  </si>
  <si>
    <t>bunebrivi qviT sacremleebis mowyoba sisqiT 40mm</t>
  </si>
  <si>
    <t xml:space="preserve">anakrebi safexurebis mowyoba </t>
  </si>
  <si>
    <t>cementis xsnari m100</t>
  </si>
  <si>
    <t>15-12-1</t>
  </si>
  <si>
    <t>kibeebis mopirkeTeba bunebrivi qviT cementis xsnarze</t>
  </si>
  <si>
    <t>bazaltis filebi sisqiT 40mm</t>
  </si>
  <si>
    <t>xis moajiri</t>
  </si>
  <si>
    <t xml:space="preserve">  15-161-1</t>
  </si>
  <si>
    <t xml:space="preserve">sxvadasxva masala </t>
  </si>
  <si>
    <r>
      <t>r</t>
    </r>
    <r>
      <rPr>
        <sz val="10"/>
        <rFont val="Times New Roman"/>
        <family val="1"/>
      </rPr>
      <t>21-87</t>
    </r>
  </si>
  <si>
    <t>t</t>
  </si>
  <si>
    <t>jami 1</t>
  </si>
  <si>
    <t>8-5-9</t>
  </si>
  <si>
    <t xml:space="preserve">Sromis danaxarjebi </t>
  </si>
  <si>
    <t>masala:</t>
  </si>
  <si>
    <t>kir-cementis xsnari m50</t>
  </si>
  <si>
    <t>aguri Tixis (metexis)</t>
  </si>
  <si>
    <t>1000c</t>
  </si>
  <si>
    <t>sxva masala</t>
  </si>
  <si>
    <t>kedlebis Selesva cementis xsnariT</t>
  </si>
  <si>
    <t>xsnaris tumbo 1m3/sT</t>
  </si>
  <si>
    <t>manq/sT</t>
  </si>
  <si>
    <t>cementis xsnari 1:3</t>
  </si>
  <si>
    <t>liTonis bade</t>
  </si>
  <si>
    <t>15-56-1</t>
  </si>
  <si>
    <t>kar-fanjrebis ferdoebis Selesva cementis xsnariT</t>
  </si>
  <si>
    <t>gaji</t>
  </si>
  <si>
    <t>wyali</t>
  </si>
  <si>
    <t>15-67-1</t>
  </si>
  <si>
    <t>xelsabani niJaris mowyoba SezRuduli unarebis mqoneTaTvis kompleqtSi</t>
  </si>
  <si>
    <t>xelsabani SezRuduli unarebis mqoneTaTvis kompleqtSi</t>
  </si>
  <si>
    <t>17-4-1</t>
  </si>
  <si>
    <t>unitazis (Camrecxi avziT) mowyoba SezRuduli unaris mqone pirTaTvis kompleqtSi</t>
  </si>
  <si>
    <t>unitazi SezRuduli unaris mqone pirTaTvis kompleqtSi</t>
  </si>
  <si>
    <t xml:space="preserve">xelsabani niJaris mowyoba </t>
  </si>
  <si>
    <t xml:space="preserve">xelsabani </t>
  </si>
  <si>
    <t>17-3-3</t>
  </si>
  <si>
    <t>Semrevis mowyoba xelsabanisaTvis</t>
  </si>
  <si>
    <t>Semrevi</t>
  </si>
  <si>
    <t xml:space="preserve">unitazis (Camrecxi avziT) mowyoba </t>
  </si>
  <si>
    <t xml:space="preserve">unitazi </t>
  </si>
  <si>
    <t>17-1-9</t>
  </si>
  <si>
    <t>foladis miltuCi</t>
  </si>
  <si>
    <t>WanWiki qanCiT</t>
  </si>
  <si>
    <t>16-24-3</t>
  </si>
  <si>
    <t>16-24-2</t>
  </si>
  <si>
    <t>jami 3</t>
  </si>
  <si>
    <t>moTuTiebuli Tunuqis sacremleebis mowyoba fanjrebze</t>
  </si>
  <si>
    <t>kibeebis mopirkeTeba xelovnuri granitis filebiT cementis xsnarze</t>
  </si>
  <si>
    <t xml:space="preserve">izoaluminis samkameriani fanjris montaJi da Rirebuleba </t>
  </si>
  <si>
    <t>liTonis moajiris damuSaveba da zeTovani saRebaviT orjer SeRebva</t>
  </si>
  <si>
    <t>kanalizaciis plastmasis mili d=50mm</t>
  </si>
  <si>
    <t>15-55-6-11</t>
  </si>
  <si>
    <t xml:space="preserve">m2 </t>
  </si>
  <si>
    <t>15-55-5-11</t>
  </si>
  <si>
    <t>46-28-2</t>
  </si>
  <si>
    <t>Tunuqis saxuravis moxsna</t>
  </si>
  <si>
    <t>46-28-1</t>
  </si>
  <si>
    <t>xis konstruqciebis demontaJi</t>
  </si>
  <si>
    <t>alebastri</t>
  </si>
  <si>
    <t>Sromis danaxarjebi 2,73+0,492=</t>
  </si>
  <si>
    <t>sxva manqana 0,02+0,008=</t>
  </si>
  <si>
    <t>sxvadasxva masala 0,0343+0,007=</t>
  </si>
  <si>
    <t>xis rafis reabilitacia</t>
  </si>
  <si>
    <t>xis masala, saRebavi</t>
  </si>
  <si>
    <t>saxuravi</t>
  </si>
  <si>
    <t>10-11</t>
  </si>
  <si>
    <t>xis nivnivebis mowyoba</t>
  </si>
  <si>
    <t>xis Zeli</t>
  </si>
  <si>
    <t>samSeneblo lursmani</t>
  </si>
  <si>
    <t>mavTuli glinula</t>
  </si>
  <si>
    <t>xis plintusi</t>
  </si>
  <si>
    <t>11-9-3</t>
  </si>
  <si>
    <t>11-27-2</t>
  </si>
  <si>
    <t>lursmani</t>
  </si>
  <si>
    <t>11-42-1</t>
  </si>
  <si>
    <t>xis plintusis mowyoba</t>
  </si>
  <si>
    <t xml:space="preserve">  15-163-2</t>
  </si>
  <si>
    <t>laqi</t>
  </si>
  <si>
    <t>11-30-7</t>
  </si>
  <si>
    <t>xelovnuri granitis filebi</t>
  </si>
  <si>
    <t>11-36-3</t>
  </si>
  <si>
    <t>plintusis mowyoba xelovnuri granitis filebiT webo-cementze</t>
  </si>
  <si>
    <t xml:space="preserve">"barisoli"-s Sekiduli Weri </t>
  </si>
  <si>
    <t>sxva manqana 0,035+0,01=</t>
  </si>
  <si>
    <t>cementis moWimvis mowyoba sisqiT 20mm</t>
  </si>
  <si>
    <t>12-9-5</t>
  </si>
  <si>
    <t>gazi</t>
  </si>
  <si>
    <t>15-51-1</t>
  </si>
  <si>
    <t>fasadis kedlebis Selesva cementis xsnariT</t>
  </si>
  <si>
    <t>15-52-3</t>
  </si>
  <si>
    <t>kar-fanjrebis ferdoebis Selesva cementis xsnariT (gare)</t>
  </si>
  <si>
    <t>8-22-2</t>
  </si>
  <si>
    <t>xaraCos liTonis elementebi</t>
  </si>
  <si>
    <t>xaraCos xis elementebi</t>
  </si>
  <si>
    <t>fenilis fari</t>
  </si>
  <si>
    <t>11-1-6</t>
  </si>
  <si>
    <t>RorRis safuZvelis mowyoba</t>
  </si>
  <si>
    <t>RorRi m400 fr.20-40mm</t>
  </si>
  <si>
    <t>11-1-11</t>
  </si>
  <si>
    <t>betoni m100</t>
  </si>
  <si>
    <t>1-81-2</t>
  </si>
  <si>
    <t>zedmeti gruntis datvirTva xeliT avtomanqanaze</t>
  </si>
  <si>
    <t>6-11-1</t>
  </si>
  <si>
    <t>betoni m200</t>
  </si>
  <si>
    <t>yalibis fari</t>
  </si>
  <si>
    <t>xis ficari 3x.40mm da meti</t>
  </si>
  <si>
    <t>samSeneblo WanWiki</t>
  </si>
  <si>
    <t>7-21-8</t>
  </si>
  <si>
    <t xml:space="preserve">liTonis Robis mowyoba liTonis dgarebze </t>
  </si>
  <si>
    <t>liTonis dgarebi d=100X3mm</t>
  </si>
  <si>
    <t>eleqtrodi</t>
  </si>
  <si>
    <t>7-22-1</t>
  </si>
  <si>
    <t xml:space="preserve">liTonis WiSkaris mowyoba liTonis dgarebze </t>
  </si>
  <si>
    <t>liTonis mili d=15X2,5mm</t>
  </si>
  <si>
    <t>marTkuTxa mili 50X30X3</t>
  </si>
  <si>
    <t>liTonis dgarebi d=140X4mm</t>
  </si>
  <si>
    <t>liTonis konstruqciebis SeRebva zeTovani saRebaviT orjer</t>
  </si>
  <si>
    <t>cokolis minaSxefi</t>
  </si>
  <si>
    <t>liTonis Robe da WiSkari</t>
  </si>
  <si>
    <t xml:space="preserve">monoliTuri betonis lenturi saZirkvlis da cokolis mowyoba m200 betonisagan </t>
  </si>
  <si>
    <t>liTonis dgarebi d=80X3,5mm</t>
  </si>
  <si>
    <t>liTonis Robis mowyoba liTonis dgarebze:</t>
  </si>
  <si>
    <t>saxuravis mowyoba 1 fena linokromiT</t>
  </si>
  <si>
    <t>saxuravis mowyoba 2 fena linokromiT</t>
  </si>
  <si>
    <t xml:space="preserve">13-25-1                                                            </t>
  </si>
  <si>
    <t>Sromis danaxarjebi 0,914X1,1=</t>
  </si>
  <si>
    <t>15-159-1</t>
  </si>
  <si>
    <t>xis moajiris SeRebva zeTovani saRebaviT orjer</t>
  </si>
  <si>
    <t>15-164-8</t>
  </si>
  <si>
    <t>liTonis moajiris damuSaveba da SeRebva zeTovani saRebaviT orjer</t>
  </si>
  <si>
    <t>jami 2</t>
  </si>
  <si>
    <t>16-24-5</t>
  </si>
  <si>
    <t>polipropilenis wyalsadenis mili d=50mm-mde</t>
  </si>
  <si>
    <t>plastmasis mili d=20mm</t>
  </si>
  <si>
    <t>16-12-1</t>
  </si>
  <si>
    <t>ventili d=50mm-mde</t>
  </si>
  <si>
    <t>ventili d=20mm</t>
  </si>
  <si>
    <t>16-6-1</t>
  </si>
  <si>
    <t>mili d=50mm</t>
  </si>
  <si>
    <t>kanalizaciis sqelkedliani plastmasis mili d=100mm</t>
  </si>
  <si>
    <t>sqelkedliani mili d=100mm</t>
  </si>
  <si>
    <t>17-1-5</t>
  </si>
  <si>
    <t>furclovani foladi sisqiT 2mm</t>
  </si>
  <si>
    <t>34-61-4</t>
  </si>
  <si>
    <t>Sromis danaxarjebi  0,859X0,4=</t>
  </si>
  <si>
    <t>sxva manqana 0,0179X0,4=</t>
  </si>
  <si>
    <t>11-11-6</t>
  </si>
  <si>
    <t>kvarcis qviSa</t>
  </si>
  <si>
    <t>cementi m400</t>
  </si>
  <si>
    <t>Sromis danaxarjebi 2,1+0,183X6=</t>
  </si>
  <si>
    <t>sxva manqana 0,0232+0,002X6=</t>
  </si>
  <si>
    <t>dekoratiuli xsnari (qvis nafxveniT) 0,0204+0,0051X6=</t>
  </si>
  <si>
    <t>bazaltis filebis mowyoba cementis xsnarze</t>
  </si>
  <si>
    <t>kibeebis mopirkeTeba bazaltis filebiT cementis xsnarze</t>
  </si>
  <si>
    <t>bazaltis filebi sisqiT 20mm</t>
  </si>
  <si>
    <t>sarineli</t>
  </si>
  <si>
    <t>27-42-1</t>
  </si>
  <si>
    <t>qviSa</t>
  </si>
  <si>
    <t>8-612-9</t>
  </si>
  <si>
    <t>el.fari</t>
  </si>
  <si>
    <t>8-591-3</t>
  </si>
  <si>
    <t>8-591-8</t>
  </si>
  <si>
    <t xml:space="preserve">jami </t>
  </si>
  <si>
    <t>minis tixrebze stikeris mowyoba</t>
  </si>
  <si>
    <t>stikeri</t>
  </si>
  <si>
    <t xml:space="preserve">Turquli jamis (Camrecxi avziT) mowyoba </t>
  </si>
  <si>
    <t>saketi</t>
  </si>
  <si>
    <t>anakrebi safexurebis demontaJi</t>
  </si>
  <si>
    <t>xis rafis damuSaveba da SeRebva</t>
  </si>
  <si>
    <t>15-159-3</t>
  </si>
  <si>
    <t>sxvadasxva masala</t>
  </si>
  <si>
    <t>15-159-4</t>
  </si>
  <si>
    <t>xis karis SeRebva zeTovani saRebaviT orjer</t>
  </si>
  <si>
    <t xml:space="preserve">plastikatis Sekiduli Weri </t>
  </si>
  <si>
    <t>sxvadasxva manqanebi</t>
  </si>
  <si>
    <t>8-402-2</t>
  </si>
  <si>
    <t>arsebuli radiatorebis demontaJi</t>
  </si>
  <si>
    <t>kedlebis Selesva gajiT</t>
  </si>
  <si>
    <t>xsnaris tumbo 3 m3/sT</t>
  </si>
  <si>
    <t>iatakis ficari sisqiT 40mm</t>
  </si>
  <si>
    <t>monoliTuri mozikuri iatakis mowyoba sisqiT 50mm</t>
  </si>
  <si>
    <t>"barisoli"-s SekiduliEWeris mowyoba liTonis karkasze</t>
  </si>
  <si>
    <t>10-37-1</t>
  </si>
  <si>
    <t>xis nivnivebis cecxldacva</t>
  </si>
  <si>
    <t>fosformJava amoniumi</t>
  </si>
  <si>
    <t>amoniumis sulfati</t>
  </si>
  <si>
    <t>navTis kontaqti</t>
  </si>
  <si>
    <t>10-37-3</t>
  </si>
  <si>
    <t>xis molartyvis cecxldacva</t>
  </si>
  <si>
    <t>xis molartyvis antiseptireba</t>
  </si>
  <si>
    <t>pasta antiseptikuri</t>
  </si>
  <si>
    <t>moTuTiebuli Tunuqis saxuravis mowyoba</t>
  </si>
  <si>
    <t>12-8-3</t>
  </si>
  <si>
    <t>WanWiki</t>
  </si>
  <si>
    <t>naWedi</t>
  </si>
  <si>
    <t xml:space="preserve">wyalsawreti milebis mowyoba </t>
  </si>
  <si>
    <t xml:space="preserve">sxva manqana normiT </t>
  </si>
  <si>
    <t>wyalsawreti milebi</t>
  </si>
  <si>
    <t>16-17-4</t>
  </si>
  <si>
    <t>wyalmimRebi Zabrebis mowyoba</t>
  </si>
  <si>
    <t>wyalmimRebi Zabrebi</t>
  </si>
  <si>
    <t>wyalmimRebi muxlebis mowyoba</t>
  </si>
  <si>
    <t>muxli</t>
  </si>
  <si>
    <t>mdf-is Seminuli karis dayeneba (ix. naxazi)</t>
  </si>
  <si>
    <t>saRebavi, fiTxi, zumfara</t>
  </si>
  <si>
    <t>izoaluminis samkameriani fanjara</t>
  </si>
  <si>
    <t>xis ficari Ix. 40mm-ze meti</t>
  </si>
  <si>
    <t xml:space="preserve">amwe saavtomobilo svlaze tvirTamweobiT 10t </t>
  </si>
  <si>
    <t>parketi wiflis adgilobrivi warmoebis</t>
  </si>
  <si>
    <t xml:space="preserve">plastmasis mili d=100mm </t>
  </si>
  <si>
    <t xml:space="preserve">xis ficari III x. 25-32mm </t>
  </si>
  <si>
    <t xml:space="preserve">xis rafa 25sm siganiT </t>
  </si>
  <si>
    <t>trapi nikelis d=50mm</t>
  </si>
  <si>
    <t>8-15-1</t>
  </si>
  <si>
    <t>kir-cementis xsnari m25</t>
  </si>
  <si>
    <t>mcire zomis betonis blokebi</t>
  </si>
  <si>
    <t>46-23-4</t>
  </si>
  <si>
    <t>aguris kedlis demontaJi</t>
  </si>
  <si>
    <t>46-23-3</t>
  </si>
  <si>
    <t>46-30-1</t>
  </si>
  <si>
    <t>xis iatakis mowyoba sisqiT 40mm plintusis gaTvaliswinebiT</t>
  </si>
  <si>
    <t>kalaTburTis faris montaJi arsebul konstruqciaze</t>
  </si>
  <si>
    <t>Weris damuSaveba fiTxiT da SeRebva wyalemulsiuri saRebaviT orjer</t>
  </si>
  <si>
    <t>6-1-1</t>
  </si>
  <si>
    <t>liTonis boZis dabetoneba m150 betoniT</t>
  </si>
  <si>
    <t>betoni m150</t>
  </si>
  <si>
    <t>liTonis dgarebi d=100X4mm</t>
  </si>
  <si>
    <t>liTonis dgarebi d=50X3mm</t>
  </si>
  <si>
    <t>7-58-4</t>
  </si>
  <si>
    <t>liTonis moajiri</t>
  </si>
  <si>
    <t>cementi m300</t>
  </si>
  <si>
    <t>masalebis transporti</t>
  </si>
  <si>
    <t>xelovnuri granitis filebiT iatakis mowyoba</t>
  </si>
  <si>
    <r>
      <t>anakrebi betonis safexuris (mozaikuri zedapiriT</t>
    </r>
    <r>
      <rPr>
        <sz val="10"/>
        <rFont val="AcadNusx"/>
      </rPr>
      <t>) mowyoba</t>
    </r>
  </si>
  <si>
    <t xml:space="preserve">liTonis moajiris mowyoba </t>
  </si>
  <si>
    <t>gare baqani da pandusi</t>
  </si>
  <si>
    <t>gruntis ukuCayra xeliT</t>
  </si>
  <si>
    <t>trapi nikelis d=50 mm</t>
  </si>
  <si>
    <t>antiseptikuri pasta</t>
  </si>
  <si>
    <t>ruberoidis saxuravis moxsna</t>
  </si>
  <si>
    <t>kub.m.</t>
  </si>
  <si>
    <t>gare xaraCoebis mowyoba simaRliT 16 m-mde</t>
  </si>
  <si>
    <r>
      <t>r</t>
    </r>
    <r>
      <rPr>
        <sz val="10"/>
        <rFont val="Arial Cyr"/>
      </rPr>
      <t xml:space="preserve">  </t>
    </r>
    <r>
      <rPr>
        <sz val="10"/>
        <rFont val="Times New Roman"/>
        <family val="1"/>
      </rPr>
      <t>25-8-15</t>
    </r>
  </si>
  <si>
    <r>
      <t>r</t>
    </r>
    <r>
      <rPr>
        <sz val="10"/>
        <rFont val="Arial Cyr"/>
      </rPr>
      <t xml:space="preserve">  </t>
    </r>
    <r>
      <rPr>
        <sz val="10"/>
        <rFont val="Times New Roman"/>
        <family val="1"/>
      </rPr>
      <t>14-801</t>
    </r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</si>
  <si>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25-13-5</t>
    </r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</si>
  <si>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14-801</t>
    </r>
  </si>
  <si>
    <r>
      <t>r</t>
    </r>
    <r>
      <rPr>
        <sz val="10"/>
        <rFont val="Arial"/>
        <family val="2"/>
      </rPr>
      <t>7-61</t>
    </r>
  </si>
  <si>
    <t>11-8-1, 11-8-2</t>
  </si>
  <si>
    <t>moajiris saxeluri magari jiSis xisagan</t>
  </si>
  <si>
    <t xml:space="preserve">liTonis moajirze magari jiSis xis saxeluris mowyoba </t>
  </si>
  <si>
    <t>armatura d=8mm</t>
  </si>
  <si>
    <t>liTonis kuTxovanebi 50X50X3mm</t>
  </si>
  <si>
    <t>liTonis zolana 40X4mm</t>
  </si>
  <si>
    <t>10-60-2 k=0,5</t>
  </si>
  <si>
    <t>bazaltis filebi sisqiT 50mm</t>
  </si>
  <si>
    <t>liTonis bade, CarCoSi 3X1,5m</t>
  </si>
  <si>
    <t>2. samSeneblo samuSaoebi</t>
  </si>
  <si>
    <t xml:space="preserve">samSeneblo nagvis transportireba </t>
  </si>
  <si>
    <t>liTonis konstruqciis damuSaveba da SeRebva zeTovani saRebaviT orjer</t>
  </si>
  <si>
    <t>10-36-5</t>
  </si>
  <si>
    <t>%</t>
  </si>
  <si>
    <t>zednadebi xarjebi xelfasidan</t>
  </si>
  <si>
    <t>eleqtrosamontaJo samuSaoebi</t>
  </si>
  <si>
    <t>eleqtro fari 6 jgufiani.Semyvanze 3-faza avtomaturi gamomrTveliT 16a-ze, xolo jgufebSi erTfaza avtomaturi gamomrTveliT   6a-ze-2c,10a-ze- 2c da  16a-ze-2c</t>
  </si>
  <si>
    <t>avtomaturi gamomrTveli 16a-iani, 1 faza</t>
  </si>
  <si>
    <t xml:space="preserve">luminescenturi sanaTi erTnaTuriani 1X40vt </t>
  </si>
  <si>
    <t xml:space="preserve">luminescenturi sanaTi ornaTuriani 2X40vt </t>
  </si>
  <si>
    <t>saevakuacio sanaTi warweriT @~gasasvleli~ simZ. 2X25vt</t>
  </si>
  <si>
    <t>saStefselo rozeti  mesame damamiwebeli kontaqtiT 220v</t>
  </si>
  <si>
    <t>erTpolusiani gamomrTveli 220v Zabvaze erTklaviSiani</t>
  </si>
  <si>
    <t>erTpolusiani gamomrTveli 220v Zabvaze orklaviSiani</t>
  </si>
  <si>
    <t>luminiscenturi naTura. simZlavre     40vt</t>
  </si>
  <si>
    <t>varvara naTura 25vt</t>
  </si>
  <si>
    <t>spilenZis  ZarRviani ormagizolaciani kabeli kveTiT 3X1,5mm2</t>
  </si>
  <si>
    <t>spilenZis  ZarRviani ormagizolaciani kabeli kveTiT 3X2,5mm2</t>
  </si>
  <si>
    <t>spilenZis 5-ZarRviani ormagizoliaciani kabelis gatareba milebSi, kveTiT 5X4mm2</t>
  </si>
  <si>
    <t>viniplastis milis montaJi d=15mm</t>
  </si>
  <si>
    <t>kuTxovana 50X50X5mm</t>
  </si>
  <si>
    <t>zolovani foladi  40X4mm</t>
  </si>
  <si>
    <t>foladis mavTuli 8mm</t>
  </si>
  <si>
    <t>Semyvan-gamanawilebeli mowyobiloba 3 jgufiani.Semyvanze 3-faza avtomaturi gamomrTveliT 32a-ze, xolo jgufebSi samfaza avtomaturi gamomrTveliT   25a-ze-2c, mricxveliT</t>
  </si>
  <si>
    <t xml:space="preserve">kuTxovana 50X50X5mm </t>
  </si>
  <si>
    <t>8-525-1</t>
  </si>
  <si>
    <t>avtomaturi gamomrTveli</t>
  </si>
  <si>
    <t>8-599-1</t>
  </si>
  <si>
    <t>8-604-4</t>
  </si>
  <si>
    <t>plastikatis SekiduliEWeris mowyoba liTonis karkasze</t>
  </si>
  <si>
    <t>sxvadasxva masala 0,389+0,016=</t>
  </si>
  <si>
    <t>Weris Selesva cementis xsnariT</t>
  </si>
  <si>
    <t>Weris Selesva gajiT</t>
  </si>
  <si>
    <t>wyalsaden-kanalizacia 1 s/k (15,05m2) gogonebis</t>
  </si>
  <si>
    <t>pisuari</t>
  </si>
  <si>
    <t>wyalsaden-kanalizacia s/k (gogonebis)</t>
  </si>
  <si>
    <t>wyalsaden-kanalizacia s/k (vaJebis)</t>
  </si>
  <si>
    <t>wyalsaden-kanalizacia 1 s/k (15,05m2) vaJebis</t>
  </si>
  <si>
    <t>17-5-1</t>
  </si>
  <si>
    <t xml:space="preserve">pisuarebis montaJi </t>
  </si>
  <si>
    <t>pisuaris mowyoba</t>
  </si>
  <si>
    <t>samontaJo xvrelebis mowyoba</t>
  </si>
  <si>
    <t>xvrelebis amovseba cementiT</t>
  </si>
  <si>
    <t>quro gare xraxniT liT/plast d=15/20</t>
  </si>
  <si>
    <t>sistemis hidravlikuri  gamocda</t>
  </si>
  <si>
    <t>gruntis datvirTva xeliT a/m</t>
  </si>
  <si>
    <t>RorRis safuZvelis mowyoba saZirkvlis qveS</t>
  </si>
  <si>
    <t>armatura a-3</t>
  </si>
  <si>
    <t>xis koWebis mowyoba</t>
  </si>
  <si>
    <t>xis koWebis cecxldacva</t>
  </si>
  <si>
    <t>jami 4</t>
  </si>
  <si>
    <t>jami 5</t>
  </si>
  <si>
    <t>RorRis safuZvelis mowyoba iatakis qveS</t>
  </si>
  <si>
    <t>fasadis kedlebis SeRebva</t>
  </si>
  <si>
    <t>RorRis safuZvelis mowyoba sisqiT 15sm</t>
  </si>
  <si>
    <t>Semavsebeli tumbo</t>
  </si>
  <si>
    <t>Termomanometri</t>
  </si>
  <si>
    <t xml:space="preserve">avtomaturi haergamSvebi </t>
  </si>
  <si>
    <t xml:space="preserve">betonis safuZvelis mowyoba </t>
  </si>
  <si>
    <t>cementis xsnari m50</t>
  </si>
  <si>
    <t>safexurebi</t>
  </si>
  <si>
    <t>7-57-2</t>
  </si>
  <si>
    <t xml:space="preserve">varvaranaTuriani sanaTi "plafoni" simZlavre 60 vt </t>
  </si>
  <si>
    <t xml:space="preserve">varvara naTura 25-100vt </t>
  </si>
  <si>
    <t xml:space="preserve">plastmasis gofrirebuli milis gayvana arxSi d=200mm </t>
  </si>
  <si>
    <t>miwis damuSaveba xeliT</t>
  </si>
  <si>
    <t>damclelisa da kanalizaciis mowyoba d=25mm plastmasis miliT</t>
  </si>
  <si>
    <t>liTonis da plastmasis fasonuri nawilebi</t>
  </si>
  <si>
    <t>defleqtori d=200mm</t>
  </si>
  <si>
    <t>spilenZis  ZarRviani ormagizolaciani kabeli kveTiT 2X2,5mm2</t>
  </si>
  <si>
    <t>spilenZis  ZarRviani ormagizolaciani kabeli kveTiT 3X4mm2</t>
  </si>
  <si>
    <t>46-19-3</t>
  </si>
  <si>
    <r>
      <t>r</t>
    </r>
    <r>
      <rPr>
        <sz val="10"/>
        <rFont val="Arial Cyr"/>
      </rPr>
      <t xml:space="preserve"> </t>
    </r>
    <r>
      <rPr>
        <sz val="10"/>
        <rFont val="Times New Roman"/>
        <family val="1"/>
      </rPr>
      <t>3-47</t>
    </r>
  </si>
  <si>
    <t>cementis xsnari</t>
  </si>
  <si>
    <t>burTuliani plastmasis ventili d=25mm</t>
  </si>
  <si>
    <t>16-22</t>
  </si>
  <si>
    <t>1-80-3</t>
  </si>
  <si>
    <t>8-3-2</t>
  </si>
  <si>
    <t>RorRi</t>
  </si>
  <si>
    <t>6-1-22</t>
  </si>
  <si>
    <t xml:space="preserve">xis ficari 3x.40mm </t>
  </si>
  <si>
    <t>8-4-1</t>
  </si>
  <si>
    <t>cementis xsnari m25</t>
  </si>
  <si>
    <t xml:space="preserve">Txevadi mina </t>
  </si>
  <si>
    <t>6-15-9</t>
  </si>
  <si>
    <t>xis ficari 2x.40mm da meti</t>
  </si>
  <si>
    <t>xis ficari 1x.40mm-ze meti</t>
  </si>
  <si>
    <t>10-36-4</t>
  </si>
  <si>
    <t>liTonis damxmare konstruqciebi</t>
  </si>
  <si>
    <t>20-7-2</t>
  </si>
  <si>
    <t>liTonis Jaluzi</t>
  </si>
  <si>
    <t>9-17-1</t>
  </si>
  <si>
    <t xml:space="preserve">RorRi </t>
  </si>
  <si>
    <t>11-8-1</t>
  </si>
  <si>
    <t>sxva manqana 0,0095+0,0023X4=</t>
  </si>
  <si>
    <t>cementis xsnari m150</t>
  </si>
  <si>
    <t>xsnaris tumbo 3m3/sT</t>
  </si>
  <si>
    <t>15-156-2</t>
  </si>
  <si>
    <t>11-13-1</t>
  </si>
  <si>
    <t>jami 9</t>
  </si>
  <si>
    <t xml:space="preserve">zednadebi xarjebi </t>
  </si>
  <si>
    <t>26-4-3</t>
  </si>
  <si>
    <t xml:space="preserve">Sromis danaxarjebi   </t>
  </si>
  <si>
    <t xml:space="preserve">Sesakravi zolana </t>
  </si>
  <si>
    <t>mavTuli</t>
  </si>
  <si>
    <t>18-2-10</t>
  </si>
  <si>
    <t>sinaTi warweriT "gasasvleli'"</t>
  </si>
  <si>
    <t>gamomrTveli</t>
  </si>
  <si>
    <t xml:space="preserve">spilenZis ZarRviani kabelebi   </t>
  </si>
  <si>
    <t>8-149-1</t>
  </si>
  <si>
    <t>kabeli spilenZis ZarRviT kveTiT 5X4mm2</t>
  </si>
  <si>
    <t>8-417-1</t>
  </si>
  <si>
    <t>8-471-1</t>
  </si>
  <si>
    <t>8-472-3</t>
  </si>
  <si>
    <t>8-472-8</t>
  </si>
  <si>
    <t xml:space="preserve">xis ficari 3x.25-32mm </t>
  </si>
  <si>
    <t>9-24-1</t>
  </si>
  <si>
    <t xml:space="preserve">Sromis danaxarjebi    </t>
  </si>
  <si>
    <t xml:space="preserve">muxluxa amwe 25t  </t>
  </si>
  <si>
    <t>man.</t>
  </si>
  <si>
    <t>8-526-1</t>
  </si>
  <si>
    <t>8-603-1</t>
  </si>
  <si>
    <r>
      <t xml:space="preserve">sanaTi </t>
    </r>
    <r>
      <rPr>
        <sz val="10"/>
        <rFont val="Arial Cyr"/>
      </rPr>
      <t>"</t>
    </r>
    <r>
      <rPr>
        <sz val="10"/>
        <rFont val="AcadNusx"/>
      </rPr>
      <t>plafoni</t>
    </r>
    <r>
      <rPr>
        <sz val="10"/>
        <rFont val="Arial Cyr"/>
      </rPr>
      <t>"</t>
    </r>
  </si>
  <si>
    <t>8-525-3</t>
  </si>
  <si>
    <t>22-8-6</t>
  </si>
  <si>
    <t>plastmasis gofrirebuli mili d=200mm</t>
  </si>
  <si>
    <t>22-8-1</t>
  </si>
  <si>
    <t>Sromis danaxarji</t>
  </si>
  <si>
    <t>sxvadasxva manqana</t>
  </si>
  <si>
    <t>6-9-10</t>
  </si>
  <si>
    <t>betonis armireba</t>
  </si>
  <si>
    <t>samfaza avtomat. gamomrTveli  400a-ze 380v</t>
  </si>
  <si>
    <t xml:space="preserve">el. fari 20-jgufiani.Semyvanze 3-faza avtomaturi gamomrTveliT 300a-ze, xolo jgufebSi erTfaza avtomaturi gamomrTveliT  63amperze </t>
  </si>
  <si>
    <t>eleqtro gamaTbobeli xelsawyo atlantisi simZ.2kvt</t>
  </si>
  <si>
    <t>eleqtro gamaTbobeli xelsawyo atlantisi simZ.1,5kvt</t>
  </si>
  <si>
    <t>saStefselo rozeti orpolusiani da mesame damamiwebeli kontaqtiT</t>
  </si>
  <si>
    <t>gamanawilebeli yuTi</t>
  </si>
  <si>
    <t>spilenZis ormagizolaciani ZarRviani kabeli kveTiT 3X2,5mm2</t>
  </si>
  <si>
    <t>spilenZis ormagizolaciani ZarRviani kabeli kveTiT 3X10mm3</t>
  </si>
  <si>
    <t>plastmasis mili  d=32mm</t>
  </si>
  <si>
    <t>km</t>
  </si>
  <si>
    <t>samontaJo xvrelebis gakeTeba WerSi da sxvenSi</t>
  </si>
  <si>
    <t>8-612-10</t>
  </si>
  <si>
    <t>el. fari 20-jgufiani</t>
  </si>
  <si>
    <t xml:space="preserve">8-417-2 </t>
  </si>
  <si>
    <t>8-368-4</t>
  </si>
  <si>
    <t>35 kv-ani sakedle qvabi</t>
  </si>
  <si>
    <t>sakedle qvabis komunikaciuri kompleqti</t>
  </si>
  <si>
    <t>komunikaciuri kompleqti</t>
  </si>
  <si>
    <t xml:space="preserve">qseluri tumbo wnevis regulatoriT </t>
  </si>
  <si>
    <t>18-4-1</t>
  </si>
  <si>
    <t>gazis Slangi maRali wnevis silikoniani</t>
  </si>
  <si>
    <t>qvabis gazis ventilTan mierTeba</t>
  </si>
  <si>
    <t>ormagi Tunuqis kedliani karadis mowyoba TboizolaciiT, zomiT 1,3X2,0mX0,7m</t>
  </si>
  <si>
    <t>bagirebis meqanikuri damWimi</t>
  </si>
  <si>
    <t>armatura a-III</t>
  </si>
  <si>
    <t>winafra</t>
  </si>
  <si>
    <t>winafris liTonis konstruqciebis montaJi da Rirebuleba</t>
  </si>
  <si>
    <t>naxvretebis amovseba betoniT</t>
  </si>
  <si>
    <t>winafris liTonis konstruqciebis SeRebva</t>
  </si>
  <si>
    <t>karboluqsiT gadaxurvis mowyoba</t>
  </si>
  <si>
    <t>9-32-12</t>
  </si>
  <si>
    <t>liTonis konstruqciebi</t>
  </si>
  <si>
    <t>emali</t>
  </si>
  <si>
    <t>46-22-5</t>
  </si>
  <si>
    <t>sayalibe xis fari</t>
  </si>
  <si>
    <t>xis  ficari III x. 40 mm</t>
  </si>
  <si>
    <t>xis iatakis moxvewa da 2 piri wasma</t>
  </si>
  <si>
    <t xml:space="preserve">plastmasis gofrirebuli milis gayvana arxSi d=150mm </t>
  </si>
  <si>
    <t>plastmasis fasonuri nawilebi d=50mm</t>
  </si>
  <si>
    <t xml:space="preserve">plastmasis boWkovani milis d=50mm gatareba  plastmasis gofrirebul milSi </t>
  </si>
  <si>
    <t xml:space="preserve">plastmasis boWkovani milis d=63mm gatareba  plastmasis gofrirebul milSi </t>
  </si>
  <si>
    <t>sakvamle mili d=250mm</t>
  </si>
  <si>
    <t xml:space="preserve">xis karis mowyoba </t>
  </si>
  <si>
    <t xml:space="preserve">gaTboba </t>
  </si>
  <si>
    <t>18-10-1</t>
  </si>
  <si>
    <t>zednadebi xarjebi samontaJo samuSaoebze xelfasidan</t>
  </si>
  <si>
    <t>46-28-3</t>
  </si>
  <si>
    <t>15-66-5</t>
  </si>
  <si>
    <t>15-52-1</t>
  </si>
  <si>
    <t>15-201-8</t>
  </si>
  <si>
    <t>karboluqsi</t>
  </si>
  <si>
    <t>rezinis sadebi</t>
  </si>
  <si>
    <t>cokolis minaSxefi da SeRebva</t>
  </si>
  <si>
    <t>wyvili</t>
  </si>
  <si>
    <t xml:space="preserve">samagrebi d=20,20,25,32,40 mm </t>
  </si>
  <si>
    <t>erTj</t>
  </si>
  <si>
    <t>Sromis danaxarjebi 2,06+1,21=</t>
  </si>
  <si>
    <t>burTuliani plastmasis ventilis montaJi  d=25mm</t>
  </si>
  <si>
    <t xml:space="preserve">plastmasis da liTonis fasonuri nawilebi </t>
  </si>
  <si>
    <t>22-27-1</t>
  </si>
  <si>
    <t>arsebul wyalsadenis qselSi SeWra d=25</t>
  </si>
  <si>
    <t>wert</t>
  </si>
  <si>
    <t>18-8-1</t>
  </si>
  <si>
    <t>saqselo sacirkulacio tumbo</t>
  </si>
  <si>
    <t>18-6-1</t>
  </si>
  <si>
    <t>16-13-1</t>
  </si>
  <si>
    <t>sarqveli d=15</t>
  </si>
  <si>
    <t>18-15-4</t>
  </si>
  <si>
    <t>18-15-5</t>
  </si>
  <si>
    <t>avtomaturi haergamSvebi</t>
  </si>
  <si>
    <t>plasmasis mili d=25mm</t>
  </si>
  <si>
    <t>20-12-2</t>
  </si>
  <si>
    <t xml:space="preserve">defleqtori </t>
  </si>
  <si>
    <t>maT Soris: mowyobiloba</t>
  </si>
  <si>
    <t>samontaJo samuSaoebi</t>
  </si>
  <si>
    <t>6-3-4</t>
  </si>
  <si>
    <t>xis mori</t>
  </si>
  <si>
    <t>wylis 500 litriani rezervuari</t>
  </si>
  <si>
    <r>
      <t xml:space="preserve">wyalsaqaCi tumbo wnevis regulatoriT </t>
    </r>
    <r>
      <rPr>
        <sz val="10"/>
        <rFont val="Arial"/>
        <family val="2"/>
      </rPr>
      <t>Q</t>
    </r>
    <r>
      <rPr>
        <sz val="10"/>
        <rFont val="AcadNusx"/>
      </rPr>
      <t xml:space="preserve">=5t </t>
    </r>
    <r>
      <rPr>
        <sz val="10"/>
        <rFont val="Arial"/>
        <family val="2"/>
      </rPr>
      <t>h</t>
    </r>
    <r>
      <rPr>
        <sz val="10"/>
        <rFont val="AcadNusx"/>
      </rPr>
      <t>=10m</t>
    </r>
  </si>
  <si>
    <t>Sesabamisi warmadobis gazis sawvavis sanTura (140kv.an meti)</t>
  </si>
  <si>
    <t>sanTura</t>
  </si>
  <si>
    <t>Sesabamisi warmadobis gazis sawvavis sanTura (200kv.anmeti)</t>
  </si>
  <si>
    <t xml:space="preserve">qseluri tumbo cxeli wylis miwodebaze wnevis regulatoriT </t>
  </si>
  <si>
    <t xml:space="preserve">membranuli safarToebeli avzi V=200l </t>
  </si>
  <si>
    <t xml:space="preserve">safarToebeli avzi V=200 l </t>
  </si>
  <si>
    <t xml:space="preserve">moculobiTi Tbomcvleli V=200l </t>
  </si>
  <si>
    <t xml:space="preserve">saqvabis denis stabilizatori </t>
  </si>
  <si>
    <t>saqvabis denis stabilizatori</t>
  </si>
  <si>
    <t>16-24-6</t>
  </si>
  <si>
    <t>koleqtori</t>
  </si>
  <si>
    <t xml:space="preserve">koleqtori </t>
  </si>
  <si>
    <t>jami 8</t>
  </si>
  <si>
    <t>miwis damuSaveba xeliT kveTiT 0,5X0,4m</t>
  </si>
  <si>
    <t>plastmasis da liTonis fasonuri nawilebi</t>
  </si>
  <si>
    <t>maT Soris: samSeneblo samuSaoebi</t>
  </si>
  <si>
    <t>zednadebi xarjebi samSeneblo samuSaoebze</t>
  </si>
  <si>
    <t>zednadebi xarjebi liTonis konstruqciebze</t>
  </si>
  <si>
    <t xml:space="preserve">elgaTboba </t>
  </si>
  <si>
    <t>spilenZis ZarRviani sadeni kveTiT 3X120+1X70mm2 (sahaero)</t>
  </si>
  <si>
    <t>erTjeradi</t>
  </si>
  <si>
    <t>Weris SeRebva zeTovani saRebaviT</t>
  </si>
  <si>
    <t>moculobiTi Tbomcvleli V=200l (boileri)</t>
  </si>
  <si>
    <t>savarcxela</t>
  </si>
  <si>
    <t>gadasvla liTonidan plastmasze 63/75, 63/50, 50/40mm</t>
  </si>
  <si>
    <t>safarToebeli membranuli avzi 200 litriani</t>
  </si>
  <si>
    <t>gadasvla metalidan plastmasze 63/75, 63/50-mm, 50/40mm (didi diam)</t>
  </si>
  <si>
    <t>qvabis damcavi sarqveli 3-bariani</t>
  </si>
  <si>
    <t>avtomaturi haergamSvebi (vantusi)</t>
  </si>
  <si>
    <t>Tboizolacia</t>
  </si>
  <si>
    <t>d=25 mm minaboWkovani milis mowyoba saqvabis Senobamde</t>
  </si>
  <si>
    <t>jami 10</t>
  </si>
  <si>
    <t>jami 11</t>
  </si>
  <si>
    <t>10-10-1</t>
  </si>
  <si>
    <t>Weris Seficvra</t>
  </si>
  <si>
    <t>xis ficari 2x.13-16mm</t>
  </si>
  <si>
    <t>6-11-3</t>
  </si>
  <si>
    <t>Tboizolacia folgiani minabambiT, celofniTa da skoCiT</t>
  </si>
  <si>
    <t>SeWra arsebul moqmed qselSi</t>
  </si>
  <si>
    <t>sistemis hidro gamocda</t>
  </si>
  <si>
    <t>samontaJo xvrelebis mowyoba-amolesva</t>
  </si>
  <si>
    <t>arxis gaWra-amovseba gruntSi wolilasTvis</t>
  </si>
  <si>
    <t>plastmasis fasonuri nawilebi</t>
  </si>
  <si>
    <t xml:space="preserve">savarcxela </t>
  </si>
  <si>
    <t>plastmasis wylis V=500 litriani rezervuaris (avzis) montaJi</t>
  </si>
  <si>
    <t>wylis filtri SlangiT</t>
  </si>
  <si>
    <t xml:space="preserve">Sedgenilia 2012 II kv. doneze                                 </t>
  </si>
  <si>
    <t>s a m u S a o T a
d a s a x e l e b a</t>
  </si>
  <si>
    <t>s a m u S a o T a</t>
  </si>
  <si>
    <t>d a s a x e l e b a</t>
  </si>
  <si>
    <t>erT.-ze</t>
  </si>
  <si>
    <r>
      <t xml:space="preserve">ВЗЕР </t>
    </r>
    <r>
      <rPr>
        <sz val="10"/>
        <rFont val="Times New Roman"/>
        <family val="1"/>
      </rPr>
      <t>14-804,
15-163-2,
15-163-1</t>
    </r>
  </si>
  <si>
    <t>34-59-7,
34-61-15</t>
  </si>
  <si>
    <t>34-59-7,
10-56-3</t>
  </si>
  <si>
    <t>34-59-7;
34-61-1</t>
  </si>
  <si>
    <r>
      <t>r</t>
    </r>
    <r>
      <rPr>
        <sz val="10"/>
        <rFont val="Arial"/>
        <family val="2"/>
      </rPr>
      <t>7-39,
15-159-3</t>
    </r>
  </si>
  <si>
    <t>13-25-1,
13-25-2</t>
  </si>
  <si>
    <t xml:space="preserve">  15-163-2,
15-163-1</t>
  </si>
  <si>
    <t>7-58-1,
7-58-4</t>
  </si>
  <si>
    <t>1-80-3,
1-81-2</t>
  </si>
  <si>
    <t>12-10-1,
12-10-2</t>
  </si>
  <si>
    <t>SxefiT orjer damuSaveba saRebaviT</t>
  </si>
  <si>
    <t>Senobis
farTi (100m2)</t>
  </si>
  <si>
    <t>Senobis
mTliani farTi</t>
  </si>
  <si>
    <t xml:space="preserve">samSeneblo nagvis gatana 5 km-ze 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</si>
  <si>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</rPr>
      <t>=100 sm</t>
    </r>
  </si>
  <si>
    <t xml:space="preserve">arxis gaWra-amovseba gruntSi wolilasaTvis       </t>
  </si>
  <si>
    <t xml:space="preserve">luminescenturi sanaTi erTnaTuriani 1X36vt </t>
  </si>
  <si>
    <t xml:space="preserve">luminescenturi sanaTi ornaTuriani 2X36vt </t>
  </si>
  <si>
    <t>teritoriis keTilmowyoba</t>
  </si>
  <si>
    <t>12-8-4</t>
  </si>
  <si>
    <t xml:space="preserve">gruntis gatana 5 km-ze </t>
  </si>
  <si>
    <t>gruntis gatana 5 km-ze</t>
  </si>
  <si>
    <t>samSeneblo meqanizmebi</t>
  </si>
  <si>
    <t>plastmasis gofrirebuli mili d=150mm</t>
  </si>
  <si>
    <t>filtriani Casakidi mili wylis rezervuarSi (mdinareSi)</t>
  </si>
  <si>
    <r>
      <t>paneluri radiatori</t>
    </r>
    <r>
      <rPr>
        <sz val="10"/>
        <rFont val="Arial"/>
        <family val="2"/>
      </rPr>
      <t xml:space="preserve"> H</t>
    </r>
    <r>
      <rPr>
        <sz val="10"/>
        <rFont val="AcadNusx"/>
      </rPr>
      <t xml:space="preserve">=60sm </t>
    </r>
    <r>
      <rPr>
        <sz val="10"/>
        <rFont val="Arial"/>
        <family val="2"/>
      </rPr>
      <t>L</t>
    </r>
    <r>
      <rPr>
        <sz val="10"/>
        <rFont val="AcadNusx"/>
      </rPr>
      <t xml:space="preserve">=100 sm </t>
    </r>
  </si>
  <si>
    <t>Camket-maregulirebeli ventilis d=15mm montaJi</t>
  </si>
  <si>
    <t>minaboWkovani polieTilenis mili დ=25mm</t>
  </si>
  <si>
    <t>minaboWkovani polieTilenis mili დ=20mm</t>
  </si>
  <si>
    <t>minaboWkovani plastmasis milebi d=20mm</t>
  </si>
  <si>
    <t>minaboWkovani plastmasis milebi d=25mm</t>
  </si>
  <si>
    <t>minaboWkovani plastmasis milebi d=32mm</t>
  </si>
  <si>
    <t>minaboWkovani polieTilenis mili დ=32mm</t>
  </si>
  <si>
    <t>minaboWkovani plastmasis milebi. d=40mm</t>
  </si>
  <si>
    <t>plastmasis milebi. d=50mm</t>
  </si>
  <si>
    <t>26-4-6</t>
  </si>
  <si>
    <t>16-24-4</t>
  </si>
  <si>
    <t>ventili d=40mm</t>
  </si>
  <si>
    <t>ventili d=50mm</t>
  </si>
  <si>
    <t>ventili d=63mm</t>
  </si>
  <si>
    <t>ventili d=75mm</t>
  </si>
  <si>
    <t>minaboWkovani polieTilenis milis d=25  mowyoba</t>
  </si>
  <si>
    <t>minaboWkovani polieTilenis milis d=40 mm mowyoba</t>
  </si>
  <si>
    <t xml:space="preserve">minaboWkovani mili d=25 </t>
  </si>
  <si>
    <t>minaboWkovani mili d=40mm</t>
  </si>
  <si>
    <t>polieTilenis mili d=50mm</t>
  </si>
  <si>
    <t>polieTilenis milis d=75mm</t>
  </si>
  <si>
    <t>polieTilenis milis d=63mm</t>
  </si>
  <si>
    <t>dRg</t>
  </si>
  <si>
    <t>quro gare xraxniT rk/plast d=15/20mm</t>
  </si>
  <si>
    <t>Camket-maregulirebeli ventili d=15mm</t>
  </si>
  <si>
    <t>ortesebri Zeli #20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</si>
  <si>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d=20mm</t>
    </r>
  </si>
  <si>
    <r>
      <t xml:space="preserve">minaboWkovani plastmasis </t>
    </r>
    <r>
      <rPr>
        <b/>
        <sz val="10"/>
        <rFont val="AcadNusx"/>
      </rPr>
      <t>milebi d=25mm</t>
    </r>
  </si>
  <si>
    <r>
      <t xml:space="preserve">minaboWkovani plastmasis </t>
    </r>
    <r>
      <rPr>
        <b/>
        <sz val="10"/>
        <rFont val="AcadNusx"/>
      </rPr>
      <t>milebi d=32mm</t>
    </r>
  </si>
  <si>
    <t>plastmasisa da metalis fasonuri nawilebi</t>
  </si>
  <si>
    <r>
      <t xml:space="preserve">burT. plast. </t>
    </r>
    <r>
      <rPr>
        <b/>
        <sz val="10"/>
        <rFont val="AcadNusx"/>
      </rPr>
      <t>ventilis montaJi d=20mm</t>
    </r>
  </si>
  <si>
    <r>
      <t xml:space="preserve">burT. plast. </t>
    </r>
    <r>
      <rPr>
        <b/>
        <sz val="10"/>
        <rFont val="AcadNusx"/>
      </rPr>
      <t>ventilis montaJi d=25mm</t>
    </r>
  </si>
  <si>
    <r>
      <t xml:space="preserve">burT. plast. </t>
    </r>
    <r>
      <rPr>
        <b/>
        <sz val="10"/>
        <rFont val="AcadNusx"/>
      </rPr>
      <t>ventilis montaJi d=32mm</t>
    </r>
  </si>
  <si>
    <r>
      <t xml:space="preserve">burT. plast. </t>
    </r>
    <r>
      <rPr>
        <b/>
        <sz val="10"/>
        <rFont val="AcadNusx"/>
      </rPr>
      <t>ventilis montaJi d=40mm</t>
    </r>
  </si>
  <si>
    <r>
      <t xml:space="preserve">burT. plast. </t>
    </r>
    <r>
      <rPr>
        <b/>
        <sz val="10"/>
        <rFont val="AcadNusx"/>
      </rPr>
      <t>ventilis montaJi d=50mm</t>
    </r>
  </si>
  <si>
    <r>
      <t xml:space="preserve">burT. plast. </t>
    </r>
    <r>
      <rPr>
        <b/>
        <sz val="10"/>
        <rFont val="AcadNusx"/>
      </rPr>
      <t>ventilis montaJi d=63mm</t>
    </r>
  </si>
  <si>
    <r>
      <t xml:space="preserve">saqselo sacirkulacio tumbo </t>
    </r>
    <r>
      <rPr>
        <sz val="10"/>
        <rFont val="Arial"/>
        <family val="2"/>
      </rPr>
      <t>G</t>
    </r>
    <r>
      <rPr>
        <sz val="10"/>
        <rFont val="AcadNusx"/>
      </rPr>
      <t xml:space="preserve">=8m3/sT, </t>
    </r>
    <r>
      <rPr>
        <sz val="10"/>
        <rFont val="Arial"/>
        <family val="2"/>
      </rPr>
      <t>H</t>
    </r>
    <r>
      <rPr>
        <sz val="10"/>
        <rFont val="AcadNusx"/>
      </rPr>
      <t>=8m(wy,sv</t>
    </r>
    <r>
      <rPr>
        <sz val="10"/>
        <rFont val="Arial"/>
        <family val="2"/>
      </rPr>
      <t>.)</t>
    </r>
    <r>
      <rPr>
        <sz val="10"/>
        <rFont val="AcadNusx"/>
      </rPr>
      <t xml:space="preserve">d=40mm  </t>
    </r>
  </si>
  <si>
    <t>pl.ventili burTuliani d=40mm,50,63,75mm</t>
  </si>
  <si>
    <r>
      <t xml:space="preserve">d=20mm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</si>
  <si>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>burTuliani plastm.</t>
    </r>
    <r>
      <rPr>
        <b/>
        <sz val="10"/>
        <rFont val="AcadNusx"/>
      </rPr>
      <t>ventili d=40mm</t>
    </r>
  </si>
  <si>
    <r>
      <t>burTuliani plastm.</t>
    </r>
    <r>
      <rPr>
        <b/>
        <sz val="10"/>
        <rFont val="AcadNusx"/>
      </rPr>
      <t>ventili</t>
    </r>
    <r>
      <rPr>
        <sz val="10"/>
        <rFont val="AcadNusx"/>
      </rPr>
      <t xml:space="preserve"> </t>
    </r>
    <r>
      <rPr>
        <b/>
        <sz val="10"/>
        <rFont val="AcadNusx"/>
      </rPr>
      <t>d=50mm</t>
    </r>
  </si>
  <si>
    <r>
      <t>burTuliani plastm.</t>
    </r>
    <r>
      <rPr>
        <b/>
        <sz val="10"/>
        <rFont val="AcadNusx"/>
      </rPr>
      <t>ventili d=63mm</t>
    </r>
  </si>
  <si>
    <r>
      <t>burTuliani plastm.</t>
    </r>
    <r>
      <rPr>
        <b/>
        <sz val="10"/>
        <rFont val="AcadNusx"/>
      </rPr>
      <t>ventili d=75mm</t>
    </r>
  </si>
  <si>
    <r>
      <t xml:space="preserve">d=25mm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</si>
  <si>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d=32mm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</si>
  <si>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d=50mm plastmasis </t>
    </r>
    <r>
      <rPr>
        <b/>
        <sz val="10"/>
        <rFont val="AcadNusx"/>
      </rPr>
      <t>milis</t>
    </r>
    <r>
      <rPr>
        <sz val="10"/>
        <rFont val="AcadNusx"/>
      </rPr>
      <t xml:space="preserve"> mowyoba</t>
    </r>
  </si>
  <si>
    <r>
      <t xml:space="preserve">d=75mm plastmasis </t>
    </r>
    <r>
      <rPr>
        <b/>
        <sz val="10"/>
        <rFont val="AcadNusx"/>
      </rPr>
      <t>milis</t>
    </r>
    <r>
      <rPr>
        <sz val="10"/>
        <rFont val="AcadNusx"/>
      </rPr>
      <t xml:space="preserve"> mowyoba </t>
    </r>
  </si>
  <si>
    <t>8-599-2</t>
  </si>
  <si>
    <t>varvaranaTuriani sanaTi Werze dasakidi</t>
  </si>
  <si>
    <t>8-594-1</t>
  </si>
  <si>
    <t xml:space="preserve">sinaTi </t>
  </si>
  <si>
    <t>bra erTnaTuriani</t>
  </si>
  <si>
    <t>8-604-1</t>
  </si>
  <si>
    <t>kabeli spilenZis ZarRviT kveTiT 3X1,5mm2</t>
  </si>
  <si>
    <t>kabeli spilenZis ZarRviT kveTiT 3X2,5mm2</t>
  </si>
  <si>
    <t>kabeli spilenZis ZarRviT kveTiT 5X6mm2</t>
  </si>
  <si>
    <t>viniplastis mili d=25mm</t>
  </si>
  <si>
    <t>spilenZis ZarRviani ormagizoliaciani kabelis gatareba milebSi</t>
  </si>
  <si>
    <t>spilenZis ZarRviani ormagizoliaciani kabelis gatareba milebSi, kveTiT 3X1,5mm2</t>
  </si>
  <si>
    <t>viniplastis milis montaJi d=15-20mm</t>
  </si>
  <si>
    <t>viniplastis milis montaJi d=25mm</t>
  </si>
  <si>
    <t>xis moajiris damuSaveba fiTxiT</t>
  </si>
  <si>
    <t>jami 12</t>
  </si>
  <si>
    <t>xis iatakis demontaJi</t>
  </si>
  <si>
    <t>bordiuris demontaJi</t>
  </si>
  <si>
    <t>aguris tixrebis mongreva</t>
  </si>
  <si>
    <t>linokromi qveda fena</t>
  </si>
  <si>
    <t>viniplastis milis montaJi d=15-20-25-32mm</t>
  </si>
  <si>
    <t>viniplastis mili d=15-20mm</t>
  </si>
  <si>
    <t>Sifri,norm.#resurs.kodi</t>
  </si>
  <si>
    <t xml:space="preserve"> jami</t>
  </si>
  <si>
    <t xml:space="preserve">10 jami  </t>
  </si>
  <si>
    <t>samercxluris mowyoba</t>
  </si>
  <si>
    <t>10-12</t>
  </si>
  <si>
    <t>samercxluri</t>
  </si>
  <si>
    <t>c</t>
  </si>
  <si>
    <t>xis firfita 2x.</t>
  </si>
  <si>
    <t>xis ficari 3x.19-22mm</t>
  </si>
  <si>
    <t>xis ficari 3x.40mm</t>
  </si>
  <si>
    <t>fanjris mowyobiloba</t>
  </si>
  <si>
    <t>k-ti</t>
  </si>
  <si>
    <t xml:space="preserve">qvabi warmadobiT 65-dan 98-mde kvt/sT SualedSi. </t>
  </si>
  <si>
    <t xml:space="preserve">qvabi warmadobiT 98-dan 129-mde kvt/sT SualedSi. </t>
  </si>
  <si>
    <t>qvabi warmadobiT 130-dan 168-mde kv.t/sT SualedSi</t>
  </si>
  <si>
    <t>qvabi warmadobiT 170-dan 230-mde kvt. SualedSi</t>
  </si>
  <si>
    <t>qvabi warmadobiT 105-dan 130-mde kvt. SualedSi</t>
  </si>
  <si>
    <t>qvabi warmadobiT 135-dan 170-mde kvt. SualedSi</t>
  </si>
  <si>
    <r>
      <rPr>
        <b/>
        <sz val="10"/>
        <rFont val="AcadNusx"/>
      </rPr>
      <t>65-dan 98-mde</t>
    </r>
    <r>
      <rPr>
        <sz val="10"/>
        <rFont val="AcadNusx"/>
      </rPr>
      <t xml:space="preserve"> SualedSi kv.t/sT-iani </t>
    </r>
    <r>
      <rPr>
        <b/>
        <sz val="10"/>
        <rFont val="AcadNusx"/>
      </rPr>
      <t xml:space="preserve">myar </t>
    </r>
    <r>
      <rPr>
        <sz val="10"/>
        <rFont val="AcadNusx"/>
      </rPr>
      <t>sawvavze momuSave qvabis montaJi</t>
    </r>
  </si>
  <si>
    <r>
      <rPr>
        <b/>
        <sz val="10"/>
        <rFont val="AcadNusx"/>
      </rPr>
      <t>98-dan 129-mde</t>
    </r>
    <r>
      <rPr>
        <sz val="10"/>
        <rFont val="AcadNusx"/>
      </rPr>
      <t xml:space="preserve"> kv.t/sT-ian SualedSi </t>
    </r>
    <r>
      <rPr>
        <b/>
        <sz val="10"/>
        <rFont val="AcadNusx"/>
      </rPr>
      <t>myar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</si>
  <si>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130-dan 168-mde</t>
    </r>
    <r>
      <rPr>
        <sz val="10"/>
        <rFont val="AcadNusx"/>
      </rPr>
      <t xml:space="preserve"> kv.t/sT SualedSi  </t>
    </r>
    <r>
      <rPr>
        <b/>
        <sz val="10"/>
        <rFont val="AcadNusx"/>
      </rPr>
      <t>myar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</si>
  <si>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170-dan 230-mde</t>
    </r>
    <r>
      <rPr>
        <sz val="10"/>
        <rFont val="AcadNusx"/>
      </rPr>
      <t xml:space="preserve">  kv.t/sT-ian SualedSi </t>
    </r>
    <r>
      <rPr>
        <b/>
        <sz val="10"/>
        <rFont val="AcadNusx"/>
      </rPr>
      <t>myar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</si>
  <si>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105-dan 130-mde</t>
    </r>
    <r>
      <rPr>
        <sz val="10"/>
        <rFont val="AcadNusx"/>
      </rPr>
      <t xml:space="preserve"> kv.t/sT-ian SualedSi </t>
    </r>
    <r>
      <rPr>
        <b/>
        <sz val="10"/>
        <rFont val="AcadNusx"/>
      </rPr>
      <t>Txevad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</si>
  <si>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135-dan 170-mde</t>
    </r>
    <r>
      <rPr>
        <sz val="10"/>
        <rFont val="AcadNusx"/>
      </rPr>
      <t xml:space="preserve">  kv.t/sT-ian SualedSi  </t>
    </r>
    <r>
      <rPr>
        <b/>
        <sz val="10"/>
        <rFont val="AcadNusx"/>
      </rPr>
      <t>Txevad</t>
    </r>
    <r>
      <rPr>
        <sz val="10"/>
        <rFont val="AcadNusx"/>
      </rPr>
      <t xml:space="preserve"> sawvavze momuSave qvabis montaJi</t>
    </r>
  </si>
  <si>
    <r>
      <rPr>
        <b/>
        <sz val="10"/>
        <rFont val="AcadNusx"/>
      </rPr>
      <t>180-dan 255-md</t>
    </r>
    <r>
      <rPr>
        <sz val="10"/>
        <rFont val="AcadNusx"/>
      </rPr>
      <t xml:space="preserve">e SualedSi kv.t/sT-iani </t>
    </r>
    <r>
      <rPr>
        <b/>
        <sz val="10"/>
        <rFont val="AcadNusx"/>
      </rPr>
      <t>Txevad</t>
    </r>
    <r>
      <rPr>
        <sz val="10"/>
        <rFont val="AcadNusx"/>
      </rPr>
      <t xml:space="preserve"> sawvavze momuSave qvabis montaJi</t>
    </r>
  </si>
  <si>
    <t>qvabi warmadobiT 180-dan 255-mde kvt. SualedSi</t>
  </si>
  <si>
    <r>
      <rPr>
        <b/>
        <sz val="10"/>
        <rFont val="AcadNusx"/>
      </rPr>
      <t>32kv-ani</t>
    </r>
    <r>
      <rPr>
        <sz val="10"/>
        <rFont val="AcadNusx"/>
      </rPr>
      <t xml:space="preserve"> </t>
    </r>
    <r>
      <rPr>
        <b/>
        <sz val="10"/>
        <rFont val="AcadNusx"/>
      </rPr>
      <t>sakedle</t>
    </r>
    <r>
      <rPr>
        <sz val="10"/>
        <rFont val="AcadNusx"/>
      </rPr>
      <t xml:space="preserve"> qvabis montaJi erTkonturiani</t>
    </r>
  </si>
  <si>
    <r>
      <rPr>
        <b/>
        <sz val="10"/>
        <rFont val="AcadNusx"/>
      </rPr>
      <t>35kv-ani</t>
    </r>
    <r>
      <rPr>
        <sz val="10"/>
        <rFont val="AcadNusx"/>
      </rPr>
      <t xml:space="preserve"> </t>
    </r>
    <r>
      <rPr>
        <b/>
        <sz val="10"/>
        <rFont val="AcadNusx"/>
      </rPr>
      <t>sakedle</t>
    </r>
    <r>
      <rPr>
        <sz val="10"/>
        <rFont val="AcadNusx"/>
      </rPr>
      <t xml:space="preserve"> qvabis montaJi orkonturiani</t>
    </r>
  </si>
  <si>
    <t>ruberoidis saxuravis demontaJi konstruqciamde</t>
  </si>
  <si>
    <t>SeniSvna</t>
  </si>
  <si>
    <r>
      <t xml:space="preserve">Sesabamisi warmadobis gazis sawvavis </t>
    </r>
    <r>
      <rPr>
        <b/>
        <sz val="10"/>
        <rFont val="AcadNusx"/>
      </rPr>
      <t>sanTura</t>
    </r>
    <r>
      <rPr>
        <sz val="10"/>
        <rFont val="AcadNusx"/>
      </rPr>
      <t xml:space="preserve"> </t>
    </r>
    <r>
      <rPr>
        <b/>
        <sz val="10"/>
        <rFont val="AcadNusx"/>
      </rPr>
      <t>(90kv.an meti)</t>
    </r>
  </si>
  <si>
    <r>
      <t xml:space="preserve">Sesabamisi warmadobis gazis sawvavis </t>
    </r>
    <r>
      <rPr>
        <b/>
        <sz val="10"/>
        <rFont val="AcadNusx"/>
      </rPr>
      <t>sanTura (140kv.an meti</t>
    </r>
    <r>
      <rPr>
        <sz val="10"/>
        <rFont val="AcadNusx"/>
      </rPr>
      <t>)</t>
    </r>
  </si>
  <si>
    <r>
      <t xml:space="preserve">Sesabamisi warmadobis gazis sawvavis </t>
    </r>
    <r>
      <rPr>
        <b/>
        <sz val="10"/>
        <rFont val="AcadNusx"/>
      </rPr>
      <t>sanTura</t>
    </r>
    <r>
      <rPr>
        <sz val="10"/>
        <rFont val="AcadNusx"/>
      </rPr>
      <t xml:space="preserve"> </t>
    </r>
    <r>
      <rPr>
        <b/>
        <sz val="10"/>
        <rFont val="AcadNusx"/>
      </rPr>
      <t>(200kv.an meti)</t>
    </r>
  </si>
  <si>
    <r>
      <t xml:space="preserve">d=40mm minaboWkovani </t>
    </r>
    <r>
      <rPr>
        <b/>
        <sz val="10"/>
        <rFont val="AcadNusx"/>
      </rPr>
      <t>milis</t>
    </r>
    <r>
      <rPr>
        <sz val="10"/>
        <rFont val="AcadNusx"/>
      </rPr>
      <t xml:space="preserve"> mowyoba </t>
    </r>
  </si>
  <si>
    <r>
      <t xml:space="preserve">d=63mm plastmasis </t>
    </r>
    <r>
      <rPr>
        <b/>
        <sz val="10"/>
        <rFont val="AcadNusx"/>
      </rPr>
      <t>milis</t>
    </r>
    <r>
      <rPr>
        <sz val="10"/>
        <rFont val="AcadNusx"/>
      </rPr>
      <t xml:space="preserve"> mowyoba </t>
    </r>
  </si>
  <si>
    <t>15-168-3</t>
  </si>
  <si>
    <t>15-159-8</t>
  </si>
  <si>
    <t>15-168-4</t>
  </si>
  <si>
    <t>15-66-6</t>
  </si>
  <si>
    <t>15-159-2</t>
  </si>
  <si>
    <t>xis ficrebiT molartyva sisqiT  40mm</t>
  </si>
  <si>
    <t>Sromis danaxarjebi 0,143+0,0035X5=</t>
  </si>
  <si>
    <t>sxva manqana 0,0074+0,0025X5=</t>
  </si>
  <si>
    <t>cementis xsnari m75 0,0158+0,00525X5=</t>
  </si>
  <si>
    <t xml:space="preserve">armatura a-1 </t>
  </si>
  <si>
    <t xml:space="preserve">12-9-6                                                        </t>
  </si>
  <si>
    <t>betoni m327</t>
  </si>
  <si>
    <t>orTqlizolacia 1 fena biokrostiT</t>
  </si>
  <si>
    <t>parapetis dafarva moTuTiebuli TunuqiT</t>
  </si>
  <si>
    <t>ix. danarTi</t>
  </si>
  <si>
    <t>ix. naxazi</t>
  </si>
  <si>
    <t>trapi nikelis d=50 mm sifoniT</t>
  </si>
  <si>
    <t>ix. proeqti</t>
  </si>
  <si>
    <t>damatebiTi SeniSvnebi</t>
  </si>
  <si>
    <t>trapi nikelis d=50mm sifoniT</t>
  </si>
  <si>
    <t>sapirfareSo da sawunwruxe ormo</t>
  </si>
  <si>
    <t>xis tixrebis demontaJi</t>
  </si>
  <si>
    <t>blokis kedlebis demontaJi</t>
  </si>
  <si>
    <t>metlaxis iatakis demontaJi</t>
  </si>
  <si>
    <t>mozaikuri iatakis demontaJi</t>
  </si>
  <si>
    <t>orTqlizolacia erTi fena bikrostiT</t>
  </si>
  <si>
    <t>46-26-2</t>
  </si>
  <si>
    <t>46-23-5</t>
  </si>
  <si>
    <t>blokis kedlebis mongreva</t>
  </si>
  <si>
    <t>27-9-7</t>
  </si>
  <si>
    <t>bordiurebis demontaJi</t>
  </si>
  <si>
    <t>m</t>
  </si>
  <si>
    <t>46-31-2</t>
  </si>
  <si>
    <t>46-30-2</t>
  </si>
  <si>
    <t xml:space="preserve">parketis iatakis demontaJi </t>
  </si>
  <si>
    <t>linoleumis iatakis demontaJi</t>
  </si>
  <si>
    <t>linoliumis iatakis demontaJi</t>
  </si>
  <si>
    <t xml:space="preserve">sapirfareSo da sawunwruxe ormo </t>
  </si>
  <si>
    <t>sardafSi Casasvleli kibe</t>
  </si>
  <si>
    <t>armatura a-1</t>
  </si>
  <si>
    <t>kedlebis hidroizolacia erTi fena linokromiT</t>
  </si>
  <si>
    <t>8-4-5,              8-4-6</t>
  </si>
  <si>
    <t>linokromi erTi fena</t>
  </si>
  <si>
    <t>1-79-3</t>
  </si>
  <si>
    <t>Sromis danaxarjebi 3.37X0,8=</t>
  </si>
  <si>
    <t>1-81-3</t>
  </si>
  <si>
    <t xml:space="preserve">gruntis damuSaveba xeliT </t>
  </si>
  <si>
    <t>naWedis mowyoba</t>
  </si>
  <si>
    <t>betonis safaris mowyoba m200 betonisagan</t>
  </si>
  <si>
    <t>Sublis Seficvra</t>
  </si>
  <si>
    <t>zedmeti gruntis transportireba</t>
  </si>
  <si>
    <t>Sublis Seficvris SeRebva zeTovani saRebaviT</t>
  </si>
  <si>
    <t>10-3-5</t>
  </si>
  <si>
    <t>xis ficari IIx.40-60mm</t>
  </si>
  <si>
    <t>gareTa Seficvra 13mm</t>
  </si>
  <si>
    <t>8-5-2.</t>
  </si>
  <si>
    <t>aguri</t>
  </si>
  <si>
    <t>gamanawilebeli kolofi</t>
  </si>
  <si>
    <t>minablokis tixrebis demontaJi</t>
  </si>
  <si>
    <t>xis tixrebis mongreva</t>
  </si>
  <si>
    <t>8-17-5</t>
  </si>
  <si>
    <t>Sromis danaxarjebi  1,24X0,4=</t>
  </si>
  <si>
    <t>sxva manqana 0,0678X0,4=</t>
  </si>
  <si>
    <t>1-80-3,
1-81-3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</si>
  <si>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d=40 mm</t>
    </r>
  </si>
  <si>
    <t xml:space="preserve">Semavsebeli tumbo wnevis regulatoriT </t>
  </si>
  <si>
    <r>
      <t xml:space="preserve">qseluri sacirkulacio tumbo </t>
    </r>
    <r>
      <rPr>
        <b/>
        <sz val="10"/>
        <rFont val="AcadNusx"/>
      </rPr>
      <t>q=10</t>
    </r>
    <r>
      <rPr>
        <sz val="10"/>
        <rFont val="AcadNusx"/>
      </rPr>
      <t xml:space="preserve"> t, h=12m, (an meti simZl.) </t>
    </r>
    <r>
      <rPr>
        <b/>
        <sz val="10"/>
        <rFont val="AcadNusx"/>
      </rPr>
      <t>d=50</t>
    </r>
    <r>
      <rPr>
        <sz val="10"/>
        <rFont val="AcadNusx"/>
      </rPr>
      <t xml:space="preserve"> mm-iani</t>
    </r>
  </si>
  <si>
    <r>
      <t xml:space="preserve">qseluri sacirkulacio tumbo </t>
    </r>
    <r>
      <rPr>
        <b/>
        <sz val="10"/>
        <rFont val="AcadNusx"/>
      </rPr>
      <t xml:space="preserve">q=8 </t>
    </r>
    <r>
      <rPr>
        <sz val="10"/>
        <rFont val="AcadNusx"/>
      </rPr>
      <t xml:space="preserve">t, h=8m, (an meti simZl.) </t>
    </r>
    <r>
      <rPr>
        <b/>
        <sz val="10"/>
        <rFont val="AcadNusx"/>
      </rPr>
      <t>d=40</t>
    </r>
    <r>
      <rPr>
        <sz val="10"/>
        <rFont val="AcadNusx"/>
      </rPr>
      <t>mm-iani</t>
    </r>
  </si>
  <si>
    <t>saxuravis mowyoba 1 fena bikrostiT</t>
  </si>
  <si>
    <t>saxuravis mowyoba 2 fena bikrostiT</t>
  </si>
  <si>
    <t>bikrosti</t>
  </si>
  <si>
    <t>5</t>
  </si>
  <si>
    <t>6-12-4</t>
  </si>
  <si>
    <t>xis iatakis moxvewa da 2 piri laqis wasma</t>
  </si>
  <si>
    <t>iatakis gaumjobesebuli SeRebva zeTovani saRebaviT</t>
  </si>
  <si>
    <t>kedlebis SeRebva</t>
  </si>
  <si>
    <t>liTonis gisosebis montaJi da Rirebuleba</t>
  </si>
  <si>
    <t>liTonis gisosebis damuSaveba da SeRebva zeTovani saRebaviT orjer</t>
  </si>
  <si>
    <t>9-17-5</t>
  </si>
  <si>
    <t>liTonis gisosebi</t>
  </si>
  <si>
    <t>metalokramitis saxuravis mowyoba sisqiT 0.5mm</t>
  </si>
  <si>
    <t>gamaTanabrebeli qviSa-cementis xsnaris fenis mowyoba sisqiT 20mm</t>
  </si>
  <si>
    <t>Sromis danaxarjebi 0,143+0,0035=</t>
  </si>
  <si>
    <t>sxva manqana 0,0074+0,0025=</t>
  </si>
  <si>
    <t>cementis xsnari m75 0,0158+0,00525=</t>
  </si>
  <si>
    <t xml:space="preserve">plastmasis gofrirebuli milis gayvana arxSi d=250mm </t>
  </si>
  <si>
    <t xml:space="preserve">plastmasis boWkovani milis d=40mm gatareba  plastmasis gofrirebul milSi </t>
  </si>
  <si>
    <t xml:space="preserve">plastmasis boWkovani milis d=75mm gatareba  plastmasis gofrirebul milSi </t>
  </si>
  <si>
    <t>plastmasis gofrirebuli mili d=250mm</t>
  </si>
  <si>
    <t>22-8-7</t>
  </si>
  <si>
    <t>22-8-8</t>
  </si>
  <si>
    <t xml:space="preserve">plastmasis gofrirebuli milis gayvana arxSi d=300mm </t>
  </si>
  <si>
    <t>plastmasis gofrirebuli mili d=300mm</t>
  </si>
  <si>
    <t>22-8-5</t>
  </si>
  <si>
    <t>22-8-2</t>
  </si>
  <si>
    <t>plastmasis  mili d=75mm</t>
  </si>
  <si>
    <t xml:space="preserve">aguris tixrebis demontaJi </t>
  </si>
  <si>
    <r>
      <t xml:space="preserve">burT. plast. </t>
    </r>
    <r>
      <rPr>
        <b/>
        <sz val="10"/>
        <rFont val="AcadNusx"/>
      </rPr>
      <t>ventilis montaJi d=75mm</t>
    </r>
  </si>
  <si>
    <t>plastmasis milebi. d=75mm</t>
  </si>
  <si>
    <t>saRebavi pva "betek plusi"</t>
  </si>
  <si>
    <t>laminirebuli parketi  germanuli</t>
  </si>
  <si>
    <t>penoplasti sisqiT 5sm</t>
  </si>
  <si>
    <t xml:space="preserve">mdf-is Tamasebis mowyoba karebze </t>
  </si>
  <si>
    <t xml:space="preserve">mdf-is Tamasa </t>
  </si>
  <si>
    <t>saxuravis daTbuneba pemziT</t>
  </si>
  <si>
    <t>pemza</t>
  </si>
  <si>
    <t>betonis bordiuri</t>
  </si>
  <si>
    <t>liTonis zolovana 40X4mm</t>
  </si>
  <si>
    <t>17-4-4</t>
  </si>
  <si>
    <t>Turquli jami Camrecxi avziT</t>
  </si>
  <si>
    <t xml:space="preserve">Sesakravi lenta </t>
  </si>
  <si>
    <t>mavTuli gamomwvari</t>
  </si>
  <si>
    <t>foladis zolana 40X4mm</t>
  </si>
  <si>
    <t xml:space="preserve">liTonis Jaluzis dayeneba </t>
  </si>
  <si>
    <t>11-28</t>
  </si>
  <si>
    <t>damxmare rezinis mowyoba vinilis iatakis qveS sisqiT 3mm</t>
  </si>
  <si>
    <t>Sromis danaxarjebi 0,192+0.0597=</t>
  </si>
  <si>
    <t>sxvadasxva manqanebi normiT 0,0059+0,0024=</t>
  </si>
  <si>
    <t>damxmare rezina 0,0029+0,0014=</t>
  </si>
  <si>
    <t>11-3-5, 11-3-6</t>
  </si>
  <si>
    <t>11-7-3</t>
  </si>
  <si>
    <t>xis iatakis mowyoba sisqiT 60mm plintusis gaTvaliswinebiT</t>
  </si>
  <si>
    <t>iatakis ficari sisqiT 60mm</t>
  </si>
  <si>
    <r>
      <t xml:space="preserve">xis iatakis mowyoba sisqiT 60mm plintusis gaTvaliswinebiT </t>
    </r>
    <r>
      <rPr>
        <b/>
        <sz val="10"/>
        <rFont val="AcadNusx"/>
      </rPr>
      <t>(gembanuri)</t>
    </r>
  </si>
  <si>
    <t>bzarebis Semavsebeli</t>
  </si>
  <si>
    <t>SesaduRebeli zonari</t>
  </si>
  <si>
    <t>TviTsworebadi masa</t>
  </si>
  <si>
    <t>11-3-5,</t>
  </si>
  <si>
    <t>TviTsworebadi iataki</t>
  </si>
  <si>
    <t>11-11-12</t>
  </si>
  <si>
    <t>qviSa kvarcis</t>
  </si>
  <si>
    <t xml:space="preserve">cementis iatakis moxexva </t>
  </si>
  <si>
    <t>Weris Seficvra IIx. 13mm-16mm</t>
  </si>
  <si>
    <t>15-165-5</t>
  </si>
  <si>
    <t>ankerebis mowyoba</t>
  </si>
  <si>
    <r>
      <t xml:space="preserve">betoni </t>
    </r>
    <r>
      <rPr>
        <sz val="10"/>
        <rFont val="Arial"/>
        <family val="2"/>
      </rPr>
      <t>B-15</t>
    </r>
  </si>
  <si>
    <t>6-9-1</t>
  </si>
  <si>
    <t>ankerebi</t>
  </si>
  <si>
    <t>liTonis firfita 0.6X0.6X0,012m</t>
  </si>
  <si>
    <t>laminirebuli plintusi</t>
  </si>
  <si>
    <t xml:space="preserve">xis kari </t>
  </si>
  <si>
    <t>bikrosti qveda fena</t>
  </si>
  <si>
    <t>bikrosti zeda fena</t>
  </si>
  <si>
    <t>spilenZis ZarRviani kabeli kveTiT 3X120+1X70mm2 (sahaero)</t>
  </si>
  <si>
    <r>
      <t>betoniBB</t>
    </r>
    <r>
      <rPr>
        <sz val="10"/>
        <rFont val="Arial"/>
        <family val="2"/>
      </rPr>
      <t>B</t>
    </r>
    <r>
      <rPr>
        <sz val="10"/>
        <rFont val="AcadNusx"/>
      </rPr>
      <t>25</t>
    </r>
  </si>
  <si>
    <t>bitumis dasagrunti</t>
  </si>
  <si>
    <t>Txevadi bitumi</t>
  </si>
  <si>
    <t>cementis iatakis moxexva (Slifovka)</t>
  </si>
  <si>
    <t>bitumis mastika</t>
  </si>
  <si>
    <t xml:space="preserve">laminirebuli parketis iatakis mowyoba plintusebis gaTvaliswinebiT (germanuli an misi analogi) </t>
  </si>
  <si>
    <t>aszbestcementis saxuravis moxsna</t>
  </si>
  <si>
    <t>pemzabetonis tixrebis demontaJi</t>
  </si>
  <si>
    <t>asfaltbetonis safaris demontaJi</t>
  </si>
  <si>
    <t>kedlebis mowyoba mcire zomis betonis blokebiT</t>
  </si>
  <si>
    <t>fiTxiT damuSaveba da wyalemulsiuri saRebaviT orjer SeRebva</t>
  </si>
  <si>
    <t>cementis xsnariT moWimva, sisqiT 40 mm</t>
  </si>
  <si>
    <t>Sewebebuli faneris mowyoba, sisqiT 10 mm</t>
  </si>
  <si>
    <t>laminirebuli parketis iatakis mowyoba plintusebis gaTvaliswinebiT (germanuli an misi analogi)</t>
  </si>
  <si>
    <t>monoliTuri mozaikuri iatakis mowyoba, sisqiT 50mm</t>
  </si>
  <si>
    <t>metaloplastmasis karis mowyoba</t>
  </si>
  <si>
    <t>metaloplastmasis fanjრis mowyoba</t>
  </si>
  <si>
    <t>metaloplastmasis fanjრis reabilitacia</t>
  </si>
  <si>
    <t>metaloplastmasis rafis mowyoba</t>
  </si>
  <si>
    <t>xis rafis mowyoba, damuSaveba da SeRebva</t>
  </si>
  <si>
    <t xml:space="preserve">xis Camoganuli ficrebiT molartyva, sisqiT 40mm </t>
  </si>
  <si>
    <r>
      <rPr>
        <b/>
        <sz val="10"/>
        <rFont val="AcadNusx"/>
      </rPr>
      <t>metalokramitis</t>
    </r>
    <r>
      <rPr>
        <sz val="10"/>
        <rFont val="AcadNusx"/>
      </rPr>
      <t xml:space="preserve"> saxuravis mowyoba, sisqiT 0.5mm</t>
    </r>
  </si>
  <si>
    <t>cementis moWimvis mowyoba, sisqiT 40mm</t>
  </si>
  <si>
    <r>
      <t xml:space="preserve">sardafis gare kibis safexurebis mowyoba </t>
    </r>
    <r>
      <rPr>
        <sz val="10"/>
        <rFont val="Arial"/>
        <family val="2"/>
      </rPr>
      <t>B</t>
    </r>
    <r>
      <rPr>
        <sz val="10"/>
        <rFont val="AcadNusx"/>
      </rPr>
      <t>25 markis betoniT</t>
    </r>
  </si>
  <si>
    <r>
      <t xml:space="preserve">pandusis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</si>
  <si>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t>cementis moWimvis mowyoba, sisqiT 20mm</t>
  </si>
  <si>
    <t>wvrilmarcvlovani asfaltbetonis safaris mowyoba, sisqiT 3sm</t>
  </si>
  <si>
    <t>sportuli moedani, asfaltbetonis safaris mowyoba sisqiT 5sm, gamwvaneba, skamebi, saCdilobeli, wylis Sadrevani</t>
  </si>
  <si>
    <t>monoliTuri betonis lenturi saZirkvlis da cokolis mowyoba m200 betoniT</t>
  </si>
  <si>
    <t>betonis safaris mowyoba m200 betoniT</t>
  </si>
  <si>
    <t>saZirkvlebis da kedlebis horizontaluri hidroizolacia cementis xsnariT</t>
  </si>
  <si>
    <t>monoliTuri rkinabetonis sartyelis mowyoba m327 betoniT</t>
  </si>
  <si>
    <t xml:space="preserve">xis ficrebiT molartyva, sisqiT 40mm Camoganili </t>
  </si>
  <si>
    <t xml:space="preserve">Weris dafarva laqiT </t>
  </si>
  <si>
    <t>metaloplastmasis fanjara</t>
  </si>
  <si>
    <t>liTonis Jaluzis dayeneba 0.5*0.6 sm</t>
  </si>
  <si>
    <t>liTonis Jaluzis SeRebva zeTovani saRebaviT orjer</t>
  </si>
  <si>
    <t>liTonis karis montaJi da Rirebuleba</t>
  </si>
  <si>
    <t>liTonis karis SeRebva zeTovani saRebaviT orjer</t>
  </si>
  <si>
    <t>betonis safuZvelis mowyoba m300 betoniT</t>
  </si>
  <si>
    <r>
      <t xml:space="preserve">monoliTuri rkinabetonis lenturi saZirkvlis da kedlis mowyoba </t>
    </r>
    <r>
      <rPr>
        <sz val="10"/>
        <rFont val="Arial"/>
        <family val="2"/>
      </rPr>
      <t>B</t>
    </r>
    <r>
      <rPr>
        <sz val="10"/>
        <rFont val="AcadNusx"/>
      </rPr>
      <t>20 betoniT</t>
    </r>
  </si>
  <si>
    <t>avzis SefuTva folgaizoliani mineraluri bambiT</t>
  </si>
  <si>
    <t>damclelisa da kanalizaciis mowyoba d=25 plastmasis miliT</t>
  </si>
  <si>
    <t>rkinisa da plastmasis fasonuri nawilebi da mcire diametris ventilebi</t>
  </si>
  <si>
    <r>
      <t xml:space="preserve">betonis momzadeba </t>
    </r>
    <r>
      <rPr>
        <sz val="10"/>
        <rFont val="Arial"/>
        <family val="2"/>
      </rPr>
      <t>B</t>
    </r>
    <r>
      <rPr>
        <sz val="10"/>
        <rFont val="AcadNusx"/>
      </rPr>
      <t>-15 betoniT</t>
    </r>
  </si>
  <si>
    <r>
      <t xml:space="preserve">monoliTuri rkinabetonis ankerebiani cokolis  mowyoba sakvamle milisaTvis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</si>
  <si>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r>
      <t>betonis ankeriani saZirkvlis mowyoba sakvamuri milis damWimis dasamagreblad B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</si>
  <si>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t>xis iatakze 2 piri saRebavis wasma</t>
  </si>
  <si>
    <t>liTonis kari</t>
  </si>
  <si>
    <t xml:space="preserve">magari jiSis xis karis mowyoba </t>
  </si>
  <si>
    <t>plintusis mowyoba xelovnuri granitis filebiT webocementze</t>
  </si>
  <si>
    <r>
      <t xml:space="preserve">paneluri radiatoris montaJi </t>
    </r>
    <r>
      <rPr>
        <sz val="10"/>
        <rFont val="Arial"/>
        <family val="2"/>
      </rPr>
      <t>H</t>
    </r>
    <r>
      <rPr>
        <sz val="10"/>
        <rFont val="AcadNusx"/>
      </rPr>
      <t>=0,6m</t>
    </r>
  </si>
  <si>
    <t>paneluri radiatori</t>
  </si>
  <si>
    <t>gruntis datvirTva xeliT avtoTviTmclelze</t>
  </si>
  <si>
    <t xml:space="preserve">betonis safaris mowyoba </t>
  </si>
  <si>
    <t>RorRis safuZvelis mowyoba, sisqiT 15sm</t>
  </si>
  <si>
    <t>plastmasis burTuliani ventilis mowyoba d=25mm</t>
  </si>
  <si>
    <t>Camket-maregulirebeli onkanebis d=15mm montaJi</t>
  </si>
  <si>
    <t>monoliTuri rkinabetonis baliSis  mowyoba m200 betoniT qvabisaTvis</t>
  </si>
  <si>
    <t>Zabvis vardnisagan damcavi el.agregati</t>
  </si>
  <si>
    <t>Zabvis vardnisagan damcavi el.agregatis mowyoba</t>
  </si>
  <si>
    <t xml:space="preserve">foladis kvadratuli milebi 80X80  3mm </t>
  </si>
  <si>
    <t>foladis kvadratuli milebi 60X60  3mm</t>
  </si>
  <si>
    <t>foladis kvadratuli milebi 50X50  3mm</t>
  </si>
  <si>
    <t xml:space="preserve">metaloplastmasis karis montaJi da Rirebuleba </t>
  </si>
  <si>
    <t xml:space="preserve">izoaluminis samkameriani karis montaJi da Rirebuleba </t>
  </si>
  <si>
    <t>izoaluminis samkameriani kari</t>
  </si>
  <si>
    <t>aluminis vitraJi-kari</t>
  </si>
  <si>
    <t xml:space="preserve">10-25-3 k=0,67         </t>
  </si>
  <si>
    <t>Sromis danaxarjebi 1,33X0,67=</t>
  </si>
  <si>
    <t>sxva manqana 0,0094X0,67=</t>
  </si>
  <si>
    <t>liTonis furceli, sisqiT 1mm 0,0107X0,67</t>
  </si>
  <si>
    <t>burT. plast. ventili d=20mm</t>
  </si>
  <si>
    <t>burT. plast. ventili d=25mm</t>
  </si>
  <si>
    <t>burT. plast. ventili d=32mm</t>
  </si>
  <si>
    <t>burT. plast. ventili d=40mm</t>
  </si>
  <si>
    <t>burT. plast. ventili d=50mm</t>
  </si>
  <si>
    <t>burT. plast. ventili d=63mm</t>
  </si>
  <si>
    <t xml:space="preserve">aluminis vitraJi-karis montaJi da Rirebuleba </t>
  </si>
  <si>
    <t>sxva masala 0,085X0,67=</t>
  </si>
  <si>
    <t>SekiduliEWeris mowyoba "amstrongis" filebiT (liTonis karkasze)</t>
  </si>
  <si>
    <t>samSeneblo nagvis datvirTva xeliT avtoTviTmclelze</t>
  </si>
  <si>
    <t>wvrilmarcvlovani asfaltbetonis safaris mowyoba</t>
  </si>
  <si>
    <t>milebis SefuTva folgaizoliani mineraluri bambiT</t>
  </si>
  <si>
    <t xml:space="preserve">burTuliani plastmasis ventilis montaJi </t>
  </si>
  <si>
    <t>plastmasis milebi d=63mm</t>
  </si>
  <si>
    <t>wvrilmarcvlovani asfaltbetoni</t>
  </si>
  <si>
    <t>kidulis mowyoba moTuTiebuli TunuqiT</t>
  </si>
  <si>
    <t>saZirkvlebis da kedlebis horizontaluri hidroizolacia  cementis xsnariT</t>
  </si>
  <si>
    <t>monoliTuri rkinabetonis kolonebis mowyoba m327 betoniT simaRliT 3m-mde perimetriT 2m-mde</t>
  </si>
  <si>
    <r>
      <t xml:space="preserve">monoliTuri rkinabetonis lenturi saZirkvlis mowyoba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</si>
  <si>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t>spilenZis ZarRviani kabelebi</t>
  </si>
  <si>
    <t>saStefselo rozeti mesame damamiwebeli kontaqtiT</t>
  </si>
  <si>
    <t>saStefselo rozeti mesame damamiwebeli kontaqtiT 220v</t>
  </si>
  <si>
    <t>milebis izolacia folgaizoliani mineraluri bambiT</t>
  </si>
  <si>
    <t>folgaizoliani mineraluri bamba</t>
  </si>
  <si>
    <t>Sesabamisi warmadobis gazis sawvavis sanTura (90kv.da meti)</t>
  </si>
  <si>
    <t>spilenZis ZarRviani ormagizolaciani kabeli kveTiT 2X2,5mm2</t>
  </si>
  <si>
    <t xml:space="preserve">monoliTuri rkinabetonis ankerebiani cokolis  mowyoba sakvamle milisaTvis </t>
  </si>
  <si>
    <t>plastmasis mili d=50mm</t>
  </si>
  <si>
    <t>plastmasis mili d=63mm</t>
  </si>
  <si>
    <t>minaboWkovani mili 32mm</t>
  </si>
  <si>
    <t>minaboWkovani polieTilenis milis 32mm mowyoba</t>
  </si>
  <si>
    <r>
      <t xml:space="preserve">qseluri sacirkulacio tumbo </t>
    </r>
    <r>
      <rPr>
        <sz val="10"/>
        <rFont val="Arial"/>
        <family val="2"/>
      </rPr>
      <t>Q</t>
    </r>
    <r>
      <rPr>
        <sz val="10"/>
        <rFont val="AcadNusx"/>
      </rPr>
      <t xml:space="preserve">=10 t, </t>
    </r>
    <r>
      <rPr>
        <sz val="10"/>
        <rFont val="Arial"/>
        <family val="2"/>
      </rPr>
      <t>H</t>
    </r>
    <r>
      <rPr>
        <sz val="10"/>
        <rFont val="AcadNusx"/>
      </rPr>
      <t>=12m, (an meti simZl.) d=50 mm</t>
    </r>
  </si>
  <si>
    <t>32 kv-ani sakedle qvabis (orkonturiani) montaJi</t>
  </si>
  <si>
    <t>32 kv-ani sakedle qvabis (erTkonturiani) montaJi</t>
  </si>
  <si>
    <t>metalokramiti sisqiT 0.5mm</t>
  </si>
  <si>
    <t>xis karis reabilitacia-Rebva</t>
  </si>
  <si>
    <t xml:space="preserve">mdf-is Seminuli kari mowyobilobiT </t>
  </si>
  <si>
    <t>TabaSirmuyaos filebi, Cveulebrivi liTonis karkasiT</t>
  </si>
  <si>
    <t>TabaSirmuyaos filebi, nestgamZle liTonis karkasiT</t>
  </si>
  <si>
    <t>xelovnuri granitis iatakis mowyoba webocementze</t>
  </si>
  <si>
    <t>webocementi</t>
  </si>
  <si>
    <t>kedlebis mopirkeTeba moWiquli filebiT webocementze 2m simaRleze</t>
  </si>
  <si>
    <t>plastmasis mili d=32mm</t>
  </si>
  <si>
    <t>saStefselo rozeti orpolusiani mesame damamiwebeli kontaqtiT</t>
  </si>
  <si>
    <t>asfaltbetoni</t>
  </si>
  <si>
    <t>pemzabetonis tixrebis mongreva</t>
  </si>
  <si>
    <t>aluminis vitraJi-karis mowyoba</t>
  </si>
  <si>
    <t>liTonis moajirze magari jiSis xis saxeluris mowyoba</t>
  </si>
  <si>
    <t>milebis Tboizolacia folgaizoliani mineraluri bambiT</t>
  </si>
  <si>
    <t>kedlebis mowyoba mcire zomis betonis blokebiT, sisqiT 0,4m (0,2m)</t>
  </si>
  <si>
    <t>nestgamZle TabaSirmuyaos tixrebis mowyoba ormagi sakedle filebiT (kompleqti) izolaciiT</t>
  </si>
  <si>
    <t>TabaSirmuyaos tixrebis mowyoba ormagi sakedle filebiT (kompleqti) izolaciiT</t>
  </si>
  <si>
    <t xml:space="preserve">TabaSirmuyaos ormagi sakedle filis mowyoba (kompleqti) </t>
  </si>
  <si>
    <t>SekiduliEWeris mowyoba TabaSirmuyaoTi, Cveulebrivi (liTonis karkasze)</t>
  </si>
  <si>
    <t>SekiduliEWeris mowyoba TabaSirmuyaoTi, nestgamZle (liTonis karkasze)</t>
  </si>
  <si>
    <t>fanjris xis alaTa</t>
  </si>
  <si>
    <t>zedmeti gruntis datvirTva xeliT avtoTviTmclelze</t>
  </si>
  <si>
    <t>xis ficari 3x. 40mm da meti</t>
  </si>
  <si>
    <t>betonis safuZvelis mowyoba m100 betoniT</t>
  </si>
  <si>
    <r>
      <rPr>
        <sz val="10"/>
        <rFont val="Times New Roman"/>
        <family val="1"/>
      </rPr>
      <t>B25</t>
    </r>
    <r>
      <rPr>
        <sz val="10"/>
        <rFont val="AcadNusx"/>
      </rPr>
      <t xml:space="preserve"> betoni</t>
    </r>
  </si>
  <si>
    <r>
      <t xml:space="preserve">kibis betonis safexurebis mowyoba </t>
    </r>
    <r>
      <rPr>
        <sz val="10"/>
        <rFont val="Times New Roman"/>
        <family val="1"/>
      </rPr>
      <t xml:space="preserve">B25 </t>
    </r>
    <r>
      <rPr>
        <sz val="10"/>
        <rFont val="AcadNusx"/>
      </rPr>
      <t>betoniT</t>
    </r>
  </si>
  <si>
    <r>
      <t xml:space="preserve">betoni </t>
    </r>
    <r>
      <rPr>
        <sz val="10"/>
        <rFont val="Times New Roman"/>
        <family val="1"/>
      </rPr>
      <t>B25</t>
    </r>
  </si>
  <si>
    <r>
      <t xml:space="preserve">sardafSi Casasvleli kibis rkinabetonis safexurebis, safuZvelis  da kedlebis mowyoba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</si>
  <si>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t>betonis ankeriani saZirkvlis mowyoba sakvamle milis damWimis dasamagreblad m327 betonisagan</t>
  </si>
  <si>
    <t>spilenZis ZarRviani ormagizolaciani kabeli kveTiT 3X4mm2</t>
  </si>
  <si>
    <t>plastmasis mili d=40mm</t>
  </si>
  <si>
    <t>sabazr</t>
  </si>
  <si>
    <t xml:space="preserve">damcavi naqsovi badis montaJi vitraJebze </t>
  </si>
  <si>
    <r>
      <t xml:space="preserve">monoliTuri rk/betonis lenturi saZirkvlis mowyoba </t>
    </r>
    <r>
      <rPr>
        <sz val="10"/>
        <rFont val="Arial"/>
        <family val="2"/>
      </rPr>
      <t>B</t>
    </r>
    <r>
      <rPr>
        <sz val="10"/>
        <rFont val="AcadNusx"/>
      </rPr>
      <t xml:space="preserve">25 betonisagan </t>
    </r>
  </si>
  <si>
    <r>
      <t>betoni B</t>
    </r>
    <r>
      <rPr>
        <sz val="10"/>
        <rFont val="Arial"/>
        <family val="2"/>
      </rPr>
      <t>B</t>
    </r>
    <r>
      <rPr>
        <sz val="10"/>
        <rFont val="AcadNusx"/>
      </rPr>
      <t xml:space="preserve">25 </t>
    </r>
  </si>
  <si>
    <t>1. miwis samuSaoebi</t>
  </si>
  <si>
    <t>gruntis damuSaveba eqskavatoriT avtomanqanebze datvirTviT</t>
  </si>
  <si>
    <t xml:space="preserve">muSaoba nayarSi </t>
  </si>
  <si>
    <t>gruntis damuSaveba eqskavatoriT nayarSi datovebiT</t>
  </si>
  <si>
    <t>gruntis damuSaveba xeliT</t>
  </si>
  <si>
    <t>gruntis ukuCayra buldozeriT</t>
  </si>
  <si>
    <t>gruntis datkepna pnevmosatkepnebiT</t>
  </si>
  <si>
    <t>RorRis dayra</t>
  </si>
  <si>
    <t>2. saZirkveli</t>
  </si>
  <si>
    <t>3. karkasi, kedlebi da tixrebi</t>
  </si>
  <si>
    <t>4. saxuravi</t>
  </si>
  <si>
    <t>5. Riobebi</t>
  </si>
  <si>
    <t>metaloplastmasis fanjrebis montaJi da Rirebuleba</t>
  </si>
  <si>
    <t>xis karis dayeneba farTiT 3m2-mde tixrebSi</t>
  </si>
  <si>
    <t>6. iatakebi</t>
  </si>
  <si>
    <t>betonis iatakis mowyoba sisqiT 40mm</t>
  </si>
  <si>
    <t>7. Siga mopirkeTeba</t>
  </si>
  <si>
    <t>kedlebis da tixrebis damuSaveba fiTxiT da SeRebva zeTovani saRebaviT</t>
  </si>
  <si>
    <t>Werze xis lamfis gakvra</t>
  </si>
  <si>
    <t>8. gare mopirkeTeba</t>
  </si>
  <si>
    <t>aguris kedelis ganawibureba</t>
  </si>
  <si>
    <t>9. sarineli</t>
  </si>
  <si>
    <t xml:space="preserve">ankrebi betonis bordiurebis mowyoba (15X30) sm </t>
  </si>
  <si>
    <t xml:space="preserve">liTonis konstruqciebis montaJi  </t>
  </si>
  <si>
    <t xml:space="preserve">liTonis konstruqciebis SeRebva  </t>
  </si>
  <si>
    <t xml:space="preserve">zednadebi xarjebi  </t>
  </si>
  <si>
    <t xml:space="preserve">mogeba - </t>
  </si>
  <si>
    <t>plastmasis wyalsadenis mili d=15mm</t>
  </si>
  <si>
    <t>plastmasis wyalsadenis mili d=20mm</t>
  </si>
  <si>
    <t>plastmasis wyalsadenis mili d=25mm</t>
  </si>
  <si>
    <t>ventili d=15-20-25mm</t>
  </si>
  <si>
    <t>ventili d=15-20mm</t>
  </si>
  <si>
    <t>ventili d=25mm</t>
  </si>
  <si>
    <t>muxli  d=15mm</t>
  </si>
  <si>
    <t>muxli  d=25mm</t>
  </si>
  <si>
    <t>samkapi d=15/15mm, d=15/20, d=15/25</t>
  </si>
  <si>
    <t xml:space="preserve">onkani SezRuduli unarebis mqoneTaTvis </t>
  </si>
  <si>
    <t>onkani xelsabanisaTvis</t>
  </si>
  <si>
    <t>zednadebi xarjebi -</t>
  </si>
  <si>
    <t xml:space="preserve">mogeba </t>
  </si>
  <si>
    <t>kanalizaciis plastmasis mili  d=100mm</t>
  </si>
  <si>
    <t>samkapi 50/100</t>
  </si>
  <si>
    <t>samkapi 100/100</t>
  </si>
  <si>
    <t>jvaredini d=100/100mm</t>
  </si>
  <si>
    <t>sifoni d=50mm</t>
  </si>
  <si>
    <t>revizia d=100mm</t>
  </si>
  <si>
    <t xml:space="preserve">zednadebi xarjebi - </t>
  </si>
  <si>
    <t>mogeba -</t>
  </si>
  <si>
    <t>avtomaturi gamomrTveli 10a-iani, 1 faza</t>
  </si>
  <si>
    <t xml:space="preserve">varvaranaTuriani sanaTi "plafoni" simZl. 60vt </t>
  </si>
  <si>
    <t>varvara naTura</t>
  </si>
  <si>
    <t xml:space="preserve">spilenZis ormagizolaciani kabeli, kveTiT 3X1,5mm2   </t>
  </si>
  <si>
    <t>plastmasis gofrirebuli milis montaJi d=20mm</t>
  </si>
  <si>
    <t>zednadebi xarjebi   xelfasidan</t>
  </si>
  <si>
    <t>1-22-15</t>
  </si>
  <si>
    <t>eqskavatori muxluxasvlaze CamCis tevadobiT 0,5m3</t>
  </si>
  <si>
    <t>RorRi m800 fr. 20-40mm</t>
  </si>
  <si>
    <t>gruntis gatana 5 km-ze 17X1,8=</t>
  </si>
  <si>
    <t>1-25-2</t>
  </si>
  <si>
    <t>buldozeri 108cx.Z.</t>
  </si>
  <si>
    <t>1-11-15</t>
  </si>
  <si>
    <t>III kategoriis gruntis damuSaveba eqskavatoriT nayarSi datovebiT</t>
  </si>
  <si>
    <t>III kategoriis gruntis damuSaveba xeliT</t>
  </si>
  <si>
    <t>Sromis danaxarjebi 3,37X0,8X1,2=</t>
  </si>
  <si>
    <t>1-31-3</t>
  </si>
  <si>
    <t>III kategoriis gruntis ukuCayra buldozeriT</t>
  </si>
  <si>
    <t xml:space="preserve">buldozeri 80cx.Z. </t>
  </si>
  <si>
    <t>1-118-11</t>
  </si>
  <si>
    <t>pnevmosatkepni</t>
  </si>
  <si>
    <t>11-1-5</t>
  </si>
  <si>
    <t>8-4-7</t>
  </si>
  <si>
    <t>6-16-5</t>
  </si>
  <si>
    <t>xis ficari 2x.25-32mm</t>
  </si>
  <si>
    <t>46-13-1</t>
  </si>
  <si>
    <t>profilirebuli moTuTiebuli Tunuqis saxuravis mowyoba</t>
  </si>
  <si>
    <t>metaloplastmasis fanjrebi</t>
  </si>
  <si>
    <t>10-20-3</t>
  </si>
  <si>
    <t>xis karebi yru</t>
  </si>
  <si>
    <t>sapire</t>
  </si>
  <si>
    <t>xis ficari 3x.25-32mm</t>
  </si>
  <si>
    <t>karebis SeRebva zeTovani saRebaviT</t>
  </si>
  <si>
    <t>11-11-1</t>
  </si>
  <si>
    <t>'11-11-2</t>
  </si>
  <si>
    <r>
      <t xml:space="preserve">Sromis danaxarjebi </t>
    </r>
    <r>
      <rPr>
        <b/>
        <sz val="10"/>
        <rFont val="AcadNusx"/>
      </rPr>
      <t>0.402+2*0.0106=</t>
    </r>
  </si>
  <si>
    <r>
      <t xml:space="preserve">sxva manqana   </t>
    </r>
    <r>
      <rPr>
        <b/>
        <sz val="10"/>
        <rFont val="AcadNusx"/>
      </rPr>
      <t>0.0174+2*0.0028=</t>
    </r>
  </si>
  <si>
    <r>
      <t xml:space="preserve">betoni m200  </t>
    </r>
    <r>
      <rPr>
        <b/>
        <sz val="10"/>
        <rFont val="AcadNusx"/>
      </rPr>
      <t>0.0306+2*0.0051=</t>
    </r>
  </si>
  <si>
    <t xml:space="preserve">cementis xsnari m150  </t>
  </si>
  <si>
    <t>jami 6</t>
  </si>
  <si>
    <t>saRebavi zeTovani</t>
  </si>
  <si>
    <t>xis ficari 2x.20mm</t>
  </si>
  <si>
    <t>jami 7</t>
  </si>
  <si>
    <t>8-7-1</t>
  </si>
  <si>
    <t>liTonis konstruqciebis montaJi</t>
  </si>
  <si>
    <t xml:space="preserve">liTonis konstruqciebis SeRebva </t>
  </si>
  <si>
    <t xml:space="preserve">zednadebi xarjebi  - </t>
  </si>
  <si>
    <t>16-24-1</t>
  </si>
  <si>
    <t>plastmasis mili d=15mm</t>
  </si>
  <si>
    <t>II.jami</t>
  </si>
  <si>
    <t>mili d=100 mm</t>
  </si>
  <si>
    <t>III.  jami</t>
  </si>
  <si>
    <t>IV. eleqtroganaTeba</t>
  </si>
  <si>
    <t>plafoni</t>
  </si>
  <si>
    <t>plastmasis gofrirebuli mili d=20mm</t>
  </si>
  <si>
    <t>zednadebi xarjebi  - xelfasidan</t>
  </si>
  <si>
    <t>IV. jami</t>
  </si>
  <si>
    <t>bazaltis bordiurebis mowyoba</t>
  </si>
  <si>
    <r>
      <t xml:space="preserve">foladis sakvamle mili d=250mm, </t>
    </r>
    <r>
      <rPr>
        <sz val="10"/>
        <rFont val="Arial"/>
        <family val="2"/>
      </rPr>
      <t>h</t>
    </r>
    <r>
      <rPr>
        <sz val="10"/>
        <rFont val="AcadNusx"/>
      </rPr>
      <t xml:space="preserve">=7m (+2m horizontaluri) </t>
    </r>
  </si>
  <si>
    <t>7-57-2, k=0.8</t>
  </si>
  <si>
    <t>Senobis gasufTaveba samSeneblo nagvisgan</t>
  </si>
  <si>
    <t>nagvis datvirTva avtoTviTmclelze</t>
  </si>
  <si>
    <t>liTonis gisosebis montaJi</t>
  </si>
  <si>
    <t>dasakidi wyalSemkrebi Rarebis mowyoba moTuTiebuli TunuqiT</t>
  </si>
  <si>
    <t>kar-fanjrebis Sida ferdoebis cementis xsnariT lesva</t>
  </si>
  <si>
    <t>kar-fanjrebis gare ferdoebis Selesva cementis xsnariT</t>
  </si>
  <si>
    <t>kedlebis damuSaveba fiTxiT da zeTovani saRebaviT orjer SeRebva</t>
  </si>
  <si>
    <t>bazaltis bordiuri</t>
  </si>
  <si>
    <t>6-9-3</t>
  </si>
  <si>
    <t>saaankero WanWikebis dayeneba dabetonebis dros armaturis kavSirebiT</t>
  </si>
  <si>
    <t>saaankero WanWiki</t>
  </si>
  <si>
    <t>konduqtoris amortizacia</t>
  </si>
  <si>
    <t>armatura 14 mm-mde</t>
  </si>
  <si>
    <t>winafris liTonis konstruqciebis montaJi:</t>
  </si>
  <si>
    <t xml:space="preserve">ankrebi betonis bordiuris mowyoba (15X30) sm </t>
  </si>
  <si>
    <t>metaloplastmasis fanjrebis montaJi</t>
  </si>
  <si>
    <t>karis SeRebva zeTovani saRebaviT orjer</t>
  </si>
  <si>
    <t>kedlebis hidroizolacia ori fena bitumiT</t>
  </si>
  <si>
    <t>gruntis damuSaveba eqskavatoriT avtoTviTmclelze datvirTviT</t>
  </si>
  <si>
    <t>asfaltbetonis safaris mowyoba, sisqiT 25mm</t>
  </si>
  <si>
    <t>azbestcementis saxuravis moxsna</t>
  </si>
  <si>
    <t>burT. plast. ventili d=75mm</t>
  </si>
  <si>
    <t>minaboWkovani plastmasis milebi d=50mm</t>
  </si>
  <si>
    <t>minaboWkovani plastmasis milebi. d=63mm</t>
  </si>
  <si>
    <t>minaboWkovani plastmasis milebi d=75mm</t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</si>
  <si>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d=50 mm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</si>
  <si>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d=63 mm</t>
    </r>
  </si>
  <si>
    <r>
      <t xml:space="preserve">minaboWkovani plastmasis </t>
    </r>
    <r>
      <rPr>
        <b/>
        <sz val="10"/>
        <rFont val="AcadNusx"/>
      </rPr>
      <t>milebi</t>
    </r>
    <r>
      <rPr>
        <sz val="10"/>
        <rFont val="AcadNusx"/>
      </rPr>
      <t xml:space="preserve"> </t>
    </r>
    <r>
      <rPr>
        <b/>
        <sz val="10"/>
        <rFont val="AcadNusx"/>
      </rPr>
      <t>d=75 mm</t>
    </r>
  </si>
  <si>
    <t>monoliTuri rkinabetonis baliSis  mowyoba m200 betoniT qvabisTvis</t>
  </si>
  <si>
    <t>spilenZisZarRviani ormagizoliaciani kabelis gatareba milebSi, kveTiT 5X6mm2</t>
  </si>
  <si>
    <t>spilenZisZarRviani ormagizoliaciani kabelis gatareba milebSi, kveTiT 5X4mm2</t>
  </si>
  <si>
    <t>spilenZisZarRviani ormagizoliaciani kabelis gatareba milebSi, kveTiT 3X2,5mm2</t>
  </si>
  <si>
    <t>spilenZisZarRviani kabeli kveTiT 3X120+1X70mm2 (sahaero)</t>
  </si>
  <si>
    <t xml:space="preserve">eleqtrofari 20-jgufiani. Semyvanze 3-faza avtomaturi gamomrTveliT 300a-ze, xolo jgufebSi erTfaza avtomaturi gamomrTveliT  63 amperze </t>
  </si>
  <si>
    <t>samfaza avtomat. gamomrTveli 400a-ze 380v</t>
  </si>
  <si>
    <t>samagrebi d=20,25,32,40 mm plastmasis</t>
  </si>
  <si>
    <t>liTonis WiSkris mowyoba liTonis dgarebze:</t>
  </si>
  <si>
    <r>
      <t xml:space="preserve">monoliTuri rkinabetonis saZirkvlis mowyoba </t>
    </r>
    <r>
      <rPr>
        <sz val="10"/>
        <rFont val="Arial"/>
        <family val="2"/>
      </rPr>
      <t>B</t>
    </r>
    <r>
      <rPr>
        <sz val="10"/>
        <rFont val="AcadNusx"/>
      </rPr>
      <t xml:space="preserve">25 betonisagan </t>
    </r>
  </si>
  <si>
    <t>saxuravis daTbuneba pemziT, sisqiT 10sm</t>
  </si>
  <si>
    <t>gamaTanabrebeli fenis mowyoba qviSa-cementis xsnariT, sisqiT 20mm</t>
  </si>
  <si>
    <t>xis karis damuSaveba da SeRebva zeTovani saRebaviT 2-jer</t>
  </si>
  <si>
    <t>1mm sisqis liTonis furcliT magari jiSis xis karis mopirkeTeba cali mxridan</t>
  </si>
  <si>
    <t>gare xaraCoebis mowyoba</t>
  </si>
  <si>
    <t>gruntis ukuCayra xeliT, CatkepniT</t>
  </si>
  <si>
    <r>
      <t>betonis momzadebis mowyobaB</t>
    </r>
    <r>
      <rPr>
        <sz val="10"/>
        <rFont val="Arial"/>
        <family val="2"/>
      </rPr>
      <t>B</t>
    </r>
    <r>
      <rPr>
        <sz val="10"/>
        <rFont val="AcadNusx"/>
      </rPr>
      <t>15 betoniT</t>
    </r>
  </si>
  <si>
    <r>
      <t xml:space="preserve">betonis momzadeba </t>
    </r>
    <r>
      <rPr>
        <sz val="10"/>
        <rFont val="Arial"/>
        <family val="2"/>
      </rPr>
      <t>B</t>
    </r>
    <r>
      <rPr>
        <sz val="10"/>
        <rFont val="AcadNusx"/>
      </rPr>
      <t xml:space="preserve">-15 betonisagan </t>
    </r>
  </si>
  <si>
    <t>wyalsawreti milebis mowyoba moTuTiebuli TunuqiT, sisqiT 0.55 mm</t>
  </si>
  <si>
    <t>wolila wyalSemkrebi Raris mowyoba moTuTiebuli TunuqiT, sisqiT 0,55 mm</t>
  </si>
  <si>
    <t>dasakidi wyalSemkrebi Raris mowyoba moTuTiebuli TunuqiT, sisqiT 0,55 mm</t>
  </si>
  <si>
    <t>wyalmimRebi Zabrebis mowyoba moTuTiebuli TunuqiT, sisqiT 0.55 mm</t>
  </si>
  <si>
    <t>wyalmimRebi muxlebis mowyoba moTuTiebuli TunuqiT, sisqiT 0.55 mm</t>
  </si>
  <si>
    <r>
      <t>moTuTiebuli profilirebuli TunuqiT, sisqiT 0.55 mm, (</t>
    </r>
    <r>
      <rPr>
        <b/>
        <sz val="10"/>
        <rFont val="AcadNusx"/>
      </rPr>
      <t>"profnastili"</t>
    </r>
    <r>
      <rPr>
        <sz val="10"/>
        <rFont val="AcadNusx"/>
      </rPr>
      <t>) saxuravis daxurva</t>
    </r>
  </si>
  <si>
    <r>
      <t xml:space="preserve">moTuTiebuli </t>
    </r>
    <r>
      <rPr>
        <b/>
        <sz val="10"/>
        <rFont val="AcadNusx"/>
      </rPr>
      <t xml:space="preserve">gofrirebuli </t>
    </r>
    <r>
      <rPr>
        <sz val="10"/>
        <rFont val="AcadNusx"/>
      </rPr>
      <t>saxuravis mowyoba, sisqiT 0.55 mm</t>
    </r>
  </si>
  <si>
    <t xml:space="preserve">parapetis dafarva moTuTiebuli TunuqiT, sisqiT 0.55 mm </t>
  </si>
  <si>
    <t>moTuTiebuli Tunuqis saxuravis mowyoba, sisqiT 0.55 mm</t>
  </si>
  <si>
    <t xml:space="preserve">moTuTiebuli Tunuqis sacremleebis mowyoba, sisqiT 0.55 mm </t>
  </si>
  <si>
    <t>moTuTiebuli Tunuqi 0,55 mm</t>
  </si>
  <si>
    <t xml:space="preserve">xis plintusi wiflis </t>
  </si>
  <si>
    <t xml:space="preserve">kidulis mowyoba moTuTiebuli TunuqiT, sisqiT 0.55 mm </t>
  </si>
  <si>
    <t>gofrirebuli moTuTiebuli Tunuqi 0,55 mm</t>
  </si>
  <si>
    <t>moTuTiebuli gofrirebuli saxuravis mowyoba sisqiT 0.55mm</t>
  </si>
  <si>
    <t>moTuTiebuli Tunuqi, 0.55 mm</t>
  </si>
  <si>
    <t>moTuTiebuli Tunuqi 0.55 mm</t>
  </si>
  <si>
    <t>wolila wyalSemkrebi Raris mowyoba moTuTiebuli TunuqiT, 0.55 mm</t>
  </si>
  <si>
    <t>winafris liTonis konstruqciebi</t>
  </si>
  <si>
    <t>profnastili moTuTiebuli Tunuqi 0,55 mm</t>
  </si>
  <si>
    <t>spilenZis kabeli kveTiT 3X1,5mm2</t>
  </si>
  <si>
    <t>spilenZis kabeli kveTiT 3X2,5mm2</t>
  </si>
  <si>
    <t>moTuTiebuli profilirebuli TunuqiT daxurva, sisqiT 0,55mm</t>
  </si>
  <si>
    <t>moTuTiebuli Tunuqi 0,55mm</t>
  </si>
  <si>
    <t>profilirebuli moTuTiebuli Tunuqi sisqiT 0,55sm</t>
  </si>
  <si>
    <t>betoni m300</t>
  </si>
  <si>
    <t>profilirebuli moTuTiebuli TunuqiT, sisqiT 0,55 mm, ("profnastili") saxuravis daxurva</t>
  </si>
  <si>
    <t>moTuTiebuli profilirebuli TunuqiT, sisqiT 0.55mm, ("profnastili") winafris daxurva</t>
  </si>
  <si>
    <t>xis antiseptirebuli nivnivebis mowyoba</t>
  </si>
  <si>
    <t>moTuTiebuli profilirebuli TunuqiT, sisqiT 0.55 mm, ("profnastili") saxuravis daxurva</t>
  </si>
  <si>
    <t>spilenZis ZarRviani kabeli kveTiT 3X120+1X70mm2</t>
  </si>
  <si>
    <t xml:space="preserve">sanaTi luminescenturi </t>
  </si>
  <si>
    <t>luminescenturi naTura. simZlavre 36vt</t>
  </si>
  <si>
    <t>plastmasis wylis 500 litriani rezervuaris (avzis) montaJi</t>
  </si>
  <si>
    <t>minaboWkovani polieTilenis milis d=50 mm mowyoba</t>
  </si>
  <si>
    <t>minaboWkovani polieTilenis milis d=63 mm mowyoba</t>
  </si>
  <si>
    <t>minaboWkovani polieTilenis milis d=75 mm mowyoba</t>
  </si>
  <si>
    <t xml:space="preserve">plastmasis minaboWkovani milis d=40mm gatareba plastmasis gofrirebul milSi </t>
  </si>
  <si>
    <t xml:space="preserve">plastmasis minaboWkovani milis d=50mm gatareba plastmasis gofrirebul milSi </t>
  </si>
  <si>
    <t xml:space="preserve">plastmasis minaboWkovani milis d=63mm gatareba plastmasis gofrirebul milSi </t>
  </si>
  <si>
    <t xml:space="preserve">plastmasis minaboWkovani milis d=75mm gatareba plastmasis gofrirebul milSi </t>
  </si>
  <si>
    <t>III.'Sida kanalizacia</t>
  </si>
  <si>
    <t>II.'Sida wyalsadeni</t>
  </si>
  <si>
    <t xml:space="preserve">sanaTi lumeniscenturi </t>
  </si>
  <si>
    <t>7. Sida mopirkeTeba</t>
  </si>
  <si>
    <t>fasonuri nawilebi</t>
  </si>
  <si>
    <t xml:space="preserve">foladis kvad.milebi 80X80 X 3mm </t>
  </si>
  <si>
    <t xml:space="preserve">foladis kvad.milebi 60X60 X 3mm </t>
  </si>
  <si>
    <t xml:space="preserve">foladis kvad.milebi 50X50 X 3mm  </t>
  </si>
  <si>
    <t>linokromi zeda fena</t>
  </si>
  <si>
    <t>buldozeri 80cx.Z.</t>
  </si>
  <si>
    <t>23-1-1</t>
  </si>
  <si>
    <t>qviSis fenilis mowyoba sisq.10sm</t>
  </si>
  <si>
    <t>balasti</t>
  </si>
  <si>
    <t>datkepna pnevmosatkepnebiT</t>
  </si>
  <si>
    <t>4. gare wyalsadeni</t>
  </si>
  <si>
    <t>grZ. m</t>
  </si>
  <si>
    <t>Wis Zirisa da gadaxurvis mrgvali fila</t>
  </si>
  <si>
    <t>armatura</t>
  </si>
  <si>
    <t>ZenZi</t>
  </si>
  <si>
    <t>Tujis Tavsaxuri</t>
  </si>
  <si>
    <t>sxva masala (Casasvleli kauWebis gaTvaliswinebiT)</t>
  </si>
  <si>
    <r>
      <t xml:space="preserve">wyalsadenis anakrebi rk/betonis  wriuli Wis mowyoba  </t>
    </r>
    <r>
      <rPr>
        <b/>
        <sz val="10"/>
        <rFont val="Arial"/>
        <family val="2"/>
      </rPr>
      <t>D</t>
    </r>
    <r>
      <rPr>
        <b/>
        <sz val="10"/>
        <rFont val="AcadNusx"/>
      </rPr>
      <t>=1m, rk/bet.Ziris filiT, gadaxurvis filiT da CarCo-xufiT /1c/</t>
    </r>
  </si>
  <si>
    <t>22-32-4</t>
  </si>
  <si>
    <t>wyalmzomis  Wa  (1c)</t>
  </si>
  <si>
    <t>anakrebi rk/betonis rgoli d=0,7m</t>
  </si>
  <si>
    <t>gadaxurvis anakrebi rk/betonis wibovani fila</t>
  </si>
  <si>
    <t>ficari Camoganuli 3x 25-32mm</t>
  </si>
  <si>
    <t>ficari Camoganuli 3x 40-60mm</t>
  </si>
  <si>
    <t>16-18-3</t>
  </si>
  <si>
    <t>wyalmzomis kvanZis mowyoba d=80mm</t>
  </si>
  <si>
    <t>wyalmzomis kvanZi d=80mm</t>
  </si>
  <si>
    <t>samsvliani haergamSvebi onkani d=15</t>
  </si>
  <si>
    <t>manometri</t>
  </si>
  <si>
    <t>wylis liTonis mili d=15mm</t>
  </si>
  <si>
    <t xml:space="preserve">liTonis mili unakero </t>
  </si>
  <si>
    <t>WanWiki-qanCiT</t>
  </si>
  <si>
    <t>samagrebi</t>
  </si>
  <si>
    <t>18-14-4</t>
  </si>
  <si>
    <t>filtri wylis gamwmendi d=80mm</t>
  </si>
  <si>
    <t>komp</t>
  </si>
  <si>
    <t>filtri d=80mm</t>
  </si>
  <si>
    <t>22-25-2</t>
  </si>
  <si>
    <t>22-25-1</t>
  </si>
  <si>
    <t>22-24-1</t>
  </si>
  <si>
    <t>ukusarqveli d=50mm</t>
  </si>
  <si>
    <t>22-24-2</t>
  </si>
  <si>
    <t>ukusarqveli d=800mm</t>
  </si>
  <si>
    <t>ukusarqveli d=80mm</t>
  </si>
  <si>
    <t>22-27-3</t>
  </si>
  <si>
    <t>SeWra arsebul qselSi</t>
  </si>
  <si>
    <t>mili foladis</t>
  </si>
  <si>
    <t>jami 4.</t>
  </si>
  <si>
    <t>III kat.gruntis damuSaveba eqskavatoriT avtomanqanebze datvirTviT</t>
  </si>
  <si>
    <r>
      <t xml:space="preserve">III kategoriis gruntis ukuCayra </t>
    </r>
    <r>
      <rPr>
        <b/>
        <sz val="10"/>
        <rFont val="AcadNusx"/>
      </rPr>
      <t>buldozeriT</t>
    </r>
  </si>
  <si>
    <t xml:space="preserve">wyalsadenis plastmasis  mili  d=25mm  </t>
  </si>
  <si>
    <t>polieTilenis mili d=25mm</t>
  </si>
  <si>
    <t>urduli d=80, 100mm</t>
  </si>
  <si>
    <t>urduli d=80mm</t>
  </si>
  <si>
    <t>urduli d=100mm</t>
  </si>
  <si>
    <t>urduli d=50mm</t>
  </si>
  <si>
    <t>22-23-1</t>
  </si>
  <si>
    <t>fasonuri nawilebi (muxli, gadamyvani, miltuCi )</t>
  </si>
  <si>
    <t>foladis muxli d=100</t>
  </si>
  <si>
    <t>foladis muxli d=80</t>
  </si>
  <si>
    <t>foladis muxli d=65</t>
  </si>
  <si>
    <t>foladis muxli d=32</t>
  </si>
  <si>
    <t>foladis muxli d=25</t>
  </si>
  <si>
    <t>foladis gadamyvani d=100/80</t>
  </si>
  <si>
    <t>foladis gadamyvani d=60/50</t>
  </si>
  <si>
    <t>foladis gadamyvani d=60/32</t>
  </si>
  <si>
    <t>foladis gadamyvani d=32/25</t>
  </si>
  <si>
    <t>foladis miltuCi d=100</t>
  </si>
  <si>
    <t>foladis miltuCi d=80</t>
  </si>
  <si>
    <t>foladis miltuCi d=65</t>
  </si>
  <si>
    <t>foladis miltuCi d=50</t>
  </si>
  <si>
    <t>22-23-2</t>
  </si>
  <si>
    <t>foladis samkapebi</t>
  </si>
  <si>
    <t>foladis samkapebi d=100</t>
  </si>
  <si>
    <t>foladis samkapebi d=100/80</t>
  </si>
  <si>
    <t>foladis samkapebi d=100/50</t>
  </si>
  <si>
    <t>foladis samkapebi d=80</t>
  </si>
  <si>
    <t>foladis samkapebi d=80/50</t>
  </si>
  <si>
    <t>foladis samkapebi d=65/25</t>
  </si>
  <si>
    <t>qviSis fenilis mowyoba sisq. 10sm</t>
  </si>
  <si>
    <r>
      <t xml:space="preserve">tranSeis Sevseba qviSiT </t>
    </r>
    <r>
      <rPr>
        <b/>
        <sz val="10"/>
        <rFont val="AcadNusx"/>
      </rPr>
      <t>/xeliT/</t>
    </r>
  </si>
  <si>
    <r>
      <t xml:space="preserve">tranSeis Sevseba balastiT </t>
    </r>
    <r>
      <rPr>
        <b/>
        <sz val="10"/>
        <rFont val="AcadNusx"/>
      </rPr>
      <t>/meqanizmiT/</t>
    </r>
  </si>
  <si>
    <t xml:space="preserve">wyalsadenis plastmasis  mili  d=50m  </t>
  </si>
  <si>
    <r>
      <t xml:space="preserve">wyalsadenis anakrebi rk/betonis  wriuli Wis mowyoba  </t>
    </r>
    <r>
      <rPr>
        <sz val="10"/>
        <rFont val="Arial"/>
        <family val="2"/>
      </rPr>
      <t>D</t>
    </r>
    <r>
      <rPr>
        <sz val="10"/>
        <rFont val="AcadNusx"/>
      </rPr>
      <t>=1m, rk/bet.Ziris filiT, gadaxurvis filiT da CarCo-xufiT /1c/</t>
    </r>
  </si>
  <si>
    <t>wylis gamwmendi filtri d=80mm</t>
  </si>
  <si>
    <t xml:space="preserve">22-8-1 </t>
  </si>
  <si>
    <t xml:space="preserve">kanalizaciis polieTilenis milebis gayvana tranSeaSi d=50mm </t>
  </si>
  <si>
    <t>22-8-3</t>
  </si>
  <si>
    <t>23-22</t>
  </si>
  <si>
    <t>23-23</t>
  </si>
  <si>
    <t>gadaxurvis CarCo -xufis montaJi</t>
  </si>
  <si>
    <t>gadaxurvis CarCo -xufi</t>
  </si>
  <si>
    <t>arsebuli qselis gawmenda "kapelotos" tipis manqaniT</t>
  </si>
  <si>
    <t>"kapelotos" tipis manqanis arenda</t>
  </si>
  <si>
    <t>sT</t>
  </si>
  <si>
    <t>4.jami</t>
  </si>
  <si>
    <t>6. elgaTboba</t>
  </si>
  <si>
    <t>8.1 saqvabis samSeneblo samuSaoebi</t>
  </si>
  <si>
    <t xml:space="preserve"> jami 8.1 </t>
  </si>
  <si>
    <t xml:space="preserve">12 jami  </t>
  </si>
  <si>
    <t>8.2kedlis mowyoba dasakidi qvabebisTvis</t>
  </si>
  <si>
    <t xml:space="preserve"> jami 8.2 </t>
  </si>
  <si>
    <t xml:space="preserve">9. saqvabis wyalmomarageba </t>
  </si>
  <si>
    <t xml:space="preserve"> 9 jami </t>
  </si>
  <si>
    <t xml:space="preserve">10. saqvabisMmowyobiloba </t>
  </si>
  <si>
    <r>
      <t xml:space="preserve">11. sakvamle mili d=250mm </t>
    </r>
    <r>
      <rPr>
        <b/>
        <sz val="10"/>
        <rFont val="Arial"/>
        <family val="2"/>
      </rPr>
      <t xml:space="preserve">h=7 </t>
    </r>
    <r>
      <rPr>
        <b/>
        <sz val="10"/>
        <rFont val="AcadNusx"/>
      </rPr>
      <t xml:space="preserve">m (+2 m horizontaluri)   </t>
    </r>
  </si>
  <si>
    <t xml:space="preserve">11 jami </t>
  </si>
  <si>
    <t>12. saqvabis eleqtromomarageba</t>
  </si>
  <si>
    <r>
      <t xml:space="preserve">13. Tboqseli </t>
    </r>
    <r>
      <rPr>
        <b/>
        <sz val="10"/>
        <rFont val="Arial"/>
        <family val="2"/>
      </rPr>
      <t/>
    </r>
  </si>
  <si>
    <t>jami 13</t>
  </si>
  <si>
    <t xml:space="preserve">14.sapirfareSo da sawunwruxe ormo </t>
  </si>
  <si>
    <t xml:space="preserve">6. eleqtrogaTboba </t>
  </si>
  <si>
    <t>jami 8.1</t>
  </si>
  <si>
    <t>8.2 kedlis mowyoba dasakidi qvabebisTvis</t>
  </si>
  <si>
    <t>jami 8.2</t>
  </si>
  <si>
    <t xml:space="preserve">jami 9 </t>
  </si>
  <si>
    <r>
      <t xml:space="preserve">11. sakvamle mili d=250mm </t>
    </r>
    <r>
      <rPr>
        <b/>
        <sz val="10"/>
        <rFont val="Arial"/>
        <family val="2"/>
      </rPr>
      <t>h</t>
    </r>
    <r>
      <rPr>
        <b/>
        <sz val="10"/>
        <rFont val="AcadNusx"/>
      </rPr>
      <t>=7m (+2m horizontaluri)</t>
    </r>
  </si>
  <si>
    <t xml:space="preserve">14. sapirfareSo da sawunwruxe ormo </t>
  </si>
  <si>
    <t>jami 14</t>
  </si>
  <si>
    <t>SxefiT orjer damuSaveba marmarilos nafxveniT</t>
  </si>
  <si>
    <t>46-2-2</t>
  </si>
  <si>
    <r>
      <t xml:space="preserve">monoliTuri rkinabetonis svetis mowyoba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>betoniT</t>
    </r>
  </si>
  <si>
    <r>
      <t xml:space="preserve">monoliTuri rkinabetonis sartyelis mowyoba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 xml:space="preserve"> betoniT</t>
    </r>
  </si>
  <si>
    <t>armatura a-I</t>
  </si>
  <si>
    <t>linokromi</t>
  </si>
  <si>
    <t>46-27-6</t>
  </si>
  <si>
    <t xml:space="preserve">11-7-1, </t>
  </si>
  <si>
    <t>izolacia pemziT</t>
  </si>
  <si>
    <t>minaboWkovani polieTilenis milis d=20mm mowyoba</t>
  </si>
  <si>
    <t xml:space="preserve">minaboWkovani mili d=20mm </t>
  </si>
  <si>
    <t xml:space="preserve">cementis xsnari 1:3 </t>
  </si>
  <si>
    <t>15-60-1</t>
  </si>
  <si>
    <t>kedlebis gaumjobesebuli Selesva cementis xsnariT liTonis badeze</t>
  </si>
  <si>
    <t>liTonis bade (mavTulis, naqsovi)</t>
  </si>
  <si>
    <t>15-61</t>
  </si>
  <si>
    <t>liToni mrgvali (glinula)</t>
  </si>
  <si>
    <t>karkasis mowyoba Selesvis qveS</t>
  </si>
  <si>
    <t>iatakis mowyoba metlaxis filebiT</t>
  </si>
  <si>
    <t>11-20-3</t>
  </si>
  <si>
    <t>betonis saZirkvlebis dangreva</t>
  </si>
  <si>
    <t>betonis gadaxurvis dangreva</t>
  </si>
  <si>
    <t>betonis tixris dangreva</t>
  </si>
  <si>
    <t>rk/betonis tixris dangreva</t>
  </si>
  <si>
    <t>46-16-3</t>
  </si>
  <si>
    <t>Riobis  gamoReba betonis kedelSi</t>
  </si>
  <si>
    <t>Riobis  gamoReba aguris kedlSi</t>
  </si>
  <si>
    <t>Riobis  gamoReba aguris kedelSi</t>
  </si>
  <si>
    <t xml:space="preserve">rkinabetonis saZirkvlis mongreva  </t>
  </si>
  <si>
    <t>46-23-2</t>
  </si>
  <si>
    <t xml:space="preserve">betonis saZirkvlis mongreva  </t>
  </si>
  <si>
    <t xml:space="preserve">betonis gadaxurvis mongreva  </t>
  </si>
  <si>
    <t xml:space="preserve">rkinabetonis gadaxurvis mongreva  </t>
  </si>
  <si>
    <t>46-24-1</t>
  </si>
  <si>
    <t>46-24-2</t>
  </si>
  <si>
    <t xml:space="preserve">betonis tixris mongreva  </t>
  </si>
  <si>
    <t xml:space="preserve">rkinabetonis tixris mongreva  </t>
  </si>
  <si>
    <t>46-25-1</t>
  </si>
  <si>
    <t>46-25-2</t>
  </si>
  <si>
    <t>betonis fuZis mongreva iatakis qveS</t>
  </si>
  <si>
    <t>iatakis dageba metlaxis filebiT</t>
  </si>
  <si>
    <t>liTonis firfita 0.6X0,012m</t>
  </si>
  <si>
    <t>liTonis firfita 0.15X0.008m</t>
  </si>
  <si>
    <r>
      <t xml:space="preserve">armatura d=16 </t>
    </r>
    <r>
      <rPr>
        <sz val="10"/>
        <rFont val="Arial"/>
        <family val="2"/>
        <charset val="204"/>
      </rPr>
      <t xml:space="preserve">AI </t>
    </r>
    <r>
      <rPr>
        <sz val="10"/>
        <rFont val="AcadNusx"/>
      </rPr>
      <t>sakvamle milis samagrad</t>
    </r>
  </si>
  <si>
    <t>gadaxurvis Rrutaniani anakrebi filebis demontaJi farTiT 10m2m-de (dasawyobebiT)</t>
  </si>
  <si>
    <t>7-40-5-1,8</t>
  </si>
  <si>
    <t>Sromis danaxarjebi 2,55X0,8=</t>
  </si>
  <si>
    <t>koSkura amwe  0,198X0,8=</t>
  </si>
  <si>
    <t>sxva manqana 0,843X0,8=</t>
  </si>
  <si>
    <t>46-29-1</t>
  </si>
  <si>
    <t xml:space="preserve">aguris (Tixis, keramikuli, 250×120×65 mm) kedlebis mowyoba </t>
  </si>
  <si>
    <t>aguris (Tixis, keramikuli, 250×120×65 mm) kedlebis mowyoba</t>
  </si>
  <si>
    <t xml:space="preserve">aguris (Tixis, keramikuli, 250×120×65 mm) tixrebis mowyoba, sisqiT 12.0sm </t>
  </si>
  <si>
    <r>
      <t>aguris (Tixis, keramikuli, 250</t>
    </r>
    <r>
      <rPr>
        <sz val="10"/>
        <rFont val="Calibri"/>
        <family val="2"/>
      </rPr>
      <t>×</t>
    </r>
    <r>
      <rPr>
        <sz val="10"/>
        <rFont val="AcadNusx"/>
      </rPr>
      <t>120</t>
    </r>
    <r>
      <rPr>
        <sz val="10"/>
        <rFont val="Calibri"/>
        <family val="2"/>
      </rPr>
      <t>×</t>
    </r>
    <r>
      <rPr>
        <sz val="10"/>
        <rFont val="AcadNusx"/>
      </rPr>
      <t xml:space="preserve">65 mm) tixris mowyoba, sisqiT 12.0 sm </t>
    </r>
  </si>
  <si>
    <t>fasonuri nawilebi (muxli, gadamyvani, miltuCi):</t>
  </si>
  <si>
    <t xml:space="preserve">wylis gamacxelebeli avzi 30l "aristoni"-s tipis  </t>
  </si>
  <si>
    <t>liTonis konstruqciebis dafarva antikoroziuli saRebaviT</t>
  </si>
  <si>
    <t>liTonis konstruqciebis antikoroziuli SeRebva</t>
  </si>
  <si>
    <t>antikoroziuli saRebavi</t>
  </si>
  <si>
    <t xml:space="preserve">wyalsaden-kanalizacia  </t>
  </si>
  <si>
    <t>Riobebis Sevseba aguriT</t>
  </si>
  <si>
    <t>aluminis profilebis mowyoba iatakis gadasvlis adgilebSi</t>
  </si>
  <si>
    <t>kibis safexurze rezinis kuTxovanebis mowyoba</t>
  </si>
  <si>
    <t>kibis safexurze rezinis kuTxovanis mowyoba</t>
  </si>
  <si>
    <t>rezinis kuTxovana</t>
  </si>
  <si>
    <t xml:space="preserve">anakrebi betonis bordiuris mowyoba (15X30) sm </t>
  </si>
  <si>
    <t>anakrebi betonis bordiuri</t>
  </si>
  <si>
    <t>fasadis SefiTxna da SeRebva fasadis saRebaviT</t>
  </si>
  <si>
    <t xml:space="preserve">daSxefa cementis xsnariT </t>
  </si>
  <si>
    <t>"mdf" Tamasebis mowyoba karebze 80*10 mm</t>
  </si>
  <si>
    <t>`mdf~-is Seminuli karis mowyoba (mowyobilobiT)</t>
  </si>
  <si>
    <t xml:space="preserve">luminescenturi sanaTi oTxnaTuriani 4X18vt </t>
  </si>
  <si>
    <t>luminescenturi naTura. simZlavre 18vt</t>
  </si>
  <si>
    <t>kanalizaciis polieTilenis mili  d=100mm</t>
  </si>
  <si>
    <t>23-12-1</t>
  </si>
  <si>
    <t>anakrebi rk/betonis rgoli d=1 m</t>
  </si>
  <si>
    <t xml:space="preserve">gadaxurvis mrgvali fila </t>
  </si>
  <si>
    <t>betoni m250</t>
  </si>
  <si>
    <t>anakrebi rk/betonis kanalizaciis Wa d=1000 mm siRrmiT 1-1,5m</t>
  </si>
  <si>
    <r>
      <t xml:space="preserve">gruntis ukuCayra </t>
    </r>
    <r>
      <rPr>
        <b/>
        <sz val="10"/>
        <rFont val="AcadNusx"/>
      </rPr>
      <t>buldozeriT</t>
    </r>
  </si>
  <si>
    <t>22-30-1</t>
  </si>
  <si>
    <t xml:space="preserve">gruntis gatana </t>
  </si>
  <si>
    <t xml:space="preserve">gruntis gatana  </t>
  </si>
  <si>
    <t>anakrebi rk/betonis kanalizaciis Wa d=1,0m Tujis Tavsaxuri</t>
  </si>
  <si>
    <t>xis ficrebiT molartyva sisqiT 40mm</t>
  </si>
  <si>
    <t>10-39-3</t>
  </si>
  <si>
    <t>1-78-3</t>
  </si>
  <si>
    <t>Sromis danaxarjebi 2.78X0,8=</t>
  </si>
  <si>
    <t>fasadis kedlebis dekoratiuli Selesva miunxenis baTqaSiT</t>
  </si>
  <si>
    <t>15-53-1</t>
  </si>
  <si>
    <t>baTqaSi miunxenis</t>
  </si>
  <si>
    <t xml:space="preserve">webo-cementi </t>
  </si>
  <si>
    <t xml:space="preserve">bazaltis bordiuris mowyoba (15X30 sm), betonis fuZeze m-200  </t>
  </si>
  <si>
    <t>27-19-3</t>
  </si>
  <si>
    <t xml:space="preserve">anakrebi betonis bordiuris mowyoba (15X30 sm), betonis fuZeze m-200 </t>
  </si>
  <si>
    <t>karis Riobis moCarCoeba liTonis konstruqciebiT</t>
  </si>
  <si>
    <r>
      <t xml:space="preserve">rkinabetonis sartyelis mowyoba </t>
    </r>
    <r>
      <rPr>
        <sz val="10"/>
        <rFont val="Arial"/>
        <family val="2"/>
      </rPr>
      <t>B</t>
    </r>
    <r>
      <rPr>
        <sz val="10"/>
        <rFont val="AcadNusx"/>
      </rPr>
      <t>15 markis betoniT</t>
    </r>
  </si>
  <si>
    <t>muxli  d=20mm</t>
  </si>
  <si>
    <t>samkapi d=20/20</t>
  </si>
  <si>
    <t>muxli d=50/50mm</t>
  </si>
  <si>
    <t>muxli gofrirebuli d=100mm</t>
  </si>
  <si>
    <t>kedlis mowyoba mcire zomis betonis blokebiT</t>
  </si>
  <si>
    <t xml:space="preserve">luminescenturi naTura 36vt </t>
  </si>
  <si>
    <t>11-11-11</t>
  </si>
  <si>
    <t>betonis iatakis moxvewa-moprialeba ("morkinva")</t>
  </si>
  <si>
    <t>27-19-1</t>
  </si>
  <si>
    <t>luminescenturi naTura 36 vt</t>
  </si>
  <si>
    <t>bitumis emulsia</t>
  </si>
  <si>
    <t xml:space="preserve">saxarjTaRricxvo RirebulebaSi gaTvaliswinebuli unda iqnas eqspertizis momsaxureobis tarifi saqarTvelos mTavrobis 2012w. 8 maisis # 171 dadgenilebis Tanaxmad </t>
  </si>
  <si>
    <t>eqspertizis momsaxurebis Rirebuleba /punqti 137/</t>
  </si>
  <si>
    <t xml:space="preserve">eqspertizis momsaxurebis Rirebuleba </t>
  </si>
  <si>
    <t>11-30-6</t>
  </si>
  <si>
    <t>Weris Seficvra mSrali xis lamfiT</t>
  </si>
  <si>
    <t xml:space="preserve">bazaltis bunebrivi qviT sacremleebis mowyoba, sisqiT 40mm </t>
  </si>
  <si>
    <t>sportdarbazis fanjrebze Tokis naqsovi damcavi badis montaJi</t>
  </si>
  <si>
    <t>anakrebi rk/betonis rgoli d=1,00m</t>
  </si>
  <si>
    <t>eqskavatori muxluxa svlaze CamCis tevadobiT 0,5m3</t>
  </si>
  <si>
    <r>
      <t xml:space="preserve">betoni </t>
    </r>
    <r>
      <rPr>
        <sz val="10"/>
        <rFont val="Arial"/>
        <family val="2"/>
      </rPr>
      <t>B-25</t>
    </r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</si>
  <si>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</rPr>
      <t>20</t>
    </r>
  </si>
  <si>
    <t xml:space="preserve">wyalsadenis plastmasis mili d=25mm  </t>
  </si>
  <si>
    <t>mili</t>
  </si>
  <si>
    <t>qvabis damcavi sarqveli d=15</t>
  </si>
  <si>
    <r>
      <rPr>
        <sz val="10"/>
        <rFont val="Arial"/>
        <family val="2"/>
      </rPr>
      <t>B</t>
    </r>
    <r>
      <rPr>
        <sz val="10"/>
        <rFont val="AcadNusx"/>
      </rPr>
      <t>25 betoni</t>
    </r>
  </si>
  <si>
    <r>
      <t>foladis sakvamle mili d=245</t>
    </r>
    <r>
      <rPr>
        <sz val="10"/>
        <rFont val="Calibri"/>
        <family val="2"/>
      </rPr>
      <t>×</t>
    </r>
    <r>
      <rPr>
        <sz val="10"/>
        <rFont val="AcadNusx"/>
      </rPr>
      <t>7 mm</t>
    </r>
  </si>
  <si>
    <r>
      <t>foladis sakvamle milis (d=245</t>
    </r>
    <r>
      <rPr>
        <sz val="10"/>
        <rFont val="Calibri"/>
        <family val="2"/>
      </rPr>
      <t>×</t>
    </r>
    <r>
      <rPr>
        <sz val="10"/>
        <rFont val="AcadNusx"/>
      </rPr>
      <t xml:space="preserve">7 mm, </t>
    </r>
    <r>
      <rPr>
        <sz val="10"/>
        <rFont val="Arial"/>
        <family val="2"/>
      </rPr>
      <t>h</t>
    </r>
    <r>
      <rPr>
        <sz val="10"/>
        <rFont val="AcadNusx"/>
      </rPr>
      <t xml:space="preserve">=7 m + 2 m horizontaluri) mowyoba, maT Soris:   </t>
    </r>
  </si>
  <si>
    <t>meqanikuri damWimi</t>
  </si>
  <si>
    <r>
      <t xml:space="preserve">monoliTuri rkinabetonis lenturi saZirkvlis da kedlebis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</si>
  <si>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r>
      <t xml:space="preserve">monoliTuri rkinabetonis wibovani gadaxurvis mowyoba </t>
    </r>
    <r>
      <rPr>
        <sz val="10"/>
        <rFont val="Times New Roman"/>
        <family val="1"/>
      </rPr>
      <t>B25W8</t>
    </r>
    <r>
      <rPr>
        <sz val="10"/>
        <rFont val="AcadNusx"/>
      </rPr>
      <t xml:space="preserve"> betoniT</t>
    </r>
  </si>
  <si>
    <r>
      <t xml:space="preserve">monoliTuri rkinabetonis svetebis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</si>
  <si>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r>
      <t xml:space="preserve">monoliTuri rkinabetonis sartyelis mowyoba </t>
    </r>
    <r>
      <rPr>
        <sz val="10"/>
        <rFont val="Times New Roman"/>
        <family val="1"/>
      </rPr>
      <t>B25</t>
    </r>
    <r>
      <rPr>
        <sz val="10"/>
        <rFont val="AcadNusx"/>
      </rPr>
      <t xml:space="preserve"> betoniT</t>
    </r>
  </si>
  <si>
    <r>
      <rPr>
        <sz val="10"/>
        <rFont val="Times New Roman"/>
        <family val="1"/>
      </rPr>
      <t>B25W8</t>
    </r>
    <r>
      <rPr>
        <sz val="10"/>
        <rFont val="AcadNusx"/>
      </rPr>
      <t xml:space="preserve"> betoni</t>
    </r>
  </si>
  <si>
    <t>8-5-2</t>
  </si>
  <si>
    <t xml:space="preserve">Weris dafarva ori piri laqiT </t>
  </si>
  <si>
    <t>15-165-5, 29</t>
  </si>
  <si>
    <r>
      <t xml:space="preserve">monoliTuri rk/betonis iatakis mowyoba </t>
    </r>
    <r>
      <rPr>
        <sz val="10"/>
        <rFont val="Arial"/>
        <family val="2"/>
        <charset val="204"/>
      </rPr>
      <t xml:space="preserve">B25 </t>
    </r>
    <r>
      <rPr>
        <sz val="10"/>
        <rFont val="AcadNusx"/>
      </rPr>
      <t>betoniT, qvabis baliSis gaTvaliswinebiT</t>
    </r>
  </si>
  <si>
    <t>Weris d Sublis Seficvra xis lamfiT</t>
  </si>
  <si>
    <t>Sublis Seficvra xis lamfiT</t>
  </si>
  <si>
    <t>muxli d=15mm</t>
  </si>
  <si>
    <t>muxli d=25mm</t>
  </si>
  <si>
    <t>15-52-9</t>
  </si>
  <si>
    <t>gare svetebisa da sartyelis lesva cementis xsnariT</t>
  </si>
  <si>
    <t>muxli d=50mm</t>
  </si>
  <si>
    <t>muxli d=100mm</t>
  </si>
  <si>
    <t>asfaltbetonis safaris mowyoba sisqiT 25mm</t>
  </si>
  <si>
    <t xml:space="preserve">el. fari 20-jgufiani.Semyvanze 3-faza avtomaturi gamomrTveliT 300a-ze, xolo jgufebSi erTfaza avtomaturi gamomrTveliT 63 amperze </t>
  </si>
  <si>
    <t>ukusarqveli d=80 mm</t>
  </si>
  <si>
    <t>asfaltbetonis narevi</t>
  </si>
  <si>
    <t xml:space="preserve">wyalsadenis plastmasis mili d=50mm  </t>
  </si>
  <si>
    <t>gadaxurvis CarCo-xufis montaJi</t>
  </si>
  <si>
    <t>moTuTiebuli profnastiliT saxuravis mowyoba sisqiT 0.55mm</t>
  </si>
  <si>
    <t>bunebrivi bazaltis qva</t>
  </si>
  <si>
    <t>metaloplastmasis kari</t>
  </si>
  <si>
    <t>metlaxis filebi</t>
  </si>
  <si>
    <t>TabaSirmuyaos Sekiduli Weris mowyoba (liTonis karkasze)</t>
  </si>
  <si>
    <t>nestgamZle TabaSirmuyaos Sekiduli Weris mowyoba (liTonis karkasze)</t>
  </si>
  <si>
    <t>SekiduliEWeris mowyoba "amstrongis" filebiT (liTonis samagrebiT, kompleqti)</t>
  </si>
  <si>
    <t>polieTilenis milebis mowyobaØd=50 mm-mde</t>
  </si>
  <si>
    <t xml:space="preserve">spilenZis kabelis montaJi nalesis qveS  </t>
  </si>
  <si>
    <t>ormagi Tunuqiskedliani karada TboizolaciiT</t>
  </si>
  <si>
    <t>spilenZisZarRviani ormagizoliaciani kabelis montaJi nalesis qveS, kveTiT 3X1,5mm2</t>
  </si>
  <si>
    <t>spilenZisZarRviani ormagizoliaciani kabelis montaJi nalesis qveS, kveTiT 3X2,5mm2</t>
  </si>
  <si>
    <t>1.2'Sida wyalsadeni</t>
  </si>
  <si>
    <t>1.2 jami</t>
  </si>
  <si>
    <t>1.3.'Sida kanalizacia</t>
  </si>
  <si>
    <t>1.3 jami</t>
  </si>
  <si>
    <t>1.4' eleqtroganaTeba</t>
  </si>
  <si>
    <t>1.4. jami</t>
  </si>
  <si>
    <t>gruntis transportireba</t>
  </si>
  <si>
    <t xml:space="preserve">Casatanebeli det. mowyoba </t>
  </si>
  <si>
    <t>a-I klasis armatura</t>
  </si>
  <si>
    <t>moednis kombinirebuli xelovnuri safaris mowyoba</t>
  </si>
  <si>
    <t>liTonis konstruqciebis SeRebva zeTis saR. 2-jer</t>
  </si>
  <si>
    <t>garecxili kvarcis qviSis Semotana</t>
  </si>
  <si>
    <t>fexburTis karis badis montaJi</t>
  </si>
  <si>
    <t xml:space="preserve">gegmiuri mogeba </t>
  </si>
  <si>
    <t>fexburTis karis bade</t>
  </si>
  <si>
    <t>jami.15</t>
  </si>
  <si>
    <t xml:space="preserve">standartuli kalaTburTis fariს montaJi  </t>
  </si>
  <si>
    <t>SromiTi resursebi</t>
  </si>
  <si>
    <t>manqanebi</t>
  </si>
  <si>
    <t>betoni ~m250~</t>
  </si>
  <si>
    <t>yalibis ficari IIIx. 40mm-iani</t>
  </si>
  <si>
    <t>sxva xarjebi</t>
  </si>
  <si>
    <t>9-32-12gam.</t>
  </si>
  <si>
    <t>saavtomobilo amwe 16 toniani</t>
  </si>
  <si>
    <t>m/sT</t>
  </si>
  <si>
    <t>konstruqciis Rirebuleba</t>
  </si>
  <si>
    <t>6-83.</t>
  </si>
  <si>
    <t>Casatanebeli det. mowyoba 4kg-mde</t>
  </si>
  <si>
    <t>6-9-7.</t>
  </si>
  <si>
    <t>Casatanebeli detalebi</t>
  </si>
  <si>
    <t>6-22.</t>
  </si>
  <si>
    <t>6-1-22.</t>
  </si>
  <si>
    <t>27-7-4.</t>
  </si>
  <si>
    <t>avtogreideri 79kvt.</t>
  </si>
  <si>
    <t>buldozeri 59kvt</t>
  </si>
  <si>
    <t>sagzao mtkep. TviTm. pnev.svlaze 18t.</t>
  </si>
  <si>
    <t>sagzao mtkepnavi TviTm. gluvi 5t.</t>
  </si>
  <si>
    <t>igive, 10toniani</t>
  </si>
  <si>
    <t>sarwyavi manqana</t>
  </si>
  <si>
    <t xml:space="preserve">27-23-10.   </t>
  </si>
  <si>
    <t>sxva manqanebi</t>
  </si>
  <si>
    <t>cemento-betoni m250</t>
  </si>
  <si>
    <t>9-4-7gam.</t>
  </si>
  <si>
    <t>saavtomobilo amwe 6 toniani</t>
  </si>
  <si>
    <t>kvadratuli mili (40X40)mm</t>
  </si>
  <si>
    <r>
      <t xml:space="preserve">mavTulbadis damWimavi bagiri </t>
    </r>
    <r>
      <rPr>
        <sz val="10"/>
        <rFont val="Arial"/>
        <family val="2"/>
      </rPr>
      <t>δ</t>
    </r>
    <r>
      <rPr>
        <sz val="10"/>
        <rFont val="AcadNusx"/>
      </rPr>
      <t>=4mm Tavisi ankerebiT</t>
    </r>
  </si>
  <si>
    <t>15-614</t>
  </si>
  <si>
    <t xml:space="preserve">SromiTi resursebi </t>
  </si>
  <si>
    <t>zeTis kolori</t>
  </si>
  <si>
    <t>kg.</t>
  </si>
  <si>
    <t>saRebavi sresili</t>
  </si>
  <si>
    <t>11-3.</t>
  </si>
  <si>
    <t>11-1-3.</t>
  </si>
  <si>
    <t xml:space="preserve">kvarcis qviSa </t>
  </si>
  <si>
    <t>samoyvarulo srandartis kalaTburTis fari/masala/</t>
  </si>
  <si>
    <t>fexburTis karis bade /masala/</t>
  </si>
  <si>
    <t xml:space="preserve"> jami 15.</t>
  </si>
  <si>
    <t xml:space="preserve"> </t>
  </si>
  <si>
    <t xml:space="preserve">luminescenturi sanaTi erTnaTuriani 1X18vt </t>
  </si>
  <si>
    <t>kabeli spilenZis ZarRviT kveTiT 5X35mm2</t>
  </si>
  <si>
    <t>spilenZis ormagizolaciani ZarRviani kabeli kveTiT 3X4mm2</t>
  </si>
  <si>
    <t>spilenZis ormagizolaciani ZarRviani kabeli kveTiT 3X6mm2</t>
  </si>
  <si>
    <t>plastmasis  mili d=25mm</t>
  </si>
  <si>
    <t>plastmasis mili d=25mm</t>
  </si>
  <si>
    <t>viniplastis milis montaJi d=50mm</t>
  </si>
  <si>
    <t>viniplastis mili d=50mm</t>
  </si>
  <si>
    <t>spilenZisZarRviani ormagizoliaciani kabelis gatareba milebSi, kveTiT 5X35mm2</t>
  </si>
  <si>
    <t>Semyvan-gamanawilebeli mowyobiloba 3 jgufiani. Semyvanze 3-faza avtomaturi gamomrTveliT 200a-ze, xolo jgufebSi samfaza avtomaturi gamomrTveliT 25a-ze-1c, 200a-1c</t>
  </si>
  <si>
    <t>Tunuqis saxuravis moxsna /dasawyobebiT/</t>
  </si>
  <si>
    <t>xis konstruqciebis demontaJi /nawilis dasawyobebiT/</t>
  </si>
  <si>
    <t>rkinabetonis kibis demontaJi</t>
  </si>
  <si>
    <t xml:space="preserve">tkeCis demontaJi Weridan </t>
  </si>
  <si>
    <t xml:space="preserve">rkinis milkvadratis 10X10 demontaJi dasawyobebiT </t>
  </si>
  <si>
    <t>rkinis milkvadratis 10X10 demontaJi</t>
  </si>
  <si>
    <t>gareTa Seficvra 12mm damuSavebuli zedapiriT</t>
  </si>
  <si>
    <t>fasadis mopirkeTeba safasade dekoratiuli qviT</t>
  </si>
  <si>
    <t>xis iatakis mowyoba, sisqiT 40mm</t>
  </si>
  <si>
    <t>xis iatakis demontaJi /xis masalis dasawyobebiT/</t>
  </si>
  <si>
    <t>metalokramitis kexis mowyoba</t>
  </si>
  <si>
    <t>12-9-1</t>
  </si>
  <si>
    <t>qvabambiT</t>
  </si>
  <si>
    <t>saxuravis daTbuneba qvabambiT</t>
  </si>
  <si>
    <t>15-5-6</t>
  </si>
  <si>
    <t>kedlebis mopirkeTeba moWiquli filebiT</t>
  </si>
  <si>
    <t xml:space="preserve">cementis xsnari </t>
  </si>
  <si>
    <t>cxaura 250X200</t>
  </si>
  <si>
    <t>Sublis Seficvra xis masaliT sisq.12mm damuSavebuli zedapiriT /germanuli an misi analogi /</t>
  </si>
  <si>
    <t>monoliTuri rkinabetonis kibe</t>
  </si>
  <si>
    <r>
      <t xml:space="preserve">kibis rkinabetonis safexurebis, safuZvelis da kedlebis mowyoba </t>
    </r>
    <r>
      <rPr>
        <sz val="10"/>
        <rFont val="Arial"/>
        <family val="2"/>
      </rPr>
      <t>B</t>
    </r>
    <r>
      <rPr>
        <sz val="10"/>
        <rFont val="AcadNusx"/>
      </rPr>
      <t>25 betoniT</t>
    </r>
  </si>
  <si>
    <t xml:space="preserve">gruntis transportireba 5 km-ze  </t>
  </si>
  <si>
    <t>1-116-5</t>
  </si>
  <si>
    <t>qvabulis Ziris moSandakeba</t>
  </si>
  <si>
    <t>balastis Setana, gaSla da datkepna meqanizmiT</t>
  </si>
  <si>
    <t>Sereuli fraqciis RorRis Setana, gaSla da datkepna meqanizmiT</t>
  </si>
  <si>
    <t xml:space="preserve">balastis Setana, gaSla datkepna </t>
  </si>
  <si>
    <t xml:space="preserve">balasti </t>
  </si>
  <si>
    <t>27-11-1</t>
  </si>
  <si>
    <t>RorRis fuZis mowyoba sisqiT 15sm</t>
  </si>
  <si>
    <t xml:space="preserve">avtogreideri saSualo 108cx.Z. </t>
  </si>
  <si>
    <t xml:space="preserve">buldozeri 108cx.Z. </t>
  </si>
  <si>
    <t xml:space="preserve">TviTmavali satkepni 5t-mde </t>
  </si>
  <si>
    <t xml:space="preserve">TviTmavali satkepni 10t-mde </t>
  </si>
  <si>
    <t xml:space="preserve">mosarwyav-mosarecxi manqana </t>
  </si>
  <si>
    <t xml:space="preserve">qvis namtvrevebis manawilebeli </t>
  </si>
  <si>
    <t xml:space="preserve">RorRi  fr.40-70mm </t>
  </si>
  <si>
    <t>RorRi  fr.10-20mm</t>
  </si>
  <si>
    <t>milebis dakavSireba SeduRebiT (40X40X3mm) kveTis miliT, mavTulbadis damWimavi bagirisa-δTavisi ankerebiT da  moednis SemomRobavi bade plastmasis garsiT izolirebuli   pvc-iT dafaruli d=4mm-iani, romlis sisqe pvc-is gareSe 3 mm-ia</t>
  </si>
  <si>
    <r>
      <t xml:space="preserve">moednis SemomRobavi bade plastmasis garsiT izolirebuli 4 mm-iani, </t>
    </r>
    <r>
      <rPr>
        <sz val="10"/>
        <rFont val="Arial"/>
        <family val="2"/>
      </rPr>
      <t>L</t>
    </r>
    <r>
      <rPr>
        <sz val="10"/>
        <rFont val="AcadNusx"/>
      </rPr>
      <t>=4 m. (</t>
    </r>
    <r>
      <rPr>
        <sz val="10"/>
        <rFont val="Arial"/>
        <family val="2"/>
      </rPr>
      <t>pvc</t>
    </r>
    <r>
      <rPr>
        <sz val="10"/>
        <rFont val="AcadNusx"/>
      </rPr>
      <t xml:space="preserve">-iT dafaruli) romlis sisqe                 </t>
    </r>
    <r>
      <rPr>
        <sz val="10"/>
        <rFont val="Arial"/>
        <family val="2"/>
      </rPr>
      <t>pvc</t>
    </r>
    <r>
      <rPr>
        <sz val="10"/>
        <rFont val="AcadNusx"/>
      </rPr>
      <t>-is gareSe 3 mm-ia</t>
    </r>
  </si>
  <si>
    <t>Semyvan-gamanawilebeli mowyobiloba 3 jgufiani. Semyvanze 3-faza avtomaturi gamomrTveliT 32a-ze, xolo jgufebSi samfaza avtomaturi gamomrTveliT 25a-ze-2c, mricxveliT</t>
  </si>
  <si>
    <t>eleqtrofari 6 jgufiani. Semyvanze 3-faza avtomaturi gamomrTveliT 16a-ze, xolo jgufebSi erTfaza avtomaturi gamomrTveliT 6a-ze-2c, 10a-ze-2c da 16a-ze-2c</t>
  </si>
  <si>
    <t>Semyvan-gamanawilebeli mowyobiloba 3 jgufiani.Semyvanze 3-faza avtomaturi gamomrTveliT 32a-ze, xolo jgufebSi samfaza avtomaturi gamomrTveliT 25a-ze-2c, mricxveliT</t>
  </si>
  <si>
    <t>eleqtro fari 6 jgufiani.Semyvanze 3-faza avtomaturi gamomrTveliT 16a-ze, xolo jgufebSi erTfaza avtomaturi gamomrTveliT 6a-ze-2c, 10a-ze- 2c da 16a-ze-2c</t>
  </si>
  <si>
    <t>15.'sportuli moedani 15X30</t>
  </si>
  <si>
    <t>kvadratuli mili 40X40X3mm</t>
  </si>
  <si>
    <t>15.'სპორტული მოედანი 15X30</t>
  </si>
  <si>
    <t xml:space="preserve"> jami 16.</t>
  </si>
  <si>
    <t>16.'სპორტული მოედანი 12X24</t>
  </si>
  <si>
    <t>damuSaveba eqskavatoriT avtomanqanebze datvirTviT</t>
  </si>
  <si>
    <t>0</t>
  </si>
  <si>
    <t>kedlebidan saRebavis moxsna, dakeWvna</t>
  </si>
  <si>
    <t>izolacia'"terafomi"-s filebiT  sisqiT 8mm</t>
  </si>
  <si>
    <t>izolacia '"terafomi"-s filebiT  sisqiT 8mm</t>
  </si>
  <si>
    <t>"terafomi"-s fila sisqiT 8mm</t>
  </si>
  <si>
    <t>muxli d=20mm</t>
  </si>
  <si>
    <t>moWiquli fila</t>
  </si>
  <si>
    <t>vinilis 3,8 mm iatakis mowyoba</t>
  </si>
  <si>
    <t>vinilis 3,8 mm</t>
  </si>
  <si>
    <t>saqvabis eleqtrofari avtomaturi gamomrTveliT 32a</t>
  </si>
  <si>
    <t>saqvabis eleqtro fari avtomaturi gamomrTveliT 32a</t>
  </si>
  <si>
    <r>
      <t xml:space="preserve">iatakis antiseptirebuli xis lagebis 40X60 mm mowyoba (RerZebs Soris </t>
    </r>
    <r>
      <rPr>
        <sz val="10"/>
        <color indexed="8"/>
        <rFont val="AcadNusx"/>
      </rPr>
      <t>50</t>
    </r>
    <r>
      <rPr>
        <sz val="10"/>
        <rFont val="AcadNusx"/>
      </rPr>
      <t>sm)</t>
    </r>
  </si>
  <si>
    <t>xis lagebi antiseptirebuli 40X60 sm</t>
  </si>
  <si>
    <r>
      <t xml:space="preserve">iatakis antiseptirebuli xis lagebis 40X60 mm mowyoba (RerZebs Soris </t>
    </r>
    <r>
      <rPr>
        <sz val="10"/>
        <color indexed="10"/>
        <rFont val="AcadNusx"/>
      </rPr>
      <t>50</t>
    </r>
    <r>
      <rPr>
        <sz val="10"/>
        <rFont val="AcadNusx"/>
      </rPr>
      <t>sm)</t>
    </r>
  </si>
  <si>
    <r>
      <t xml:space="preserve">mon. rkinabetonis saZirkveli </t>
    </r>
    <r>
      <rPr>
        <sz val="10"/>
        <color indexed="10"/>
        <rFont val="Arial"/>
        <family val="2"/>
      </rPr>
      <t xml:space="preserve">B20 </t>
    </r>
    <r>
      <rPr>
        <sz val="10"/>
        <rFont val="AcadNusx"/>
      </rPr>
      <t>betoniT</t>
    </r>
  </si>
  <si>
    <r>
      <t xml:space="preserve">mavTulbadis damWimavi gvarli </t>
    </r>
    <r>
      <rPr>
        <sz val="10"/>
        <rFont val="Times New Roman"/>
        <family val="1"/>
      </rPr>
      <t xml:space="preserve">PVC </t>
    </r>
    <r>
      <rPr>
        <sz val="10"/>
        <rFont val="AcadNusx"/>
      </rPr>
      <t xml:space="preserve">-iT dafarviT </t>
    </r>
    <r>
      <rPr>
        <sz val="10"/>
        <rFont val="Arial"/>
        <family val="2"/>
      </rPr>
      <t>δ</t>
    </r>
    <r>
      <rPr>
        <sz val="10"/>
        <rFont val="AcadNusx"/>
      </rPr>
      <t>=4mm Tavisi ankerebiT</t>
    </r>
  </si>
  <si>
    <t>milebis dakavSireba SeduRebiT (40X40X3mm kveTis miliT), damWeri gvarlisa da badis mowyoba, maT Soris:</t>
  </si>
  <si>
    <r>
      <t>kombinirebuli moednisaTvis cementobetonis (m250) safaris mowyoba sisqiT</t>
    </r>
    <r>
      <rPr>
        <sz val="10"/>
        <color indexed="10"/>
        <rFont val="AcadNusx"/>
      </rPr>
      <t xml:space="preserve"> 7s</t>
    </r>
    <r>
      <rPr>
        <sz val="10"/>
        <rFont val="AcadNusx"/>
      </rPr>
      <t>m da wylis gadasayvana zedapiris qanobis mowyoba 0,5%</t>
    </r>
  </si>
  <si>
    <t>Robis,kalaTburTis faris,karis da WiSkris liTonis  svetebis da Semkravis  montaJi (kvadratuli mili 100X100X4mm - 26grZ.m. kvadratuli mili 80X80X3mm- 153grZ.m.  mili d=80X4mm -15.2grZ.m 8X100/2 -24c., kuTxovana 50X50X4 -7 gr.m; 50X50X5-11,4 gr.m; kvadratuli mili 100X50X3 - 4,4gr.m</t>
  </si>
  <si>
    <t>kombinirebuli moednisaTvis cementobetonis (m250) safaris mowyoba sisqiT 7sm da wylis gadasayvana d zedapiris qanobis mowyoba 0,5%</t>
  </si>
  <si>
    <r>
      <t xml:space="preserve">moednis SemomRobavi bade 40X40mm </t>
    </r>
    <r>
      <rPr>
        <sz val="10"/>
        <rFont val="Arial"/>
        <family val="2"/>
        <charset val="204"/>
      </rPr>
      <t>PVC -</t>
    </r>
    <r>
      <rPr>
        <sz val="10"/>
        <rFont val="AcadNusx"/>
      </rPr>
      <t>iT dafarviT, Sida liTonis mavTulis sisqe aranakleb 3mm</t>
    </r>
  </si>
  <si>
    <r>
      <t xml:space="preserve">mon. rkinabetonis saZirkveli </t>
    </r>
    <r>
      <rPr>
        <sz val="10"/>
        <color indexed="10"/>
        <rFont val="Arial"/>
        <family val="2"/>
      </rPr>
      <t>B20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>betoniT</t>
    </r>
  </si>
  <si>
    <r>
      <t xml:space="preserve">kombinirebuli moednisaTvis cementobetonis (m250) safaris mowyoba sisqiT </t>
    </r>
    <r>
      <rPr>
        <sz val="10"/>
        <color indexed="10"/>
        <rFont val="AcadNusx"/>
      </rPr>
      <t>7s</t>
    </r>
    <r>
      <rPr>
        <sz val="10"/>
        <rFont val="AcadNusx"/>
      </rPr>
      <t>m da wylis gadasayvana zedapiris qanobis mowyoba 0,5%</t>
    </r>
  </si>
  <si>
    <t>kvadratuli mili (40X40X3)mm</t>
  </si>
  <si>
    <t>Robis,kalaTburTis faris,karis da WiSkris liTonis  svetebis da Semkravis  montaJi (kvadratuli mili 100X100X4mm - 26grZ.m. kvadratuli mili 80X80X3mm- 118grZ.m.  mili d=80X4mm -15.2grZ.m 8X100/2 -24c., kuTxovana 50X50X4 -7 gr.m; 50X50X5-11,4 gr.m; kvadratuli mili 100X50X3 - 4,4gr.m</t>
  </si>
  <si>
    <r>
      <t xml:space="preserve">kombinirebuli moednisaTvis cementobetonis (m250) safaris mowyoba sisqiT </t>
    </r>
    <r>
      <rPr>
        <sz val="10"/>
        <color indexed="10"/>
        <rFont val="AcadNusx"/>
      </rPr>
      <t>7s</t>
    </r>
    <r>
      <rPr>
        <sz val="10"/>
        <rFont val="AcadNusx"/>
      </rPr>
      <t>m da wylis gadasayvana d zedapiris qanobis mowyoba 0,5%</t>
    </r>
  </si>
  <si>
    <t>jami.16</t>
  </si>
  <si>
    <t>16.'sportuli moedani 12X24</t>
  </si>
  <si>
    <t>xis karis mowyoba</t>
  </si>
  <si>
    <t>unitazis onkani</t>
  </si>
  <si>
    <t>onkani unitazis</t>
  </si>
  <si>
    <t>Turquli jamis onkani</t>
  </si>
  <si>
    <t>unitazi (Camrecxi avziT)</t>
  </si>
  <si>
    <t>10. V=2000 litriani wylis avzis montaJi</t>
  </si>
  <si>
    <t>plastmasis wylis V=2000 litriani rezervuaris (avzis) montaJi</t>
  </si>
  <si>
    <t>plastmasis wylis  2000 litriani rezervuaris (avzis) montaJi</t>
  </si>
  <si>
    <t>wylis 2000 litriani rezervuari</t>
  </si>
  <si>
    <t>10. V=2000 litriani avzis montaJi</t>
  </si>
  <si>
    <t>kedlebis fiTxiT damuSaveba da wyalemulsiuri saRebaviT orjer SeRebva h=2100mm-is zeviT</t>
  </si>
  <si>
    <t>kedlebis da tixrebis damuSaveba fiTxiT da SeRebva zeTovani saRebaviT h=2100mm-mde</t>
  </si>
  <si>
    <t>gare kedlebis da sartyelis lesva cementis xsnariT</t>
  </si>
  <si>
    <t>gare kedlebisa da sartyelis daSxefva cementis xsnariT</t>
  </si>
  <si>
    <t>daSxefili fasadis kedlebis SeRebva fasadis saRebaviT</t>
  </si>
  <si>
    <t>keramikuli filebiT iatakis mowyoba</t>
  </si>
  <si>
    <t>keramikuli plintusebis mowyoba</t>
  </si>
  <si>
    <t>plintusis mowyoba keramikuli filebiT webocementze</t>
  </si>
  <si>
    <t>keramikuli filebi</t>
  </si>
  <si>
    <t>metaloplastmasis karebis montaJi</t>
  </si>
  <si>
    <t>metaloplastmasis karebis montaJi da Rirebuleba</t>
  </si>
  <si>
    <t>metaloplastmasis karebi</t>
  </si>
  <si>
    <t>profilirebuli moTuTiebuli Tunuqis saxuravis mowyoba, sisqiT 0.5mm</t>
  </si>
  <si>
    <t xml:space="preserve">wylis avzis sayrdeni konstruqciis Casatanebeli  detalis mowyoba </t>
  </si>
  <si>
    <t xml:space="preserve">armirebuli kedlebis mowyoba mcire zomis betonis blokebiT sisqiT 20sm </t>
  </si>
  <si>
    <t>tixrebis mowyoba betonis satixre blokebiT sisqiT 10sm</t>
  </si>
  <si>
    <t>horizontaluri  milis mowyoba d=200 l=250mm</t>
  </si>
  <si>
    <t>vertikaluri sadrenaJo milis mowyoba d=200mm, l=250mm</t>
  </si>
  <si>
    <t>armireba armatura a-1</t>
  </si>
  <si>
    <t>6-9-8</t>
  </si>
  <si>
    <t>Casatanebeli detalebis mowyoba woniT 20kg-mde</t>
  </si>
  <si>
    <t>kedlebis mowyoba mcire zomis betonis blokebiT 0.2m</t>
  </si>
  <si>
    <t>8-17-3</t>
  </si>
  <si>
    <t>tixrebis mowyoba betonis satixre blokebiT</t>
  </si>
  <si>
    <t>satixre filebi</t>
  </si>
  <si>
    <t>22-8-6.</t>
  </si>
  <si>
    <t>ვერტიკლური პლასტმასის მილის მოწყობა დ=200მმ</t>
  </si>
  <si>
    <t>გრ.მ</t>
  </si>
  <si>
    <t>პლასტმასის მილი დ=200მმ</t>
  </si>
  <si>
    <t>სხვა მასალა</t>
  </si>
  <si>
    <t>ლარი</t>
  </si>
  <si>
    <t>horizontaluri პლასტმასის მილის მოწყობა დ=200მმ</t>
  </si>
  <si>
    <t>23.-23</t>
  </si>
  <si>
    <t>თუჯის ხუფის მოწყობა მrგვალი ჩარჩოთი</t>
  </si>
  <si>
    <t>ც</t>
  </si>
  <si>
    <t>ცემენტის ხსნარიმ100</t>
  </si>
  <si>
    <t>მ3</t>
  </si>
  <si>
    <t>თუჯის თავსახური</t>
  </si>
  <si>
    <t xml:space="preserve">xis ficrebiT molartyva sisqiT 40mm Camoganili </t>
  </si>
  <si>
    <t>cementis xsnariT moWimvis mowyoba sisqiT 40mm</t>
  </si>
  <si>
    <t>შველერი #24</t>
  </si>
  <si>
    <t>ortisebri koWi #24</t>
  </si>
  <si>
    <t>kuTxovana 75X75X5</t>
  </si>
  <si>
    <t>monoliTuri rkinabetonis gadaxurvis filis mowyoba b-20 betoniT</t>
  </si>
  <si>
    <t>armatura a-III8</t>
  </si>
  <si>
    <t>armatura a-III12</t>
  </si>
  <si>
    <t>cxauris mowyoba</t>
  </si>
  <si>
    <t>მონოლითური რკინა-ბეტონის ფილის მოწყობა</t>
  </si>
  <si>
    <t>`mdf~-is karis mowyoba framugiT (mowyobilobiT)</t>
  </si>
  <si>
    <t>2. saZirkveli, kedlebi da gadaxurva</t>
  </si>
  <si>
    <t xml:space="preserve">rk/betonis sarTulSua gadaxurvis filis demontaJi </t>
  </si>
  <si>
    <t>r 3-47</t>
  </si>
  <si>
    <t>kac.-sT</t>
  </si>
  <si>
    <t>გადახურვის ფოლადის კონსტრუქციების მონტაჟი და ღირებულება მათ შორის:</t>
  </si>
  <si>
    <t>ortisebri Zeli #24</t>
  </si>
  <si>
    <t>Sveleri #24</t>
  </si>
  <si>
    <t>foladis konstruqciebis antikoroziuli SeRebva</t>
  </si>
  <si>
    <t xml:space="preserve"> liTonis konstruqciebi</t>
  </si>
  <si>
    <t xml:space="preserve">gadaxurvis filis xvrelebze d=400mm Tujis xufis mowyoba </t>
  </si>
  <si>
    <t>გრZ.მ</t>
  </si>
  <si>
    <t>qvemo natanebis sajaro skola</t>
  </si>
  <si>
    <t>14=(1.1) Tavebis jami</t>
  </si>
  <si>
    <t xml:space="preserve">samSeneblo samuSaoebi </t>
  </si>
  <si>
    <r>
      <t xml:space="preserve">betoni </t>
    </r>
    <r>
      <rPr>
        <sz val="10"/>
        <color indexed="8"/>
        <rFont val="Times New Roman"/>
        <family val="1"/>
        <charset val="204"/>
      </rPr>
      <t>B20</t>
    </r>
  </si>
  <si>
    <t>plastmasis mili d=100mm</t>
  </si>
  <si>
    <t>46-18-1</t>
  </si>
  <si>
    <t>6-16-10</t>
  </si>
  <si>
    <r>
      <t xml:space="preserve">rkinabetonis gadaxurvebis mowyoba </t>
    </r>
    <r>
      <rPr>
        <b/>
        <sz val="10"/>
        <color indexed="8"/>
        <rFont val="Times New Roman"/>
        <family val="1"/>
        <charset val="204"/>
      </rPr>
      <t>B20</t>
    </r>
    <r>
      <rPr>
        <b/>
        <sz val="10"/>
        <color indexed="8"/>
        <rFont val="AcadNusx"/>
      </rPr>
      <t xml:space="preserve"> betoniT liTonis koWebze</t>
    </r>
  </si>
  <si>
    <t>mdf-is karis dayeneba (ix. naxazi) framugiT</t>
  </si>
  <si>
    <t>mdf-is kari mowyobilobiT da framugiT</t>
  </si>
  <si>
    <t xml:space="preserve">budeebis mongreva kedelSi da Semdgomi Sevseba polimercementis xsnariT </t>
  </si>
  <si>
    <t xml:space="preserve">gadaxurvis foladis konstruqciebis montaJi maT Soris: </t>
  </si>
  <si>
    <t>ventilebis mowyoba d=25 mm</t>
  </si>
  <si>
    <t>wyalsadenis polieTilenis milebis mowyobaØd=25 mm</t>
  </si>
  <si>
    <t>polipropilenis wyalsadenis mili d=25 mm</t>
  </si>
  <si>
    <t>antikoroziulad damuSavebuli liTonis sahaero  milis mowyoba d=50mm</t>
  </si>
  <si>
    <t>'16-8-1</t>
  </si>
  <si>
    <t>foladis  milis d=50mm</t>
  </si>
  <si>
    <t>sankvanZis aqsesuarebis mowyoba:</t>
  </si>
  <si>
    <t>Txevadi sapnis dispenseri</t>
  </si>
  <si>
    <t>tualetis qaRaldis dispenseri</t>
  </si>
  <si>
    <t>xelis qaRaldis saSrobi</t>
  </si>
  <si>
    <t>qaRaldis xelsawmendis dispenseri</t>
  </si>
  <si>
    <t>sarke, 450X600mm</t>
  </si>
  <si>
    <t>sarke inkluzivi</t>
  </si>
  <si>
    <t xml:space="preserve">xelsakidebi </t>
  </si>
  <si>
    <t>nagvis urna</t>
  </si>
  <si>
    <t>17-3-4</t>
  </si>
  <si>
    <t>sankvanZis aqsesuarebis mowyoba</t>
  </si>
  <si>
    <t>Txevadi sapnis  dispenseri</t>
  </si>
  <si>
    <t>tualetis QqaRaldis dispenseri</t>
  </si>
  <si>
    <t>xelis saSrobi</t>
  </si>
  <si>
    <t>sarke 450X600mm</t>
  </si>
  <si>
    <t>maT Soris mowyobiloba</t>
  </si>
  <si>
    <t>kompl.</t>
  </si>
  <si>
    <t xml:space="preserve">fasadis saventilacio cxaurebis mowyoba </t>
  </si>
  <si>
    <t>plastmasis mili d=150 mm (gamwovi arxebisTvis)</t>
  </si>
  <si>
    <t>plastmasis d=150mm milis SefuTva  nestgamZle TabaSirmuyaos filiT (liTonis karkasze)</t>
  </si>
  <si>
    <t>plastmasis mili d=150mm (gamwovi arxebisaTvis)</t>
  </si>
  <si>
    <t xml:space="preserve">plastmasis mili d=150mm </t>
  </si>
  <si>
    <t>fasadis, liTonis saventilacio cxaurebis mowyoba (mowyobilobiT)</t>
  </si>
  <si>
    <t>Sida saventilacio cxaurebis mowyoba (mowyobilobiT)</t>
  </si>
  <si>
    <r>
      <t>laminirebuli nestgamZle mdf panelis gamyofi tixris mowyoba, karis gaTvaliswinebiT, sisqiT 18mm, Turquli warmoebis (</t>
    </r>
    <r>
      <rPr>
        <sz val="12"/>
        <color indexed="8"/>
        <rFont val="Calibri"/>
        <family val="2"/>
      </rPr>
      <t>K</t>
    </r>
    <r>
      <rPr>
        <sz val="10"/>
        <color indexed="8"/>
        <rFont val="AcadNusx"/>
      </rPr>
      <t xml:space="preserve">5) Tavisi mowyobilobebiT (saketi, dgari, kedelze misamagrebeli) </t>
    </r>
  </si>
  <si>
    <t>zednadebi xarjebi santeqnikur samuSaoebze</t>
  </si>
  <si>
    <r>
      <t>mrgvali arxuli ventilatori</t>
    </r>
    <r>
      <rPr>
        <sz val="10"/>
        <color theme="1"/>
        <rFont val="Arial"/>
        <family val="2"/>
      </rPr>
      <t xml:space="preserve">  L</t>
    </r>
    <r>
      <rPr>
        <sz val="10"/>
        <color theme="1"/>
        <rFont val="AcadNusx"/>
      </rPr>
      <t xml:space="preserve">=480m3/sT </t>
    </r>
    <r>
      <rPr>
        <sz val="10"/>
        <color theme="1"/>
        <rFont val="Arial"/>
        <family val="2"/>
      </rPr>
      <t>D</t>
    </r>
    <r>
      <rPr>
        <sz val="10"/>
        <color theme="1"/>
        <rFont val="AcadNusx"/>
      </rPr>
      <t>=150mm 0.12kv/sT 1X230</t>
    </r>
    <r>
      <rPr>
        <sz val="10"/>
        <color theme="1"/>
        <rFont val="Arial"/>
        <family val="2"/>
      </rPr>
      <t>v</t>
    </r>
  </si>
  <si>
    <t>3. ventilacia</t>
  </si>
  <si>
    <t>4. santeqnikuri samuSaoebi</t>
  </si>
  <si>
    <t>5. gare kanalizacia</t>
  </si>
  <si>
    <t xml:space="preserve">jami 5. </t>
  </si>
  <si>
    <t>6. eleqtrosamontaJo samuSaoebi</t>
  </si>
  <si>
    <t>7.'gare san.kvanZi septikiT</t>
  </si>
  <si>
    <t>7. jami</t>
  </si>
  <si>
    <t>jami 1+2+3+4+5+6+7</t>
  </si>
  <si>
    <t>jami 7=(1+2+3)</t>
  </si>
  <si>
    <r>
      <t>mrgvali arxuli ventilatori</t>
    </r>
    <r>
      <rPr>
        <sz val="10"/>
        <color theme="1"/>
        <rFont val="Arial"/>
        <family val="2"/>
      </rPr>
      <t xml:space="preserve">  L</t>
    </r>
    <r>
      <rPr>
        <sz val="10"/>
        <color theme="1"/>
        <rFont val="AcadNusx"/>
      </rPr>
      <t xml:space="preserve">=480m3/sT, </t>
    </r>
    <r>
      <rPr>
        <sz val="10"/>
        <color theme="1"/>
        <rFont val="Arial"/>
        <family val="2"/>
      </rPr>
      <t>D</t>
    </r>
    <r>
      <rPr>
        <sz val="10"/>
        <color theme="1"/>
        <rFont val="AcadNusx"/>
      </rPr>
      <t>=150mm, 0.12kv/sT, 1X230</t>
    </r>
    <r>
      <rPr>
        <sz val="10"/>
        <color theme="1"/>
        <rFont val="Arial"/>
        <family val="2"/>
      </rPr>
      <t>v  (</t>
    </r>
    <r>
      <rPr>
        <sz val="10"/>
        <color theme="1"/>
        <rFont val="AcadNusx"/>
      </rPr>
      <t>mowyobilobiT</t>
    </r>
    <r>
      <rPr>
        <sz val="10"/>
        <color theme="1"/>
        <rFont val="Arial"/>
        <family val="2"/>
      </rPr>
      <t>)</t>
    </r>
  </si>
  <si>
    <t>5.jami</t>
  </si>
  <si>
    <t xml:space="preserve">6 jami </t>
  </si>
  <si>
    <t>7.'gare  septiki</t>
  </si>
  <si>
    <t>7 jami</t>
  </si>
  <si>
    <t>1+2+3+4+5+6+7 Tavebis jami</t>
  </si>
  <si>
    <t>jami 7=(1+2)</t>
  </si>
  <si>
    <t>mdf paneli tixari sisqiT 18mm (kompleqtiT /saketi,dgari, kedelze misamagrebeli/)</t>
  </si>
</sst>
</file>

<file path=xl/styles.xml><?xml version="1.0" encoding="utf-8"?>
<styleSheet xmlns="http://schemas.openxmlformats.org/spreadsheetml/2006/main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_-* #,##0.00_-;\-* #,##0.00_-;_-* &quot;-&quot;??_-;_-@_-"/>
    <numFmt numFmtId="167" formatCode="_-* #,##0.000_-;\-* #,##0.000_-;_-* &quot;-&quot;??_-;_-@_-"/>
    <numFmt numFmtId="168" formatCode="_-* #,##0.000_р_._-;\-* #,##0.000_р_._-;_-* &quot;-&quot;??_р_._-;_-@_-"/>
    <numFmt numFmtId="169" formatCode="_-* #,##0.0_р_._-;\-* #,##0.0_р_._-;_-* &quot;-&quot;??_р_._-;_-@_-"/>
    <numFmt numFmtId="170" formatCode="0.000"/>
    <numFmt numFmtId="171" formatCode="0.0"/>
    <numFmt numFmtId="172" formatCode="[$-437]yyyy\ &quot;წლის&quot;\ dd\ mm\,\ dddd"/>
    <numFmt numFmtId="173" formatCode="0.0000"/>
    <numFmt numFmtId="174" formatCode="0.00000"/>
    <numFmt numFmtId="175" formatCode="_-* #,##0.0000000_-;\-* #,##0.0000000_-;_-* &quot;-&quot;??_-;_-@_-"/>
  </numFmts>
  <fonts count="8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sz val="10"/>
      <name val="Arial Cyr"/>
    </font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cadNusx"/>
    </font>
    <font>
      <sz val="10"/>
      <name val="Helv"/>
    </font>
    <font>
      <sz val="10"/>
      <name val="ChveuNusx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</font>
    <font>
      <b/>
      <sz val="10"/>
      <color indexed="8"/>
      <name val="AcadNusx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AcadMtavr"/>
    </font>
    <font>
      <u/>
      <sz val="10"/>
      <color indexed="12"/>
      <name val="Arial Cyr"/>
    </font>
    <font>
      <b/>
      <sz val="11"/>
      <name val="AcadNusx"/>
    </font>
    <font>
      <b/>
      <sz val="10"/>
      <name val="Arial"/>
      <family val="2"/>
    </font>
    <font>
      <b/>
      <sz val="10"/>
      <name val="Arial Cyr"/>
    </font>
    <font>
      <sz val="10"/>
      <name val="Grigolia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name val="AcadNusx"/>
    </font>
    <font>
      <sz val="8"/>
      <name val="Arial"/>
      <family val="2"/>
    </font>
    <font>
      <b/>
      <sz val="11"/>
      <color indexed="8"/>
      <name val="AcadNusx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52"/>
      <name val="AcadNusx"/>
    </font>
    <font>
      <b/>
      <sz val="12"/>
      <name val="AcadNusx"/>
    </font>
    <font>
      <sz val="10"/>
      <name val="Arial Cyr"/>
      <charset val="204"/>
    </font>
    <font>
      <sz val="11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1"/>
      <name val="Arial"/>
      <family val="2"/>
      <charset val="204"/>
    </font>
    <font>
      <i/>
      <sz val="11"/>
      <name val="AcadNusx"/>
    </font>
    <font>
      <sz val="10"/>
      <color indexed="10"/>
      <name val="AcadNusx"/>
    </font>
    <font>
      <sz val="10"/>
      <color indexed="10"/>
      <name val="Arial"/>
      <family val="2"/>
    </font>
    <font>
      <sz val="10"/>
      <color rgb="FFFF0000"/>
      <name val="AcadNusx"/>
    </font>
    <font>
      <sz val="10"/>
      <color theme="1"/>
      <name val="AcadNusx"/>
    </font>
    <font>
      <sz val="10"/>
      <color rgb="FFFF0000"/>
      <name val="Arial Cyr"/>
    </font>
    <font>
      <sz val="10"/>
      <color rgb="FFFF0000"/>
      <name val="Times New Roman"/>
      <family val="1"/>
    </font>
    <font>
      <b/>
      <sz val="10"/>
      <color rgb="FFFF0000"/>
      <name val="AcadNusx"/>
    </font>
    <font>
      <sz val="10"/>
      <color theme="5"/>
      <name val="AcadNusx"/>
    </font>
    <font>
      <b/>
      <sz val="10"/>
      <color theme="1"/>
      <name val="AcadNusx"/>
    </font>
    <font>
      <sz val="9"/>
      <color theme="1"/>
      <name val="AcadNusx"/>
    </font>
    <font>
      <sz val="10"/>
      <color theme="1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color rgb="FFFF0000"/>
      <name val="Helv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i/>
      <sz val="10"/>
      <color theme="1"/>
      <name val="AcadNusx"/>
    </font>
    <font>
      <b/>
      <sz val="10"/>
      <color theme="1"/>
      <name val="AcadMtav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3">
    <xf numFmtId="0" fontId="0" fillId="0" borderId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165" fontId="31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3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2" fillId="23" borderId="7" applyNumberFormat="0" applyFon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165" fontId="54" fillId="0" borderId="0" applyFont="0" applyFill="0" applyBorder="0" applyAlignment="0" applyProtection="0"/>
  </cellStyleXfs>
  <cellXfs count="1527">
    <xf numFmtId="0" fontId="0" fillId="0" borderId="0" xfId="0"/>
    <xf numFmtId="0" fontId="21" fillId="0" borderId="0" xfId="382" applyFont="1" applyFill="1" applyBorder="1" applyAlignment="1" applyProtection="1"/>
    <xf numFmtId="0" fontId="22" fillId="0" borderId="0" xfId="360" applyFont="1" applyAlignment="1" applyProtection="1">
      <alignment horizontal="center"/>
    </xf>
    <xf numFmtId="0" fontId="22" fillId="0" borderId="0" xfId="397" applyFont="1" applyAlignment="1" applyProtection="1">
      <alignment horizontal="left"/>
    </xf>
    <xf numFmtId="166" fontId="22" fillId="0" borderId="0" xfId="282" applyNumberFormat="1" applyFont="1" applyFill="1" applyBorder="1" applyAlignment="1" applyProtection="1">
      <alignment horizontal="center"/>
    </xf>
    <xf numFmtId="166" fontId="22" fillId="0" borderId="10" xfId="282" applyNumberFormat="1" applyFont="1" applyFill="1" applyBorder="1" applyAlignment="1" applyProtection="1">
      <alignment horizontal="center"/>
    </xf>
    <xf numFmtId="166" fontId="22" fillId="0" borderId="11" xfId="282" applyNumberFormat="1" applyFont="1" applyFill="1" applyBorder="1" applyAlignment="1" applyProtection="1">
      <alignment horizontal="center"/>
    </xf>
    <xf numFmtId="9" fontId="22" fillId="0" borderId="12" xfId="426" applyFont="1" applyFill="1" applyBorder="1" applyAlignment="1" applyProtection="1">
      <alignment horizontal="center" vertical="center"/>
    </xf>
    <xf numFmtId="166" fontId="22" fillId="0" borderId="13" xfId="282" applyNumberFormat="1" applyFont="1" applyFill="1" applyBorder="1" applyAlignment="1" applyProtection="1">
      <alignment horizontal="center" vertical="center"/>
    </xf>
    <xf numFmtId="166" fontId="22" fillId="0" borderId="13" xfId="282" applyNumberFormat="1" applyFont="1" applyFill="1" applyBorder="1" applyAlignment="1" applyProtection="1">
      <alignment horizontal="center"/>
    </xf>
    <xf numFmtId="0" fontId="22" fillId="0" borderId="10" xfId="382" applyFont="1" applyFill="1" applyBorder="1" applyAlignment="1" applyProtection="1">
      <alignment horizontal="left" vertical="center" wrapText="1"/>
    </xf>
    <xf numFmtId="0" fontId="22" fillId="0" borderId="10" xfId="382" applyFont="1" applyFill="1" applyBorder="1" applyAlignment="1" applyProtection="1">
      <alignment horizontal="left" vertical="center"/>
    </xf>
    <xf numFmtId="166" fontId="22" fillId="0" borderId="0" xfId="282" applyNumberFormat="1" applyFont="1" applyBorder="1" applyAlignment="1" applyProtection="1">
      <alignment horizontal="center"/>
    </xf>
    <xf numFmtId="166" fontId="21" fillId="0" borderId="13" xfId="282" applyNumberFormat="1" applyFont="1" applyFill="1" applyBorder="1" applyAlignment="1" applyProtection="1">
      <alignment horizontal="center"/>
    </xf>
    <xf numFmtId="0" fontId="21" fillId="0" borderId="13" xfId="360" applyFont="1" applyFill="1" applyBorder="1" applyAlignment="1" applyProtection="1">
      <alignment horizontal="center"/>
    </xf>
    <xf numFmtId="0" fontId="22" fillId="0" borderId="10" xfId="382" applyFont="1" applyFill="1" applyBorder="1" applyAlignment="1" applyProtection="1">
      <alignment horizontal="left" vertical="top" wrapText="1"/>
    </xf>
    <xf numFmtId="0" fontId="21" fillId="0" borderId="0" xfId="360" applyFont="1" applyAlignment="1" applyProtection="1">
      <alignment horizontal="left"/>
    </xf>
    <xf numFmtId="0" fontId="22" fillId="0" borderId="0" xfId="360" applyFont="1" applyFill="1" applyAlignment="1" applyProtection="1">
      <alignment horizontal="center"/>
    </xf>
    <xf numFmtId="9" fontId="22" fillId="0" borderId="0" xfId="421" applyFont="1" applyFill="1" applyProtection="1"/>
    <xf numFmtId="166" fontId="22" fillId="0" borderId="0" xfId="276" applyNumberFormat="1" applyFont="1" applyFill="1" applyProtection="1"/>
    <xf numFmtId="166" fontId="22" fillId="0" borderId="0" xfId="276" applyNumberFormat="1" applyFont="1" applyFill="1" applyBorder="1" applyProtection="1"/>
    <xf numFmtId="0" fontId="21" fillId="24" borderId="13" xfId="397" applyFont="1" applyFill="1" applyBorder="1" applyAlignment="1" applyProtection="1">
      <alignment horizontal="center" vertical="center"/>
    </xf>
    <xf numFmtId="0" fontId="21" fillId="0" borderId="13" xfId="397" applyFont="1" applyFill="1" applyBorder="1" applyAlignment="1" applyProtection="1">
      <alignment horizontal="center" vertical="center"/>
    </xf>
    <xf numFmtId="0" fontId="22" fillId="0" borderId="14" xfId="367" applyFont="1" applyFill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center" vertical="top" wrapText="1"/>
    </xf>
    <xf numFmtId="165" fontId="22" fillId="0" borderId="13" xfId="276" applyFont="1" applyFill="1" applyBorder="1" applyAlignment="1" applyProtection="1">
      <alignment horizontal="center" vertical="top"/>
    </xf>
    <xf numFmtId="0" fontId="22" fillId="0" borderId="13" xfId="0" applyFont="1" applyFill="1" applyBorder="1" applyAlignment="1" applyProtection="1">
      <alignment horizontal="left" vertical="top" wrapText="1"/>
    </xf>
    <xf numFmtId="9" fontId="22" fillId="0" borderId="13" xfId="421" applyFont="1" applyFill="1" applyBorder="1" applyAlignment="1" applyProtection="1">
      <alignment horizontal="center" vertical="top"/>
    </xf>
    <xf numFmtId="0" fontId="22" fillId="0" borderId="13" xfId="0" applyFont="1" applyBorder="1" applyAlignment="1" applyProtection="1">
      <alignment horizontal="left" vertical="top" wrapText="1"/>
    </xf>
    <xf numFmtId="0" fontId="22" fillId="0" borderId="13" xfId="0" applyFont="1" applyFill="1" applyBorder="1" applyAlignment="1" applyProtection="1">
      <alignment horizontal="center" vertical="top"/>
    </xf>
    <xf numFmtId="0" fontId="21" fillId="0" borderId="13" xfId="0" applyFont="1" applyBorder="1" applyAlignment="1" applyProtection="1">
      <alignment horizontal="right" vertical="top" wrapText="1"/>
    </xf>
    <xf numFmtId="166" fontId="21" fillId="0" borderId="13" xfId="276" applyNumberFormat="1" applyFont="1" applyFill="1" applyBorder="1" applyAlignment="1" applyProtection="1">
      <alignment horizontal="center" vertical="top"/>
    </xf>
    <xf numFmtId="0" fontId="21" fillId="0" borderId="13" xfId="36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left" vertical="top" wrapText="1"/>
    </xf>
    <xf numFmtId="0" fontId="21" fillId="25" borderId="13" xfId="0" applyFont="1" applyFill="1" applyBorder="1" applyAlignment="1" applyProtection="1">
      <alignment horizontal="left" vertical="top"/>
    </xf>
    <xf numFmtId="0" fontId="22" fillId="0" borderId="13" xfId="276" applyNumberFormat="1" applyFont="1" applyFill="1" applyBorder="1" applyAlignment="1" applyProtection="1">
      <alignment horizontal="left" vertical="top" wrapText="1"/>
    </xf>
    <xf numFmtId="0" fontId="22" fillId="0" borderId="13" xfId="0" applyFont="1" applyBorder="1" applyAlignment="1" applyProtection="1">
      <alignment horizontal="left" vertical="top"/>
    </xf>
    <xf numFmtId="0" fontId="20" fillId="0" borderId="13" xfId="0" applyFont="1" applyFill="1" applyBorder="1" applyAlignment="1" applyProtection="1">
      <alignment horizontal="center" vertical="top" wrapText="1"/>
    </xf>
    <xf numFmtId="0" fontId="20" fillId="0" borderId="13" xfId="0" applyFont="1" applyBorder="1" applyAlignment="1" applyProtection="1">
      <alignment horizontal="left" vertical="top" wrapText="1"/>
    </xf>
    <xf numFmtId="0" fontId="21" fillId="0" borderId="13" xfId="360" applyFont="1" applyBorder="1" applyAlignment="1" applyProtection="1">
      <alignment horizontal="right" vertical="top"/>
    </xf>
    <xf numFmtId="0" fontId="22" fillId="0" borderId="13" xfId="382" applyFont="1" applyFill="1" applyBorder="1" applyAlignment="1" applyProtection="1">
      <alignment horizontal="left" vertical="top" wrapText="1"/>
    </xf>
    <xf numFmtId="0" fontId="22" fillId="0" borderId="10" xfId="382" applyFont="1" applyFill="1" applyBorder="1" applyAlignment="1" applyProtection="1">
      <alignment horizontal="center" vertical="top" wrapText="1"/>
    </xf>
    <xf numFmtId="0" fontId="24" fillId="0" borderId="0" xfId="382" applyFont="1" applyProtection="1"/>
    <xf numFmtId="0" fontId="22" fillId="0" borderId="11" xfId="382" applyFont="1" applyFill="1" applyBorder="1" applyAlignment="1" applyProtection="1">
      <alignment horizontal="center" vertical="top" wrapText="1"/>
    </xf>
    <xf numFmtId="0" fontId="22" fillId="0" borderId="0" xfId="382" applyFont="1" applyFill="1" applyBorder="1" applyAlignment="1" applyProtection="1">
      <alignment horizontal="left" vertical="top" wrapText="1"/>
    </xf>
    <xf numFmtId="0" fontId="23" fillId="0" borderId="0" xfId="382" applyFont="1" applyProtection="1"/>
    <xf numFmtId="0" fontId="22" fillId="0" borderId="14" xfId="382" applyFont="1" applyFill="1" applyBorder="1" applyAlignment="1" applyProtection="1">
      <alignment horizontal="left" vertical="top" wrapText="1"/>
    </xf>
    <xf numFmtId="0" fontId="22" fillId="0" borderId="14" xfId="382" applyFont="1" applyFill="1" applyBorder="1" applyAlignment="1" applyProtection="1">
      <alignment horizontal="center" vertical="top" wrapText="1"/>
    </xf>
    <xf numFmtId="0" fontId="22" fillId="0" borderId="13" xfId="382" applyFont="1" applyFill="1" applyBorder="1" applyAlignment="1" applyProtection="1">
      <alignment horizontal="center" vertical="top" wrapText="1"/>
    </xf>
    <xf numFmtId="0" fontId="21" fillId="0" borderId="13" xfId="382" applyFont="1" applyFill="1" applyBorder="1" applyAlignment="1" applyProtection="1">
      <alignment horizontal="left" vertical="top" wrapText="1"/>
    </xf>
    <xf numFmtId="0" fontId="21" fillId="0" borderId="13" xfId="382" applyFont="1" applyFill="1" applyBorder="1" applyAlignment="1" applyProtection="1">
      <alignment horizontal="center" vertical="top" wrapText="1"/>
    </xf>
    <xf numFmtId="0" fontId="26" fillId="0" borderId="0" xfId="382" applyFont="1" applyProtection="1"/>
    <xf numFmtId="0" fontId="22" fillId="0" borderId="0" xfId="382" applyFont="1" applyProtection="1"/>
    <xf numFmtId="0" fontId="22" fillId="0" borderId="10" xfId="382" applyFont="1" applyFill="1" applyBorder="1" applyAlignment="1" applyProtection="1">
      <alignment horizontal="center" vertical="center" wrapText="1"/>
    </xf>
    <xf numFmtId="0" fontId="23" fillId="0" borderId="13" xfId="382" quotePrefix="1" applyFont="1" applyFill="1" applyBorder="1" applyAlignment="1" applyProtection="1">
      <alignment horizontal="center" vertical="top" wrapText="1"/>
    </xf>
    <xf numFmtId="0" fontId="26" fillId="0" borderId="0" xfId="382" applyFont="1" applyFill="1" applyProtection="1"/>
    <xf numFmtId="0" fontId="22" fillId="0" borderId="11" xfId="382" applyFont="1" applyFill="1" applyBorder="1" applyAlignment="1" applyProtection="1">
      <alignment horizontal="left" vertical="top" wrapText="1"/>
    </xf>
    <xf numFmtId="0" fontId="29" fillId="0" borderId="0" xfId="382" applyFont="1" applyProtection="1"/>
    <xf numFmtId="0" fontId="22" fillId="0" borderId="11" xfId="382" applyFont="1" applyFill="1" applyBorder="1" applyAlignment="1" applyProtection="1">
      <alignment horizontal="center" vertical="center" wrapText="1"/>
    </xf>
    <xf numFmtId="0" fontId="22" fillId="0" borderId="0" xfId="382" applyFont="1" applyFill="1" applyBorder="1" applyAlignment="1" applyProtection="1">
      <alignment horizontal="center" vertical="top" wrapText="1"/>
    </xf>
    <xf numFmtId="165" fontId="22" fillId="0" borderId="10" xfId="276" applyFont="1" applyFill="1" applyBorder="1" applyAlignment="1" applyProtection="1">
      <alignment horizontal="center" vertical="center" wrapText="1"/>
    </xf>
    <xf numFmtId="165" fontId="22" fillId="0" borderId="11" xfId="276" applyFont="1" applyFill="1" applyBorder="1" applyAlignment="1" applyProtection="1">
      <alignment horizontal="center" vertical="center" wrapText="1"/>
    </xf>
    <xf numFmtId="165" fontId="22" fillId="0" borderId="13" xfId="276" applyFont="1" applyFill="1" applyBorder="1" applyAlignment="1" applyProtection="1">
      <alignment horizontal="center" vertical="center"/>
    </xf>
    <xf numFmtId="0" fontId="3" fillId="0" borderId="0" xfId="382" applyFont="1" applyProtection="1"/>
    <xf numFmtId="0" fontId="3" fillId="0" borderId="0" xfId="382" applyFont="1" applyBorder="1" applyProtection="1"/>
    <xf numFmtId="0" fontId="22" fillId="0" borderId="13" xfId="397" applyFont="1" applyFill="1" applyBorder="1" applyAlignment="1" applyProtection="1">
      <alignment horizontal="center" vertical="center" wrapText="1"/>
    </xf>
    <xf numFmtId="0" fontId="22" fillId="0" borderId="10" xfId="382" applyFont="1" applyFill="1" applyBorder="1" applyAlignment="1" applyProtection="1">
      <alignment vertical="top" wrapText="1"/>
    </xf>
    <xf numFmtId="0" fontId="22" fillId="0" borderId="11" xfId="382" applyFont="1" applyFill="1" applyBorder="1" applyAlignment="1" applyProtection="1">
      <alignment vertical="top" wrapText="1"/>
    </xf>
    <xf numFmtId="0" fontId="22" fillId="0" borderId="14" xfId="382" applyFont="1" applyFill="1" applyBorder="1" applyAlignment="1" applyProtection="1">
      <alignment vertical="top" wrapText="1"/>
    </xf>
    <xf numFmtId="0" fontId="21" fillId="0" borderId="13" xfId="382" applyFont="1" applyFill="1" applyBorder="1" applyAlignment="1" applyProtection="1">
      <alignment horizontal="left" wrapText="1"/>
    </xf>
    <xf numFmtId="0" fontId="21" fillId="0" borderId="13" xfId="360" applyFont="1" applyFill="1" applyBorder="1" applyAlignment="1" applyProtection="1">
      <alignment horizontal="left" wrapText="1"/>
    </xf>
    <xf numFmtId="0" fontId="21" fillId="0" borderId="11" xfId="382" applyFont="1" applyFill="1" applyBorder="1" applyAlignment="1" applyProtection="1">
      <alignment horizontal="left" wrapText="1"/>
    </xf>
    <xf numFmtId="0" fontId="21" fillId="0" borderId="13" xfId="360" applyFont="1" applyFill="1" applyBorder="1" applyAlignment="1" applyProtection="1">
      <alignment horizontal="left"/>
    </xf>
    <xf numFmtId="0" fontId="22" fillId="0" borderId="0" xfId="382" applyFont="1" applyFill="1" applyBorder="1" applyAlignment="1" applyProtection="1">
      <alignment vertical="top" wrapText="1"/>
    </xf>
    <xf numFmtId="0" fontId="3" fillId="0" borderId="0" xfId="382" applyFont="1" applyFill="1" applyAlignment="1" applyProtection="1"/>
    <xf numFmtId="0" fontId="22" fillId="0" borderId="13" xfId="397" applyFont="1" applyFill="1" applyBorder="1" applyAlignment="1" applyProtection="1">
      <alignment horizontal="center" vertical="center"/>
    </xf>
    <xf numFmtId="0" fontId="22" fillId="0" borderId="13" xfId="367" applyFont="1" applyFill="1" applyBorder="1" applyAlignment="1" applyProtection="1">
      <alignment horizontal="center"/>
    </xf>
    <xf numFmtId="0" fontId="3" fillId="0" borderId="10" xfId="382" applyFont="1" applyFill="1" applyBorder="1" applyAlignment="1" applyProtection="1">
      <alignment horizontal="center" vertical="top" wrapText="1"/>
    </xf>
    <xf numFmtId="0" fontId="23" fillId="0" borderId="13" xfId="382" applyFont="1" applyFill="1" applyBorder="1" applyProtection="1"/>
    <xf numFmtId="0" fontId="27" fillId="0" borderId="13" xfId="382" applyFont="1" applyFill="1" applyBorder="1" applyProtection="1"/>
    <xf numFmtId="0" fontId="2" fillId="0" borderId="10" xfId="382" applyFont="1" applyFill="1" applyBorder="1" applyAlignment="1" applyProtection="1">
      <alignment horizontal="center" vertical="top" wrapText="1"/>
    </xf>
    <xf numFmtId="0" fontId="22" fillId="0" borderId="13" xfId="382" applyFont="1" applyFill="1" applyBorder="1" applyAlignment="1" applyProtection="1">
      <alignment horizontal="center"/>
    </xf>
    <xf numFmtId="0" fontId="23" fillId="0" borderId="0" xfId="382" quotePrefix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left" vertical="top" wrapText="1"/>
    </xf>
    <xf numFmtId="0" fontId="24" fillId="0" borderId="0" xfId="0" applyFont="1" applyProtection="1"/>
    <xf numFmtId="0" fontId="22" fillId="0" borderId="11" xfId="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left" vertical="top" wrapText="1"/>
    </xf>
    <xf numFmtId="0" fontId="23" fillId="0" borderId="0" xfId="0" applyFont="1" applyProtection="1"/>
    <xf numFmtId="0" fontId="26" fillId="0" borderId="0" xfId="0" applyFont="1" applyProtection="1"/>
    <xf numFmtId="0" fontId="22" fillId="0" borderId="10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5" fillId="0" borderId="0" xfId="0" applyFont="1" applyProtection="1"/>
    <xf numFmtId="0" fontId="29" fillId="0" borderId="0" xfId="0" applyFont="1" applyProtection="1"/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" fillId="0" borderId="10" xfId="0" applyFont="1" applyFill="1" applyBorder="1" applyAlignment="1" applyProtection="1">
      <alignment horizontal="center" vertical="top" wrapText="1"/>
    </xf>
    <xf numFmtId="9" fontId="22" fillId="0" borderId="13" xfId="426" applyFont="1" applyFill="1" applyBorder="1" applyAlignment="1" applyProtection="1">
      <alignment horizontal="center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 applyProtection="1">
      <alignment vertical="top" wrapText="1"/>
    </xf>
    <xf numFmtId="0" fontId="22" fillId="0" borderId="13" xfId="367" applyFont="1" applyFill="1" applyBorder="1" applyAlignment="1" applyProtection="1">
      <alignment horizontal="left" vertical="top"/>
    </xf>
    <xf numFmtId="0" fontId="22" fillId="0" borderId="13" xfId="360" applyFont="1" applyFill="1" applyBorder="1" applyAlignment="1" applyProtection="1">
      <alignment horizontal="left" vertical="top" wrapText="1"/>
    </xf>
    <xf numFmtId="0" fontId="21" fillId="0" borderId="13" xfId="360" applyFont="1" applyFill="1" applyBorder="1" applyAlignment="1" applyProtection="1">
      <alignment horizontal="center" vertical="top"/>
    </xf>
    <xf numFmtId="166" fontId="21" fillId="0" borderId="13" xfId="282" applyNumberFormat="1" applyFont="1" applyFill="1" applyBorder="1" applyAlignment="1" applyProtection="1">
      <alignment horizontal="center" vertical="top"/>
    </xf>
    <xf numFmtId="166" fontId="21" fillId="0" borderId="11" xfId="282" applyNumberFormat="1" applyFont="1" applyFill="1" applyBorder="1" applyAlignment="1" applyProtection="1">
      <alignment horizontal="center" vertical="top"/>
    </xf>
    <xf numFmtId="9" fontId="21" fillId="0" borderId="13" xfId="360" applyNumberFormat="1" applyFont="1" applyFill="1" applyBorder="1" applyAlignment="1" applyProtection="1">
      <alignment horizontal="center"/>
    </xf>
    <xf numFmtId="0" fontId="21" fillId="25" borderId="13" xfId="382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21" fillId="0" borderId="13" xfId="0" applyFont="1" applyBorder="1" applyAlignment="1" applyProtection="1">
      <alignment vertical="top" wrapText="1"/>
    </xf>
    <xf numFmtId="0" fontId="21" fillId="0" borderId="13" xfId="0" applyFont="1" applyFill="1" applyBorder="1" applyAlignment="1" applyProtection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1" xfId="382" applyFont="1" applyFill="1" applyBorder="1" applyAlignment="1" applyProtection="1">
      <alignment horizontal="right" wrapText="1"/>
    </xf>
    <xf numFmtId="0" fontId="21" fillId="0" borderId="13" xfId="382" applyFont="1" applyFill="1" applyBorder="1" applyAlignment="1" applyProtection="1">
      <alignment horizontal="right" wrapText="1"/>
    </xf>
    <xf numFmtId="0" fontId="21" fillId="0" borderId="13" xfId="360" applyFont="1" applyFill="1" applyBorder="1" applyAlignment="1" applyProtection="1">
      <alignment horizontal="right"/>
    </xf>
    <xf numFmtId="0" fontId="21" fillId="0" borderId="13" xfId="360" applyFont="1" applyFill="1" applyBorder="1" applyAlignment="1" applyProtection="1">
      <alignment horizontal="right" vertical="top" wrapText="1"/>
    </xf>
    <xf numFmtId="0" fontId="21" fillId="0" borderId="13" xfId="382" applyFont="1" applyFill="1" applyBorder="1" applyAlignment="1" applyProtection="1">
      <alignment horizontal="right" vertical="top" wrapText="1"/>
    </xf>
    <xf numFmtId="0" fontId="23" fillId="0" borderId="11" xfId="382" quotePrefix="1" applyFont="1" applyFill="1" applyBorder="1" applyAlignment="1" applyProtection="1">
      <alignment vertical="top" wrapText="1"/>
    </xf>
    <xf numFmtId="0" fontId="21" fillId="25" borderId="13" xfId="360" applyFont="1" applyFill="1" applyBorder="1" applyAlignment="1" applyProtection="1">
      <alignment horizontal="left" vertical="top" wrapText="1"/>
    </xf>
    <xf numFmtId="0" fontId="22" fillId="24" borderId="13" xfId="367" applyNumberFormat="1" applyFont="1" applyFill="1" applyBorder="1" applyAlignment="1" applyProtection="1">
      <alignment horizontal="center" vertical="top"/>
    </xf>
    <xf numFmtId="0" fontId="22" fillId="24" borderId="13" xfId="0" applyNumberFormat="1" applyFont="1" applyFill="1" applyBorder="1" applyAlignment="1" applyProtection="1">
      <alignment horizontal="center" vertical="top"/>
    </xf>
    <xf numFmtId="0" fontId="21" fillId="24" borderId="13" xfId="397" applyNumberFormat="1" applyFont="1" applyFill="1" applyBorder="1" applyAlignment="1" applyProtection="1">
      <alignment horizontal="center" vertical="center"/>
    </xf>
    <xf numFmtId="0" fontId="22" fillId="24" borderId="11" xfId="360" applyNumberFormat="1" applyFont="1" applyFill="1" applyBorder="1" applyAlignment="1" applyProtection="1">
      <alignment horizontal="center" vertical="top"/>
    </xf>
    <xf numFmtId="165" fontId="22" fillId="26" borderId="13" xfId="276" applyFont="1" applyFill="1" applyBorder="1" applyAlignment="1" applyProtection="1">
      <alignment horizontal="center" vertical="top"/>
      <protection locked="0"/>
    </xf>
    <xf numFmtId="9" fontId="37" fillId="0" borderId="13" xfId="421" applyFont="1" applyFill="1" applyBorder="1" applyAlignment="1" applyProtection="1">
      <alignment horizontal="center" vertical="center"/>
    </xf>
    <xf numFmtId="0" fontId="20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vertical="top" wrapText="1"/>
    </xf>
    <xf numFmtId="0" fontId="22" fillId="24" borderId="11" xfId="0" applyNumberFormat="1" applyFont="1" applyFill="1" applyBorder="1" applyAlignment="1" applyProtection="1">
      <alignment horizontal="center" vertical="top"/>
    </xf>
    <xf numFmtId="0" fontId="22" fillId="0" borderId="10" xfId="382" applyFont="1" applyFill="1" applyBorder="1" applyAlignment="1" applyProtection="1">
      <alignment horizontal="center" vertical="top"/>
    </xf>
    <xf numFmtId="0" fontId="22" fillId="0" borderId="14" xfId="382" applyFont="1" applyFill="1" applyBorder="1" applyAlignment="1" applyProtection="1">
      <alignment horizontal="center"/>
    </xf>
    <xf numFmtId="0" fontId="22" fillId="0" borderId="10" xfId="382" applyFont="1" applyFill="1" applyBorder="1" applyAlignment="1" applyProtection="1">
      <alignment horizontal="center"/>
    </xf>
    <xf numFmtId="0" fontId="22" fillId="0" borderId="11" xfId="382" applyFont="1" applyFill="1" applyBorder="1" applyAlignment="1" applyProtection="1">
      <alignment horizontal="center"/>
    </xf>
    <xf numFmtId="165" fontId="22" fillId="0" borderId="13" xfId="276" applyFont="1" applyFill="1" applyBorder="1" applyAlignment="1" applyProtection="1">
      <alignment horizontal="center" vertical="top"/>
      <protection locked="0"/>
    </xf>
    <xf numFmtId="165" fontId="22" fillId="0" borderId="13" xfId="276" applyFont="1" applyFill="1" applyBorder="1" applyAlignment="1" applyProtection="1">
      <alignment vertical="top"/>
      <protection locked="0"/>
    </xf>
    <xf numFmtId="165" fontId="22" fillId="0" borderId="14" xfId="276" applyFont="1" applyFill="1" applyBorder="1" applyAlignment="1" applyProtection="1">
      <alignment horizontal="center" vertical="top"/>
    </xf>
    <xf numFmtId="166" fontId="21" fillId="0" borderId="14" xfId="276" applyNumberFormat="1" applyFont="1" applyFill="1" applyBorder="1" applyAlignment="1" applyProtection="1">
      <alignment horizontal="center" vertical="top"/>
    </xf>
    <xf numFmtId="0" fontId="23" fillId="0" borderId="14" xfId="382" quotePrefix="1" applyFont="1" applyFill="1" applyBorder="1" applyAlignment="1" applyProtection="1">
      <alignment horizontal="center" vertical="top" wrapText="1"/>
    </xf>
    <xf numFmtId="0" fontId="22" fillId="0" borderId="14" xfId="382" applyFont="1" applyFill="1" applyBorder="1" applyAlignment="1" applyProtection="1">
      <alignment horizontal="center" vertical="top"/>
    </xf>
    <xf numFmtId="0" fontId="22" fillId="0" borderId="14" xfId="0" applyFont="1" applyFill="1" applyBorder="1" applyAlignment="1" applyProtection="1">
      <alignment horizontal="center" vertical="top" wrapText="1"/>
    </xf>
    <xf numFmtId="9" fontId="21" fillId="0" borderId="13" xfId="426" applyFont="1" applyFill="1" applyBorder="1" applyAlignment="1" applyProtection="1">
      <alignment horizontal="center"/>
    </xf>
    <xf numFmtId="0" fontId="22" fillId="0" borderId="13" xfId="382" applyFont="1" applyFill="1" applyBorder="1" applyAlignment="1" applyProtection="1">
      <alignment horizontal="center" vertical="top"/>
    </xf>
    <xf numFmtId="0" fontId="21" fillId="0" borderId="11" xfId="382" applyFont="1" applyFill="1" applyBorder="1" applyAlignment="1" applyProtection="1">
      <alignment horizontal="right" vertical="top" wrapText="1"/>
    </xf>
    <xf numFmtId="0" fontId="21" fillId="0" borderId="11" xfId="382" applyFont="1" applyFill="1" applyBorder="1" applyAlignment="1" applyProtection="1">
      <alignment horizontal="center" vertical="top" wrapText="1"/>
    </xf>
    <xf numFmtId="0" fontId="22" fillId="0" borderId="15" xfId="367" applyFont="1" applyFill="1" applyBorder="1" applyAlignment="1" applyProtection="1">
      <alignment horizontal="center"/>
    </xf>
    <xf numFmtId="166" fontId="22" fillId="0" borderId="14" xfId="282" applyNumberFormat="1" applyFont="1" applyFill="1" applyBorder="1" applyAlignment="1" applyProtection="1">
      <alignment horizontal="center"/>
    </xf>
    <xf numFmtId="0" fontId="26" fillId="0" borderId="14" xfId="382" quotePrefix="1" applyFont="1" applyFill="1" applyBorder="1" applyAlignment="1" applyProtection="1">
      <alignment horizontal="center" vertical="top" wrapText="1"/>
    </xf>
    <xf numFmtId="0" fontId="23" fillId="0" borderId="14" xfId="382" quotePrefix="1" applyFont="1" applyFill="1" applyBorder="1" applyAlignment="1" applyProtection="1">
      <alignment vertical="top" wrapText="1"/>
    </xf>
    <xf numFmtId="0" fontId="22" fillId="0" borderId="10" xfId="382" applyFont="1" applyFill="1" applyBorder="1" applyAlignment="1" applyProtection="1"/>
    <xf numFmtId="0" fontId="21" fillId="25" borderId="10" xfId="0" applyFont="1" applyFill="1" applyBorder="1" applyAlignment="1" applyProtection="1">
      <alignment horizontal="left" vertical="top"/>
    </xf>
    <xf numFmtId="0" fontId="22" fillId="0" borderId="14" xfId="0" applyFont="1" applyFill="1" applyBorder="1" applyAlignment="1" applyProtection="1">
      <alignment horizontal="left" vertical="top" wrapText="1"/>
    </xf>
    <xf numFmtId="0" fontId="22" fillId="0" borderId="14" xfId="0" applyFont="1" applyFill="1" applyBorder="1" applyAlignment="1" applyProtection="1">
      <alignment vertical="top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4" xfId="382" applyFont="1" applyFill="1" applyBorder="1" applyAlignment="1" applyProtection="1">
      <alignment horizontal="center" vertical="center" wrapText="1"/>
    </xf>
    <xf numFmtId="0" fontId="2" fillId="0" borderId="11" xfId="382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vertical="top" wrapText="1"/>
    </xf>
    <xf numFmtId="165" fontId="21" fillId="0" borderId="13" xfId="276" applyFont="1" applyFill="1" applyBorder="1" applyAlignment="1" applyProtection="1">
      <alignment horizontal="center" vertical="top"/>
      <protection locked="0"/>
    </xf>
    <xf numFmtId="0" fontId="22" fillId="0" borderId="13" xfId="0" applyFont="1" applyBorder="1" applyAlignment="1" applyProtection="1">
      <alignment horizontal="center" vertical="top" wrapText="1"/>
    </xf>
    <xf numFmtId="0" fontId="22" fillId="0" borderId="13" xfId="382" applyFont="1" applyFill="1" applyBorder="1" applyAlignment="1" applyProtection="1">
      <alignment vertical="top" wrapText="1"/>
    </xf>
    <xf numFmtId="165" fontId="22" fillId="0" borderId="16" xfId="276" applyFont="1" applyFill="1" applyBorder="1" applyAlignment="1" applyProtection="1">
      <alignment horizontal="center" vertical="center"/>
    </xf>
    <xf numFmtId="0" fontId="22" fillId="0" borderId="11" xfId="382" applyFont="1" applyFill="1" applyBorder="1" applyAlignment="1" applyProtection="1">
      <alignment horizontal="center" vertical="top"/>
    </xf>
    <xf numFmtId="0" fontId="22" fillId="0" borderId="14" xfId="276" applyNumberFormat="1" applyFont="1" applyFill="1" applyBorder="1" applyAlignment="1" applyProtection="1">
      <alignment horizontal="left" vertical="top" wrapText="1"/>
    </xf>
    <xf numFmtId="0" fontId="22" fillId="0" borderId="0" xfId="382" applyFont="1" applyFill="1" applyBorder="1" applyAlignment="1" applyProtection="1"/>
    <xf numFmtId="0" fontId="20" fillId="0" borderId="0" xfId="276" applyNumberFormat="1" applyFont="1" applyFill="1" applyAlignment="1" applyProtection="1">
      <alignment horizontal="center" vertical="center"/>
    </xf>
    <xf numFmtId="0" fontId="22" fillId="24" borderId="11" xfId="0" applyNumberFormat="1" applyFont="1" applyFill="1" applyBorder="1" applyAlignment="1" applyProtection="1">
      <alignment horizontal="center" vertical="top" wrapText="1"/>
    </xf>
    <xf numFmtId="0" fontId="22" fillId="0" borderId="16" xfId="382" applyFont="1" applyFill="1" applyBorder="1" applyAlignment="1" applyProtection="1">
      <alignment horizontal="center" vertical="top" wrapText="1"/>
    </xf>
    <xf numFmtId="0" fontId="22" fillId="0" borderId="13" xfId="382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top" wrapText="1"/>
    </xf>
    <xf numFmtId="165" fontId="22" fillId="0" borderId="13" xfId="276" applyFont="1" applyFill="1" applyBorder="1" applyAlignment="1" applyProtection="1">
      <alignment horizontal="center" vertical="top" wrapText="1"/>
      <protection locked="0"/>
    </xf>
    <xf numFmtId="0" fontId="21" fillId="0" borderId="13" xfId="0" applyFont="1" applyFill="1" applyBorder="1" applyAlignment="1" applyProtection="1">
      <alignment horizontal="right" vertical="top" wrapText="1"/>
    </xf>
    <xf numFmtId="165" fontId="21" fillId="0" borderId="0" xfId="276" applyFont="1" applyAlignment="1" applyProtection="1">
      <alignment horizontal="right" vertical="center"/>
    </xf>
    <xf numFmtId="0" fontId="22" fillId="24" borderId="13" xfId="336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Protection="1"/>
    <xf numFmtId="0" fontId="25" fillId="0" borderId="16" xfId="382" quotePrefix="1" applyFont="1" applyFill="1" applyBorder="1" applyAlignment="1" applyProtection="1">
      <alignment horizontal="center" vertical="top" wrapText="1"/>
    </xf>
    <xf numFmtId="0" fontId="23" fillId="0" borderId="16" xfId="0" quotePrefix="1" applyFont="1" applyFill="1" applyBorder="1" applyAlignment="1" applyProtection="1">
      <alignment horizontal="center" vertical="top" wrapText="1"/>
    </xf>
    <xf numFmtId="0" fontId="21" fillId="25" borderId="10" xfId="382" applyFont="1" applyFill="1" applyBorder="1" applyAlignment="1" applyProtection="1">
      <alignment horizontal="left" vertical="center"/>
    </xf>
    <xf numFmtId="0" fontId="21" fillId="25" borderId="14" xfId="367" applyFont="1" applyFill="1" applyBorder="1" applyAlignment="1" applyProtection="1">
      <alignment horizontal="left"/>
    </xf>
    <xf numFmtId="0" fontId="21" fillId="25" borderId="13" xfId="367" applyFont="1" applyFill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top" wrapText="1"/>
    </xf>
    <xf numFmtId="0" fontId="22" fillId="0" borderId="18" xfId="0" applyFont="1" applyFill="1" applyBorder="1" applyAlignment="1" applyProtection="1">
      <alignment horizontal="left" vertical="top" wrapText="1"/>
    </xf>
    <xf numFmtId="0" fontId="22" fillId="0" borderId="19" xfId="0" applyFont="1" applyFill="1" applyBorder="1" applyAlignment="1" applyProtection="1">
      <alignment horizontal="left" vertical="top" wrapText="1"/>
    </xf>
    <xf numFmtId="0" fontId="22" fillId="0" borderId="19" xfId="382" applyFont="1" applyFill="1" applyBorder="1" applyAlignment="1" applyProtection="1">
      <alignment horizontal="left" vertical="top" wrapText="1"/>
    </xf>
    <xf numFmtId="0" fontId="22" fillId="0" borderId="20" xfId="0" applyFont="1" applyFill="1" applyBorder="1" applyAlignment="1" applyProtection="1">
      <alignment horizontal="center" vertical="top" wrapText="1"/>
    </xf>
    <xf numFmtId="0" fontId="22" fillId="0" borderId="18" xfId="382" applyFont="1" applyFill="1" applyBorder="1" applyAlignment="1" applyProtection="1">
      <alignment horizontal="left" vertical="top" wrapText="1"/>
    </xf>
    <xf numFmtId="0" fontId="22" fillId="0" borderId="19" xfId="382" applyFont="1" applyFill="1" applyBorder="1" applyAlignment="1" applyProtection="1">
      <alignment vertical="top" wrapText="1"/>
    </xf>
    <xf numFmtId="0" fontId="22" fillId="0" borderId="17" xfId="382" applyFont="1" applyFill="1" applyBorder="1" applyAlignment="1" applyProtection="1">
      <alignment horizontal="center" vertical="center" wrapText="1"/>
    </xf>
    <xf numFmtId="0" fontId="22" fillId="0" borderId="20" xfId="382" applyFont="1" applyFill="1" applyBorder="1" applyAlignment="1" applyProtection="1">
      <alignment horizontal="center" vertical="center" wrapText="1"/>
    </xf>
    <xf numFmtId="9" fontId="22" fillId="0" borderId="14" xfId="426" applyFont="1" applyFill="1" applyBorder="1" applyAlignment="1" applyProtection="1">
      <alignment horizontal="center"/>
    </xf>
    <xf numFmtId="9" fontId="22" fillId="0" borderId="11" xfId="426" applyFont="1" applyFill="1" applyBorder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/>
    </xf>
    <xf numFmtId="0" fontId="22" fillId="0" borderId="13" xfId="0" applyFont="1" applyFill="1" applyBorder="1" applyAlignment="1" applyProtection="1">
      <alignment horizontal="left" vertical="top"/>
    </xf>
    <xf numFmtId="0" fontId="21" fillId="0" borderId="13" xfId="360" applyFont="1" applyFill="1" applyBorder="1" applyAlignment="1" applyProtection="1">
      <alignment horizontal="left" vertical="top"/>
    </xf>
    <xf numFmtId="0" fontId="21" fillId="0" borderId="13" xfId="360" applyFont="1" applyFill="1" applyBorder="1" applyAlignment="1" applyProtection="1">
      <alignment horizontal="right" vertical="top"/>
    </xf>
    <xf numFmtId="0" fontId="21" fillId="25" borderId="13" xfId="0" applyFont="1" applyFill="1" applyBorder="1" applyAlignment="1" applyProtection="1">
      <alignment horizontal="left" vertical="top" wrapText="1"/>
    </xf>
    <xf numFmtId="0" fontId="22" fillId="0" borderId="13" xfId="367" applyNumberFormat="1" applyFont="1" applyFill="1" applyBorder="1" applyAlignment="1" applyProtection="1">
      <alignment horizontal="center" vertical="top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7" fillId="0" borderId="13" xfId="382" quotePrefix="1" applyFont="1" applyFill="1" applyBorder="1" applyAlignment="1" applyProtection="1">
      <alignment horizontal="center" vertical="top" wrapText="1"/>
    </xf>
    <xf numFmtId="0" fontId="22" fillId="27" borderId="15" xfId="397" applyFont="1" applyFill="1" applyBorder="1" applyAlignment="1" applyProtection="1">
      <alignment horizontal="left" vertical="center" wrapText="1"/>
    </xf>
    <xf numFmtId="0" fontId="22" fillId="27" borderId="0" xfId="397" applyFont="1" applyFill="1" applyAlignment="1" applyProtection="1">
      <alignment horizontal="center" vertical="center" wrapText="1"/>
    </xf>
    <xf numFmtId="0" fontId="22" fillId="27" borderId="0" xfId="360" applyFont="1" applyFill="1" applyAlignment="1" applyProtection="1">
      <alignment horizontal="center" vertical="center" wrapText="1"/>
    </xf>
    <xf numFmtId="0" fontId="22" fillId="27" borderId="21" xfId="397" applyFont="1" applyFill="1" applyBorder="1" applyAlignment="1" applyProtection="1">
      <alignment horizontal="left" wrapText="1"/>
    </xf>
    <xf numFmtId="0" fontId="21" fillId="25" borderId="14" xfId="382" applyFont="1" applyFill="1" applyBorder="1" applyAlignment="1" applyProtection="1">
      <alignment horizontal="left" vertical="top" wrapText="1"/>
    </xf>
    <xf numFmtId="0" fontId="21" fillId="25" borderId="14" xfId="382" applyFont="1" applyFill="1" applyBorder="1" applyAlignment="1" applyProtection="1">
      <alignment horizontal="left"/>
    </xf>
    <xf numFmtId="0" fontId="21" fillId="25" borderId="13" xfId="382" applyFont="1" applyFill="1" applyBorder="1" applyAlignment="1" applyProtection="1">
      <alignment horizontal="left" vertical="center"/>
    </xf>
    <xf numFmtId="0" fontId="21" fillId="0" borderId="13" xfId="276" applyNumberFormat="1" applyFont="1" applyFill="1" applyBorder="1" applyAlignment="1" applyProtection="1">
      <alignment horizontal="center" vertical="top"/>
    </xf>
    <xf numFmtId="0" fontId="21" fillId="0" borderId="14" xfId="367" applyFont="1" applyFill="1" applyBorder="1" applyAlignment="1" applyProtection="1">
      <alignment horizontal="center" vertical="top"/>
    </xf>
    <xf numFmtId="0" fontId="21" fillId="0" borderId="13" xfId="0" applyFont="1" applyFill="1" applyBorder="1" applyAlignment="1" applyProtection="1">
      <alignment horizontal="center" vertical="top"/>
    </xf>
    <xf numFmtId="165" fontId="22" fillId="0" borderId="0" xfId="276" applyFont="1" applyProtection="1"/>
    <xf numFmtId="0" fontId="22" fillId="0" borderId="10" xfId="0" applyFont="1" applyBorder="1" applyAlignment="1" applyProtection="1">
      <alignment horizontal="center" vertical="top" wrapText="1"/>
    </xf>
    <xf numFmtId="164" fontId="23" fillId="0" borderId="0" xfId="382" applyNumberFormat="1" applyFont="1" applyProtection="1"/>
    <xf numFmtId="49" fontId="22" fillId="0" borderId="14" xfId="382" applyNumberFormat="1" applyFont="1" applyFill="1" applyBorder="1" applyAlignment="1" applyProtection="1">
      <alignment vertical="top" wrapText="1"/>
    </xf>
    <xf numFmtId="49" fontId="22" fillId="0" borderId="10" xfId="382" applyNumberFormat="1" applyFont="1" applyFill="1" applyBorder="1" applyAlignment="1" applyProtection="1">
      <alignment vertical="top" wrapText="1"/>
    </xf>
    <xf numFmtId="49" fontId="22" fillId="0" borderId="11" xfId="382" applyNumberFormat="1" applyFont="1" applyFill="1" applyBorder="1" applyAlignment="1" applyProtection="1">
      <alignment vertical="top" wrapText="1"/>
    </xf>
    <xf numFmtId="0" fontId="23" fillId="0" borderId="10" xfId="382" quotePrefix="1" applyFont="1" applyFill="1" applyBorder="1" applyAlignment="1" applyProtection="1">
      <alignment vertical="top" wrapText="1"/>
    </xf>
    <xf numFmtId="0" fontId="22" fillId="0" borderId="10" xfId="382" quotePrefix="1" applyFont="1" applyFill="1" applyBorder="1" applyAlignment="1" applyProtection="1">
      <alignment vertical="top" wrapText="1"/>
    </xf>
    <xf numFmtId="166" fontId="22" fillId="0" borderId="14" xfId="276" applyNumberFormat="1" applyFont="1" applyFill="1" applyBorder="1" applyAlignment="1" applyProtection="1">
      <alignment horizontal="center" vertical="top" wrapText="1"/>
    </xf>
    <xf numFmtId="0" fontId="23" fillId="0" borderId="20" xfId="0" quotePrefix="1" applyFont="1" applyFill="1" applyBorder="1" applyAlignment="1" applyProtection="1">
      <alignment horizontal="center" vertical="top" wrapText="1"/>
    </xf>
    <xf numFmtId="0" fontId="23" fillId="0" borderId="17" xfId="0" quotePrefix="1" applyFont="1" applyFill="1" applyBorder="1" applyAlignment="1" applyProtection="1">
      <alignment horizontal="center" vertical="top" wrapText="1"/>
    </xf>
    <xf numFmtId="0" fontId="23" fillId="0" borderId="10" xfId="0" quotePrefix="1" applyFont="1" applyFill="1" applyBorder="1" applyAlignment="1" applyProtection="1">
      <alignment horizontal="center" vertical="top" wrapText="1"/>
    </xf>
    <xf numFmtId="0" fontId="22" fillId="0" borderId="10" xfId="0" quotePrefix="1" applyFont="1" applyFill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horizontal="left" vertical="top" wrapText="1"/>
    </xf>
    <xf numFmtId="165" fontId="22" fillId="0" borderId="10" xfId="276" applyFont="1" applyFill="1" applyBorder="1" applyAlignment="1" applyProtection="1">
      <alignment horizontal="center" vertical="top" wrapText="1"/>
    </xf>
    <xf numFmtId="165" fontId="22" fillId="0" borderId="10" xfId="276" applyFont="1" applyFill="1" applyBorder="1" applyAlignment="1" applyProtection="1">
      <alignment vertical="top" wrapText="1"/>
    </xf>
    <xf numFmtId="0" fontId="22" fillId="0" borderId="10" xfId="0" applyFont="1" applyBorder="1" applyAlignment="1" applyProtection="1">
      <alignment vertical="top" wrapText="1"/>
    </xf>
    <xf numFmtId="0" fontId="22" fillId="0" borderId="14" xfId="0" applyFont="1" applyBorder="1" applyAlignment="1" applyProtection="1">
      <alignment vertical="top" wrapText="1"/>
    </xf>
    <xf numFmtId="0" fontId="22" fillId="0" borderId="14" xfId="0" applyFont="1" applyBorder="1" applyAlignment="1" applyProtection="1">
      <alignment horizontal="center" vertical="top" wrapText="1"/>
    </xf>
    <xf numFmtId="0" fontId="22" fillId="0" borderId="11" xfId="0" applyFont="1" applyBorder="1" applyAlignment="1" applyProtection="1">
      <alignment vertical="top" wrapText="1"/>
    </xf>
    <xf numFmtId="0" fontId="22" fillId="0" borderId="11" xfId="0" applyFont="1" applyBorder="1" applyAlignment="1" applyProtection="1">
      <alignment horizontal="center" vertical="top" wrapText="1"/>
    </xf>
    <xf numFmtId="165" fontId="22" fillId="0" borderId="11" xfId="276" applyFont="1" applyFill="1" applyBorder="1" applyAlignment="1" applyProtection="1">
      <alignment horizontal="center" vertical="top" wrapText="1"/>
    </xf>
    <xf numFmtId="0" fontId="22" fillId="0" borderId="11" xfId="0" applyFont="1" applyBorder="1" applyAlignment="1" applyProtection="1">
      <alignment horizontal="left" vertical="top" wrapText="1"/>
    </xf>
    <xf numFmtId="170" fontId="22" fillId="0" borderId="10" xfId="0" applyNumberFormat="1" applyFont="1" applyBorder="1" applyAlignment="1" applyProtection="1">
      <alignment horizontal="center" vertical="top" wrapText="1"/>
    </xf>
    <xf numFmtId="2" fontId="22" fillId="0" borderId="10" xfId="0" applyNumberFormat="1" applyFont="1" applyBorder="1" applyAlignment="1" applyProtection="1">
      <alignment horizontal="center" vertical="top" wrapText="1"/>
    </xf>
    <xf numFmtId="0" fontId="23" fillId="0" borderId="10" xfId="0" quotePrefix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16" fontId="23" fillId="0" borderId="10" xfId="0" applyNumberFormat="1" applyFont="1" applyBorder="1" applyAlignment="1" applyProtection="1">
      <alignment horizontal="center" vertical="top" wrapText="1"/>
    </xf>
    <xf numFmtId="0" fontId="23" fillId="0" borderId="10" xfId="0" applyFont="1" applyBorder="1" applyAlignment="1" applyProtection="1">
      <alignment horizontal="center" vertical="top" wrapText="1"/>
    </xf>
    <xf numFmtId="14" fontId="23" fillId="0" borderId="10" xfId="0" quotePrefix="1" applyNumberFormat="1" applyFont="1" applyBorder="1" applyAlignment="1" applyProtection="1">
      <alignment horizontal="center" vertical="top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2" fillId="24" borderId="10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23" fillId="0" borderId="11" xfId="0" quotePrefix="1" applyFont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3" fillId="0" borderId="13" xfId="0" quotePrefix="1" applyFont="1" applyFill="1" applyBorder="1" applyAlignment="1" applyProtection="1">
      <alignment horizontal="center" vertical="top" wrapText="1"/>
    </xf>
    <xf numFmtId="0" fontId="22" fillId="0" borderId="14" xfId="0" applyFont="1" applyBorder="1" applyAlignment="1" applyProtection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49" fontId="22" fillId="0" borderId="14" xfId="0" applyNumberFormat="1" applyFont="1" applyFill="1" applyBorder="1" applyAlignment="1" applyProtection="1">
      <alignment vertical="top" wrapText="1"/>
    </xf>
    <xf numFmtId="0" fontId="22" fillId="0" borderId="10" xfId="0" applyFont="1" applyFill="1" applyBorder="1" applyAlignment="1" applyProtection="1">
      <alignment horizontal="left" vertical="top"/>
    </xf>
    <xf numFmtId="49" fontId="22" fillId="0" borderId="10" xfId="0" applyNumberFormat="1" applyFont="1" applyFill="1" applyBorder="1" applyAlignment="1" applyProtection="1">
      <alignment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49" fontId="22" fillId="0" borderId="11" xfId="0" applyNumberFormat="1" applyFont="1" applyFill="1" applyBorder="1" applyAlignment="1" applyProtection="1">
      <alignment vertical="top" wrapText="1"/>
    </xf>
    <xf numFmtId="0" fontId="22" fillId="0" borderId="10" xfId="0" applyFont="1" applyFill="1" applyBorder="1" applyAlignment="1" applyProtection="1">
      <alignment horizontal="left" vertical="center"/>
    </xf>
    <xf numFmtId="0" fontId="21" fillId="0" borderId="11" xfId="0" quotePrefix="1" applyFont="1" applyFill="1" applyBorder="1" applyAlignment="1" applyProtection="1">
      <alignment horizontal="center" vertical="top" wrapText="1"/>
    </xf>
    <xf numFmtId="0" fontId="21" fillId="0" borderId="13" xfId="0" quotePrefix="1" applyFont="1" applyFill="1" applyBorder="1" applyAlignment="1" applyProtection="1">
      <alignment horizontal="center" vertical="top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vertical="top" wrapText="1"/>
    </xf>
    <xf numFmtId="0" fontId="22" fillId="0" borderId="1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top" wrapText="1"/>
    </xf>
    <xf numFmtId="0" fontId="22" fillId="0" borderId="20" xfId="0" applyFont="1" applyFill="1" applyBorder="1" applyAlignment="1" applyProtection="1">
      <alignment horizontal="center" vertical="center" wrapText="1"/>
    </xf>
    <xf numFmtId="166" fontId="22" fillId="0" borderId="10" xfId="276" applyNumberFormat="1" applyFont="1" applyBorder="1" applyAlignment="1" applyProtection="1">
      <alignment horizontal="center" vertical="top" wrapText="1"/>
    </xf>
    <xf numFmtId="166" fontId="22" fillId="0" borderId="10" xfId="276" applyNumberFormat="1" applyFont="1" applyFill="1" applyBorder="1" applyAlignment="1" applyProtection="1">
      <alignment horizontal="center" vertical="top" wrapText="1"/>
    </xf>
    <xf numFmtId="0" fontId="20" fillId="0" borderId="14" xfId="0" applyFont="1" applyBorder="1" applyAlignment="1" applyProtection="1">
      <alignment vertical="top" wrapText="1"/>
    </xf>
    <xf numFmtId="166" fontId="20" fillId="0" borderId="14" xfId="276" applyNumberFormat="1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vertical="top" wrapText="1"/>
    </xf>
    <xf numFmtId="166" fontId="20" fillId="0" borderId="13" xfId="276" applyNumberFormat="1" applyFont="1" applyBorder="1" applyAlignment="1" applyProtection="1">
      <alignment horizontal="center" wrapText="1"/>
    </xf>
    <xf numFmtId="166" fontId="22" fillId="0" borderId="11" xfId="276" applyNumberFormat="1" applyFont="1" applyBorder="1" applyAlignment="1" applyProtection="1">
      <alignment horizontal="center" vertical="top" wrapText="1"/>
    </xf>
    <xf numFmtId="0" fontId="20" fillId="0" borderId="14" xfId="0" applyFont="1" applyBorder="1" applyAlignment="1" applyProtection="1">
      <alignment horizontal="center" wrapText="1"/>
    </xf>
    <xf numFmtId="0" fontId="22" fillId="0" borderId="13" xfId="0" quotePrefix="1" applyFont="1" applyFill="1" applyBorder="1" applyAlignment="1" applyProtection="1">
      <alignment horizontal="center" vertical="top" wrapText="1"/>
    </xf>
    <xf numFmtId="0" fontId="35" fillId="0" borderId="0" xfId="0" applyFont="1" applyBorder="1" applyProtection="1"/>
    <xf numFmtId="0" fontId="21" fillId="0" borderId="13" xfId="0" applyFont="1" applyBorder="1" applyAlignment="1" applyProtection="1">
      <alignment horizontal="center" vertical="top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21" fillId="0" borderId="13" xfId="0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Protection="1"/>
    <xf numFmtId="0" fontId="24" fillId="0" borderId="13" xfId="0" applyFont="1" applyFill="1" applyBorder="1" applyProtection="1"/>
    <xf numFmtId="9" fontId="21" fillId="0" borderId="13" xfId="0" applyNumberFormat="1" applyFont="1" applyFill="1" applyBorder="1" applyAlignment="1" applyProtection="1">
      <alignment horizontal="center" vertical="top" wrapText="1"/>
    </xf>
    <xf numFmtId="0" fontId="40" fillId="0" borderId="13" xfId="0" applyNumberFormat="1" applyFont="1" applyFill="1" applyBorder="1" applyAlignment="1" applyProtection="1">
      <alignment horizontal="center" vertical="top" wrapText="1"/>
    </xf>
    <xf numFmtId="0" fontId="41" fillId="0" borderId="13" xfId="0" applyFont="1" applyBorder="1" applyProtection="1"/>
    <xf numFmtId="9" fontId="41" fillId="0" borderId="13" xfId="0" applyNumberFormat="1" applyFont="1" applyBorder="1" applyAlignment="1" applyProtection="1">
      <alignment horizontal="center"/>
    </xf>
    <xf numFmtId="0" fontId="42" fillId="0" borderId="13" xfId="0" applyFont="1" applyFill="1" applyBorder="1" applyAlignment="1" applyProtection="1">
      <alignment horizontal="centerContinuous" vertical="top" wrapText="1"/>
    </xf>
    <xf numFmtId="0" fontId="22" fillId="0" borderId="16" xfId="0" applyFont="1" applyFill="1" applyBorder="1" applyAlignment="1" applyProtection="1">
      <alignment horizontal="left" vertical="top" wrapText="1"/>
    </xf>
    <xf numFmtId="0" fontId="42" fillId="0" borderId="13" xfId="0" applyFont="1" applyBorder="1" applyAlignment="1" applyProtection="1">
      <alignment horizontal="center" vertical="top" wrapText="1"/>
    </xf>
    <xf numFmtId="0" fontId="21" fillId="0" borderId="10" xfId="0" applyFont="1" applyFill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horizontal="center" vertical="top" wrapText="1"/>
    </xf>
    <xf numFmtId="0" fontId="23" fillId="0" borderId="0" xfId="0" applyFont="1" applyAlignment="1" applyProtection="1">
      <alignment vertical="top" wrapText="1"/>
    </xf>
    <xf numFmtId="0" fontId="26" fillId="0" borderId="10" xfId="0" applyFont="1" applyBorder="1" applyProtection="1"/>
    <xf numFmtId="0" fontId="22" fillId="0" borderId="14" xfId="0" applyFont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vertical="top"/>
    </xf>
    <xf numFmtId="0" fontId="3" fillId="0" borderId="13" xfId="0" applyNumberFormat="1" applyFont="1" applyFill="1" applyBorder="1" applyAlignment="1" applyProtection="1">
      <alignment horizontal="center" vertical="top" wrapText="1"/>
    </xf>
    <xf numFmtId="0" fontId="26" fillId="0" borderId="13" xfId="0" applyFont="1" applyFill="1" applyBorder="1" applyAlignment="1" applyProtection="1">
      <alignment horizontal="center" vertical="top" wrapText="1"/>
    </xf>
    <xf numFmtId="164" fontId="22" fillId="0" borderId="0" xfId="0" applyNumberFormat="1" applyFont="1" applyProtection="1"/>
    <xf numFmtId="9" fontId="21" fillId="0" borderId="13" xfId="0" applyNumberFormat="1" applyFont="1" applyBorder="1" applyAlignment="1" applyProtection="1">
      <alignment horizontal="center"/>
    </xf>
    <xf numFmtId="0" fontId="20" fillId="0" borderId="14" xfId="0" applyFont="1" applyFill="1" applyBorder="1" applyAlignment="1" applyProtection="1">
      <alignment horizontal="center" wrapText="1"/>
    </xf>
    <xf numFmtId="0" fontId="22" fillId="0" borderId="16" xfId="0" quotePrefix="1" applyFont="1" applyFill="1" applyBorder="1" applyAlignment="1" applyProtection="1">
      <alignment horizontal="center" vertical="top" wrapText="1"/>
    </xf>
    <xf numFmtId="9" fontId="21" fillId="0" borderId="13" xfId="0" applyNumberFormat="1" applyFont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Continuous" vertical="top" wrapText="1"/>
    </xf>
    <xf numFmtId="0" fontId="3" fillId="0" borderId="0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 wrapText="1"/>
    </xf>
    <xf numFmtId="0" fontId="23" fillId="0" borderId="0" xfId="0" applyFont="1" applyFill="1" applyAlignment="1" applyProtection="1">
      <alignment vertical="top" wrapText="1"/>
    </xf>
    <xf numFmtId="0" fontId="42" fillId="0" borderId="10" xfId="0" applyFont="1" applyFill="1" applyBorder="1" applyAlignment="1" applyProtection="1">
      <alignment horizontal="centerContinuous" vertical="top" wrapText="1"/>
    </xf>
    <xf numFmtId="0" fontId="42" fillId="0" borderId="10" xfId="0" applyFont="1" applyBorder="1" applyAlignment="1" applyProtection="1">
      <alignment horizontal="center" vertical="top" wrapText="1"/>
    </xf>
    <xf numFmtId="0" fontId="42" fillId="0" borderId="11" xfId="0" applyFont="1" applyFill="1" applyBorder="1" applyAlignment="1" applyProtection="1">
      <alignment horizontal="centerContinuous" vertical="top" wrapText="1"/>
    </xf>
    <xf numFmtId="0" fontId="42" fillId="0" borderId="11" xfId="0" applyFont="1" applyBorder="1" applyAlignment="1" applyProtection="1">
      <alignment horizontal="center" vertical="top" wrapText="1"/>
    </xf>
    <xf numFmtId="0" fontId="42" fillId="0" borderId="14" xfId="0" applyFont="1" applyFill="1" applyBorder="1" applyAlignment="1" applyProtection="1">
      <alignment horizontal="centerContinuous" vertical="top" wrapText="1"/>
    </xf>
    <xf numFmtId="0" fontId="22" fillId="0" borderId="17" xfId="0" applyFont="1" applyFill="1" applyBorder="1" applyAlignment="1" applyProtection="1">
      <alignment horizontal="left" vertical="top" wrapText="1"/>
    </xf>
    <xf numFmtId="0" fontId="22" fillId="0" borderId="13" xfId="0" applyFont="1" applyFill="1" applyBorder="1" applyAlignment="1" applyProtection="1">
      <alignment horizontal="center"/>
    </xf>
    <xf numFmtId="166" fontId="21" fillId="0" borderId="14" xfId="276" applyNumberFormat="1" applyFont="1" applyFill="1" applyBorder="1" applyAlignment="1" applyProtection="1">
      <alignment horizontal="center" vertical="top"/>
      <protection locked="0"/>
    </xf>
    <xf numFmtId="0" fontId="21" fillId="0" borderId="14" xfId="276" applyNumberFormat="1" applyFont="1" applyFill="1" applyBorder="1" applyAlignment="1" applyProtection="1">
      <alignment horizontal="center" vertical="top"/>
      <protection locked="0"/>
    </xf>
    <xf numFmtId="174" fontId="22" fillId="0" borderId="13" xfId="0" applyNumberFormat="1" applyFont="1" applyFill="1" applyBorder="1" applyAlignment="1" applyProtection="1">
      <alignment horizontal="center" vertical="top" wrapText="1"/>
    </xf>
    <xf numFmtId="1" fontId="22" fillId="0" borderId="13" xfId="0" applyNumberFormat="1" applyFont="1" applyFill="1" applyBorder="1" applyAlignment="1" applyProtection="1">
      <alignment horizontal="center" vertical="top" wrapText="1"/>
    </xf>
    <xf numFmtId="10" fontId="21" fillId="0" borderId="13" xfId="421" applyNumberFormat="1" applyFont="1" applyFill="1" applyBorder="1" applyAlignment="1" applyProtection="1">
      <alignment horizontal="center" vertical="top"/>
    </xf>
    <xf numFmtId="0" fontId="21" fillId="0" borderId="13" xfId="360" applyNumberFormat="1" applyFont="1" applyFill="1" applyBorder="1" applyAlignment="1" applyProtection="1">
      <alignment horizontal="center" vertical="top"/>
    </xf>
    <xf numFmtId="0" fontId="33" fillId="0" borderId="13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22" fillId="0" borderId="13" xfId="367" applyFont="1" applyFill="1" applyBorder="1" applyAlignment="1" applyProtection="1">
      <alignment horizontal="center" vertical="top"/>
    </xf>
    <xf numFmtId="0" fontId="22" fillId="0" borderId="13" xfId="360" applyNumberFormat="1" applyFont="1" applyFill="1" applyBorder="1" applyAlignment="1" applyProtection="1">
      <alignment horizontal="center" vertical="top"/>
    </xf>
    <xf numFmtId="166" fontId="22" fillId="0" borderId="13" xfId="276" applyNumberFormat="1" applyFont="1" applyFill="1" applyBorder="1" applyAlignment="1" applyProtection="1">
      <alignment horizontal="center" vertical="top"/>
      <protection locked="0"/>
    </xf>
    <xf numFmtId="165" fontId="22" fillId="0" borderId="13" xfId="276" applyFont="1" applyFill="1" applyBorder="1" applyAlignment="1" applyProtection="1">
      <alignment horizontal="center" vertical="center"/>
      <protection locked="0"/>
    </xf>
    <xf numFmtId="0" fontId="23" fillId="0" borderId="10" xfId="0" quotePrefix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6" fillId="0" borderId="0" xfId="0" applyFont="1"/>
    <xf numFmtId="0" fontId="27" fillId="0" borderId="10" xfId="0" quotePrefix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11" xfId="0" applyFont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center" vertical="top"/>
    </xf>
    <xf numFmtId="0" fontId="46" fillId="0" borderId="0" xfId="0" applyFont="1" applyFill="1" applyAlignment="1">
      <alignment vertical="center"/>
    </xf>
    <xf numFmtId="0" fontId="22" fillId="0" borderId="10" xfId="0" quotePrefix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quotePrefix="1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4" fillId="0" borderId="0" xfId="0" applyFont="1"/>
    <xf numFmtId="165" fontId="22" fillId="0" borderId="10" xfId="276" applyFont="1" applyFill="1" applyBorder="1" applyAlignment="1">
      <alignment horizontal="center" vertical="top" wrapText="1"/>
    </xf>
    <xf numFmtId="0" fontId="22" fillId="0" borderId="13" xfId="360" applyFont="1" applyFill="1" applyBorder="1" applyAlignment="1" applyProtection="1">
      <alignment horizontal="center"/>
    </xf>
    <xf numFmtId="166" fontId="21" fillId="0" borderId="13" xfId="282" applyNumberFormat="1" applyFont="1" applyFill="1" applyBorder="1" applyAlignment="1" applyProtection="1">
      <alignment horizontal="left" vertical="center"/>
    </xf>
    <xf numFmtId="0" fontId="22" fillId="0" borderId="14" xfId="0" applyFont="1" applyBorder="1" applyAlignment="1" applyProtection="1">
      <alignment horizontal="left" vertical="top" wrapText="1"/>
    </xf>
    <xf numFmtId="0" fontId="21" fillId="0" borderId="22" xfId="360" applyFont="1" applyFill="1" applyBorder="1" applyAlignment="1" applyProtection="1">
      <alignment horizontal="center" vertical="top"/>
    </xf>
    <xf numFmtId="0" fontId="20" fillId="0" borderId="0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1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50" fillId="0" borderId="0" xfId="0" applyFont="1"/>
    <xf numFmtId="10" fontId="21" fillId="0" borderId="13" xfId="360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/>
      <protection locked="0"/>
    </xf>
    <xf numFmtId="0" fontId="51" fillId="0" borderId="0" xfId="0" applyFont="1" applyProtection="1"/>
    <xf numFmtId="0" fontId="22" fillId="0" borderId="10" xfId="383" applyFont="1" applyFill="1" applyBorder="1" applyAlignment="1" applyProtection="1">
      <alignment horizontal="left" vertical="top" wrapText="1"/>
    </xf>
    <xf numFmtId="0" fontId="50" fillId="0" borderId="0" xfId="0" applyFont="1" applyProtection="1"/>
    <xf numFmtId="0" fontId="49" fillId="0" borderId="10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383" applyFont="1" applyFill="1" applyBorder="1" applyAlignment="1" applyProtection="1">
      <alignment horizontal="center" vertical="top" wrapText="1"/>
    </xf>
    <xf numFmtId="0" fontId="22" fillId="0" borderId="10" xfId="383" applyFont="1" applyFill="1" applyBorder="1" applyAlignment="1" applyProtection="1">
      <alignment horizontal="center" vertical="top" wrapText="1"/>
    </xf>
    <xf numFmtId="165" fontId="22" fillId="0" borderId="11" xfId="276" applyFont="1" applyFill="1" applyBorder="1" applyAlignment="1">
      <alignment horizontal="center" vertical="top" wrapText="1"/>
    </xf>
    <xf numFmtId="0" fontId="23" fillId="0" borderId="14" xfId="0" quotePrefix="1" applyFont="1" applyFill="1" applyBorder="1" applyAlignment="1" applyProtection="1">
      <alignment vertical="top" wrapText="1"/>
    </xf>
    <xf numFmtId="0" fontId="23" fillId="0" borderId="10" xfId="0" quotePrefix="1" applyFont="1" applyFill="1" applyBorder="1" applyAlignment="1" applyProtection="1">
      <alignment vertical="top" wrapText="1"/>
    </xf>
    <xf numFmtId="0" fontId="23" fillId="0" borderId="11" xfId="0" quotePrefix="1" applyFont="1" applyFill="1" applyBorder="1" applyAlignment="1" applyProtection="1">
      <alignment vertical="top" wrapText="1"/>
    </xf>
    <xf numFmtId="49" fontId="26" fillId="0" borderId="14" xfId="0" quotePrefix="1" applyNumberFormat="1" applyFont="1" applyFill="1" applyBorder="1" applyAlignment="1" applyProtection="1">
      <alignment vertical="top" wrapText="1"/>
    </xf>
    <xf numFmtId="49" fontId="26" fillId="0" borderId="10" xfId="0" quotePrefix="1" applyNumberFormat="1" applyFont="1" applyFill="1" applyBorder="1" applyAlignment="1" applyProtection="1">
      <alignment vertical="top" wrapText="1"/>
    </xf>
    <xf numFmtId="49" fontId="26" fillId="0" borderId="11" xfId="0" quotePrefix="1" applyNumberFormat="1" applyFont="1" applyFill="1" applyBorder="1" applyAlignment="1" applyProtection="1">
      <alignment vertical="top" wrapText="1"/>
    </xf>
    <xf numFmtId="165" fontId="22" fillId="0" borderId="10" xfId="276" applyFont="1" applyFill="1" applyBorder="1" applyAlignment="1">
      <alignment horizontal="center" vertical="center" wrapText="1"/>
    </xf>
    <xf numFmtId="165" fontId="22" fillId="0" borderId="0" xfId="276" applyFont="1" applyFill="1" applyBorder="1" applyAlignment="1" applyProtection="1">
      <alignment vertical="center"/>
    </xf>
    <xf numFmtId="165" fontId="22" fillId="0" borderId="0" xfId="276" applyFont="1" applyAlignment="1" applyProtection="1"/>
    <xf numFmtId="165" fontId="22" fillId="0" borderId="13" xfId="276" applyFont="1" applyFill="1" applyBorder="1" applyAlignment="1" applyProtection="1">
      <alignment vertical="center"/>
    </xf>
    <xf numFmtId="165" fontId="22" fillId="0" borderId="15" xfId="276" applyFont="1" applyFill="1" applyBorder="1" applyAlignment="1" applyProtection="1">
      <alignment vertical="center"/>
    </xf>
    <xf numFmtId="165" fontId="22" fillId="26" borderId="14" xfId="276" applyFont="1" applyFill="1" applyBorder="1" applyAlignment="1" applyProtection="1">
      <alignment vertical="center" wrapText="1"/>
    </xf>
    <xf numFmtId="165" fontId="22" fillId="0" borderId="14" xfId="276" applyFont="1" applyFill="1" applyBorder="1" applyAlignment="1" applyProtection="1">
      <alignment vertical="center" wrapText="1"/>
    </xf>
    <xf numFmtId="165" fontId="22" fillId="0" borderId="10" xfId="276" applyFont="1" applyFill="1" applyBorder="1" applyAlignment="1" applyProtection="1">
      <alignment vertical="center" wrapText="1"/>
    </xf>
    <xf numFmtId="165" fontId="22" fillId="0" borderId="11" xfId="276" applyFont="1" applyFill="1" applyBorder="1" applyAlignment="1" applyProtection="1">
      <alignment vertical="center" wrapText="1"/>
    </xf>
    <xf numFmtId="165" fontId="22" fillId="28" borderId="10" xfId="276" applyFont="1" applyFill="1" applyBorder="1" applyAlignment="1" applyProtection="1">
      <alignment vertical="center" wrapText="1"/>
    </xf>
    <xf numFmtId="165" fontId="22" fillId="0" borderId="10" xfId="276" applyFont="1" applyFill="1" applyBorder="1" applyAlignment="1">
      <alignment vertical="top" wrapText="1"/>
    </xf>
    <xf numFmtId="165" fontId="22" fillId="0" borderId="13" xfId="276" applyFont="1" applyFill="1" applyBorder="1" applyAlignment="1" applyProtection="1">
      <alignment vertical="center" wrapText="1"/>
    </xf>
    <xf numFmtId="165" fontId="23" fillId="0" borderId="13" xfId="276" applyFont="1" applyFill="1" applyBorder="1" applyAlignment="1" applyProtection="1">
      <alignment vertical="center"/>
    </xf>
    <xf numFmtId="165" fontId="22" fillId="0" borderId="11" xfId="276" applyFont="1" applyFill="1" applyBorder="1" applyAlignment="1">
      <alignment vertical="top" wrapText="1"/>
    </xf>
    <xf numFmtId="165" fontId="22" fillId="0" borderId="11" xfId="276" applyFont="1" applyFill="1" applyBorder="1" applyAlignment="1" applyProtection="1">
      <alignment vertical="top" wrapText="1"/>
    </xf>
    <xf numFmtId="165" fontId="22" fillId="0" borderId="10" xfId="276" applyFont="1" applyBorder="1" applyAlignment="1" applyProtection="1">
      <alignment vertical="top" wrapText="1"/>
    </xf>
    <xf numFmtId="165" fontId="20" fillId="26" borderId="10" xfId="276" applyFont="1" applyFill="1" applyBorder="1" applyAlignment="1" applyProtection="1">
      <alignment vertical="center" wrapText="1"/>
    </xf>
    <xf numFmtId="165" fontId="20" fillId="0" borderId="11" xfId="276" applyFont="1" applyFill="1" applyBorder="1" applyAlignment="1" applyProtection="1">
      <alignment vertical="center" wrapText="1"/>
    </xf>
    <xf numFmtId="165" fontId="22" fillId="26" borderId="13" xfId="276" applyFont="1" applyFill="1" applyBorder="1" applyAlignment="1" applyProtection="1">
      <alignment vertical="center" wrapText="1"/>
    </xf>
    <xf numFmtId="165" fontId="22" fillId="0" borderId="11" xfId="276" applyFont="1" applyFill="1" applyBorder="1" applyAlignment="1" applyProtection="1">
      <alignment vertical="center"/>
    </xf>
    <xf numFmtId="165" fontId="22" fillId="0" borderId="14" xfId="276" applyFont="1" applyFill="1" applyBorder="1" applyAlignment="1" applyProtection="1">
      <alignment vertical="center"/>
    </xf>
    <xf numFmtId="165" fontId="22" fillId="26" borderId="11" xfId="276" applyFont="1" applyFill="1" applyBorder="1" applyAlignment="1" applyProtection="1">
      <alignment vertical="center" wrapText="1"/>
    </xf>
    <xf numFmtId="165" fontId="21" fillId="0" borderId="13" xfId="276" applyFont="1" applyFill="1" applyBorder="1" applyAlignment="1" applyProtection="1">
      <alignment vertical="center"/>
    </xf>
    <xf numFmtId="165" fontId="22" fillId="0" borderId="10" xfId="276" applyFont="1" applyFill="1" applyBorder="1" applyAlignment="1" applyProtection="1">
      <alignment vertical="center"/>
    </xf>
    <xf numFmtId="165" fontId="21" fillId="0" borderId="13" xfId="276" applyFont="1" applyFill="1" applyBorder="1" applyAlignment="1" applyProtection="1">
      <alignment vertical="center" wrapText="1"/>
    </xf>
    <xf numFmtId="165" fontId="40" fillId="0" borderId="13" xfId="276" applyFont="1" applyFill="1" applyBorder="1" applyAlignment="1" applyProtection="1">
      <alignment vertical="center" wrapText="1"/>
    </xf>
    <xf numFmtId="165" fontId="41" fillId="0" borderId="13" xfId="276" applyFont="1" applyBorder="1" applyAlignment="1" applyProtection="1">
      <alignment vertical="center"/>
    </xf>
    <xf numFmtId="165" fontId="22" fillId="28" borderId="14" xfId="276" applyFont="1" applyFill="1" applyBorder="1" applyAlignment="1" applyProtection="1">
      <alignment vertical="center" wrapText="1"/>
    </xf>
    <xf numFmtId="165" fontId="3" fillId="0" borderId="13" xfId="276" applyFont="1" applyFill="1" applyBorder="1" applyAlignment="1" applyProtection="1">
      <alignment vertical="center" wrapText="1"/>
    </xf>
    <xf numFmtId="165" fontId="43" fillId="0" borderId="13" xfId="276" applyFont="1" applyFill="1" applyBorder="1" applyAlignment="1" applyProtection="1">
      <alignment vertical="center" wrapText="1"/>
    </xf>
    <xf numFmtId="165" fontId="21" fillId="0" borderId="10" xfId="276" applyFont="1" applyFill="1" applyBorder="1" applyAlignment="1" applyProtection="1">
      <alignment vertical="center" wrapText="1"/>
    </xf>
    <xf numFmtId="165" fontId="22" fillId="0" borderId="0" xfId="276" applyFont="1" applyFill="1" applyBorder="1" applyAlignment="1" applyProtection="1">
      <alignment vertical="center" wrapText="1"/>
    </xf>
    <xf numFmtId="0" fontId="21" fillId="0" borderId="14" xfId="382" applyFont="1" applyFill="1" applyBorder="1" applyAlignment="1" applyProtection="1">
      <alignment horizontal="left" vertical="top" wrapText="1"/>
    </xf>
    <xf numFmtId="0" fontId="22" fillId="29" borderId="10" xfId="382" applyFont="1" applyFill="1" applyBorder="1" applyAlignment="1" applyProtection="1">
      <alignment horizontal="center" vertical="top" wrapText="1"/>
    </xf>
    <xf numFmtId="0" fontId="21" fillId="29" borderId="10" xfId="0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2" fontId="4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23" fillId="0" borderId="11" xfId="0" quotePrefix="1" applyFont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top" wrapText="1"/>
    </xf>
    <xf numFmtId="165" fontId="22" fillId="0" borderId="14" xfId="276" applyFont="1" applyFill="1" applyBorder="1" applyAlignment="1" applyProtection="1">
      <alignment vertical="top" wrapText="1"/>
    </xf>
    <xf numFmtId="0" fontId="23" fillId="0" borderId="0" xfId="0" applyFont="1" applyFill="1" applyProtection="1"/>
    <xf numFmtId="0" fontId="22" fillId="0" borderId="14" xfId="0" quotePrefix="1" applyFont="1" applyFill="1" applyBorder="1" applyAlignment="1">
      <alignment horizontal="center" vertical="top" wrapText="1"/>
    </xf>
    <xf numFmtId="165" fontId="22" fillId="0" borderId="14" xfId="276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10" xfId="0" quotePrefix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0" fontId="50" fillId="0" borderId="0" xfId="0" applyFont="1" applyFill="1"/>
    <xf numFmtId="0" fontId="23" fillId="0" borderId="11" xfId="0" quotePrefix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165" fontId="22" fillId="26" borderId="14" xfId="276" applyNumberFormat="1" applyFont="1" applyFill="1" applyBorder="1" applyAlignment="1" applyProtection="1">
      <alignment vertical="center" wrapText="1"/>
    </xf>
    <xf numFmtId="168" fontId="22" fillId="26" borderId="14" xfId="276" applyNumberFormat="1" applyFont="1" applyFill="1" applyBorder="1" applyAlignment="1" applyProtection="1">
      <alignment vertical="center" wrapText="1"/>
    </xf>
    <xf numFmtId="0" fontId="64" fillId="0" borderId="10" xfId="382" applyFont="1" applyFill="1" applyBorder="1" applyAlignment="1" applyProtection="1">
      <alignment horizontal="left" vertical="top" wrapText="1"/>
    </xf>
    <xf numFmtId="0" fontId="64" fillId="0" borderId="10" xfId="0" applyFont="1" applyBorder="1" applyAlignment="1" applyProtection="1">
      <alignment horizontal="left" vertical="top" wrapText="1"/>
    </xf>
    <xf numFmtId="0" fontId="22" fillId="29" borderId="10" xfId="0" applyFont="1" applyFill="1" applyBorder="1" applyAlignment="1" applyProtection="1">
      <alignment vertical="top" wrapText="1"/>
    </xf>
    <xf numFmtId="0" fontId="22" fillId="29" borderId="10" xfId="0" applyFont="1" applyFill="1" applyBorder="1" applyAlignment="1" applyProtection="1">
      <alignment horizontal="center" vertical="top" wrapText="1"/>
    </xf>
    <xf numFmtId="165" fontId="22" fillId="29" borderId="10" xfId="276" applyFont="1" applyFill="1" applyBorder="1" applyAlignment="1" applyProtection="1">
      <alignment vertical="center" wrapText="1"/>
    </xf>
    <xf numFmtId="0" fontId="22" fillId="29" borderId="10" xfId="0" applyFont="1" applyFill="1" applyBorder="1" applyAlignment="1" applyProtection="1">
      <alignment horizontal="left" vertical="top" wrapText="1"/>
    </xf>
    <xf numFmtId="0" fontId="22" fillId="29" borderId="10" xfId="0" applyFont="1" applyFill="1" applyBorder="1" applyAlignment="1" applyProtection="1">
      <alignment horizontal="center" vertical="center" wrapText="1"/>
    </xf>
    <xf numFmtId="0" fontId="22" fillId="0" borderId="11" xfId="0" quotePrefix="1" applyFont="1" applyFill="1" applyBorder="1" applyAlignment="1" applyProtection="1">
      <alignment vertical="top" wrapText="1"/>
    </xf>
    <xf numFmtId="0" fontId="22" fillId="0" borderId="13" xfId="0" quotePrefix="1" applyFont="1" applyFill="1" applyBorder="1" applyAlignment="1" applyProtection="1">
      <alignment vertical="top" wrapText="1"/>
    </xf>
    <xf numFmtId="166" fontId="22" fillId="0" borderId="13" xfId="276" applyNumberFormat="1" applyFont="1" applyBorder="1" applyAlignment="1" applyProtection="1">
      <alignment horizontal="center" vertical="top" wrapText="1"/>
    </xf>
    <xf numFmtId="165" fontId="22" fillId="26" borderId="13" xfId="276" applyNumberFormat="1" applyFont="1" applyFill="1" applyBorder="1" applyAlignment="1" applyProtection="1">
      <alignment horizontal="center" vertical="top"/>
      <protection locked="0"/>
    </xf>
    <xf numFmtId="0" fontId="3" fillId="0" borderId="10" xfId="382" applyFont="1" applyFill="1" applyBorder="1" applyAlignment="1" applyProtection="1">
      <alignment horizontal="center" vertical="center" wrapText="1"/>
    </xf>
    <xf numFmtId="0" fontId="22" fillId="0" borderId="10" xfId="382" applyFont="1" applyFill="1" applyBorder="1" applyAlignment="1" applyProtection="1">
      <alignment vertical="center" wrapText="1"/>
    </xf>
    <xf numFmtId="0" fontId="3" fillId="0" borderId="0" xfId="382" applyFont="1" applyAlignment="1" applyProtection="1">
      <alignment vertical="center"/>
    </xf>
    <xf numFmtId="166" fontId="22" fillId="0" borderId="17" xfId="276" applyNumberFormat="1" applyFont="1" applyFill="1" applyBorder="1" applyAlignment="1" applyProtection="1">
      <alignment horizontal="center" vertical="top" wrapText="1"/>
    </xf>
    <xf numFmtId="0" fontId="22" fillId="0" borderId="20" xfId="0" applyFont="1" applyBorder="1" applyAlignment="1" applyProtection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43" fontId="22" fillId="0" borderId="14" xfId="276" applyNumberFormat="1" applyFont="1" applyBorder="1" applyAlignment="1">
      <alignment horizontal="center" vertical="center" wrapText="1"/>
    </xf>
    <xf numFmtId="165" fontId="22" fillId="26" borderId="13" xfId="276" applyFont="1" applyFill="1" applyBorder="1" applyAlignment="1" applyProtection="1">
      <alignment horizontal="center" vertical="center"/>
      <protection locked="0"/>
    </xf>
    <xf numFmtId="165" fontId="22" fillId="28" borderId="14" xfId="276" applyFont="1" applyFill="1" applyBorder="1" applyAlignment="1" applyProtection="1">
      <alignment horizontal="center" vertical="center" wrapText="1"/>
    </xf>
    <xf numFmtId="165" fontId="22" fillId="28" borderId="10" xfId="276" applyFont="1" applyFill="1" applyBorder="1" applyAlignment="1" applyProtection="1">
      <alignment horizontal="center" vertical="center" wrapText="1"/>
    </xf>
    <xf numFmtId="165" fontId="22" fillId="28" borderId="10" xfId="276" applyNumberFormat="1" applyFont="1" applyFill="1" applyBorder="1" applyAlignment="1" applyProtection="1">
      <alignment horizontal="center" vertical="center" wrapText="1"/>
    </xf>
    <xf numFmtId="0" fontId="53" fillId="30" borderId="13" xfId="0" quotePrefix="1" applyFont="1" applyFill="1" applyBorder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39" fillId="30" borderId="13" xfId="0" quotePrefix="1" applyFont="1" applyFill="1" applyBorder="1" applyAlignment="1">
      <alignment horizontal="left" vertical="top" wrapText="1"/>
    </xf>
    <xf numFmtId="0" fontId="23" fillId="0" borderId="13" xfId="0" quotePrefix="1" applyFont="1" applyBorder="1" applyAlignment="1">
      <alignment horizontal="center" vertical="top" wrapText="1"/>
    </xf>
    <xf numFmtId="0" fontId="54" fillId="0" borderId="0" xfId="0" applyFont="1"/>
    <xf numFmtId="0" fontId="29" fillId="0" borderId="0" xfId="0" applyFont="1"/>
    <xf numFmtId="0" fontId="21" fillId="0" borderId="14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30" borderId="13" xfId="0" applyFont="1" applyFill="1" applyBorder="1" applyAlignment="1">
      <alignment horizontal="left" vertical="top" wrapText="1"/>
    </xf>
    <xf numFmtId="0" fontId="56" fillId="0" borderId="13" xfId="0" applyFont="1" applyBorder="1"/>
    <xf numFmtId="0" fontId="46" fillId="0" borderId="14" xfId="0" quotePrefix="1" applyFont="1" applyFill="1" applyBorder="1" applyAlignment="1">
      <alignment horizontal="center" vertical="top" wrapText="1"/>
    </xf>
    <xf numFmtId="0" fontId="46" fillId="0" borderId="14" xfId="0" quotePrefix="1" applyFont="1" applyBorder="1" applyAlignment="1">
      <alignment horizontal="center" vertical="top" wrapText="1"/>
    </xf>
    <xf numFmtId="0" fontId="46" fillId="0" borderId="14" xfId="0" quotePrefix="1" applyNumberFormat="1" applyFont="1" applyBorder="1" applyAlignment="1">
      <alignment horizontal="center" vertical="top" wrapText="1"/>
    </xf>
    <xf numFmtId="165" fontId="46" fillId="0" borderId="14" xfId="276" quotePrefix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1" fillId="30" borderId="14" xfId="0" applyFont="1" applyFill="1" applyBorder="1" applyAlignment="1">
      <alignment horizontal="left" vertical="top" wrapText="1"/>
    </xf>
    <xf numFmtId="165" fontId="22" fillId="0" borderId="14" xfId="276" applyFont="1" applyFill="1" applyBorder="1" applyAlignment="1">
      <alignment horizontal="center" vertical="top" wrapText="1"/>
    </xf>
    <xf numFmtId="165" fontId="22" fillId="0" borderId="13" xfId="276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165" fontId="21" fillId="0" borderId="14" xfId="276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65" fontId="21" fillId="0" borderId="13" xfId="276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13" xfId="0" applyFont="1" applyFill="1" applyBorder="1"/>
    <xf numFmtId="9" fontId="21" fillId="0" borderId="13" xfId="0" applyNumberFormat="1" applyFont="1" applyFill="1" applyBorder="1" applyAlignment="1">
      <alignment horizontal="center" vertical="top" wrapText="1"/>
    </xf>
    <xf numFmtId="9" fontId="21" fillId="0" borderId="13" xfId="0" applyNumberFormat="1" applyFont="1" applyBorder="1" applyAlignment="1">
      <alignment horizontal="center"/>
    </xf>
    <xf numFmtId="0" fontId="21" fillId="30" borderId="14" xfId="0" quotePrefix="1" applyFont="1" applyFill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22" fillId="0" borderId="13" xfId="383" applyFont="1" applyFill="1" applyBorder="1" applyAlignment="1" applyProtection="1">
      <alignment vertical="top" wrapText="1"/>
    </xf>
    <xf numFmtId="0" fontId="58" fillId="0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9" fontId="21" fillId="0" borderId="13" xfId="0" applyNumberFormat="1" applyFont="1" applyBorder="1" applyAlignment="1">
      <alignment horizontal="center" vertical="top" wrapText="1"/>
    </xf>
    <xf numFmtId="165" fontId="21" fillId="0" borderId="13" xfId="276" applyFont="1" applyFill="1" applyBorder="1" applyAlignment="1">
      <alignment horizontal="center" vertical="center" wrapText="1"/>
    </xf>
    <xf numFmtId="0" fontId="22" fillId="31" borderId="13" xfId="0" applyNumberFormat="1" applyFont="1" applyFill="1" applyBorder="1" applyAlignment="1" applyProtection="1">
      <alignment horizontal="center" vertical="top"/>
    </xf>
    <xf numFmtId="166" fontId="22" fillId="31" borderId="13" xfId="276" applyNumberFormat="1" applyFont="1" applyFill="1" applyBorder="1" applyAlignment="1" applyProtection="1">
      <alignment horizontal="center" vertical="top"/>
      <protection locked="0"/>
    </xf>
    <xf numFmtId="0" fontId="21" fillId="0" borderId="14" xfId="0" quotePrefix="1" applyFont="1" applyBorder="1" applyAlignment="1">
      <alignment horizontal="center" vertical="top" wrapText="1"/>
    </xf>
    <xf numFmtId="49" fontId="21" fillId="0" borderId="14" xfId="276" quotePrefix="1" applyNumberFormat="1" applyFont="1" applyBorder="1" applyAlignment="1">
      <alignment horizontal="center" vertical="top" wrapText="1"/>
    </xf>
    <xf numFmtId="165" fontId="21" fillId="0" borderId="14" xfId="276" applyFont="1" applyBorder="1" applyAlignment="1">
      <alignment vertical="top" wrapText="1"/>
    </xf>
    <xf numFmtId="0" fontId="23" fillId="0" borderId="14" xfId="0" quotePrefix="1" applyFont="1" applyBorder="1" applyAlignment="1">
      <alignment horizontal="center" vertical="top" wrapText="1"/>
    </xf>
    <xf numFmtId="165" fontId="22" fillId="0" borderId="13" xfId="276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/>
    </xf>
    <xf numFmtId="0" fontId="22" fillId="24" borderId="14" xfId="0" applyFont="1" applyFill="1" applyBorder="1" applyAlignment="1">
      <alignment horizontal="left" vertical="top" wrapText="1"/>
    </xf>
    <xf numFmtId="0" fontId="27" fillId="0" borderId="13" xfId="0" quotePrefix="1" applyFont="1" applyBorder="1" applyAlignment="1">
      <alignment horizontal="center" vertical="top" wrapText="1"/>
    </xf>
    <xf numFmtId="165" fontId="21" fillId="0" borderId="13" xfId="276" applyFont="1" applyFill="1" applyBorder="1" applyAlignment="1">
      <alignment vertical="top" wrapText="1"/>
    </xf>
    <xf numFmtId="0" fontId="27" fillId="0" borderId="14" xfId="0" quotePrefix="1" applyFont="1" applyBorder="1" applyAlignment="1">
      <alignment horizontal="center" vertical="top" wrapText="1"/>
    </xf>
    <xf numFmtId="165" fontId="21" fillId="0" borderId="14" xfId="276" applyFont="1" applyFill="1" applyBorder="1" applyAlignment="1">
      <alignment vertical="top" wrapText="1"/>
    </xf>
    <xf numFmtId="165" fontId="22" fillId="26" borderId="13" xfId="276" applyFont="1" applyFill="1" applyBorder="1" applyAlignment="1" applyProtection="1">
      <alignment horizontal="center" vertical="center" wrapText="1"/>
    </xf>
    <xf numFmtId="165" fontId="22" fillId="29" borderId="14" xfId="276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/>
    </xf>
    <xf numFmtId="165" fontId="22" fillId="29" borderId="10" xfId="276" applyFont="1" applyFill="1" applyBorder="1" applyAlignment="1">
      <alignment vertical="top" wrapText="1"/>
    </xf>
    <xf numFmtId="0" fontId="22" fillId="0" borderId="14" xfId="0" applyFont="1" applyBorder="1" applyAlignment="1">
      <alignment horizontal="left" vertical="top" wrapText="1"/>
    </xf>
    <xf numFmtId="16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14" fontId="23" fillId="0" borderId="10" xfId="0" quotePrefix="1" applyNumberFormat="1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65" fontId="20" fillId="28" borderId="10" xfId="276" applyFont="1" applyFill="1" applyBorder="1" applyAlignment="1" applyProtection="1">
      <alignment horizontal="center" vertical="center" wrapText="1"/>
    </xf>
    <xf numFmtId="165" fontId="20" fillId="0" borderId="11" xfId="276" applyFont="1" applyFill="1" applyBorder="1" applyAlignment="1" applyProtection="1">
      <alignment horizontal="center" vertical="center" wrapText="1"/>
    </xf>
    <xf numFmtId="165" fontId="22" fillId="28" borderId="13" xfId="276" applyFont="1" applyFill="1" applyBorder="1" applyAlignment="1" applyProtection="1">
      <alignment horizontal="center" vertical="center" wrapText="1"/>
    </xf>
    <xf numFmtId="0" fontId="22" fillId="32" borderId="10" xfId="0" applyFont="1" applyFill="1" applyBorder="1" applyAlignment="1" applyProtection="1">
      <alignment horizontal="left" vertical="top" wrapText="1"/>
    </xf>
    <xf numFmtId="0" fontId="49" fillId="0" borderId="0" xfId="0" applyFont="1" applyBorder="1" applyAlignment="1" applyProtection="1">
      <alignment horizontal="center"/>
    </xf>
    <xf numFmtId="0" fontId="54" fillId="0" borderId="0" xfId="0" applyFont="1" applyProtection="1"/>
    <xf numFmtId="165" fontId="22" fillId="0" borderId="20" xfId="276" applyFont="1" applyFill="1" applyBorder="1" applyAlignment="1" applyProtection="1">
      <alignment vertical="top" wrapText="1"/>
    </xf>
    <xf numFmtId="165" fontId="40" fillId="0" borderId="13" xfId="276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58" fillId="0" borderId="13" xfId="0" applyNumberFormat="1" applyFont="1" applyFill="1" applyBorder="1" applyAlignment="1">
      <alignment horizontal="center" vertical="top" wrapText="1"/>
    </xf>
    <xf numFmtId="165" fontId="56" fillId="0" borderId="13" xfId="276" applyFont="1" applyBorder="1" applyAlignment="1">
      <alignment horizontal="center"/>
    </xf>
    <xf numFmtId="165" fontId="56" fillId="0" borderId="13" xfId="276" applyFont="1" applyBorder="1" applyAlignment="1"/>
    <xf numFmtId="9" fontId="56" fillId="0" borderId="13" xfId="0" applyNumberFormat="1" applyFont="1" applyBorder="1" applyAlignment="1">
      <alignment horizontal="center"/>
    </xf>
    <xf numFmtId="0" fontId="46" fillId="0" borderId="10" xfId="0" quotePrefix="1" applyFont="1" applyFill="1" applyBorder="1" applyAlignment="1">
      <alignment horizontal="center" vertical="top" wrapText="1"/>
    </xf>
    <xf numFmtId="0" fontId="46" fillId="0" borderId="10" xfId="0" quotePrefix="1" applyFont="1" applyBorder="1" applyAlignment="1">
      <alignment horizontal="center" vertical="top" wrapText="1"/>
    </xf>
    <xf numFmtId="0" fontId="21" fillId="30" borderId="10" xfId="0" quotePrefix="1" applyFont="1" applyFill="1" applyBorder="1" applyAlignment="1">
      <alignment horizontal="left" vertical="top" wrapText="1"/>
    </xf>
    <xf numFmtId="0" fontId="46" fillId="0" borderId="19" xfId="0" quotePrefix="1" applyNumberFormat="1" applyFont="1" applyBorder="1" applyAlignment="1">
      <alignment horizontal="center" vertical="top" wrapText="1"/>
    </xf>
    <xf numFmtId="49" fontId="46" fillId="0" borderId="10" xfId="0" quotePrefix="1" applyNumberFormat="1" applyFont="1" applyBorder="1" applyAlignment="1">
      <alignment horizontal="center" vertical="top" wrapText="1"/>
    </xf>
    <xf numFmtId="165" fontId="46" fillId="0" borderId="10" xfId="276" quotePrefix="1" applyFont="1" applyBorder="1" applyAlignment="1">
      <alignment horizontal="center" vertical="top" wrapText="1"/>
    </xf>
    <xf numFmtId="165" fontId="46" fillId="0" borderId="20" xfId="276" quotePrefix="1" applyFont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165" fontId="22" fillId="0" borderId="17" xfId="276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165" fontId="22" fillId="0" borderId="20" xfId="276" applyFont="1" applyFill="1" applyBorder="1" applyAlignment="1">
      <alignment vertical="top" wrapText="1"/>
    </xf>
    <xf numFmtId="0" fontId="21" fillId="0" borderId="10" xfId="0" quotePrefix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65" fontId="22" fillId="0" borderId="14" xfId="276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165" fontId="22" fillId="0" borderId="24" xfId="276" applyFont="1" applyFill="1" applyBorder="1" applyAlignment="1">
      <alignment vertical="top" wrapText="1"/>
    </xf>
    <xf numFmtId="165" fontId="22" fillId="28" borderId="10" xfId="276" applyFont="1" applyFill="1" applyBorder="1" applyAlignment="1">
      <alignment horizontal="center" vertical="top" wrapText="1"/>
    </xf>
    <xf numFmtId="0" fontId="21" fillId="0" borderId="11" xfId="0" quotePrefix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3" fontId="29" fillId="0" borderId="0" xfId="0" applyNumberFormat="1" applyFont="1"/>
    <xf numFmtId="49" fontId="46" fillId="0" borderId="14" xfId="0" quotePrefix="1" applyNumberFormat="1" applyFont="1" applyBorder="1" applyAlignment="1">
      <alignment horizontal="center" vertical="top" wrapText="1"/>
    </xf>
    <xf numFmtId="165" fontId="46" fillId="0" borderId="14" xfId="276" quotePrefix="1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16" fontId="21" fillId="0" borderId="10" xfId="0" quotePrefix="1" applyNumberFormat="1" applyFont="1" applyBorder="1" applyAlignment="1">
      <alignment horizontal="center" vertical="top" wrapText="1"/>
    </xf>
    <xf numFmtId="49" fontId="22" fillId="0" borderId="14" xfId="383" applyNumberFormat="1" applyFont="1" applyFill="1" applyBorder="1" applyAlignment="1" applyProtection="1">
      <alignment vertical="top" wrapText="1"/>
    </xf>
    <xf numFmtId="0" fontId="22" fillId="0" borderId="14" xfId="383" applyFont="1" applyFill="1" applyBorder="1" applyAlignment="1" applyProtection="1">
      <alignment vertical="top" wrapText="1"/>
    </xf>
    <xf numFmtId="0" fontId="22" fillId="0" borderId="14" xfId="383" applyFont="1" applyFill="1" applyBorder="1" applyAlignment="1" applyProtection="1">
      <alignment horizontal="center" vertical="center" wrapText="1"/>
    </xf>
    <xf numFmtId="0" fontId="22" fillId="0" borderId="0" xfId="383" applyFont="1" applyProtection="1"/>
    <xf numFmtId="49" fontId="22" fillId="0" borderId="10" xfId="383" applyNumberFormat="1" applyFont="1" applyFill="1" applyBorder="1" applyAlignment="1" applyProtection="1">
      <alignment vertical="top" wrapText="1"/>
    </xf>
    <xf numFmtId="0" fontId="22" fillId="0" borderId="10" xfId="383" applyFont="1" applyFill="1" applyBorder="1" applyAlignment="1" applyProtection="1">
      <alignment vertical="top" wrapText="1"/>
    </xf>
    <xf numFmtId="0" fontId="22" fillId="0" borderId="10" xfId="383" applyFont="1" applyFill="1" applyBorder="1" applyAlignment="1" applyProtection="1">
      <alignment horizontal="center" vertical="center" wrapText="1"/>
    </xf>
    <xf numFmtId="49" fontId="22" fillId="0" borderId="11" xfId="383" applyNumberFormat="1" applyFont="1" applyFill="1" applyBorder="1" applyAlignment="1" applyProtection="1">
      <alignment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22" fillId="0" borderId="13" xfId="0" applyFont="1" applyFill="1" applyBorder="1"/>
    <xf numFmtId="0" fontId="54" fillId="0" borderId="13" xfId="0" applyFont="1" applyBorder="1"/>
    <xf numFmtId="9" fontId="56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10" xfId="0" quotePrefix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4" fillId="31" borderId="14" xfId="0" applyFont="1" applyFill="1" applyBorder="1" applyProtection="1"/>
    <xf numFmtId="0" fontId="21" fillId="31" borderId="13" xfId="0" applyFont="1" applyFill="1" applyBorder="1" applyAlignment="1" applyProtection="1">
      <alignment horizontal="right" vertical="top" wrapText="1"/>
    </xf>
    <xf numFmtId="0" fontId="41" fillId="31" borderId="14" xfId="0" applyFont="1" applyFill="1" applyBorder="1" applyProtection="1"/>
    <xf numFmtId="165" fontId="41" fillId="31" borderId="14" xfId="276" applyFont="1" applyFill="1" applyBorder="1" applyAlignment="1" applyProtection="1">
      <alignment vertical="center"/>
    </xf>
    <xf numFmtId="43" fontId="22" fillId="0" borderId="0" xfId="360" applyNumberFormat="1" applyFont="1" applyAlignment="1" applyProtection="1">
      <alignment horizontal="center"/>
    </xf>
    <xf numFmtId="10" fontId="21" fillId="31" borderId="13" xfId="421" applyNumberFormat="1" applyFont="1" applyFill="1" applyBorder="1" applyAlignment="1" applyProtection="1">
      <alignment horizontal="center" vertical="top"/>
    </xf>
    <xf numFmtId="0" fontId="33" fillId="31" borderId="13" xfId="0" applyFont="1" applyFill="1" applyBorder="1" applyProtection="1">
      <protection locked="0"/>
    </xf>
    <xf numFmtId="165" fontId="21" fillId="0" borderId="0" xfId="276" applyFont="1" applyFill="1" applyBorder="1" applyAlignment="1" applyProtection="1"/>
    <xf numFmtId="165" fontId="22" fillId="0" borderId="0" xfId="276" applyFont="1" applyFill="1" applyAlignment="1" applyProtection="1"/>
    <xf numFmtId="165" fontId="22" fillId="0" borderId="0" xfId="276" applyFont="1" applyFill="1" applyBorder="1" applyAlignment="1" applyProtection="1"/>
    <xf numFmtId="165" fontId="22" fillId="0" borderId="14" xfId="276" applyFont="1" applyFill="1" applyBorder="1" applyAlignment="1" applyProtection="1"/>
    <xf numFmtId="165" fontId="22" fillId="0" borderId="15" xfId="276" applyFont="1" applyFill="1" applyBorder="1" applyAlignment="1" applyProtection="1"/>
    <xf numFmtId="165" fontId="22" fillId="0" borderId="14" xfId="276" applyFont="1" applyFill="1" applyBorder="1" applyAlignment="1">
      <alignment vertical="center"/>
    </xf>
    <xf numFmtId="165" fontId="64" fillId="0" borderId="10" xfId="276" applyFont="1" applyFill="1" applyBorder="1" applyAlignment="1" applyProtection="1">
      <alignment vertical="center" wrapText="1"/>
    </xf>
    <xf numFmtId="165" fontId="52" fillId="0" borderId="10" xfId="276" applyFont="1" applyFill="1" applyBorder="1" applyAlignment="1" applyProtection="1">
      <alignment vertical="center" wrapText="1"/>
    </xf>
    <xf numFmtId="165" fontId="64" fillId="0" borderId="10" xfId="276" applyFont="1" applyFill="1" applyBorder="1" applyAlignment="1" applyProtection="1">
      <alignment vertical="top" wrapText="1"/>
    </xf>
    <xf numFmtId="165" fontId="65" fillId="0" borderId="10" xfId="276" applyFont="1" applyFill="1" applyBorder="1" applyAlignment="1" applyProtection="1">
      <alignment vertical="center" wrapText="1"/>
    </xf>
    <xf numFmtId="165" fontId="28" fillId="0" borderId="14" xfId="276" applyFont="1" applyFill="1" applyBorder="1" applyAlignment="1" applyProtection="1">
      <alignment vertical="center" wrapText="1"/>
    </xf>
    <xf numFmtId="165" fontId="28" fillId="0" borderId="10" xfId="276" applyFont="1" applyFill="1" applyBorder="1" applyAlignment="1" applyProtection="1">
      <alignment vertical="center" wrapText="1"/>
    </xf>
    <xf numFmtId="165" fontId="28" fillId="0" borderId="10" xfId="276" applyFont="1" applyFill="1" applyBorder="1" applyAlignment="1" applyProtection="1">
      <alignment vertical="top" wrapText="1"/>
    </xf>
    <xf numFmtId="165" fontId="28" fillId="0" borderId="11" xfId="276" applyFont="1" applyFill="1" applyBorder="1" applyAlignment="1" applyProtection="1">
      <alignment vertical="top" wrapText="1"/>
    </xf>
    <xf numFmtId="165" fontId="22" fillId="0" borderId="24" xfId="276" applyFont="1" applyFill="1" applyBorder="1" applyAlignment="1" applyProtection="1">
      <alignment vertical="top" wrapText="1"/>
    </xf>
    <xf numFmtId="165" fontId="22" fillId="0" borderId="13" xfId="276" applyFont="1" applyFill="1" applyBorder="1" applyAlignment="1" applyProtection="1">
      <alignment vertical="top" wrapText="1"/>
    </xf>
    <xf numFmtId="165" fontId="22" fillId="0" borderId="17" xfId="276" applyFont="1" applyFill="1" applyBorder="1" applyAlignment="1" applyProtection="1">
      <alignment vertical="top" wrapText="1"/>
    </xf>
    <xf numFmtId="165" fontId="28" fillId="0" borderId="14" xfId="276" applyFont="1" applyFill="1" applyBorder="1" applyAlignment="1" applyProtection="1">
      <alignment vertical="top" wrapText="1"/>
    </xf>
    <xf numFmtId="165" fontId="22" fillId="29" borderId="10" xfId="276" applyFont="1" applyFill="1" applyBorder="1" applyAlignment="1" applyProtection="1">
      <alignment vertical="top" wrapText="1"/>
    </xf>
    <xf numFmtId="165" fontId="21" fillId="0" borderId="11" xfId="276" applyFont="1" applyFill="1" applyBorder="1" applyAlignment="1" applyProtection="1">
      <alignment vertical="center"/>
    </xf>
    <xf numFmtId="165" fontId="21" fillId="0" borderId="14" xfId="276" applyFont="1" applyFill="1" applyBorder="1" applyAlignment="1" applyProtection="1">
      <alignment vertical="center"/>
    </xf>
    <xf numFmtId="165" fontId="21" fillId="0" borderId="13" xfId="276" applyFont="1" applyFill="1" applyBorder="1" applyAlignment="1" applyProtection="1">
      <alignment vertical="top" wrapText="1"/>
    </xf>
    <xf numFmtId="165" fontId="22" fillId="0" borderId="10" xfId="276" applyFont="1" applyFill="1" applyBorder="1" applyAlignment="1">
      <alignment vertical="center" wrapText="1"/>
    </xf>
    <xf numFmtId="165" fontId="41" fillId="0" borderId="13" xfId="276" applyFont="1" applyBorder="1" applyAlignment="1" applyProtection="1"/>
    <xf numFmtId="165" fontId="22" fillId="0" borderId="13" xfId="276" applyFont="1" applyBorder="1" applyAlignment="1" applyProtection="1"/>
    <xf numFmtId="165" fontId="22" fillId="0" borderId="13" xfId="276" applyFont="1" applyBorder="1" applyAlignment="1" applyProtection="1">
      <alignment vertical="top" wrapText="1"/>
    </xf>
    <xf numFmtId="165" fontId="22" fillId="24" borderId="10" xfId="276" applyFont="1" applyFill="1" applyBorder="1" applyAlignment="1" applyProtection="1">
      <alignment vertical="top" wrapText="1"/>
    </xf>
    <xf numFmtId="165" fontId="22" fillId="0" borderId="20" xfId="276" applyFont="1" applyFill="1" applyBorder="1" applyAlignment="1" applyProtection="1">
      <alignment vertical="center" wrapText="1"/>
    </xf>
    <xf numFmtId="165" fontId="22" fillId="24" borderId="10" xfId="276" applyFont="1" applyFill="1" applyBorder="1" applyAlignment="1" applyProtection="1">
      <alignment vertical="center" wrapText="1"/>
    </xf>
    <xf numFmtId="165" fontId="22" fillId="24" borderId="20" xfId="276" applyFont="1" applyFill="1" applyBorder="1" applyAlignment="1" applyProtection="1">
      <alignment vertical="top" wrapText="1"/>
    </xf>
    <xf numFmtId="165" fontId="26" fillId="0" borderId="10" xfId="276" applyFont="1" applyBorder="1" applyAlignment="1" applyProtection="1"/>
    <xf numFmtId="165" fontId="22" fillId="0" borderId="10" xfId="276" applyFont="1" applyBorder="1" applyAlignment="1" applyProtection="1"/>
    <xf numFmtId="165" fontId="22" fillId="0" borderId="16" xfId="276" applyFont="1" applyFill="1" applyBorder="1" applyAlignment="1" applyProtection="1">
      <alignment vertical="top" wrapText="1"/>
    </xf>
    <xf numFmtId="165" fontId="21" fillId="0" borderId="13" xfId="276" applyFont="1" applyBorder="1" applyAlignment="1" applyProtection="1"/>
    <xf numFmtId="165" fontId="42" fillId="0" borderId="10" xfId="276" applyFont="1" applyBorder="1" applyAlignment="1" applyProtection="1">
      <alignment vertical="top" wrapText="1"/>
    </xf>
    <xf numFmtId="165" fontId="22" fillId="0" borderId="11" xfId="276" applyFont="1" applyBorder="1" applyAlignment="1" applyProtection="1">
      <alignment vertical="top" wrapText="1"/>
    </xf>
    <xf numFmtId="165" fontId="66" fillId="0" borderId="13" xfId="276" applyFont="1" applyBorder="1" applyAlignment="1" applyProtection="1"/>
    <xf numFmtId="165" fontId="64" fillId="0" borderId="13" xfId="276" applyFont="1" applyBorder="1" applyAlignment="1" applyProtection="1"/>
    <xf numFmtId="165" fontId="41" fillId="31" borderId="14" xfId="276" applyFont="1" applyFill="1" applyBorder="1" applyAlignment="1" applyProtection="1"/>
    <xf numFmtId="165" fontId="21" fillId="31" borderId="14" xfId="276" applyFont="1" applyFill="1" applyBorder="1" applyAlignment="1" applyProtection="1"/>
    <xf numFmtId="165" fontId="21" fillId="0" borderId="14" xfId="276" quotePrefix="1" applyFont="1" applyBorder="1" applyAlignment="1">
      <alignment vertical="top" wrapText="1"/>
    </xf>
    <xf numFmtId="165" fontId="21" fillId="0" borderId="13" xfId="276" applyFont="1" applyBorder="1" applyAlignment="1">
      <alignment vertical="top"/>
    </xf>
    <xf numFmtId="165" fontId="46" fillId="0" borderId="10" xfId="276" quotePrefix="1" applyFont="1" applyBorder="1" applyAlignment="1">
      <alignment vertical="top" wrapText="1"/>
    </xf>
    <xf numFmtId="165" fontId="28" fillId="0" borderId="14" xfId="276" applyFont="1" applyFill="1" applyBorder="1" applyAlignment="1">
      <alignment vertical="top" wrapText="1"/>
    </xf>
    <xf numFmtId="165" fontId="28" fillId="0" borderId="10" xfId="276" applyFont="1" applyFill="1" applyBorder="1" applyAlignment="1">
      <alignment vertical="top" wrapText="1"/>
    </xf>
    <xf numFmtId="165" fontId="64" fillId="0" borderId="13" xfId="276" applyFont="1" applyFill="1" applyBorder="1" applyAlignment="1" applyProtection="1">
      <alignment vertical="top"/>
    </xf>
    <xf numFmtId="165" fontId="21" fillId="0" borderId="11" xfId="276" applyFont="1" applyFill="1" applyBorder="1" applyAlignment="1" applyProtection="1">
      <alignment vertical="top"/>
    </xf>
    <xf numFmtId="165" fontId="22" fillId="0" borderId="13" xfId="276" applyFont="1" applyFill="1" applyBorder="1" applyAlignment="1" applyProtection="1"/>
    <xf numFmtId="165" fontId="22" fillId="0" borderId="0" xfId="276" applyFont="1" applyFill="1" applyBorder="1" applyAlignment="1" applyProtection="1">
      <alignment vertical="top" wrapText="1"/>
    </xf>
    <xf numFmtId="0" fontId="22" fillId="0" borderId="14" xfId="0" quotePrefix="1" applyFont="1" applyFill="1" applyBorder="1" applyAlignment="1" applyProtection="1">
      <alignment horizontal="center" vertical="top" wrapText="1"/>
    </xf>
    <xf numFmtId="165" fontId="22" fillId="0" borderId="10" xfId="276" applyFont="1" applyFill="1" applyBorder="1" applyAlignment="1" applyProtection="1">
      <alignment horizontal="center"/>
    </xf>
    <xf numFmtId="165" fontId="22" fillId="0" borderId="11" xfId="276" applyFont="1" applyFill="1" applyBorder="1" applyAlignment="1" applyProtection="1">
      <alignment horizontal="center"/>
    </xf>
    <xf numFmtId="165" fontId="22" fillId="0" borderId="22" xfId="276" applyFont="1" applyFill="1" applyBorder="1" applyAlignment="1" applyProtection="1">
      <alignment horizontal="center" vertical="center"/>
    </xf>
    <xf numFmtId="165" fontId="22" fillId="0" borderId="12" xfId="276" applyFont="1" applyFill="1" applyBorder="1" applyAlignment="1" applyProtection="1">
      <alignment horizontal="center" vertical="center"/>
    </xf>
    <xf numFmtId="0" fontId="33" fillId="0" borderId="0" xfId="0" applyFont="1" applyProtection="1">
      <protection locked="0"/>
    </xf>
    <xf numFmtId="0" fontId="21" fillId="0" borderId="0" xfId="360" applyFont="1" applyAlignment="1" applyProtection="1">
      <alignment horizontal="left"/>
      <protection locked="0"/>
    </xf>
    <xf numFmtId="0" fontId="22" fillId="0" borderId="0" xfId="360" applyFont="1" applyFill="1" applyAlignment="1" applyProtection="1">
      <alignment horizontal="center"/>
      <protection locked="0"/>
    </xf>
    <xf numFmtId="0" fontId="22" fillId="0" borderId="0" xfId="360" applyFont="1" applyAlignment="1" applyProtection="1">
      <alignment horizontal="center"/>
      <protection locked="0"/>
    </xf>
    <xf numFmtId="0" fontId="22" fillId="0" borderId="0" xfId="360" applyFont="1" applyAlignment="1" applyProtection="1">
      <alignment horizontal="center" vertical="center"/>
      <protection locked="0"/>
    </xf>
    <xf numFmtId="166" fontId="21" fillId="0" borderId="0" xfId="276" applyNumberFormat="1" applyFont="1" applyFill="1" applyBorder="1" applyAlignment="1" applyProtection="1">
      <alignment horizontal="center" vertical="top" wrapText="1"/>
      <protection locked="0"/>
    </xf>
    <xf numFmtId="0" fontId="22" fillId="0" borderId="0" xfId="397" applyFont="1" applyAlignment="1" applyProtection="1">
      <alignment horizontal="left"/>
      <protection locked="0"/>
    </xf>
    <xf numFmtId="9" fontId="22" fillId="0" borderId="0" xfId="421" applyFont="1" applyFill="1" applyProtection="1">
      <protection locked="0"/>
    </xf>
    <xf numFmtId="166" fontId="22" fillId="0" borderId="0" xfId="276" applyNumberFormat="1" applyFont="1" applyFill="1" applyProtection="1">
      <protection locked="0"/>
    </xf>
    <xf numFmtId="166" fontId="22" fillId="0" borderId="0" xfId="276" applyNumberFormat="1" applyFont="1" applyFill="1" applyAlignment="1" applyProtection="1">
      <alignment horizontal="right"/>
      <protection locked="0"/>
    </xf>
    <xf numFmtId="165" fontId="20" fillId="0" borderId="0" xfId="0" applyNumberFormat="1" applyFont="1" applyProtection="1">
      <protection locked="0"/>
    </xf>
    <xf numFmtId="165" fontId="33" fillId="0" borderId="0" xfId="276" applyFont="1" applyAlignment="1" applyProtection="1">
      <alignment horizontal="left"/>
      <protection locked="0"/>
    </xf>
    <xf numFmtId="166" fontId="22" fillId="0" borderId="0" xfId="276" applyNumberFormat="1" applyFont="1" applyFill="1" applyBorder="1" applyProtection="1">
      <protection locked="0"/>
    </xf>
    <xf numFmtId="166" fontId="22" fillId="0" borderId="13" xfId="276" applyNumberFormat="1" applyFont="1" applyFill="1" applyBorder="1" applyAlignment="1" applyProtection="1">
      <alignment horizontal="center" vertical="center"/>
      <protection locked="0"/>
    </xf>
    <xf numFmtId="166" fontId="22" fillId="0" borderId="10" xfId="276" applyNumberFormat="1" applyFont="1" applyFill="1" applyBorder="1" applyAlignment="1" applyProtection="1">
      <alignment horizontal="center" wrapText="1"/>
      <protection locked="0"/>
    </xf>
    <xf numFmtId="166" fontId="22" fillId="27" borderId="10" xfId="276" applyNumberFormat="1" applyFont="1" applyFill="1" applyBorder="1" applyAlignment="1" applyProtection="1">
      <alignment horizontal="center" vertical="center"/>
      <protection locked="0"/>
    </xf>
    <xf numFmtId="166" fontId="22" fillId="0" borderId="10" xfId="276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397" applyNumberFormat="1" applyFont="1" applyFill="1" applyBorder="1" applyAlignment="1" applyProtection="1">
      <alignment horizontal="center" vertical="center"/>
      <protection locked="0"/>
    </xf>
    <xf numFmtId="0" fontId="21" fillId="24" borderId="13" xfId="397" applyFont="1" applyFill="1" applyBorder="1" applyAlignment="1" applyProtection="1">
      <alignment horizontal="center" vertical="center"/>
      <protection locked="0"/>
    </xf>
    <xf numFmtId="0" fontId="21" fillId="0" borderId="13" xfId="397" applyFont="1" applyFill="1" applyBorder="1" applyAlignment="1" applyProtection="1">
      <alignment horizontal="center" vertical="center"/>
      <protection locked="0"/>
    </xf>
    <xf numFmtId="49" fontId="21" fillId="0" borderId="13" xfId="276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top" wrapText="1"/>
      <protection locked="0"/>
    </xf>
    <xf numFmtId="0" fontId="22" fillId="0" borderId="13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Fill="1" applyBorder="1" applyAlignment="1" applyProtection="1">
      <alignment horizontal="center" vertical="top" wrapText="1"/>
      <protection locked="0"/>
    </xf>
    <xf numFmtId="166" fontId="22" fillId="0" borderId="13" xfId="276" applyNumberFormat="1" applyFont="1" applyFill="1" applyBorder="1" applyAlignment="1" applyProtection="1">
      <alignment horizontal="center" vertical="top" wrapText="1"/>
      <protection locked="0"/>
    </xf>
    <xf numFmtId="167" fontId="22" fillId="0" borderId="13" xfId="276" applyNumberFormat="1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167" fontId="22" fillId="0" borderId="13" xfId="276" applyNumberFormat="1" applyFont="1" applyBorder="1" applyAlignment="1" applyProtection="1">
      <alignment horizontal="center" vertical="top"/>
      <protection locked="0"/>
    </xf>
    <xf numFmtId="165" fontId="23" fillId="0" borderId="13" xfId="276" applyFont="1" applyFill="1" applyBorder="1" applyAlignment="1" applyProtection="1">
      <alignment horizontal="center" vertical="center"/>
      <protection locked="0"/>
    </xf>
    <xf numFmtId="165" fontId="27" fillId="0" borderId="13" xfId="276" applyFont="1" applyFill="1" applyBorder="1" applyAlignment="1" applyProtection="1">
      <alignment horizontal="center" vertical="center"/>
      <protection locked="0"/>
    </xf>
    <xf numFmtId="166" fontId="22" fillId="0" borderId="13" xfId="276" applyNumberFormat="1" applyFont="1" applyFill="1" applyBorder="1" applyAlignment="1" applyProtection="1">
      <alignment horizontal="right" vertical="top"/>
      <protection locked="0"/>
    </xf>
    <xf numFmtId="166" fontId="22" fillId="0" borderId="13" xfId="276" applyNumberFormat="1" applyFont="1" applyFill="1" applyBorder="1" applyAlignment="1" applyProtection="1">
      <alignment horizontal="right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top" wrapText="1"/>
      <protection locked="0"/>
    </xf>
    <xf numFmtId="166" fontId="22" fillId="0" borderId="13" xfId="276" applyNumberFormat="1" applyFont="1" applyFill="1" applyBorder="1" applyAlignment="1" applyProtection="1">
      <alignment horizontal="center" vertical="center" wrapText="1"/>
      <protection locked="0"/>
    </xf>
    <xf numFmtId="166" fontId="22" fillId="0" borderId="13" xfId="276" applyNumberFormat="1" applyFont="1" applyFill="1" applyBorder="1" applyAlignment="1" applyProtection="1">
      <alignment vertical="top"/>
      <protection locked="0"/>
    </xf>
    <xf numFmtId="175" fontId="22" fillId="0" borderId="13" xfId="276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166" fontId="21" fillId="0" borderId="13" xfId="276" applyNumberFormat="1" applyFont="1" applyFill="1" applyBorder="1" applyAlignment="1" applyProtection="1">
      <alignment horizontal="center" vertical="top"/>
      <protection locked="0"/>
    </xf>
    <xf numFmtId="166" fontId="21" fillId="0" borderId="13" xfId="276" applyNumberFormat="1" applyFont="1" applyFill="1" applyBorder="1" applyAlignment="1" applyProtection="1">
      <alignment horizontal="center" vertical="center"/>
      <protection locked="0"/>
    </xf>
    <xf numFmtId="165" fontId="21" fillId="0" borderId="13" xfId="276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center" vertical="top" wrapText="1"/>
      <protection locked="0"/>
    </xf>
    <xf numFmtId="166" fontId="22" fillId="31" borderId="13" xfId="27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54" fillId="0" borderId="0" xfId="0" applyFont="1" applyProtection="1">
      <protection locked="0"/>
    </xf>
    <xf numFmtId="2" fontId="2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0" fillId="0" borderId="0" xfId="0" applyFont="1" applyProtection="1">
      <protection locked="0"/>
    </xf>
    <xf numFmtId="0" fontId="23" fillId="0" borderId="0" xfId="0" applyFont="1" applyProtection="1">
      <protection locked="0"/>
    </xf>
    <xf numFmtId="165" fontId="22" fillId="0" borderId="14" xfId="276" applyFont="1" applyFill="1" applyBorder="1" applyAlignment="1" applyProtection="1">
      <alignment horizontal="center" vertical="top" wrapText="1"/>
      <protection locked="0"/>
    </xf>
    <xf numFmtId="2" fontId="2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9" fillId="0" borderId="0" xfId="0" applyFont="1" applyProtection="1">
      <protection locked="0"/>
    </xf>
    <xf numFmtId="0" fontId="21" fillId="0" borderId="14" xfId="0" applyFont="1" applyFill="1" applyBorder="1" applyAlignment="1" applyProtection="1">
      <alignment horizontal="center" vertical="top" wrapText="1"/>
      <protection locked="0"/>
    </xf>
    <xf numFmtId="165" fontId="21" fillId="0" borderId="14" xfId="276" applyFont="1" applyFill="1" applyBorder="1" applyAlignment="1" applyProtection="1">
      <alignment horizontal="center" vertical="top" wrapText="1"/>
      <protection locked="0"/>
    </xf>
    <xf numFmtId="2" fontId="2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0" applyFont="1" applyFill="1" applyBorder="1" applyAlignment="1" applyProtection="1">
      <alignment horizontal="center" vertical="top" wrapText="1"/>
      <protection locked="0"/>
    </xf>
    <xf numFmtId="165" fontId="21" fillId="0" borderId="13" xfId="276" applyFont="1" applyFill="1" applyBorder="1" applyAlignment="1" applyProtection="1">
      <alignment horizontal="center" vertical="top" wrapText="1"/>
      <protection locked="0"/>
    </xf>
    <xf numFmtId="2" fontId="2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Protection="1">
      <protection locked="0"/>
    </xf>
    <xf numFmtId="1" fontId="2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3" xfId="0" applyFont="1" applyBorder="1" applyProtection="1">
      <protection locked="0"/>
    </xf>
    <xf numFmtId="1" fontId="21" fillId="0" borderId="13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14" xfId="0" quotePrefix="1" applyFont="1" applyBorder="1" applyAlignment="1" applyProtection="1">
      <alignment horizontal="center" vertical="top" wrapText="1"/>
      <protection locked="0"/>
    </xf>
    <xf numFmtId="0" fontId="22" fillId="0" borderId="14" xfId="0" quotePrefix="1" applyNumberFormat="1" applyFont="1" applyBorder="1" applyAlignment="1" applyProtection="1">
      <alignment horizontal="center" vertical="top" wrapText="1"/>
      <protection locked="0"/>
    </xf>
    <xf numFmtId="1" fontId="22" fillId="0" borderId="14" xfId="0" quotePrefix="1" applyNumberFormat="1" applyFont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center" vertical="top" wrapText="1"/>
      <protection locked="0"/>
    </xf>
    <xf numFmtId="165" fontId="21" fillId="0" borderId="11" xfId="276" applyFont="1" applyFill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3" xfId="0" quotePrefix="1" applyNumberFormat="1" applyFont="1" applyBorder="1" applyAlignment="1" applyProtection="1">
      <alignment horizontal="center" vertical="top" wrapText="1"/>
      <protection locked="0"/>
    </xf>
    <xf numFmtId="2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quotePrefix="1" applyFont="1" applyBorder="1" applyAlignment="1" applyProtection="1">
      <alignment horizontal="center" vertical="top" wrapText="1"/>
      <protection locked="0"/>
    </xf>
    <xf numFmtId="1" fontId="22" fillId="0" borderId="13" xfId="0" quotePrefix="1" applyNumberFormat="1" applyFont="1" applyBorder="1" applyAlignment="1" applyProtection="1">
      <alignment horizontal="center" vertical="top" wrapText="1"/>
      <protection locked="0"/>
    </xf>
    <xf numFmtId="0" fontId="29" fillId="0" borderId="0" xfId="0" applyFont="1" applyBorder="1" applyProtection="1">
      <protection locked="0"/>
    </xf>
    <xf numFmtId="0" fontId="21" fillId="0" borderId="13" xfId="0" applyNumberFormat="1" applyFont="1" applyFill="1" applyBorder="1" applyAlignment="1" applyProtection="1">
      <alignment horizontal="center" vertical="top" wrapText="1"/>
      <protection locked="0"/>
    </xf>
    <xf numFmtId="165" fontId="21" fillId="0" borderId="13" xfId="276" applyFont="1" applyFill="1" applyBorder="1" applyAlignment="1" applyProtection="1">
      <alignment horizontal="center" vertical="center" wrapText="1"/>
      <protection locked="0"/>
    </xf>
    <xf numFmtId="166" fontId="21" fillId="31" borderId="13" xfId="276" applyNumberFormat="1" applyFont="1" applyFill="1" applyBorder="1" applyAlignment="1" applyProtection="1">
      <alignment horizontal="center" vertical="top"/>
      <protection locked="0"/>
    </xf>
    <xf numFmtId="0" fontId="21" fillId="0" borderId="12" xfId="360" applyFont="1" applyFill="1" applyBorder="1" applyAlignment="1" applyProtection="1">
      <alignment horizontal="right" vertical="top"/>
      <protection locked="0"/>
    </xf>
    <xf numFmtId="166" fontId="21" fillId="0" borderId="22" xfId="276" applyNumberFormat="1" applyFont="1" applyFill="1" applyBorder="1" applyAlignment="1" applyProtection="1">
      <alignment horizontal="center" vertical="top"/>
      <protection locked="0"/>
    </xf>
    <xf numFmtId="166" fontId="22" fillId="0" borderId="22" xfId="276" applyNumberFormat="1" applyFont="1" applyFill="1" applyBorder="1" applyAlignment="1" applyProtection="1">
      <alignment horizontal="center" vertical="top"/>
      <protection locked="0"/>
    </xf>
    <xf numFmtId="166" fontId="22" fillId="0" borderId="22" xfId="276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Protection="1">
      <protection locked="0"/>
    </xf>
    <xf numFmtId="0" fontId="48" fillId="0" borderId="12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3" xfId="0" applyNumberFormat="1" applyFont="1" applyFill="1" applyBorder="1" applyProtection="1">
      <protection locked="0"/>
    </xf>
    <xf numFmtId="10" fontId="21" fillId="0" borderId="13" xfId="421" applyNumberFormat="1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vertical="center" wrapText="1"/>
      <protection locked="0"/>
    </xf>
    <xf numFmtId="0" fontId="48" fillId="0" borderId="18" xfId="0" applyFont="1" applyFill="1" applyBorder="1" applyAlignment="1" applyProtection="1">
      <alignment vertical="center" wrapText="1"/>
      <protection locked="0"/>
    </xf>
    <xf numFmtId="0" fontId="48" fillId="0" borderId="15" xfId="0" applyFont="1" applyFill="1" applyBorder="1" applyAlignment="1" applyProtection="1">
      <alignment vertical="center" wrapText="1"/>
      <protection locked="0"/>
    </xf>
    <xf numFmtId="0" fontId="48" fillId="0" borderId="13" xfId="0" applyFont="1" applyFill="1" applyBorder="1" applyAlignment="1" applyProtection="1">
      <alignment vertical="center" wrapText="1"/>
      <protection locked="0"/>
    </xf>
    <xf numFmtId="0" fontId="21" fillId="0" borderId="13" xfId="360" applyNumberFormat="1" applyFont="1" applyFill="1" applyBorder="1" applyAlignment="1" applyProtection="1">
      <alignment horizontal="right" vertical="top"/>
      <protection locked="0"/>
    </xf>
    <xf numFmtId="0" fontId="20" fillId="0" borderId="13" xfId="0" applyFont="1" applyFill="1" applyBorder="1" applyProtection="1">
      <protection locked="0"/>
    </xf>
    <xf numFmtId="165" fontId="22" fillId="0" borderId="12" xfId="276" applyFont="1" applyFill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22" xfId="0" applyFont="1" applyBorder="1" applyProtection="1"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top" wrapText="1"/>
    </xf>
    <xf numFmtId="0" fontId="22" fillId="24" borderId="13" xfId="0" applyFont="1" applyFill="1" applyBorder="1" applyAlignment="1" applyProtection="1">
      <alignment horizontal="left" vertical="top" wrapText="1"/>
    </xf>
    <xf numFmtId="0" fontId="22" fillId="0" borderId="13" xfId="0" applyNumberFormat="1" applyFont="1" applyFill="1" applyBorder="1" applyAlignment="1" applyProtection="1">
      <alignment horizontal="left" vertical="center"/>
    </xf>
    <xf numFmtId="0" fontId="22" fillId="0" borderId="13" xfId="0" applyNumberFormat="1" applyFont="1" applyBorder="1" applyAlignment="1" applyProtection="1">
      <alignment horizontal="left" vertical="center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vertical="center"/>
    </xf>
    <xf numFmtId="0" fontId="22" fillId="0" borderId="13" xfId="0" applyNumberFormat="1" applyFont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left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left" vertical="center"/>
    </xf>
    <xf numFmtId="0" fontId="21" fillId="30" borderId="13" xfId="0" quotePrefix="1" applyFont="1" applyFill="1" applyBorder="1" applyAlignment="1" applyProtection="1">
      <alignment horizontal="left" vertical="top" wrapText="1"/>
    </xf>
    <xf numFmtId="0" fontId="21" fillId="30" borderId="10" xfId="0" applyFont="1" applyFill="1" applyBorder="1" applyAlignment="1" applyProtection="1">
      <alignment horizontal="left" vertical="top" wrapText="1"/>
    </xf>
    <xf numFmtId="0" fontId="21" fillId="30" borderId="14" xfId="0" applyFont="1" applyFill="1" applyBorder="1" applyAlignment="1" applyProtection="1">
      <alignment horizontal="left" vertical="top" wrapText="1"/>
    </xf>
    <xf numFmtId="0" fontId="21" fillId="30" borderId="13" xfId="0" applyFont="1" applyFill="1" applyBorder="1" applyAlignment="1" applyProtection="1">
      <alignment horizontal="left" vertical="top" wrapText="1"/>
    </xf>
    <xf numFmtId="0" fontId="21" fillId="0" borderId="14" xfId="0" applyFont="1" applyFill="1" applyBorder="1" applyAlignment="1" applyProtection="1">
      <alignment horizontal="center" vertical="top" wrapText="1"/>
    </xf>
    <xf numFmtId="0" fontId="21" fillId="0" borderId="14" xfId="0" applyFont="1" applyBorder="1" applyAlignment="1" applyProtection="1">
      <alignment horizontal="center" vertical="top" wrapText="1"/>
    </xf>
    <xf numFmtId="0" fontId="22" fillId="0" borderId="13" xfId="0" applyFont="1" applyFill="1" applyBorder="1" applyAlignment="1" applyProtection="1">
      <alignment vertical="center" wrapText="1"/>
    </xf>
    <xf numFmtId="0" fontId="22" fillId="32" borderId="13" xfId="0" applyFont="1" applyFill="1" applyBorder="1" applyAlignment="1" applyProtection="1">
      <alignment horizontal="left" vertical="top" wrapText="1"/>
    </xf>
    <xf numFmtId="0" fontId="21" fillId="0" borderId="13" xfId="0" applyFont="1" applyFill="1" applyBorder="1" applyProtection="1"/>
    <xf numFmtId="0" fontId="21" fillId="0" borderId="13" xfId="0" applyFont="1" applyBorder="1" applyProtection="1"/>
    <xf numFmtId="0" fontId="22" fillId="0" borderId="14" xfId="0" quotePrefix="1" applyFont="1" applyBorder="1" applyAlignment="1" applyProtection="1">
      <alignment horizontal="center" vertical="top" wrapText="1"/>
    </xf>
    <xf numFmtId="0" fontId="21" fillId="0" borderId="11" xfId="0" applyFont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horizontal="right" vertical="top" wrapText="1"/>
    </xf>
    <xf numFmtId="0" fontId="57" fillId="0" borderId="13" xfId="0" applyFont="1" applyFill="1" applyBorder="1" applyAlignment="1" applyProtection="1">
      <alignment horizontal="center" vertical="top" wrapText="1"/>
    </xf>
    <xf numFmtId="0" fontId="57" fillId="0" borderId="13" xfId="0" applyFont="1" applyBorder="1" applyAlignment="1" applyProtection="1">
      <alignment horizontal="center" vertical="top" wrapText="1"/>
    </xf>
    <xf numFmtId="0" fontId="22" fillId="0" borderId="13" xfId="0" quotePrefix="1" applyFont="1" applyBorder="1" applyAlignment="1" applyProtection="1">
      <alignment horizontal="center" vertical="top" wrapText="1"/>
    </xf>
    <xf numFmtId="0" fontId="58" fillId="0" borderId="13" xfId="0" applyFont="1" applyFill="1" applyBorder="1" applyAlignment="1" applyProtection="1">
      <alignment horizontal="center" vertical="top" wrapText="1"/>
    </xf>
    <xf numFmtId="0" fontId="58" fillId="0" borderId="13" xfId="0" applyFont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vertical="top" wrapText="1"/>
    </xf>
    <xf numFmtId="0" fontId="56" fillId="0" borderId="13" xfId="0" applyFont="1" applyBorder="1" applyProtection="1"/>
    <xf numFmtId="0" fontId="22" fillId="0" borderId="14" xfId="0" quotePrefix="1" applyNumberFormat="1" applyFont="1" applyBorder="1" applyAlignment="1" applyProtection="1">
      <alignment horizontal="center" vertical="top" wrapText="1"/>
    </xf>
    <xf numFmtId="0" fontId="22" fillId="0" borderId="13" xfId="0" quotePrefix="1" applyNumberFormat="1" applyFont="1" applyBorder="1" applyAlignment="1" applyProtection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Protection="1"/>
    <xf numFmtId="0" fontId="21" fillId="0" borderId="10" xfId="0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>
      <alignment horizontal="center" vertical="top" wrapText="1"/>
    </xf>
    <xf numFmtId="2" fontId="22" fillId="0" borderId="14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9" xfId="0" applyNumberFormat="1" applyFont="1" applyFill="1" applyBorder="1" applyAlignment="1">
      <alignment horizontal="center" vertical="top" wrapText="1"/>
    </xf>
    <xf numFmtId="0" fontId="22" fillId="0" borderId="20" xfId="0" applyNumberFormat="1" applyFont="1" applyFill="1" applyBorder="1" applyAlignment="1">
      <alignment horizontal="center" vertical="top" wrapText="1"/>
    </xf>
    <xf numFmtId="165" fontId="64" fillId="0" borderId="10" xfId="276" applyFont="1" applyFill="1" applyBorder="1" applyAlignment="1">
      <alignment vertical="top" wrapText="1"/>
    </xf>
    <xf numFmtId="165" fontId="64" fillId="29" borderId="10" xfId="276" applyFont="1" applyFill="1" applyBorder="1" applyAlignment="1" applyProtection="1">
      <alignment vertical="center" wrapText="1"/>
    </xf>
    <xf numFmtId="0" fontId="67" fillId="0" borderId="0" xfId="0" applyFont="1" applyProtection="1"/>
    <xf numFmtId="2" fontId="64" fillId="0" borderId="10" xfId="276" applyNumberFormat="1" applyFont="1" applyFill="1" applyBorder="1" applyAlignment="1" applyProtection="1">
      <alignment vertical="center" wrapText="1"/>
    </xf>
    <xf numFmtId="168" fontId="22" fillId="0" borderId="10" xfId="276" applyNumberFormat="1" applyFont="1" applyFill="1" applyBorder="1" applyAlignment="1" applyProtection="1">
      <alignment vertical="center" wrapText="1"/>
    </xf>
    <xf numFmtId="0" fontId="21" fillId="0" borderId="14" xfId="0" applyFont="1" applyFill="1" applyBorder="1" applyAlignment="1">
      <alignment horizontal="left" vertical="top" wrapText="1"/>
    </xf>
    <xf numFmtId="0" fontId="50" fillId="0" borderId="0" xfId="0" applyFont="1" applyAlignment="1"/>
    <xf numFmtId="0" fontId="50" fillId="0" borderId="0" xfId="0" applyFont="1" applyBorder="1" applyAlignment="1"/>
    <xf numFmtId="0" fontId="54" fillId="0" borderId="0" xfId="0" applyFont="1" applyAlignment="1"/>
    <xf numFmtId="0" fontId="54" fillId="0" borderId="0" xfId="0" applyFont="1" applyBorder="1" applyAlignment="1"/>
    <xf numFmtId="0" fontId="23" fillId="0" borderId="0" xfId="0" applyFont="1" applyAlignment="1" applyProtection="1"/>
    <xf numFmtId="0" fontId="23" fillId="0" borderId="0" xfId="0" applyFont="1" applyBorder="1" applyAlignment="1" applyProtection="1"/>
    <xf numFmtId="0" fontId="23" fillId="0" borderId="0" xfId="0" applyFont="1" applyAlignment="1"/>
    <xf numFmtId="0" fontId="23" fillId="0" borderId="0" xfId="0" applyFont="1" applyBorder="1" applyAlignment="1"/>
    <xf numFmtId="0" fontId="22" fillId="0" borderId="19" xfId="0" applyFont="1" applyFill="1" applyBorder="1" applyAlignment="1"/>
    <xf numFmtId="0" fontId="22" fillId="0" borderId="0" xfId="0" applyFont="1" applyFill="1" applyBorder="1" applyAlignment="1"/>
    <xf numFmtId="0" fontId="22" fillId="0" borderId="20" xfId="0" applyFont="1" applyFill="1" applyBorder="1" applyAlignment="1"/>
    <xf numFmtId="0" fontId="22" fillId="0" borderId="0" xfId="0" applyFont="1" applyFill="1" applyAlignment="1"/>
    <xf numFmtId="0" fontId="22" fillId="0" borderId="10" xfId="0" applyFont="1" applyFill="1" applyBorder="1" applyAlignment="1">
      <alignment vertical="top" wrapText="1"/>
    </xf>
    <xf numFmtId="0" fontId="21" fillId="0" borderId="10" xfId="0" quotePrefix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11" xfId="0" quotePrefix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center" vertical="top" wrapText="1"/>
    </xf>
    <xf numFmtId="49" fontId="22" fillId="0" borderId="10" xfId="0" quotePrefix="1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9" fillId="0" borderId="0" xfId="0" applyFont="1" applyAlignment="1"/>
    <xf numFmtId="0" fontId="29" fillId="0" borderId="0" xfId="0" applyFont="1" applyBorder="1" applyAlignment="1"/>
    <xf numFmtId="0" fontId="22" fillId="0" borderId="10" xfId="0" applyFont="1" applyBorder="1" applyAlignment="1">
      <alignment horizontal="centerContinuous" vertical="top" wrapText="1"/>
    </xf>
    <xf numFmtId="14" fontId="22" fillId="0" borderId="10" xfId="0" quotePrefix="1" applyNumberFormat="1" applyFont="1" applyBorder="1" applyAlignment="1">
      <alignment horizontal="centerContinuous" vertical="top" wrapText="1"/>
    </xf>
    <xf numFmtId="0" fontId="21" fillId="0" borderId="10" xfId="0" applyFont="1" applyBorder="1" applyAlignment="1">
      <alignment horizontal="left" vertical="top" wrapText="1"/>
    </xf>
    <xf numFmtId="0" fontId="60" fillId="0" borderId="0" xfId="0" applyFont="1" applyBorder="1" applyAlignment="1">
      <alignment vertical="top"/>
    </xf>
    <xf numFmtId="0" fontId="60" fillId="0" borderId="19" xfId="0" applyFont="1" applyBorder="1" applyAlignment="1">
      <alignment vertical="top"/>
    </xf>
    <xf numFmtId="0" fontId="60" fillId="0" borderId="20" xfId="0" applyFont="1" applyBorder="1" applyAlignment="1">
      <alignment vertical="top"/>
    </xf>
    <xf numFmtId="0" fontId="60" fillId="0" borderId="10" xfId="0" applyFont="1" applyBorder="1" applyAlignment="1">
      <alignment vertical="top"/>
    </xf>
    <xf numFmtId="0" fontId="22" fillId="0" borderId="11" xfId="0" applyFont="1" applyBorder="1" applyAlignment="1">
      <alignment horizontal="centerContinuous" vertical="top" wrapText="1"/>
    </xf>
    <xf numFmtId="0" fontId="22" fillId="0" borderId="0" xfId="0" applyFont="1" applyAlignment="1"/>
    <xf numFmtId="0" fontId="22" fillId="0" borderId="0" xfId="0" applyFont="1" applyBorder="1" applyAlignment="1"/>
    <xf numFmtId="2" fontId="46" fillId="0" borderId="19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/>
    </xf>
    <xf numFmtId="0" fontId="22" fillId="0" borderId="0" xfId="0" applyFont="1"/>
    <xf numFmtId="2" fontId="46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0" fontId="58" fillId="0" borderId="13" xfId="0" applyFont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/>
    <xf numFmtId="0" fontId="56" fillId="0" borderId="13" xfId="0" applyFont="1" applyBorder="1" applyAlignment="1"/>
    <xf numFmtId="1" fontId="2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Continuous" vertical="top" wrapText="1"/>
    </xf>
    <xf numFmtId="14" fontId="42" fillId="0" borderId="10" xfId="0" quotePrefix="1" applyNumberFormat="1" applyFont="1" applyBorder="1" applyAlignment="1">
      <alignment horizontal="centerContinuous" vertical="top" wrapText="1"/>
    </xf>
    <xf numFmtId="0" fontId="42" fillId="0" borderId="11" xfId="0" applyFont="1" applyBorder="1" applyAlignment="1">
      <alignment horizontal="centerContinuous" vertical="top" wrapText="1"/>
    </xf>
    <xf numFmtId="0" fontId="21" fillId="29" borderId="10" xfId="0" applyFont="1" applyFill="1" applyBorder="1" applyAlignment="1">
      <alignment vertical="top" wrapText="1"/>
    </xf>
    <xf numFmtId="0" fontId="21" fillId="0" borderId="19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left" vertical="top" wrapText="1"/>
    </xf>
    <xf numFmtId="0" fontId="21" fillId="0" borderId="13" xfId="0" applyFont="1" applyFill="1" applyBorder="1" applyAlignment="1">
      <alignment vertical="top" wrapText="1"/>
    </xf>
    <xf numFmtId="165" fontId="21" fillId="0" borderId="13" xfId="276" applyNumberFormat="1" applyFont="1" applyFill="1" applyBorder="1" applyAlignment="1">
      <alignment horizontal="center" vertical="top" wrapText="1"/>
    </xf>
    <xf numFmtId="165" fontId="56" fillId="0" borderId="13" xfId="276" applyNumberFormat="1" applyFont="1" applyBorder="1"/>
    <xf numFmtId="0" fontId="29" fillId="0" borderId="0" xfId="0" applyFont="1" applyFill="1" applyAlignment="1"/>
    <xf numFmtId="0" fontId="56" fillId="0" borderId="13" xfId="0" applyFont="1" applyFill="1" applyBorder="1" applyAlignment="1"/>
    <xf numFmtId="165" fontId="56" fillId="0" borderId="13" xfId="276" applyNumberFormat="1" applyFont="1" applyFill="1" applyBorder="1"/>
    <xf numFmtId="1" fontId="0" fillId="0" borderId="0" xfId="0" applyNumberFormat="1" applyAlignment="1"/>
    <xf numFmtId="0" fontId="0" fillId="0" borderId="0" xfId="0" applyAlignment="1"/>
    <xf numFmtId="0" fontId="21" fillId="0" borderId="12" xfId="0" applyFont="1" applyFill="1" applyBorder="1" applyAlignment="1">
      <alignment horizontal="center" vertical="top" wrapText="1"/>
    </xf>
    <xf numFmtId="165" fontId="21" fillId="0" borderId="13" xfId="276" applyFont="1" applyBorder="1" applyAlignment="1">
      <alignment horizontal="center"/>
    </xf>
    <xf numFmtId="165" fontId="22" fillId="0" borderId="10" xfId="276" applyFont="1" applyBorder="1" applyAlignment="1">
      <alignment vertical="top" wrapText="1"/>
    </xf>
    <xf numFmtId="165" fontId="22" fillId="0" borderId="11" xfId="276" applyFont="1" applyBorder="1" applyAlignment="1">
      <alignment vertical="top" wrapText="1"/>
    </xf>
    <xf numFmtId="165" fontId="22" fillId="0" borderId="14" xfId="276" applyFont="1" applyBorder="1" applyAlignment="1" applyProtection="1">
      <alignment vertical="center" wrapText="1"/>
    </xf>
    <xf numFmtId="165" fontId="42" fillId="0" borderId="10" xfId="276" applyFont="1" applyBorder="1" applyAlignment="1">
      <alignment vertical="top" wrapText="1"/>
    </xf>
    <xf numFmtId="165" fontId="42" fillId="0" borderId="11" xfId="276" applyFont="1" applyBorder="1" applyAlignment="1">
      <alignment vertical="top" wrapText="1"/>
    </xf>
    <xf numFmtId="165" fontId="22" fillId="0" borderId="11" xfId="276" applyFont="1" applyFill="1" applyBorder="1" applyAlignment="1">
      <alignment vertical="center" wrapText="1"/>
    </xf>
    <xf numFmtId="165" fontId="42" fillId="0" borderId="10" xfId="276" applyFont="1" applyFill="1" applyBorder="1" applyAlignment="1">
      <alignment vertical="top" wrapText="1"/>
    </xf>
    <xf numFmtId="165" fontId="22" fillId="0" borderId="10" xfId="276" applyFont="1" applyBorder="1" applyAlignment="1">
      <alignment vertical="center" wrapText="1"/>
    </xf>
    <xf numFmtId="165" fontId="22" fillId="0" borderId="11" xfId="276" applyFont="1" applyBorder="1" applyAlignment="1">
      <alignment vertical="center" wrapText="1"/>
    </xf>
    <xf numFmtId="165" fontId="22" fillId="0" borderId="20" xfId="276" applyFont="1" applyBorder="1" applyAlignment="1">
      <alignment vertical="top" wrapText="1"/>
    </xf>
    <xf numFmtId="165" fontId="21" fillId="0" borderId="10" xfId="276" applyFont="1" applyFill="1" applyBorder="1" applyAlignment="1">
      <alignment vertical="center" wrapText="1"/>
    </xf>
    <xf numFmtId="165" fontId="21" fillId="28" borderId="10" xfId="276" applyFont="1" applyFill="1" applyBorder="1" applyAlignment="1">
      <alignment vertical="center" wrapText="1"/>
    </xf>
    <xf numFmtId="165" fontId="22" fillId="28" borderId="10" xfId="276" applyFont="1" applyFill="1" applyBorder="1" applyAlignment="1">
      <alignment vertical="top" wrapText="1"/>
    </xf>
    <xf numFmtId="165" fontId="22" fillId="28" borderId="10" xfId="276" applyFont="1" applyFill="1" applyBorder="1" applyAlignment="1">
      <alignment vertical="center" wrapText="1"/>
    </xf>
    <xf numFmtId="165" fontId="21" fillId="0" borderId="13" xfId="276" applyFont="1" applyFill="1" applyBorder="1" applyAlignment="1">
      <alignment vertical="center" wrapText="1"/>
    </xf>
    <xf numFmtId="165" fontId="21" fillId="0" borderId="13" xfId="276" applyFont="1" applyBorder="1" applyAlignment="1"/>
    <xf numFmtId="165" fontId="21" fillId="0" borderId="12" xfId="276" applyFont="1" applyFill="1" applyBorder="1" applyAlignment="1">
      <alignment vertical="top" wrapText="1"/>
    </xf>
    <xf numFmtId="165" fontId="22" fillId="0" borderId="19" xfId="276" applyFont="1" applyFill="1" applyBorder="1" applyAlignment="1">
      <alignment vertical="top" wrapText="1"/>
    </xf>
    <xf numFmtId="165" fontId="22" fillId="0" borderId="23" xfId="276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165" fontId="21" fillId="0" borderId="13" xfId="276" applyFont="1" applyFill="1" applyBorder="1" applyAlignment="1">
      <alignment horizontal="center"/>
    </xf>
    <xf numFmtId="0" fontId="23" fillId="0" borderId="0" xfId="383" applyFont="1" applyProtection="1"/>
    <xf numFmtId="0" fontId="64" fillId="0" borderId="10" xfId="383" applyFont="1" applyFill="1" applyBorder="1" applyAlignment="1" applyProtection="1">
      <alignment horizontal="left" vertical="top" wrapText="1"/>
    </xf>
    <xf numFmtId="0" fontId="22" fillId="0" borderId="11" xfId="383" applyFont="1" applyFill="1" applyBorder="1" applyAlignment="1" applyProtection="1">
      <alignment horizontal="center" vertical="top" wrapText="1"/>
    </xf>
    <xf numFmtId="0" fontId="22" fillId="0" borderId="11" xfId="383" applyFont="1" applyFill="1" applyBorder="1" applyAlignment="1" applyProtection="1">
      <alignment horizontal="left" vertical="top" wrapText="1"/>
    </xf>
    <xf numFmtId="165" fontId="23" fillId="0" borderId="0" xfId="276" applyFont="1"/>
    <xf numFmtId="169" fontId="22" fillId="0" borderId="10" xfId="276" applyNumberFormat="1" applyFont="1" applyFill="1" applyBorder="1" applyAlignment="1">
      <alignment horizontal="center" vertical="top" wrapText="1"/>
    </xf>
    <xf numFmtId="0" fontId="22" fillId="29" borderId="14" xfId="383" applyFont="1" applyFill="1" applyBorder="1" applyAlignment="1" applyProtection="1">
      <alignment horizontal="left" vertical="top" wrapText="1"/>
    </xf>
    <xf numFmtId="168" fontId="22" fillId="26" borderId="13" xfId="276" applyNumberFormat="1" applyFont="1" applyFill="1" applyBorder="1" applyAlignment="1" applyProtection="1">
      <alignment horizontal="center" vertical="top"/>
      <protection locked="0"/>
    </xf>
    <xf numFmtId="0" fontId="22" fillId="0" borderId="14" xfId="383" applyFont="1" applyFill="1" applyBorder="1" applyAlignment="1" applyProtection="1">
      <alignment horizontal="left" vertical="top" wrapText="1"/>
    </xf>
    <xf numFmtId="168" fontId="22" fillId="0" borderId="10" xfId="276" applyNumberFormat="1" applyFont="1" applyFill="1" applyBorder="1" applyAlignment="1" applyProtection="1">
      <alignment vertical="top" wrapText="1"/>
    </xf>
    <xf numFmtId="43" fontId="29" fillId="0" borderId="0" xfId="0" applyNumberFormat="1" applyFont="1" applyProtection="1"/>
    <xf numFmtId="0" fontId="22" fillId="0" borderId="10" xfId="0" applyFont="1" applyFill="1" applyBorder="1" applyAlignment="1">
      <alignment horizontal="left" vertical="center" wrapText="1"/>
    </xf>
    <xf numFmtId="173" fontId="22" fillId="0" borderId="10" xfId="0" applyNumberFormat="1" applyFont="1" applyBorder="1" applyAlignment="1">
      <alignment horizontal="center" vertical="top" wrapText="1"/>
    </xf>
    <xf numFmtId="170" fontId="22" fillId="0" borderId="10" xfId="0" applyNumberFormat="1" applyFont="1" applyFill="1" applyBorder="1" applyAlignment="1">
      <alignment horizontal="center" vertical="top" wrapText="1"/>
    </xf>
    <xf numFmtId="165" fontId="22" fillId="29" borderId="13" xfId="276" applyFont="1" applyFill="1" applyBorder="1" applyAlignment="1" applyProtection="1">
      <alignment vertical="top"/>
      <protection locked="0"/>
    </xf>
    <xf numFmtId="165" fontId="22" fillId="29" borderId="13" xfId="276" applyFont="1" applyFill="1" applyBorder="1" applyAlignment="1" applyProtection="1">
      <alignment horizontal="center" vertical="top"/>
      <protection locked="0"/>
    </xf>
    <xf numFmtId="165" fontId="22" fillId="0" borderId="13" xfId="276" applyNumberFormat="1" applyFont="1" applyFill="1" applyBorder="1" applyAlignment="1" applyProtection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165" fontId="21" fillId="28" borderId="10" xfId="276" applyFont="1" applyFill="1" applyBorder="1" applyAlignment="1" applyProtection="1">
      <alignment vertical="center" wrapText="1"/>
    </xf>
    <xf numFmtId="0" fontId="44" fillId="0" borderId="0" xfId="0" applyFont="1" applyProtection="1"/>
    <xf numFmtId="0" fontId="22" fillId="0" borderId="11" xfId="383" applyFont="1" applyFill="1" applyBorder="1" applyAlignment="1" applyProtection="1">
      <alignment vertical="top" wrapText="1"/>
    </xf>
    <xf numFmtId="0" fontId="22" fillId="0" borderId="11" xfId="383" applyFont="1" applyFill="1" applyBorder="1" applyAlignment="1" applyProtection="1">
      <alignment horizontal="center" vertical="center" wrapText="1"/>
    </xf>
    <xf numFmtId="165" fontId="50" fillId="0" borderId="0" xfId="276" applyFont="1"/>
    <xf numFmtId="0" fontId="22" fillId="0" borderId="14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61" fillId="0" borderId="19" xfId="0" applyNumberFormat="1" applyFont="1" applyFill="1" applyBorder="1" applyAlignment="1">
      <alignment horizontal="center" vertical="top" wrapText="1"/>
    </xf>
    <xf numFmtId="2" fontId="61" fillId="0" borderId="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171" fontId="22" fillId="0" borderId="10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165" fontId="22" fillId="28" borderId="11" xfId="276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center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 applyProtection="1">
      <alignment horizontal="right" vertical="center" wrapText="1"/>
    </xf>
    <xf numFmtId="0" fontId="22" fillId="29" borderId="13" xfId="0" applyFont="1" applyFill="1" applyBorder="1" applyAlignment="1" applyProtection="1">
      <alignment vertical="top" wrapText="1"/>
    </xf>
    <xf numFmtId="0" fontId="23" fillId="0" borderId="14" xfId="0" quotePrefix="1" applyFont="1" applyFill="1" applyBorder="1" applyAlignment="1" applyProtection="1">
      <alignment vertical="top"/>
    </xf>
    <xf numFmtId="0" fontId="23" fillId="0" borderId="10" xfId="0" quotePrefix="1" applyFont="1" applyFill="1" applyBorder="1" applyAlignment="1" applyProtection="1">
      <alignment vertical="top"/>
    </xf>
    <xf numFmtId="0" fontId="23" fillId="0" borderId="11" xfId="0" quotePrefix="1" applyFont="1" applyFill="1" applyBorder="1" applyAlignment="1" applyProtection="1">
      <alignment vertical="top"/>
    </xf>
    <xf numFmtId="165" fontId="22" fillId="0" borderId="10" xfId="276" applyNumberFormat="1" applyFont="1" applyFill="1" applyBorder="1" applyAlignment="1" applyProtection="1">
      <alignment vertical="center" wrapText="1"/>
    </xf>
    <xf numFmtId="0" fontId="64" fillId="0" borderId="13" xfId="0" applyFont="1" applyFill="1" applyBorder="1" applyAlignment="1">
      <alignment horizontal="center" vertical="top" wrapText="1"/>
    </xf>
    <xf numFmtId="165" fontId="64" fillId="29" borderId="10" xfId="276" applyFont="1" applyFill="1" applyBorder="1" applyAlignment="1">
      <alignment vertical="top" wrapText="1"/>
    </xf>
    <xf numFmtId="165" fontId="64" fillId="29" borderId="11" xfId="276" applyFont="1" applyFill="1" applyBorder="1" applyAlignment="1" applyProtection="1">
      <alignment vertical="center" wrapText="1"/>
    </xf>
    <xf numFmtId="165" fontId="64" fillId="29" borderId="11" xfId="276" applyFont="1" applyFill="1" applyBorder="1" applyAlignment="1">
      <alignment vertical="top" wrapText="1"/>
    </xf>
    <xf numFmtId="165" fontId="64" fillId="0" borderId="13" xfId="276" applyFont="1" applyFill="1" applyBorder="1" applyAlignment="1" applyProtection="1">
      <alignment vertical="top" wrapText="1"/>
    </xf>
    <xf numFmtId="168" fontId="22" fillId="0" borderId="10" xfId="276" applyNumberFormat="1" applyFont="1" applyBorder="1" applyAlignment="1">
      <alignment vertical="top" wrapText="1"/>
    </xf>
    <xf numFmtId="165" fontId="64" fillId="24" borderId="11" xfId="276" applyFont="1" applyFill="1" applyBorder="1" applyAlignment="1" applyProtection="1">
      <alignment vertical="center" wrapText="1"/>
    </xf>
    <xf numFmtId="165" fontId="64" fillId="0" borderId="11" xfId="276" applyFont="1" applyFill="1" applyBorder="1" applyAlignment="1" applyProtection="1">
      <alignment vertical="top" wrapText="1"/>
    </xf>
    <xf numFmtId="165" fontId="64" fillId="24" borderId="11" xfId="276" applyFont="1" applyFill="1" applyBorder="1" applyAlignment="1" applyProtection="1">
      <alignment vertical="top" wrapText="1"/>
    </xf>
    <xf numFmtId="168" fontId="22" fillId="0" borderId="10" xfId="276" applyNumberFormat="1" applyFont="1" applyFill="1" applyBorder="1" applyAlignment="1">
      <alignment vertical="top" wrapText="1"/>
    </xf>
    <xf numFmtId="0" fontId="22" fillId="0" borderId="0" xfId="360" applyFont="1" applyFill="1" applyBorder="1" applyAlignment="1" applyProtection="1">
      <alignment horizontal="center"/>
    </xf>
    <xf numFmtId="0" fontId="21" fillId="0" borderId="0" xfId="360" applyFont="1" applyFill="1" applyBorder="1" applyAlignment="1" applyProtection="1">
      <alignment horizontal="right"/>
    </xf>
    <xf numFmtId="9" fontId="22" fillId="0" borderId="0" xfId="426" applyFont="1" applyFill="1" applyBorder="1" applyAlignment="1" applyProtection="1">
      <alignment horizontal="center"/>
    </xf>
    <xf numFmtId="49" fontId="27" fillId="0" borderId="13" xfId="276" quotePrefix="1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9" xfId="0" applyFont="1" applyBorder="1" applyAlignment="1">
      <alignment horizontal="left" vertical="center" wrapText="1"/>
    </xf>
    <xf numFmtId="0" fontId="21" fillId="0" borderId="13" xfId="360" applyFont="1" applyBorder="1" applyAlignment="1">
      <alignment horizontal="right"/>
    </xf>
    <xf numFmtId="0" fontId="21" fillId="0" borderId="13" xfId="360" applyFont="1" applyBorder="1" applyAlignment="1">
      <alignment horizontal="center"/>
    </xf>
    <xf numFmtId="0" fontId="21" fillId="0" borderId="13" xfId="360" applyFont="1" applyBorder="1" applyAlignment="1">
      <alignment horizontal="left" vertical="center" wrapText="1"/>
    </xf>
    <xf numFmtId="9" fontId="21" fillId="0" borderId="13" xfId="426" applyFont="1" applyFill="1" applyBorder="1" applyAlignment="1" applyProtection="1">
      <alignment horizontal="center" vertical="center" wrapText="1"/>
      <protection locked="0"/>
    </xf>
    <xf numFmtId="0" fontId="21" fillId="0" borderId="13" xfId="360" applyFont="1" applyFill="1" applyBorder="1" applyAlignment="1">
      <alignment horizontal="center"/>
    </xf>
    <xf numFmtId="0" fontId="21" fillId="0" borderId="13" xfId="360" applyFont="1" applyBorder="1" applyAlignment="1">
      <alignment horizontal="left"/>
    </xf>
    <xf numFmtId="9" fontId="21" fillId="0" borderId="13" xfId="426" applyFont="1" applyFill="1" applyBorder="1" applyAlignment="1" applyProtection="1">
      <alignment horizontal="center"/>
      <protection locked="0"/>
    </xf>
    <xf numFmtId="0" fontId="39" fillId="30" borderId="12" xfId="0" applyFont="1" applyFill="1" applyBorder="1" applyAlignment="1">
      <alignment vertical="top" wrapText="1"/>
    </xf>
    <xf numFmtId="0" fontId="21" fillId="30" borderId="12" xfId="0" applyFont="1" applyFill="1" applyBorder="1" applyAlignment="1">
      <alignment vertical="top" wrapText="1"/>
    </xf>
    <xf numFmtId="49" fontId="27" fillId="0" borderId="22" xfId="276" quotePrefix="1" applyNumberFormat="1" applyFont="1" applyBorder="1" applyAlignment="1">
      <alignment horizontal="center" vertical="top" wrapText="1"/>
    </xf>
    <xf numFmtId="165" fontId="27" fillId="0" borderId="13" xfId="276" quotePrefix="1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3" fontId="22" fillId="0" borderId="10" xfId="276" applyNumberFormat="1" applyFont="1" applyBorder="1" applyAlignment="1">
      <alignment horizontal="center" vertical="center" wrapText="1"/>
    </xf>
    <xf numFmtId="43" fontId="22" fillId="0" borderId="10" xfId="276" applyNumberFormat="1" applyFont="1" applyFill="1" applyBorder="1" applyAlignment="1" applyProtection="1">
      <alignment vertical="center" wrapText="1"/>
      <protection locked="0"/>
    </xf>
    <xf numFmtId="43" fontId="22" fillId="0" borderId="0" xfId="276" applyNumberFormat="1" applyFont="1" applyFill="1" applyBorder="1" applyAlignment="1">
      <alignment horizontal="center" vertical="center" wrapText="1"/>
    </xf>
    <xf numFmtId="165" fontId="22" fillId="0" borderId="10" xfId="276" applyNumberFormat="1" applyFont="1" applyFill="1" applyBorder="1" applyAlignment="1" applyProtection="1">
      <alignment horizontal="center" vertical="center" wrapText="1"/>
      <protection locked="0"/>
    </xf>
    <xf numFmtId="43" fontId="22" fillId="0" borderId="10" xfId="276" applyNumberFormat="1" applyFont="1" applyFill="1" applyBorder="1" applyAlignment="1" applyProtection="1">
      <alignment horizontal="center" vertical="center" wrapText="1"/>
      <protection locked="0"/>
    </xf>
    <xf numFmtId="43" fontId="22" fillId="0" borderId="0" xfId="276" applyNumberFormat="1" applyFont="1" applyBorder="1" applyAlignment="1">
      <alignment horizontal="center" vertical="center" wrapText="1"/>
    </xf>
    <xf numFmtId="165" fontId="22" fillId="0" borderId="10" xfId="276" applyNumberFormat="1" applyFont="1" applyBorder="1" applyAlignment="1">
      <alignment vertical="center" wrapText="1"/>
    </xf>
    <xf numFmtId="0" fontId="22" fillId="0" borderId="11" xfId="0" applyNumberFormat="1" applyFont="1" applyBorder="1" applyAlignment="1">
      <alignment horizontal="center"/>
    </xf>
    <xf numFmtId="43" fontId="22" fillId="0" borderId="11" xfId="276" applyNumberFormat="1" applyFont="1" applyBorder="1" applyAlignment="1">
      <alignment horizontal="center"/>
    </xf>
    <xf numFmtId="43" fontId="22" fillId="0" borderId="21" xfId="276" applyNumberFormat="1" applyFont="1" applyBorder="1" applyAlignment="1">
      <alignment horizontal="center"/>
    </xf>
    <xf numFmtId="43" fontId="22" fillId="0" borderId="11" xfId="276" applyNumberFormat="1" applyFont="1" applyFill="1" applyBorder="1" applyAlignment="1" applyProtection="1">
      <protection locked="0"/>
    </xf>
    <xf numFmtId="43" fontId="22" fillId="0" borderId="21" xfId="276" applyNumberFormat="1" applyFont="1" applyFill="1" applyBorder="1" applyAlignment="1">
      <alignment horizontal="center" wrapText="1"/>
    </xf>
    <xf numFmtId="43" fontId="22" fillId="0" borderId="0" xfId="276" applyNumberFormat="1" applyFont="1" applyFill="1" applyBorder="1" applyAlignment="1">
      <alignment horizontal="center"/>
    </xf>
    <xf numFmtId="43" fontId="22" fillId="0" borderId="11" xfId="276" applyNumberFormat="1" applyFont="1" applyFill="1" applyBorder="1" applyAlignment="1" applyProtection="1">
      <alignment horizontal="center"/>
      <protection locked="0"/>
    </xf>
    <xf numFmtId="165" fontId="22" fillId="0" borderId="11" xfId="276" applyNumberFormat="1" applyFont="1" applyFill="1" applyBorder="1" applyAlignment="1" applyProtection="1">
      <alignment horizontal="center" vertical="center" wrapText="1"/>
    </xf>
    <xf numFmtId="43" fontId="22" fillId="0" borderId="11" xfId="276" applyNumberFormat="1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3" fontId="22" fillId="0" borderId="10" xfId="276" applyNumberFormat="1" applyFont="1" applyBorder="1" applyAlignment="1">
      <alignment horizontal="center"/>
    </xf>
    <xf numFmtId="43" fontId="22" fillId="0" borderId="0" xfId="276" applyNumberFormat="1" applyFont="1" applyBorder="1" applyAlignment="1">
      <alignment horizontal="center"/>
    </xf>
    <xf numFmtId="43" fontId="22" fillId="0" borderId="10" xfId="276" applyNumberFormat="1" applyFont="1" applyFill="1" applyBorder="1" applyAlignment="1" applyProtection="1">
      <protection locked="0"/>
    </xf>
    <xf numFmtId="165" fontId="22" fillId="0" borderId="10" xfId="276" applyNumberFormat="1" applyFont="1" applyFill="1" applyBorder="1" applyAlignment="1" applyProtection="1">
      <alignment horizontal="center"/>
      <protection locked="0"/>
    </xf>
    <xf numFmtId="43" fontId="22" fillId="0" borderId="10" xfId="276" applyNumberFormat="1" applyFont="1" applyFill="1" applyBorder="1" applyAlignment="1" applyProtection="1">
      <alignment horizontal="center"/>
      <protection locked="0"/>
    </xf>
    <xf numFmtId="43" fontId="22" fillId="0" borderId="0" xfId="276" applyNumberFormat="1" applyFont="1" applyAlignment="1">
      <alignment horizontal="center"/>
    </xf>
    <xf numFmtId="165" fontId="22" fillId="0" borderId="10" xfId="276" applyNumberFormat="1" applyFont="1" applyBorder="1" applyAlignment="1"/>
    <xf numFmtId="0" fontId="22" fillId="0" borderId="21" xfId="0" applyFont="1" applyBorder="1" applyAlignment="1">
      <alignment horizontal="center"/>
    </xf>
    <xf numFmtId="165" fontId="22" fillId="0" borderId="11" xfId="276" applyNumberFormat="1" applyFont="1" applyFill="1" applyBorder="1" applyAlignment="1" applyProtection="1">
      <alignment horizontal="center"/>
      <protection locked="0"/>
    </xf>
    <xf numFmtId="43" fontId="22" fillId="0" borderId="21" xfId="276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3" fontId="22" fillId="0" borderId="0" xfId="276" applyNumberFormat="1" applyFont="1" applyFill="1" applyBorder="1" applyAlignment="1">
      <alignment horizontal="center" wrapText="1"/>
    </xf>
    <xf numFmtId="165" fontId="22" fillId="0" borderId="10" xfId="276" applyNumberFormat="1" applyFont="1" applyFill="1" applyBorder="1" applyAlignment="1" applyProtection="1">
      <alignment horizontal="center" vertical="center" wrapText="1"/>
    </xf>
    <xf numFmtId="43" fontId="22" fillId="0" borderId="10" xfId="276" applyNumberFormat="1" applyFont="1" applyFill="1" applyBorder="1" applyAlignment="1">
      <alignment horizontal="center"/>
    </xf>
    <xf numFmtId="43" fontId="22" fillId="0" borderId="11" xfId="276" applyNumberFormat="1" applyFont="1" applyFill="1" applyBorder="1" applyAlignment="1">
      <alignment horizont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3" fontId="22" fillId="0" borderId="19" xfId="276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43" fontId="22" fillId="0" borderId="20" xfId="276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20" xfId="276" applyNumberFormat="1" applyFont="1" applyFill="1" applyBorder="1" applyAlignment="1" applyProtection="1">
      <alignment horizontal="center"/>
      <protection locked="0"/>
    </xf>
    <xf numFmtId="0" fontId="22" fillId="0" borderId="20" xfId="0" applyFont="1" applyBorder="1"/>
    <xf numFmtId="43" fontId="22" fillId="0" borderId="24" xfId="276" applyNumberFormat="1" applyFont="1" applyFill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/>
    </xf>
    <xf numFmtId="43" fontId="22" fillId="0" borderId="20" xfId="276" applyNumberFormat="1" applyFont="1" applyFill="1" applyBorder="1" applyAlignment="1">
      <alignment horizontal="center" wrapText="1"/>
    </xf>
    <xf numFmtId="0" fontId="22" fillId="0" borderId="23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43" fontId="22" fillId="0" borderId="23" xfId="276" applyNumberFormat="1" applyFont="1" applyBorder="1" applyAlignment="1">
      <alignment horizontal="center"/>
    </xf>
    <xf numFmtId="165" fontId="22" fillId="0" borderId="23" xfId="276" applyNumberFormat="1" applyFont="1" applyFill="1" applyBorder="1" applyAlignment="1" applyProtection="1">
      <alignment horizontal="center"/>
      <protection locked="0"/>
    </xf>
    <xf numFmtId="0" fontId="22" fillId="0" borderId="24" xfId="0" applyFont="1" applyBorder="1" applyAlignment="1">
      <alignment horizontal="center"/>
    </xf>
    <xf numFmtId="43" fontId="22" fillId="0" borderId="23" xfId="276" applyNumberFormat="1" applyFont="1" applyFill="1" applyBorder="1" applyAlignment="1">
      <alignment horizontal="center"/>
    </xf>
    <xf numFmtId="43" fontId="22" fillId="0" borderId="23" xfId="276" applyNumberFormat="1" applyFont="1" applyFill="1" applyBorder="1" applyAlignment="1" applyProtection="1">
      <alignment horizontal="center"/>
      <protection locked="0"/>
    </xf>
    <xf numFmtId="165" fontId="22" fillId="0" borderId="10" xfId="276" applyNumberFormat="1" applyFont="1" applyFill="1" applyBorder="1" applyAlignment="1">
      <alignment horizontal="center"/>
    </xf>
    <xf numFmtId="43" fontId="22" fillId="0" borderId="0" xfId="276" applyNumberFormat="1" applyFont="1" applyAlignment="1">
      <alignment horizontal="center" vertical="center" wrapText="1"/>
    </xf>
    <xf numFmtId="165" fontId="22" fillId="0" borderId="10" xfId="276" applyNumberFormat="1" applyFont="1" applyFill="1" applyBorder="1" applyAlignment="1">
      <alignment horizontal="center" vertical="center" wrapText="1"/>
    </xf>
    <xf numFmtId="165" fontId="22" fillId="0" borderId="11" xfId="276" applyNumberFormat="1" applyFont="1" applyFill="1" applyBorder="1" applyAlignment="1">
      <alignment horizontal="center"/>
    </xf>
    <xf numFmtId="0" fontId="22" fillId="0" borderId="13" xfId="0" applyNumberFormat="1" applyFont="1" applyBorder="1" applyAlignment="1">
      <alignment horizontal="center" vertical="center" wrapText="1"/>
    </xf>
    <xf numFmtId="43" fontId="22" fillId="0" borderId="13" xfId="276" applyNumberFormat="1" applyFont="1" applyBorder="1" applyAlignment="1">
      <alignment horizontal="center" vertical="center" wrapText="1"/>
    </xf>
    <xf numFmtId="43" fontId="22" fillId="0" borderId="13" xfId="276" applyNumberFormat="1" applyFont="1" applyFill="1" applyBorder="1" applyAlignment="1" applyProtection="1">
      <alignment vertical="center" wrapText="1"/>
      <protection locked="0"/>
    </xf>
    <xf numFmtId="43" fontId="22" fillId="0" borderId="22" xfId="276" applyNumberFormat="1" applyFont="1" applyFill="1" applyBorder="1" applyAlignment="1">
      <alignment horizontal="center" vertical="center" wrapText="1"/>
    </xf>
    <xf numFmtId="165" fontId="22" fillId="0" borderId="13" xfId="276" applyNumberFormat="1" applyFont="1" applyFill="1" applyBorder="1" applyAlignment="1" applyProtection="1">
      <alignment horizontal="center" vertical="center" wrapText="1"/>
      <protection locked="0"/>
    </xf>
    <xf numFmtId="43" fontId="22" fillId="0" borderId="13" xfId="276" applyNumberFormat="1" applyFont="1" applyFill="1" applyBorder="1" applyAlignment="1" applyProtection="1">
      <alignment horizontal="center" vertical="center" wrapText="1"/>
      <protection locked="0"/>
    </xf>
    <xf numFmtId="43" fontId="22" fillId="0" borderId="22" xfId="276" applyNumberFormat="1" applyFont="1" applyBorder="1" applyAlignment="1">
      <alignment horizontal="center" vertical="center" wrapText="1"/>
    </xf>
    <xf numFmtId="165" fontId="22" fillId="0" borderId="13" xfId="276" applyNumberFormat="1" applyFont="1" applyBorder="1" applyAlignment="1">
      <alignment vertical="center" wrapText="1"/>
    </xf>
    <xf numFmtId="0" fontId="21" fillId="0" borderId="13" xfId="360" applyNumberFormat="1" applyFont="1" applyBorder="1" applyAlignment="1">
      <alignment horizontal="center"/>
    </xf>
    <xf numFmtId="43" fontId="21" fillId="0" borderId="13" xfId="276" applyNumberFormat="1" applyFont="1" applyBorder="1" applyAlignment="1">
      <alignment horizontal="center"/>
    </xf>
    <xf numFmtId="43" fontId="21" fillId="0" borderId="13" xfId="276" applyNumberFormat="1" applyFont="1" applyFill="1" applyBorder="1" applyAlignment="1" applyProtection="1">
      <protection locked="0"/>
    </xf>
    <xf numFmtId="43" fontId="21" fillId="0" borderId="13" xfId="276" applyNumberFormat="1" applyFont="1" applyFill="1" applyBorder="1" applyAlignment="1">
      <alignment horizontal="center" wrapText="1"/>
    </xf>
    <xf numFmtId="165" fontId="21" fillId="0" borderId="13" xfId="276" applyNumberFormat="1" applyFont="1" applyFill="1" applyBorder="1" applyAlignment="1" applyProtection="1">
      <alignment horizontal="center"/>
      <protection locked="0"/>
    </xf>
    <xf numFmtId="43" fontId="21" fillId="0" borderId="13" xfId="276" applyNumberFormat="1" applyFont="1" applyFill="1" applyBorder="1" applyAlignment="1">
      <alignment horizontal="center"/>
    </xf>
    <xf numFmtId="43" fontId="21" fillId="0" borderId="13" xfId="276" applyNumberFormat="1" applyFont="1" applyFill="1" applyBorder="1" applyAlignment="1" applyProtection="1">
      <alignment horizontal="center"/>
      <protection locked="0"/>
    </xf>
    <xf numFmtId="165" fontId="21" fillId="0" borderId="13" xfId="276" applyNumberFormat="1" applyFont="1" applyBorder="1" applyAlignment="1"/>
    <xf numFmtId="0" fontId="21" fillId="0" borderId="13" xfId="360" applyNumberFormat="1" applyFont="1" applyBorder="1" applyAlignment="1">
      <alignment horizontal="center" vertical="center" wrapText="1"/>
    </xf>
    <xf numFmtId="0" fontId="21" fillId="0" borderId="13" xfId="360" applyFont="1" applyBorder="1" applyAlignment="1">
      <alignment horizontal="center" vertical="center" wrapText="1"/>
    </xf>
    <xf numFmtId="43" fontId="21" fillId="0" borderId="13" xfId="276" applyNumberFormat="1" applyFont="1" applyBorder="1" applyAlignment="1">
      <alignment horizontal="center" vertical="center" wrapText="1"/>
    </xf>
    <xf numFmtId="43" fontId="21" fillId="0" borderId="13" xfId="276" applyNumberFormat="1" applyFont="1" applyFill="1" applyBorder="1" applyAlignment="1" applyProtection="1">
      <alignment vertical="center" wrapText="1"/>
      <protection locked="0"/>
    </xf>
    <xf numFmtId="43" fontId="21" fillId="0" borderId="13" xfId="276" applyNumberFormat="1" applyFont="1" applyFill="1" applyBorder="1" applyAlignment="1">
      <alignment horizontal="center" vertical="center" wrapText="1"/>
    </xf>
    <xf numFmtId="165" fontId="21" fillId="0" borderId="13" xfId="276" applyNumberFormat="1" applyFont="1" applyFill="1" applyBorder="1" applyAlignment="1" applyProtection="1">
      <alignment horizontal="center" vertical="center" wrapText="1"/>
      <protection locked="0"/>
    </xf>
    <xf numFmtId="43" fontId="21" fillId="0" borderId="13" xfId="276" applyNumberFormat="1" applyFont="1" applyFill="1" applyBorder="1" applyAlignment="1" applyProtection="1">
      <alignment horizontal="center" vertical="center" wrapText="1"/>
      <protection locked="0"/>
    </xf>
    <xf numFmtId="165" fontId="21" fillId="0" borderId="13" xfId="276" applyNumberFormat="1" applyFont="1" applyBorder="1" applyAlignment="1">
      <alignment vertical="center" wrapText="1"/>
    </xf>
    <xf numFmtId="165" fontId="64" fillId="0" borderId="11" xfId="276" applyFont="1" applyFill="1" applyBorder="1" applyAlignment="1" applyProtection="1">
      <alignment vertical="top"/>
    </xf>
    <xf numFmtId="165" fontId="64" fillId="0" borderId="13" xfId="276" applyFont="1" applyFill="1" applyBorder="1" applyAlignment="1" applyProtection="1">
      <alignment vertical="center"/>
    </xf>
    <xf numFmtId="43" fontId="22" fillId="0" borderId="20" xfId="276" applyNumberFormat="1" applyFont="1" applyFill="1" applyBorder="1" applyAlignment="1">
      <alignment horizontal="center" vertical="center" wrapText="1"/>
    </xf>
    <xf numFmtId="0" fontId="20" fillId="29" borderId="14" xfId="0" applyFont="1" applyFill="1" applyBorder="1" applyAlignment="1" applyProtection="1">
      <alignment vertical="top" wrapText="1"/>
    </xf>
    <xf numFmtId="0" fontId="20" fillId="0" borderId="13" xfId="0" applyFont="1" applyBorder="1" applyAlignment="1" applyProtection="1">
      <alignment vertical="center"/>
      <protection locked="0"/>
    </xf>
    <xf numFmtId="0" fontId="22" fillId="0" borderId="20" xfId="382" applyFont="1" applyFill="1" applyBorder="1" applyAlignment="1" applyProtection="1">
      <alignment horizontal="center" vertical="top" wrapText="1"/>
    </xf>
    <xf numFmtId="0" fontId="49" fillId="0" borderId="2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left" vertical="top" wrapText="1"/>
    </xf>
    <xf numFmtId="0" fontId="27" fillId="0" borderId="11" xfId="0" quotePrefix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 vertical="center" wrapText="1"/>
    </xf>
    <xf numFmtId="165" fontId="21" fillId="0" borderId="13" xfId="276" applyFont="1" applyFill="1" applyBorder="1" applyAlignment="1" applyProtection="1">
      <alignment horizontal="center"/>
      <protection locked="0"/>
    </xf>
    <xf numFmtId="165" fontId="22" fillId="0" borderId="14" xfId="276" quotePrefix="1" applyFont="1" applyFill="1" applyBorder="1" applyAlignment="1" applyProtection="1">
      <alignment horizontal="center" vertical="top" wrapText="1"/>
      <protection locked="0"/>
    </xf>
    <xf numFmtId="165" fontId="21" fillId="0" borderId="13" xfId="276" applyFont="1" applyFill="1" applyBorder="1" applyProtection="1">
      <protection locked="0"/>
    </xf>
    <xf numFmtId="165" fontId="22" fillId="0" borderId="13" xfId="276" quotePrefix="1" applyFont="1" applyFill="1" applyBorder="1" applyAlignment="1" applyProtection="1">
      <alignment horizontal="center" vertical="top" wrapText="1"/>
      <protection locked="0"/>
    </xf>
    <xf numFmtId="43" fontId="21" fillId="0" borderId="16" xfId="276" applyNumberFormat="1" applyFont="1" applyFill="1" applyBorder="1" applyAlignment="1">
      <alignment horizontal="center" vertical="center"/>
    </xf>
    <xf numFmtId="43" fontId="21" fillId="0" borderId="16" xfId="276" applyNumberFormat="1" applyFont="1" applyFill="1" applyBorder="1" applyAlignment="1">
      <alignment horizontal="center" vertical="center" wrapText="1"/>
    </xf>
    <xf numFmtId="49" fontId="27" fillId="29" borderId="13" xfId="276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 applyProtection="1">
      <alignment horizontal="center" vertical="top" wrapText="1"/>
    </xf>
    <xf numFmtId="43" fontId="22" fillId="0" borderId="0" xfId="276" applyNumberFormat="1" applyFont="1" applyAlignment="1">
      <alignment horizontal="center" vertical="center"/>
    </xf>
    <xf numFmtId="165" fontId="22" fillId="0" borderId="10" xfId="276" applyNumberFormat="1" applyFont="1" applyFill="1" applyBorder="1" applyAlignment="1" applyProtection="1">
      <alignment horizontal="center" vertical="center"/>
      <protection locked="0"/>
    </xf>
    <xf numFmtId="43" fontId="22" fillId="0" borderId="10" xfId="276" applyNumberFormat="1" applyFont="1" applyFill="1" applyBorder="1" applyAlignment="1">
      <alignment horizontal="center" vertical="center"/>
    </xf>
    <xf numFmtId="43" fontId="22" fillId="0" borderId="10" xfId="276" applyNumberFormat="1" applyFont="1" applyFill="1" applyBorder="1" applyAlignment="1" applyProtection="1">
      <alignment horizontal="center" vertical="center"/>
      <protection locked="0"/>
    </xf>
    <xf numFmtId="43" fontId="22" fillId="0" borderId="0" xfId="276" applyNumberFormat="1" applyFont="1" applyBorder="1" applyAlignment="1">
      <alignment horizontal="center" vertical="center"/>
    </xf>
    <xf numFmtId="43" fontId="22" fillId="0" borderId="0" xfId="276" applyNumberFormat="1" applyFont="1" applyFill="1" applyBorder="1" applyAlignment="1">
      <alignment horizontal="center" vertical="center"/>
    </xf>
    <xf numFmtId="43" fontId="22" fillId="0" borderId="21" xfId="276" applyNumberFormat="1" applyFont="1" applyBorder="1" applyAlignment="1">
      <alignment horizontal="center" vertical="center"/>
    </xf>
    <xf numFmtId="43" fontId="22" fillId="0" borderId="11" xfId="276" applyNumberFormat="1" applyFont="1" applyFill="1" applyBorder="1" applyAlignment="1">
      <alignment horizontal="center" vertical="center"/>
    </xf>
    <xf numFmtId="165" fontId="22" fillId="0" borderId="11" xfId="276" applyNumberFormat="1" applyFont="1" applyFill="1" applyBorder="1" applyAlignment="1" applyProtection="1">
      <alignment horizontal="center" vertical="center"/>
      <protection locked="0"/>
    </xf>
    <xf numFmtId="43" fontId="22" fillId="0" borderId="21" xfId="276" applyNumberFormat="1" applyFont="1" applyFill="1" applyBorder="1" applyAlignment="1">
      <alignment horizontal="center" vertical="center"/>
    </xf>
    <xf numFmtId="43" fontId="22" fillId="0" borderId="11" xfId="276" applyNumberFormat="1" applyFont="1" applyFill="1" applyBorder="1" applyAlignment="1" applyProtection="1">
      <alignment horizontal="center" vertical="center"/>
      <protection locked="0"/>
    </xf>
    <xf numFmtId="165" fontId="22" fillId="0" borderId="10" xfId="276" applyNumberFormat="1" applyFont="1" applyBorder="1" applyAlignment="1">
      <alignment horizontal="center" vertical="center" wrapText="1"/>
    </xf>
    <xf numFmtId="165" fontId="46" fillId="0" borderId="13" xfId="276" applyFont="1" applyFill="1" applyBorder="1" applyAlignment="1" applyProtection="1">
      <alignment horizontal="center" vertical="center"/>
      <protection locked="0"/>
    </xf>
    <xf numFmtId="165" fontId="21" fillId="0" borderId="11" xfId="276" applyFont="1" applyFill="1" applyBorder="1" applyAlignment="1" applyProtection="1">
      <alignment vertical="center" wrapText="1"/>
    </xf>
    <xf numFmtId="0" fontId="22" fillId="29" borderId="13" xfId="0" applyFont="1" applyFill="1" applyBorder="1" applyAlignment="1">
      <alignment horizontal="center" vertical="top" wrapText="1"/>
    </xf>
    <xf numFmtId="0" fontId="22" fillId="29" borderId="10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 applyProtection="1">
      <alignment horizontal="left" vertical="top" wrapText="1"/>
    </xf>
    <xf numFmtId="0" fontId="68" fillId="24" borderId="10" xfId="0" applyFont="1" applyFill="1" applyBorder="1" applyAlignment="1">
      <alignment horizontal="left" vertical="top" wrapText="1"/>
    </xf>
    <xf numFmtId="165" fontId="22" fillId="29" borderId="11" xfId="276" applyFont="1" applyFill="1" applyBorder="1" applyAlignment="1" applyProtection="1">
      <alignment vertical="center" wrapText="1"/>
    </xf>
    <xf numFmtId="168" fontId="22" fillId="29" borderId="10" xfId="276" applyNumberFormat="1" applyFont="1" applyFill="1" applyBorder="1" applyAlignment="1">
      <alignment vertical="top" wrapText="1"/>
    </xf>
    <xf numFmtId="165" fontId="22" fillId="29" borderId="11" xfId="276" applyFont="1" applyFill="1" applyBorder="1" applyAlignment="1">
      <alignment vertical="top" wrapText="1"/>
    </xf>
    <xf numFmtId="0" fontId="22" fillId="29" borderId="10" xfId="0" applyNumberFormat="1" applyFont="1" applyFill="1" applyBorder="1" applyAlignment="1">
      <alignment horizontal="center" vertical="top" wrapText="1"/>
    </xf>
    <xf numFmtId="165" fontId="22" fillId="29" borderId="20" xfId="276" applyFont="1" applyFill="1" applyBorder="1" applyAlignment="1">
      <alignment vertical="top" wrapText="1"/>
    </xf>
    <xf numFmtId="165" fontId="22" fillId="29" borderId="11" xfId="276" applyFont="1" applyFill="1" applyBorder="1" applyAlignment="1" applyProtection="1">
      <alignment vertical="top" wrapText="1"/>
    </xf>
    <xf numFmtId="0" fontId="22" fillId="29" borderId="11" xfId="0" applyFont="1" applyFill="1" applyBorder="1" applyAlignment="1">
      <alignment horizontal="center" vertical="top" wrapText="1"/>
    </xf>
    <xf numFmtId="0" fontId="22" fillId="29" borderId="19" xfId="0" applyFont="1" applyFill="1" applyBorder="1" applyAlignment="1">
      <alignment horizontal="center" vertical="top" wrapText="1"/>
    </xf>
    <xf numFmtId="0" fontId="21" fillId="0" borderId="13" xfId="360" applyNumberFormat="1" applyFont="1" applyFill="1" applyBorder="1" applyAlignment="1" applyProtection="1">
      <alignment horizontal="center" vertical="top"/>
      <protection locked="0"/>
    </xf>
    <xf numFmtId="165" fontId="22" fillId="29" borderId="17" xfId="276" applyFont="1" applyFill="1" applyBorder="1" applyAlignment="1">
      <alignment vertical="top" wrapText="1"/>
    </xf>
    <xf numFmtId="165" fontId="64" fillId="29" borderId="13" xfId="276" applyFont="1" applyFill="1" applyBorder="1" applyAlignment="1" applyProtection="1">
      <alignment vertical="top" wrapText="1"/>
    </xf>
    <xf numFmtId="0" fontId="22" fillId="29" borderId="14" xfId="382" applyFont="1" applyFill="1" applyBorder="1" applyAlignment="1" applyProtection="1">
      <alignment horizontal="left" vertical="top" wrapText="1"/>
    </xf>
    <xf numFmtId="165" fontId="22" fillId="29" borderId="10" xfId="276" applyFont="1" applyFill="1" applyBorder="1" applyAlignment="1">
      <alignment vertical="center" wrapText="1"/>
    </xf>
    <xf numFmtId="49" fontId="22" fillId="29" borderId="10" xfId="0" applyNumberFormat="1" applyFont="1" applyFill="1" applyBorder="1" applyAlignment="1">
      <alignment horizontal="center" vertical="top" wrapText="1"/>
    </xf>
    <xf numFmtId="0" fontId="21" fillId="29" borderId="10" xfId="0" applyFont="1" applyFill="1" applyBorder="1" applyAlignment="1" applyProtection="1">
      <alignment horizontal="left" vertical="top" wrapText="1"/>
    </xf>
    <xf numFmtId="0" fontId="20" fillId="29" borderId="13" xfId="0" applyFont="1" applyFill="1" applyBorder="1" applyAlignment="1" applyProtection="1">
      <alignment vertical="top" wrapText="1"/>
    </xf>
    <xf numFmtId="0" fontId="23" fillId="29" borderId="0" xfId="382" applyFont="1" applyFill="1" applyProtection="1"/>
    <xf numFmtId="168" fontId="22" fillId="0" borderId="13" xfId="276" applyNumberFormat="1" applyFont="1" applyFill="1" applyBorder="1" applyAlignment="1" applyProtection="1">
      <alignment horizontal="center" vertical="center"/>
      <protection locked="0"/>
    </xf>
    <xf numFmtId="165" fontId="22" fillId="29" borderId="13" xfId="276" applyFont="1" applyFill="1" applyBorder="1" applyAlignment="1" applyProtection="1">
      <alignment horizontal="center" vertical="center"/>
      <protection locked="0"/>
    </xf>
    <xf numFmtId="0" fontId="22" fillId="29" borderId="13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43" fontId="22" fillId="29" borderId="10" xfId="276" applyNumberFormat="1" applyFont="1" applyFill="1" applyBorder="1" applyAlignment="1">
      <alignment horizontal="center"/>
    </xf>
    <xf numFmtId="0" fontId="22" fillId="32" borderId="13" xfId="0" applyFont="1" applyFill="1" applyBorder="1" applyAlignment="1" applyProtection="1">
      <alignment horizontal="center" vertical="top" wrapText="1"/>
    </xf>
    <xf numFmtId="0" fontId="22" fillId="32" borderId="13" xfId="0" applyFont="1" applyFill="1" applyBorder="1" applyAlignment="1" applyProtection="1">
      <alignment vertical="top" wrapText="1"/>
    </xf>
    <xf numFmtId="0" fontId="22" fillId="32" borderId="13" xfId="0" applyNumberFormat="1" applyFont="1" applyFill="1" applyBorder="1" applyAlignment="1" applyProtection="1">
      <alignment horizontal="center" vertical="top" wrapText="1"/>
    </xf>
    <xf numFmtId="43" fontId="20" fillId="0" borderId="0" xfId="0" applyNumberFormat="1" applyFont="1" applyProtection="1">
      <protection locked="0"/>
    </xf>
    <xf numFmtId="0" fontId="22" fillId="29" borderId="14" xfId="0" applyFont="1" applyFill="1" applyBorder="1" applyAlignment="1" applyProtection="1">
      <alignment horizontal="center" vertical="top" wrapText="1"/>
    </xf>
    <xf numFmtId="0" fontId="22" fillId="32" borderId="14" xfId="0" applyFont="1" applyFill="1" applyBorder="1" applyAlignment="1" applyProtection="1">
      <alignment horizontal="center" vertical="top" wrapText="1"/>
    </xf>
    <xf numFmtId="0" fontId="22" fillId="32" borderId="14" xfId="0" applyFont="1" applyFill="1" applyBorder="1" applyAlignment="1" applyProtection="1">
      <alignment horizontal="left" vertical="top" wrapText="1"/>
    </xf>
    <xf numFmtId="173" fontId="22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4" fontId="22" fillId="0" borderId="10" xfId="0" applyNumberFormat="1" applyFont="1" applyFill="1" applyBorder="1" applyAlignment="1">
      <alignment horizontal="center" vertical="top" wrapText="1"/>
    </xf>
    <xf numFmtId="0" fontId="65" fillId="32" borderId="10" xfId="0" applyFont="1" applyFill="1" applyBorder="1" applyAlignment="1">
      <alignment horizontal="center" vertical="top" wrapText="1"/>
    </xf>
    <xf numFmtId="2" fontId="65" fillId="32" borderId="14" xfId="0" quotePrefix="1" applyNumberFormat="1" applyFont="1" applyFill="1" applyBorder="1" applyAlignment="1">
      <alignment horizontal="center" vertical="top" wrapText="1"/>
    </xf>
    <xf numFmtId="2" fontId="70" fillId="32" borderId="18" xfId="0" applyNumberFormat="1" applyFont="1" applyFill="1" applyBorder="1" applyAlignment="1" applyProtection="1">
      <alignment horizontal="left" vertical="top" wrapText="1"/>
    </xf>
    <xf numFmtId="2" fontId="70" fillId="32" borderId="14" xfId="0" applyNumberFormat="1" applyFont="1" applyFill="1" applyBorder="1"/>
    <xf numFmtId="2" fontId="70" fillId="32" borderId="0" xfId="0" applyNumberFormat="1" applyFont="1" applyFill="1"/>
    <xf numFmtId="2" fontId="65" fillId="32" borderId="14" xfId="0" applyNumberFormat="1" applyFont="1" applyFill="1" applyBorder="1"/>
    <xf numFmtId="2" fontId="65" fillId="32" borderId="17" xfId="0" applyNumberFormat="1" applyFont="1" applyFill="1" applyBorder="1"/>
    <xf numFmtId="0" fontId="71" fillId="32" borderId="0" xfId="0" applyFont="1" applyFill="1" applyAlignment="1">
      <alignment horizontal="center"/>
    </xf>
    <xf numFmtId="0" fontId="71" fillId="32" borderId="0" xfId="0" applyFont="1" applyFill="1"/>
    <xf numFmtId="0" fontId="65" fillId="32" borderId="13" xfId="0" applyFont="1" applyFill="1" applyBorder="1" applyAlignment="1">
      <alignment horizontal="center" vertical="top" wrapText="1"/>
    </xf>
    <xf numFmtId="2" fontId="65" fillId="32" borderId="10" xfId="0" quotePrefix="1" applyNumberFormat="1" applyFont="1" applyFill="1" applyBorder="1" applyAlignment="1">
      <alignment horizontal="center" vertical="top" wrapText="1"/>
    </xf>
    <xf numFmtId="2" fontId="65" fillId="32" borderId="19" xfId="0" applyNumberFormat="1" applyFont="1" applyFill="1" applyBorder="1" applyAlignment="1">
      <alignment horizontal="left" vertical="top" wrapText="1"/>
    </xf>
    <xf numFmtId="2" fontId="65" fillId="32" borderId="10" xfId="0" applyNumberFormat="1" applyFont="1" applyFill="1" applyBorder="1" applyAlignment="1">
      <alignment horizontal="center" vertical="top" wrapText="1"/>
    </xf>
    <xf numFmtId="2" fontId="65" fillId="32" borderId="0" xfId="0" applyNumberFormat="1" applyFont="1" applyFill="1"/>
    <xf numFmtId="2" fontId="65" fillId="32" borderId="10" xfId="0" applyNumberFormat="1" applyFont="1" applyFill="1" applyBorder="1"/>
    <xf numFmtId="2" fontId="65" fillId="32" borderId="20" xfId="0" applyNumberFormat="1" applyFont="1" applyFill="1" applyBorder="1"/>
    <xf numFmtId="2" fontId="65" fillId="32" borderId="0" xfId="0" applyNumberFormat="1" applyFont="1" applyFill="1" applyBorder="1"/>
    <xf numFmtId="2" fontId="65" fillId="32" borderId="11" xfId="0" quotePrefix="1" applyNumberFormat="1" applyFont="1" applyFill="1" applyBorder="1" applyAlignment="1">
      <alignment horizontal="center" vertical="top" wrapText="1"/>
    </xf>
    <xf numFmtId="2" fontId="65" fillId="32" borderId="21" xfId="0" applyNumberFormat="1" applyFont="1" applyFill="1" applyBorder="1"/>
    <xf numFmtId="2" fontId="65" fillId="32" borderId="11" xfId="0" applyNumberFormat="1" applyFont="1" applyFill="1" applyBorder="1"/>
    <xf numFmtId="2" fontId="65" fillId="32" borderId="24" xfId="0" applyNumberFormat="1" applyFont="1" applyFill="1" applyBorder="1"/>
    <xf numFmtId="2" fontId="65" fillId="32" borderId="10" xfId="0" applyNumberFormat="1" applyFont="1" applyFill="1" applyBorder="1" applyAlignment="1" applyProtection="1">
      <alignment horizontal="center" vertical="top" wrapText="1"/>
    </xf>
    <xf numFmtId="2" fontId="65" fillId="32" borderId="11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166" fontId="22" fillId="0" borderId="13" xfId="276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center" vertical="top" wrapText="1"/>
    </xf>
    <xf numFmtId="0" fontId="23" fillId="0" borderId="14" xfId="382" quotePrefix="1" applyFont="1" applyFill="1" applyBorder="1" applyAlignment="1" applyProtection="1">
      <alignment horizontal="center" vertical="top" wrapText="1"/>
    </xf>
    <xf numFmtId="0" fontId="33" fillId="0" borderId="13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165" fontId="64" fillId="26" borderId="13" xfId="276" applyFont="1" applyFill="1" applyBorder="1" applyAlignment="1" applyProtection="1">
      <alignment horizontal="center" vertical="top"/>
      <protection locked="0"/>
    </xf>
    <xf numFmtId="0" fontId="21" fillId="0" borderId="13" xfId="0" quotePrefix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top" wrapText="1"/>
      <protection locked="0"/>
    </xf>
    <xf numFmtId="0" fontId="50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166" fontId="22" fillId="0" borderId="13" xfId="276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2" fillId="0" borderId="10" xfId="0" quotePrefix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 wrapText="1"/>
    </xf>
    <xf numFmtId="2" fontId="70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72" fillId="0" borderId="13" xfId="0" quotePrefix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2" fontId="70" fillId="0" borderId="13" xfId="0" applyNumberFormat="1" applyFont="1" applyFill="1" applyBorder="1" applyAlignment="1">
      <alignment horizontal="center" vertical="center" wrapText="1"/>
    </xf>
    <xf numFmtId="2" fontId="65" fillId="33" borderId="10" xfId="0" applyNumberFormat="1" applyFont="1" applyFill="1" applyBorder="1" applyAlignment="1">
      <alignment horizontal="center" vertical="center" wrapText="1"/>
    </xf>
    <xf numFmtId="2" fontId="65" fillId="33" borderId="13" xfId="0" applyNumberFormat="1" applyFont="1" applyFill="1" applyBorder="1" applyAlignment="1">
      <alignment horizontal="center" vertical="center" wrapText="1"/>
    </xf>
    <xf numFmtId="170" fontId="70" fillId="33" borderId="13" xfId="0" applyNumberFormat="1" applyFont="1" applyFill="1" applyBorder="1" applyAlignment="1">
      <alignment horizontal="center" vertical="center" wrapText="1"/>
    </xf>
    <xf numFmtId="2" fontId="70" fillId="32" borderId="15" xfId="0" applyNumberFormat="1" applyFont="1" applyFill="1" applyBorder="1" applyAlignment="1">
      <alignment wrapText="1"/>
    </xf>
    <xf numFmtId="2" fontId="70" fillId="32" borderId="14" xfId="0" applyNumberFormat="1" applyFont="1" applyFill="1" applyBorder="1" applyAlignment="1">
      <alignment vertical="center"/>
    </xf>
    <xf numFmtId="2" fontId="70" fillId="32" borderId="14" xfId="0" applyNumberFormat="1" applyFont="1" applyFill="1" applyBorder="1" applyAlignment="1">
      <alignment horizontal="center"/>
    </xf>
    <xf numFmtId="0" fontId="22" fillId="29" borderId="13" xfId="0" applyFont="1" applyFill="1" applyBorder="1" applyAlignment="1" applyProtection="1">
      <alignment horizontal="center" vertical="top" wrapText="1"/>
    </xf>
    <xf numFmtId="0" fontId="22" fillId="29" borderId="13" xfId="360" applyNumberFormat="1" applyFont="1" applyFill="1" applyBorder="1" applyAlignment="1" applyProtection="1">
      <alignment horizontal="center" vertical="top"/>
    </xf>
    <xf numFmtId="0" fontId="20" fillId="29" borderId="0" xfId="0" applyNumberFormat="1" applyFont="1" applyFill="1" applyBorder="1" applyProtection="1">
      <protection locked="0"/>
    </xf>
    <xf numFmtId="49" fontId="21" fillId="0" borderId="13" xfId="276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quotePrefix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3" fillId="0" borderId="13" xfId="0" quotePrefix="1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2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4" fillId="0" borderId="13" xfId="0" applyFont="1" applyFill="1" applyBorder="1" applyAlignment="1" applyProtection="1">
      <alignment horizontal="left" vertical="top" wrapText="1"/>
    </xf>
    <xf numFmtId="168" fontId="22" fillId="0" borderId="14" xfId="276" applyNumberFormat="1" applyFont="1" applyFill="1" applyBorder="1" applyAlignment="1" applyProtection="1">
      <alignment vertical="center" wrapText="1"/>
    </xf>
    <xf numFmtId="0" fontId="22" fillId="29" borderId="14" xfId="382" applyFont="1" applyFill="1" applyBorder="1" applyAlignment="1" applyProtection="1">
      <alignment horizontal="center" vertical="top" wrapText="1"/>
    </xf>
    <xf numFmtId="0" fontId="22" fillId="29" borderId="13" xfId="382" applyFont="1" applyFill="1" applyBorder="1" applyAlignment="1" applyProtection="1">
      <alignment horizontal="center" vertical="top" wrapText="1"/>
    </xf>
    <xf numFmtId="0" fontId="22" fillId="29" borderId="11" xfId="382" applyFont="1" applyFill="1" applyBorder="1" applyAlignment="1" applyProtection="1">
      <alignment horizontal="center" vertical="top" wrapText="1"/>
    </xf>
    <xf numFmtId="0" fontId="23" fillId="29" borderId="17" xfId="0" applyFont="1" applyFill="1" applyBorder="1"/>
    <xf numFmtId="0" fontId="23" fillId="29" borderId="20" xfId="0" applyFont="1" applyFill="1" applyBorder="1"/>
    <xf numFmtId="0" fontId="23" fillId="29" borderId="24" xfId="0" applyFont="1" applyFill="1" applyBorder="1"/>
    <xf numFmtId="0" fontId="22" fillId="29" borderId="11" xfId="0" applyFont="1" applyFill="1" applyBorder="1" applyAlignment="1" applyProtection="1">
      <alignment horizontal="center" vertical="top" wrapText="1"/>
    </xf>
    <xf numFmtId="0" fontId="70" fillId="29" borderId="10" xfId="0" applyFont="1" applyFill="1" applyBorder="1" applyAlignment="1">
      <alignment horizontal="center" vertical="top" wrapText="1"/>
    </xf>
    <xf numFmtId="0" fontId="65" fillId="29" borderId="10" xfId="0" applyFont="1" applyFill="1" applyBorder="1" applyAlignment="1">
      <alignment horizontal="center" vertical="top" wrapText="1"/>
    </xf>
    <xf numFmtId="0" fontId="65" fillId="29" borderId="13" xfId="0" applyFont="1" applyFill="1" applyBorder="1" applyAlignment="1">
      <alignment horizontal="center" vertical="top" wrapText="1"/>
    </xf>
    <xf numFmtId="0" fontId="2" fillId="29" borderId="10" xfId="382" applyFont="1" applyFill="1" applyBorder="1" applyAlignment="1" applyProtection="1">
      <alignment horizontal="center" vertical="top" wrapText="1"/>
    </xf>
    <xf numFmtId="0" fontId="22" fillId="29" borderId="14" xfId="0" applyFont="1" applyFill="1" applyBorder="1" applyAlignment="1">
      <alignment horizontal="center" vertical="top" wrapText="1"/>
    </xf>
    <xf numFmtId="0" fontId="22" fillId="29" borderId="14" xfId="367" applyFont="1" applyFill="1" applyBorder="1" applyAlignment="1" applyProtection="1">
      <alignment horizontal="center"/>
    </xf>
    <xf numFmtId="0" fontId="22" fillId="29" borderId="13" xfId="367" applyFont="1" applyFill="1" applyBorder="1" applyAlignment="1" applyProtection="1">
      <alignment horizontal="center"/>
    </xf>
    <xf numFmtId="0" fontId="22" fillId="29" borderId="14" xfId="382" applyFont="1" applyFill="1" applyBorder="1" applyAlignment="1" applyProtection="1">
      <alignment vertical="top" wrapText="1"/>
    </xf>
    <xf numFmtId="0" fontId="22" fillId="29" borderId="13" xfId="382" applyFont="1" applyFill="1" applyBorder="1" applyAlignment="1" applyProtection="1">
      <alignment horizontal="center"/>
    </xf>
    <xf numFmtId="0" fontId="21" fillId="29" borderId="13" xfId="0" applyFont="1" applyFill="1" applyBorder="1" applyAlignment="1">
      <alignment horizontal="center" vertical="top" wrapText="1"/>
    </xf>
    <xf numFmtId="0" fontId="58" fillId="29" borderId="13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/>
    <xf numFmtId="0" fontId="22" fillId="29" borderId="10" xfId="382" applyFont="1" applyFill="1" applyBorder="1" applyAlignment="1" applyProtection="1"/>
    <xf numFmtId="0" fontId="21" fillId="29" borderId="14" xfId="0" quotePrefix="1" applyFont="1" applyFill="1" applyBorder="1" applyAlignment="1">
      <alignment horizontal="center" vertical="top" wrapText="1"/>
    </xf>
    <xf numFmtId="0" fontId="2" fillId="29" borderId="14" xfId="0" applyFont="1" applyFill="1" applyBorder="1" applyAlignment="1">
      <alignment horizontal="center" vertical="top" wrapText="1"/>
    </xf>
    <xf numFmtId="0" fontId="21" fillId="29" borderId="14" xfId="0" applyFont="1" applyFill="1" applyBorder="1" applyAlignment="1">
      <alignment horizontal="center" vertical="top" wrapText="1"/>
    </xf>
    <xf numFmtId="0" fontId="21" fillId="29" borderId="13" xfId="0" applyFont="1" applyFill="1" applyBorder="1"/>
    <xf numFmtId="0" fontId="22" fillId="29" borderId="13" xfId="360" applyFont="1" applyFill="1" applyBorder="1" applyAlignment="1" applyProtection="1">
      <alignment horizontal="center"/>
    </xf>
    <xf numFmtId="0" fontId="22" fillId="29" borderId="0" xfId="360" applyFont="1" applyFill="1" applyBorder="1" applyAlignment="1" applyProtection="1">
      <alignment horizontal="center"/>
    </xf>
    <xf numFmtId="0" fontId="22" fillId="34" borderId="13" xfId="0" applyFont="1" applyFill="1" applyBorder="1" applyAlignment="1" applyProtection="1">
      <alignment horizontal="left" vertical="top" wrapText="1"/>
    </xf>
    <xf numFmtId="0" fontId="65" fillId="0" borderId="13" xfId="0" applyFont="1" applyFill="1" applyBorder="1" applyAlignment="1" applyProtection="1">
      <alignment horizontal="center" vertical="top" wrapText="1"/>
    </xf>
    <xf numFmtId="49" fontId="22" fillId="0" borderId="14" xfId="0" quotePrefix="1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43" fontId="22" fillId="0" borderId="10" xfId="276" applyNumberFormat="1" applyFont="1" applyFill="1" applyBorder="1" applyAlignment="1">
      <alignment horizontal="center" vertical="top" wrapText="1"/>
    </xf>
    <xf numFmtId="0" fontId="64" fillId="29" borderId="20" xfId="0" applyFont="1" applyFill="1" applyBorder="1" applyAlignment="1">
      <alignment horizontal="center" vertical="top" wrapText="1"/>
    </xf>
    <xf numFmtId="2" fontId="65" fillId="32" borderId="14" xfId="0" applyNumberFormat="1" applyFont="1" applyFill="1" applyBorder="1" applyAlignment="1">
      <alignment horizontal="center"/>
    </xf>
    <xf numFmtId="2" fontId="65" fillId="32" borderId="17" xfId="0" applyNumberFormat="1" applyFont="1" applyFill="1" applyBorder="1" applyAlignment="1">
      <alignment horizontal="center"/>
    </xf>
    <xf numFmtId="2" fontId="65" fillId="32" borderId="10" xfId="0" applyNumberFormat="1" applyFont="1" applyFill="1" applyBorder="1" applyAlignment="1">
      <alignment horizontal="center"/>
    </xf>
    <xf numFmtId="2" fontId="65" fillId="32" borderId="20" xfId="0" applyNumberFormat="1" applyFont="1" applyFill="1" applyBorder="1" applyAlignment="1">
      <alignment horizontal="center"/>
    </xf>
    <xf numFmtId="2" fontId="65" fillId="32" borderId="10" xfId="276" applyNumberFormat="1" applyFont="1" applyFill="1" applyBorder="1" applyAlignment="1" applyProtection="1">
      <alignment horizontal="center" vertical="center" wrapText="1"/>
    </xf>
    <xf numFmtId="2" fontId="65" fillId="32" borderId="10" xfId="276" applyNumberFormat="1" applyFont="1" applyFill="1" applyBorder="1" applyAlignment="1">
      <alignment horizontal="center" vertical="top" wrapText="1"/>
    </xf>
    <xf numFmtId="2" fontId="65" fillId="32" borderId="20" xfId="276" applyNumberFormat="1" applyFont="1" applyFill="1" applyBorder="1" applyAlignment="1">
      <alignment horizontal="center" vertical="top" wrapText="1"/>
    </xf>
    <xf numFmtId="0" fontId="65" fillId="32" borderId="11" xfId="0" applyFont="1" applyFill="1" applyBorder="1" applyAlignment="1">
      <alignment horizontal="center"/>
    </xf>
    <xf numFmtId="2" fontId="65" fillId="32" borderId="11" xfId="0" applyNumberFormat="1" applyFont="1" applyFill="1" applyBorder="1" applyAlignment="1">
      <alignment horizontal="center"/>
    </xf>
    <xf numFmtId="0" fontId="65" fillId="32" borderId="24" xfId="0" applyFont="1" applyFill="1" applyBorder="1" applyAlignment="1">
      <alignment horizontal="center"/>
    </xf>
    <xf numFmtId="0" fontId="22" fillId="0" borderId="13" xfId="367" applyFont="1" applyFill="1" applyBorder="1" applyAlignment="1" applyProtection="1">
      <alignment horizontal="left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166" fontId="22" fillId="0" borderId="13" xfId="276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center" vertical="top" wrapText="1"/>
    </xf>
    <xf numFmtId="0" fontId="65" fillId="0" borderId="13" xfId="0" applyFont="1" applyBorder="1" applyAlignment="1" applyProtection="1">
      <alignment horizontal="left" vertical="top"/>
    </xf>
    <xf numFmtId="0" fontId="65" fillId="0" borderId="13" xfId="0" applyFont="1" applyFill="1" applyBorder="1" applyAlignment="1" applyProtection="1">
      <alignment horizontal="left" vertical="top" wrapText="1"/>
    </xf>
    <xf numFmtId="0" fontId="22" fillId="29" borderId="10" xfId="382" applyFont="1" applyFill="1" applyBorder="1" applyAlignment="1" applyProtection="1">
      <alignment horizontal="center" vertical="top" wrapText="1"/>
    </xf>
    <xf numFmtId="0" fontId="22" fillId="29" borderId="14" xfId="383" applyFont="1" applyFill="1" applyBorder="1" applyAlignment="1" applyProtection="1">
      <alignment horizontal="center" vertical="top" wrapText="1"/>
    </xf>
    <xf numFmtId="0" fontId="22" fillId="0" borderId="17" xfId="383" applyFont="1" applyFill="1" applyBorder="1" applyAlignment="1" applyProtection="1">
      <alignment horizontal="center" vertical="top" wrapText="1"/>
    </xf>
    <xf numFmtId="0" fontId="22" fillId="29" borderId="10" xfId="383" applyFont="1" applyFill="1" applyBorder="1" applyAlignment="1" applyProtection="1">
      <alignment horizontal="center" vertical="top" wrapText="1"/>
    </xf>
    <xf numFmtId="0" fontId="22" fillId="0" borderId="10" xfId="383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>
      <alignment vertical="top" wrapText="1"/>
    </xf>
    <xf numFmtId="0" fontId="64" fillId="29" borderId="13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vertical="top" wrapText="1"/>
    </xf>
    <xf numFmtId="0" fontId="22" fillId="0" borderId="19" xfId="383" applyFont="1" applyFill="1" applyBorder="1" applyAlignment="1" applyProtection="1">
      <alignment horizontal="center" vertical="top" wrapText="1"/>
    </xf>
    <xf numFmtId="0" fontId="22" fillId="29" borderId="19" xfId="383" applyFont="1" applyFill="1" applyBorder="1" applyAlignment="1" applyProtection="1">
      <alignment horizontal="center" vertical="top" wrapText="1"/>
    </xf>
    <xf numFmtId="0" fontId="22" fillId="29" borderId="0" xfId="383" applyFont="1" applyFill="1" applyBorder="1" applyAlignment="1" applyProtection="1">
      <alignment horizontal="center" vertical="top" wrapText="1"/>
    </xf>
    <xf numFmtId="0" fontId="64" fillId="29" borderId="13" xfId="383" applyFont="1" applyFill="1" applyBorder="1" applyAlignment="1" applyProtection="1">
      <alignment horizontal="center"/>
    </xf>
    <xf numFmtId="0" fontId="64" fillId="29" borderId="10" xfId="383" applyFont="1" applyFill="1" applyBorder="1" applyAlignment="1" applyProtection="1">
      <alignment horizontal="center" vertical="top"/>
    </xf>
    <xf numFmtId="0" fontId="64" fillId="29" borderId="10" xfId="0" applyFont="1" applyFill="1" applyBorder="1" applyAlignment="1">
      <alignment horizontal="center" vertical="top" wrapText="1"/>
    </xf>
    <xf numFmtId="0" fontId="64" fillId="29" borderId="10" xfId="383" applyFont="1" applyFill="1" applyBorder="1" applyAlignment="1" applyProtection="1">
      <alignment horizontal="center" vertical="top" wrapText="1"/>
    </xf>
    <xf numFmtId="0" fontId="64" fillId="29" borderId="11" xfId="383" applyFont="1" applyFill="1" applyBorder="1" applyAlignment="1" applyProtection="1">
      <alignment horizontal="center" vertical="top" wrapText="1"/>
    </xf>
    <xf numFmtId="0" fontId="64" fillId="29" borderId="11" xfId="0" applyFont="1" applyFill="1" applyBorder="1" applyAlignment="1">
      <alignment horizontal="center" vertical="top" wrapText="1"/>
    </xf>
    <xf numFmtId="0" fontId="2" fillId="29" borderId="10" xfId="383" applyFont="1" applyFill="1" applyBorder="1" applyAlignment="1" applyProtection="1">
      <alignment horizontal="center" vertical="top" wrapText="1"/>
    </xf>
    <xf numFmtId="0" fontId="2" fillId="0" borderId="10" xfId="383" applyFont="1" applyFill="1" applyBorder="1" applyAlignment="1" applyProtection="1">
      <alignment horizontal="center" vertical="top" wrapText="1"/>
    </xf>
    <xf numFmtId="0" fontId="2" fillId="29" borderId="11" xfId="383" applyFont="1" applyFill="1" applyBorder="1" applyAlignment="1" applyProtection="1">
      <alignment horizontal="center" vertical="top" wrapText="1"/>
    </xf>
    <xf numFmtId="0" fontId="65" fillId="29" borderId="14" xfId="0" applyFont="1" applyFill="1" applyBorder="1" applyAlignment="1" applyProtection="1">
      <alignment horizontal="left" vertical="top" wrapText="1"/>
    </xf>
    <xf numFmtId="166" fontId="22" fillId="0" borderId="13" xfId="276" applyNumberFormat="1" applyFont="1" applyFill="1" applyBorder="1" applyAlignment="1" applyProtection="1">
      <alignment horizontal="center" vertical="center"/>
      <protection locked="0"/>
    </xf>
    <xf numFmtId="0" fontId="22" fillId="29" borderId="13" xfId="382" applyFont="1" applyFill="1" applyBorder="1" applyAlignment="1" applyProtection="1">
      <alignment vertical="top" wrapText="1"/>
    </xf>
    <xf numFmtId="0" fontId="23" fillId="0" borderId="13" xfId="382" quotePrefix="1" applyFont="1" applyFill="1" applyBorder="1" applyAlignment="1" applyProtection="1">
      <alignment vertical="top" wrapText="1"/>
    </xf>
    <xf numFmtId="0" fontId="21" fillId="25" borderId="14" xfId="382" applyFont="1" applyFill="1" applyBorder="1" applyAlignment="1" applyProtection="1">
      <alignment horizontal="left" wrapText="1"/>
    </xf>
    <xf numFmtId="0" fontId="64" fillId="0" borderId="13" xfId="383" applyFont="1" applyFill="1" applyBorder="1" applyAlignment="1" applyProtection="1">
      <alignment horizontal="center"/>
    </xf>
    <xf numFmtId="9" fontId="64" fillId="0" borderId="13" xfId="427" applyFont="1" applyFill="1" applyBorder="1" applyAlignment="1" applyProtection="1">
      <alignment horizontal="center"/>
    </xf>
    <xf numFmtId="166" fontId="64" fillId="0" borderId="13" xfId="284" applyNumberFormat="1" applyFont="1" applyFill="1" applyBorder="1" applyAlignment="1" applyProtection="1">
      <alignment horizontal="center"/>
    </xf>
    <xf numFmtId="165" fontId="68" fillId="0" borderId="13" xfId="276" applyFont="1" applyFill="1" applyBorder="1" applyAlignment="1" applyProtection="1">
      <alignment vertical="center"/>
    </xf>
    <xf numFmtId="0" fontId="64" fillId="0" borderId="0" xfId="360" applyFont="1" applyFill="1" applyAlignment="1" applyProtection="1">
      <alignment horizontal="center"/>
    </xf>
    <xf numFmtId="0" fontId="64" fillId="0" borderId="13" xfId="0" applyNumberFormat="1" applyFont="1" applyFill="1" applyBorder="1" applyAlignment="1" applyProtection="1">
      <alignment horizontal="center" vertical="top"/>
    </xf>
    <xf numFmtId="0" fontId="64" fillId="0" borderId="13" xfId="0" applyFont="1" applyFill="1" applyBorder="1" applyAlignment="1" applyProtection="1">
      <alignment horizontal="center" vertical="top"/>
    </xf>
    <xf numFmtId="166" fontId="64" fillId="0" borderId="13" xfId="276" applyNumberFormat="1" applyFont="1" applyFill="1" applyBorder="1" applyAlignment="1" applyProtection="1">
      <alignment horizontal="center" vertical="top"/>
      <protection locked="0"/>
    </xf>
    <xf numFmtId="166" fontId="64" fillId="0" borderId="13" xfId="276" applyNumberFormat="1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Protection="1">
      <protection locked="0"/>
    </xf>
    <xf numFmtId="0" fontId="64" fillId="0" borderId="0" xfId="0" applyFont="1" applyFill="1" applyProtection="1">
      <protection locked="0"/>
    </xf>
    <xf numFmtId="0" fontId="22" fillId="36" borderId="13" xfId="382" applyFont="1" applyFill="1" applyBorder="1" applyAlignment="1" applyProtection="1">
      <alignment horizontal="center"/>
    </xf>
    <xf numFmtId="0" fontId="21" fillId="36" borderId="13" xfId="360" applyFont="1" applyFill="1" applyBorder="1" applyAlignment="1" applyProtection="1">
      <alignment horizontal="right"/>
    </xf>
    <xf numFmtId="0" fontId="21" fillId="36" borderId="13" xfId="360" applyFont="1" applyFill="1" applyBorder="1" applyAlignment="1" applyProtection="1">
      <alignment horizontal="center"/>
    </xf>
    <xf numFmtId="166" fontId="21" fillId="36" borderId="13" xfId="282" applyNumberFormat="1" applyFont="1" applyFill="1" applyBorder="1" applyAlignment="1" applyProtection="1">
      <alignment horizontal="center"/>
    </xf>
    <xf numFmtId="165" fontId="21" fillId="36" borderId="13" xfId="276" applyFont="1" applyFill="1" applyBorder="1" applyAlignment="1" applyProtection="1">
      <alignment vertical="center"/>
    </xf>
    <xf numFmtId="43" fontId="22" fillId="36" borderId="0" xfId="360" applyNumberFormat="1" applyFont="1" applyFill="1" applyAlignment="1" applyProtection="1">
      <alignment horizontal="center"/>
    </xf>
    <xf numFmtId="0" fontId="22" fillId="36" borderId="0" xfId="360" applyFont="1" applyFill="1" applyAlignment="1" applyProtection="1">
      <alignment horizontal="center"/>
    </xf>
    <xf numFmtId="0" fontId="68" fillId="0" borderId="10" xfId="0" quotePrefix="1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/>
    </xf>
    <xf numFmtId="0" fontId="64" fillId="0" borderId="0" xfId="0" applyFont="1" applyFill="1"/>
    <xf numFmtId="2" fontId="65" fillId="0" borderId="13" xfId="0" applyNumberFormat="1" applyFont="1" applyFill="1" applyBorder="1" applyAlignment="1">
      <alignment horizontal="center" vertical="center" wrapText="1"/>
    </xf>
    <xf numFmtId="0" fontId="64" fillId="0" borderId="10" xfId="383" applyFont="1" applyFill="1" applyBorder="1" applyAlignment="1" applyProtection="1">
      <alignment horizontal="center"/>
    </xf>
    <xf numFmtId="0" fontId="64" fillId="0" borderId="10" xfId="0" quotePrefix="1" applyFont="1" applyFill="1" applyBorder="1" applyAlignment="1">
      <alignment horizontal="center" vertical="top" wrapText="1"/>
    </xf>
    <xf numFmtId="0" fontId="76" fillId="0" borderId="0" xfId="0" applyFont="1" applyFill="1"/>
    <xf numFmtId="0" fontId="64" fillId="0" borderId="0" xfId="383" applyFont="1" applyFill="1" applyProtection="1"/>
    <xf numFmtId="0" fontId="67" fillId="0" borderId="0" xfId="0" applyFont="1" applyFill="1"/>
    <xf numFmtId="0" fontId="64" fillId="0" borderId="11" xfId="0" quotePrefix="1" applyFont="1" applyFill="1" applyBorder="1" applyAlignment="1">
      <alignment horizontal="center" vertical="top" wrapText="1"/>
    </xf>
    <xf numFmtId="49" fontId="64" fillId="0" borderId="10" xfId="0" quotePrefix="1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0" fontId="68" fillId="0" borderId="11" xfId="0" quotePrefix="1" applyFont="1" applyFill="1" applyBorder="1" applyAlignment="1">
      <alignment horizontal="center" vertical="top" wrapText="1"/>
    </xf>
    <xf numFmtId="0" fontId="65" fillId="0" borderId="14" xfId="0" applyFont="1" applyFill="1" applyBorder="1" applyAlignment="1" applyProtection="1">
      <alignment vertical="top" wrapText="1"/>
    </xf>
    <xf numFmtId="9" fontId="65" fillId="0" borderId="19" xfId="427" applyFont="1" applyFill="1" applyBorder="1" applyAlignment="1" applyProtection="1">
      <alignment horizontal="center" vertical="top"/>
    </xf>
    <xf numFmtId="166" fontId="65" fillId="0" borderId="10" xfId="284" applyNumberFormat="1" applyFont="1" applyFill="1" applyBorder="1" applyAlignment="1" applyProtection="1">
      <alignment horizontal="center"/>
    </xf>
    <xf numFmtId="165" fontId="65" fillId="0" borderId="10" xfId="276" applyFont="1" applyFill="1" applyBorder="1" applyAlignment="1" applyProtection="1">
      <alignment vertical="center"/>
    </xf>
    <xf numFmtId="165" fontId="65" fillId="0" borderId="20" xfId="276" applyFont="1" applyFill="1" applyBorder="1" applyAlignment="1" applyProtection="1">
      <alignment vertical="center"/>
    </xf>
    <xf numFmtId="165" fontId="70" fillId="0" borderId="10" xfId="276" applyFont="1" applyFill="1" applyBorder="1" applyAlignment="1" applyProtection="1">
      <alignment vertical="center"/>
    </xf>
    <xf numFmtId="0" fontId="65" fillId="0" borderId="10" xfId="0" applyFont="1" applyFill="1" applyBorder="1" applyAlignment="1">
      <alignment vertical="top" wrapText="1"/>
    </xf>
    <xf numFmtId="0" fontId="65" fillId="0" borderId="10" xfId="383" applyFont="1" applyFill="1" applyBorder="1" applyAlignment="1" applyProtection="1">
      <alignment horizontal="center" vertical="top" wrapText="1"/>
    </xf>
    <xf numFmtId="2" fontId="65" fillId="0" borderId="10" xfId="452" applyNumberFormat="1" applyFont="1" applyFill="1" applyBorder="1" applyAlignment="1">
      <alignment horizontal="center" vertical="center" wrapText="1"/>
    </xf>
    <xf numFmtId="0" fontId="65" fillId="0" borderId="10" xfId="383" applyFont="1" applyFill="1" applyBorder="1" applyAlignment="1" applyProtection="1">
      <alignment vertical="top" wrapText="1"/>
    </xf>
    <xf numFmtId="0" fontId="65" fillId="0" borderId="10" xfId="0" applyFont="1" applyFill="1" applyBorder="1" applyAlignment="1" applyProtection="1">
      <alignment horizontal="center" vertical="top" wrapText="1"/>
    </xf>
    <xf numFmtId="0" fontId="65" fillId="0" borderId="10" xfId="383" applyFont="1" applyFill="1" applyBorder="1" applyAlignment="1" applyProtection="1">
      <alignment horizontal="center" vertical="center" wrapText="1"/>
    </xf>
    <xf numFmtId="2" fontId="65" fillId="0" borderId="10" xfId="452" applyNumberFormat="1" applyFont="1" applyFill="1" applyBorder="1" applyAlignment="1" applyProtection="1">
      <alignment horizontal="center" vertical="center" wrapText="1"/>
    </xf>
    <xf numFmtId="0" fontId="65" fillId="0" borderId="10" xfId="0" applyFont="1" applyFill="1" applyBorder="1" applyAlignment="1" applyProtection="1">
      <alignment vertical="top" wrapText="1"/>
    </xf>
    <xf numFmtId="0" fontId="65" fillId="0" borderId="19" xfId="0" applyFont="1" applyFill="1" applyBorder="1" applyAlignment="1">
      <alignment horizontal="center" vertical="top" wrapText="1"/>
    </xf>
    <xf numFmtId="2" fontId="65" fillId="0" borderId="10" xfId="452" applyNumberFormat="1" applyFont="1" applyFill="1" applyBorder="1" applyAlignment="1">
      <alignment horizontal="center" vertical="top" wrapText="1"/>
    </xf>
    <xf numFmtId="0" fontId="65" fillId="0" borderId="11" xfId="383" applyFont="1" applyFill="1" applyBorder="1" applyAlignment="1" applyProtection="1">
      <alignment vertical="top" wrapText="1"/>
    </xf>
    <xf numFmtId="0" fontId="65" fillId="0" borderId="11" xfId="0" applyFont="1" applyFill="1" applyBorder="1" applyAlignment="1" applyProtection="1">
      <alignment horizontal="center" vertical="top" wrapText="1"/>
    </xf>
    <xf numFmtId="0" fontId="65" fillId="0" borderId="11" xfId="383" applyFont="1" applyFill="1" applyBorder="1" applyAlignment="1" applyProtection="1">
      <alignment horizontal="center" vertical="center" wrapText="1"/>
    </xf>
    <xf numFmtId="2" fontId="65" fillId="0" borderId="11" xfId="452" applyNumberFormat="1" applyFont="1" applyFill="1" applyBorder="1" applyAlignment="1" applyProtection="1">
      <alignment horizontal="center" vertical="center" wrapText="1"/>
    </xf>
    <xf numFmtId="0" fontId="78" fillId="0" borderId="2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 wrapText="1"/>
    </xf>
    <xf numFmtId="0" fontId="65" fillId="0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1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 applyProtection="1">
      <alignment horizontal="right" vertical="top" wrapText="1"/>
    </xf>
    <xf numFmtId="9" fontId="65" fillId="0" borderId="13" xfId="427" applyFont="1" applyFill="1" applyBorder="1" applyAlignment="1" applyProtection="1">
      <alignment horizontal="center"/>
    </xf>
    <xf numFmtId="166" fontId="65" fillId="0" borderId="13" xfId="284" applyNumberFormat="1" applyFont="1" applyFill="1" applyBorder="1" applyAlignment="1" applyProtection="1">
      <alignment horizontal="center"/>
    </xf>
    <xf numFmtId="165" fontId="65" fillId="0" borderId="13" xfId="276" applyFont="1" applyFill="1" applyBorder="1" applyAlignment="1" applyProtection="1">
      <alignment vertical="center"/>
    </xf>
    <xf numFmtId="165" fontId="70" fillId="0" borderId="13" xfId="276" applyFont="1" applyFill="1" applyBorder="1" applyAlignment="1" applyProtection="1">
      <alignment vertical="center"/>
    </xf>
    <xf numFmtId="166" fontId="65" fillId="0" borderId="11" xfId="284" applyNumberFormat="1" applyFont="1" applyFill="1" applyBorder="1" applyAlignment="1" applyProtection="1">
      <alignment horizontal="center"/>
    </xf>
    <xf numFmtId="165" fontId="65" fillId="0" borderId="11" xfId="276" applyFont="1" applyFill="1" applyBorder="1" applyAlignment="1" applyProtection="1">
      <alignment vertical="center"/>
    </xf>
    <xf numFmtId="0" fontId="70" fillId="0" borderId="13" xfId="360" applyFont="1" applyFill="1" applyBorder="1" applyAlignment="1" applyProtection="1">
      <alignment horizontal="left" vertical="top" wrapText="1"/>
    </xf>
    <xf numFmtId="9" fontId="80" fillId="0" borderId="13" xfId="421" applyFont="1" applyFill="1" applyBorder="1" applyAlignment="1" applyProtection="1">
      <alignment horizontal="center" vertical="center"/>
    </xf>
    <xf numFmtId="9" fontId="70" fillId="0" borderId="13" xfId="427" applyFont="1" applyFill="1" applyBorder="1" applyAlignment="1" applyProtection="1">
      <alignment horizontal="center"/>
    </xf>
    <xf numFmtId="0" fontId="70" fillId="0" borderId="13" xfId="0" applyFont="1" applyFill="1" applyBorder="1" applyAlignment="1" applyProtection="1">
      <alignment horizontal="left" vertical="top" wrapText="1"/>
    </xf>
    <xf numFmtId="165" fontId="21" fillId="29" borderId="13" xfId="276" applyFont="1" applyFill="1" applyBorder="1" applyAlignment="1" applyProtection="1"/>
    <xf numFmtId="0" fontId="22" fillId="29" borderId="14" xfId="0" applyFont="1" applyFill="1" applyBorder="1" applyAlignment="1">
      <alignment horizontal="center" vertical="center" wrapText="1"/>
    </xf>
    <xf numFmtId="2" fontId="65" fillId="29" borderId="10" xfId="0" applyNumberFormat="1" applyFont="1" applyFill="1" applyBorder="1" applyAlignment="1">
      <alignment horizontal="center" vertical="center" wrapText="1"/>
    </xf>
    <xf numFmtId="165" fontId="22" fillId="29" borderId="13" xfId="276" applyFont="1" applyFill="1" applyBorder="1" applyAlignment="1">
      <alignment vertical="top" wrapText="1"/>
    </xf>
    <xf numFmtId="2" fontId="65" fillId="32" borderId="17" xfId="0" applyNumberFormat="1" applyFont="1" applyFill="1" applyBorder="1" applyAlignment="1">
      <alignment horizontal="center" vertical="center"/>
    </xf>
    <xf numFmtId="2" fontId="65" fillId="32" borderId="20" xfId="0" applyNumberFormat="1" applyFont="1" applyFill="1" applyBorder="1" applyAlignment="1">
      <alignment horizontal="center" vertical="center"/>
    </xf>
    <xf numFmtId="2" fontId="65" fillId="32" borderId="24" xfId="0" applyNumberFormat="1" applyFont="1" applyFill="1" applyBorder="1" applyAlignment="1">
      <alignment horizontal="center" vertical="center"/>
    </xf>
    <xf numFmtId="2" fontId="65" fillId="32" borderId="14" xfId="0" applyNumberFormat="1" applyFont="1" applyFill="1" applyBorder="1" applyAlignment="1">
      <alignment horizontal="center" vertical="center"/>
    </xf>
    <xf numFmtId="2" fontId="65" fillId="32" borderId="10" xfId="0" applyNumberFormat="1" applyFont="1" applyFill="1" applyBorder="1" applyAlignment="1">
      <alignment horizontal="center" vertical="center"/>
    </xf>
    <xf numFmtId="2" fontId="65" fillId="32" borderId="11" xfId="0" applyNumberFormat="1" applyFont="1" applyFill="1" applyBorder="1" applyAlignment="1">
      <alignment horizontal="center" vertical="center"/>
    </xf>
    <xf numFmtId="2" fontId="65" fillId="32" borderId="10" xfId="0" applyNumberFormat="1" applyFont="1" applyFill="1" applyBorder="1" applyAlignment="1">
      <alignment horizontal="center" vertical="center" wrapText="1"/>
    </xf>
    <xf numFmtId="2" fontId="70" fillId="32" borderId="14" xfId="0" applyNumberFormat="1" applyFont="1" applyFill="1" applyBorder="1" applyAlignment="1">
      <alignment horizontal="center" vertical="center"/>
    </xf>
    <xf numFmtId="2" fontId="70" fillId="32" borderId="0" xfId="0" applyNumberFormat="1" applyFont="1" applyFill="1" applyAlignment="1">
      <alignment horizontal="center" vertical="center"/>
    </xf>
    <xf numFmtId="2" fontId="65" fillId="32" borderId="0" xfId="0" applyNumberFormat="1" applyFont="1" applyFill="1" applyAlignment="1">
      <alignment horizontal="center" vertical="center"/>
    </xf>
    <xf numFmtId="43" fontId="24" fillId="0" borderId="0" xfId="382" applyNumberFormat="1" applyFont="1" applyProtection="1"/>
    <xf numFmtId="0" fontId="21" fillId="0" borderId="0" xfId="360" applyFont="1" applyFill="1" applyAlignment="1" applyProtection="1">
      <alignment horizontal="left" vertical="center"/>
    </xf>
    <xf numFmtId="165" fontId="21" fillId="0" borderId="13" xfId="276" applyFont="1" applyFill="1" applyBorder="1" applyAlignment="1" applyProtection="1">
      <alignment horizontal="center" vertical="center"/>
    </xf>
    <xf numFmtId="165" fontId="21" fillId="0" borderId="10" xfId="276" applyFont="1" applyFill="1" applyBorder="1" applyAlignment="1" applyProtection="1">
      <alignment horizontal="center" vertical="top" wrapText="1"/>
    </xf>
    <xf numFmtId="166" fontId="64" fillId="0" borderId="13" xfId="276" applyNumberFormat="1" applyFont="1" applyFill="1" applyBorder="1" applyAlignment="1" applyProtection="1">
      <alignment horizontal="center" vertical="top" wrapText="1"/>
      <protection locked="0"/>
    </xf>
    <xf numFmtId="166" fontId="64" fillId="0" borderId="13" xfId="276" applyNumberFormat="1" applyFont="1" applyFill="1" applyBorder="1" applyAlignment="1" applyProtection="1">
      <alignment horizontal="center" vertical="center" wrapText="1"/>
      <protection locked="0"/>
    </xf>
    <xf numFmtId="165" fontId="68" fillId="0" borderId="13" xfId="276" applyFont="1" applyFill="1" applyBorder="1" applyAlignment="1" applyProtection="1">
      <alignment horizontal="center" vertical="center"/>
      <protection locked="0"/>
    </xf>
    <xf numFmtId="0" fontId="64" fillId="0" borderId="13" xfId="0" applyNumberFormat="1" applyFont="1" applyFill="1" applyBorder="1" applyAlignment="1" applyProtection="1">
      <alignment horizontal="center" vertical="top" wrapText="1"/>
    </xf>
    <xf numFmtId="165" fontId="67" fillId="0" borderId="13" xfId="276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vertical="top" wrapText="1"/>
    </xf>
    <xf numFmtId="9" fontId="65" fillId="0" borderId="13" xfId="421" applyFont="1" applyFill="1" applyBorder="1" applyAlignment="1" applyProtection="1">
      <alignment horizontal="center" vertical="top"/>
    </xf>
    <xf numFmtId="0" fontId="65" fillId="0" borderId="13" xfId="0" applyFont="1" applyFill="1" applyBorder="1" applyAlignment="1" applyProtection="1">
      <alignment vertical="center" wrapText="1"/>
      <protection locked="0"/>
    </xf>
    <xf numFmtId="0" fontId="65" fillId="0" borderId="13" xfId="0" applyFont="1" applyFill="1" applyBorder="1" applyAlignment="1" applyProtection="1">
      <alignment wrapText="1"/>
      <protection locked="0"/>
    </xf>
    <xf numFmtId="10" fontId="70" fillId="0" borderId="13" xfId="421" applyNumberFormat="1" applyFont="1" applyFill="1" applyBorder="1" applyAlignment="1" applyProtection="1">
      <alignment horizontal="center" vertical="top"/>
    </xf>
    <xf numFmtId="0" fontId="22" fillId="29" borderId="13" xfId="0" applyNumberFormat="1" applyFont="1" applyFill="1" applyBorder="1" applyAlignment="1" applyProtection="1">
      <alignment horizontal="center" vertical="center" wrapText="1"/>
    </xf>
    <xf numFmtId="0" fontId="22" fillId="29" borderId="13" xfId="360" applyNumberFormat="1" applyFont="1" applyFill="1" applyBorder="1" applyAlignment="1" applyProtection="1">
      <alignment horizontal="center" vertical="center"/>
    </xf>
    <xf numFmtId="0" fontId="22" fillId="29" borderId="13" xfId="367" applyNumberFormat="1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  <protection locked="0"/>
    </xf>
    <xf numFmtId="0" fontId="22" fillId="29" borderId="13" xfId="0" applyNumberFormat="1" applyFont="1" applyFill="1" applyBorder="1" applyAlignment="1" applyProtection="1">
      <alignment horizontal="center" vertical="center"/>
    </xf>
    <xf numFmtId="0" fontId="22" fillId="29" borderId="13" xfId="0" applyFont="1" applyFill="1" applyBorder="1" applyAlignment="1" applyProtection="1">
      <alignment horizontal="center" vertical="center" wrapText="1"/>
    </xf>
    <xf numFmtId="0" fontId="23" fillId="29" borderId="13" xfId="0" quotePrefix="1" applyFont="1" applyFill="1" applyBorder="1" applyAlignment="1" applyProtection="1">
      <alignment horizontal="center" vertical="center" wrapText="1"/>
    </xf>
    <xf numFmtId="0" fontId="2" fillId="29" borderId="10" xfId="0" applyFont="1" applyFill="1" applyBorder="1" applyAlignment="1" applyProtection="1">
      <alignment horizontal="center" vertical="center" wrapText="1"/>
    </xf>
    <xf numFmtId="0" fontId="22" fillId="29" borderId="14" xfId="0" applyFont="1" applyFill="1" applyBorder="1" applyAlignment="1" applyProtection="1">
      <alignment horizontal="center" vertical="center" wrapText="1"/>
    </xf>
    <xf numFmtId="0" fontId="21" fillId="29" borderId="13" xfId="0" applyFont="1" applyFill="1" applyBorder="1" applyAlignment="1" applyProtection="1">
      <alignment horizontal="center" vertical="center" wrapText="1"/>
    </xf>
    <xf numFmtId="0" fontId="21" fillId="29" borderId="13" xfId="360" applyNumberFormat="1" applyFont="1" applyFill="1" applyBorder="1" applyAlignment="1" applyProtection="1">
      <alignment horizontal="center" vertical="center"/>
    </xf>
    <xf numFmtId="0" fontId="21" fillId="29" borderId="13" xfId="36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1" fillId="29" borderId="13" xfId="0" applyFont="1" applyFill="1" applyBorder="1" applyAlignment="1" applyProtection="1">
      <alignment horizontal="center" vertical="center"/>
    </xf>
    <xf numFmtId="165" fontId="22" fillId="0" borderId="0" xfId="276" applyFont="1" applyFill="1" applyAlignment="1" applyProtection="1">
      <alignment horizontal="center" vertical="center"/>
      <protection locked="0"/>
    </xf>
    <xf numFmtId="165" fontId="22" fillId="0" borderId="0" xfId="276" applyFont="1" applyFill="1" applyBorder="1" applyAlignment="1" applyProtection="1">
      <alignment vertical="center"/>
      <protection locked="0"/>
    </xf>
    <xf numFmtId="165" fontId="22" fillId="0" borderId="13" xfId="276" applyFont="1" applyFill="1" applyBorder="1" applyAlignment="1" applyProtection="1">
      <alignment horizontal="right" vertical="center"/>
      <protection locked="0"/>
    </xf>
    <xf numFmtId="168" fontId="22" fillId="26" borderId="13" xfId="276" applyNumberFormat="1" applyFont="1" applyFill="1" applyBorder="1" applyAlignment="1" applyProtection="1">
      <alignment horizontal="center" vertical="center"/>
      <protection locked="0"/>
    </xf>
    <xf numFmtId="165" fontId="64" fillId="0" borderId="13" xfId="276" applyFont="1" applyFill="1" applyBorder="1" applyAlignment="1" applyProtection="1">
      <alignment horizontal="center" vertical="center"/>
      <protection locked="0"/>
    </xf>
    <xf numFmtId="165" fontId="65" fillId="26" borderId="13" xfId="276" applyFont="1" applyFill="1" applyBorder="1" applyAlignment="1" applyProtection="1">
      <alignment horizontal="center" vertical="center"/>
      <protection locked="0"/>
    </xf>
    <xf numFmtId="165" fontId="65" fillId="0" borderId="13" xfId="276" applyFont="1" applyFill="1" applyBorder="1" applyAlignment="1" applyProtection="1">
      <alignment horizontal="center" vertical="center"/>
      <protection locked="0"/>
    </xf>
    <xf numFmtId="165" fontId="70" fillId="0" borderId="13" xfId="276" applyFont="1" applyFill="1" applyBorder="1" applyAlignment="1" applyProtection="1">
      <alignment horizontal="center" vertical="center"/>
      <protection locked="0"/>
    </xf>
    <xf numFmtId="165" fontId="23" fillId="0" borderId="13" xfId="276" quotePrefix="1" applyFont="1" applyFill="1" applyBorder="1" applyAlignment="1" applyProtection="1">
      <alignment horizontal="center" vertical="center" wrapText="1"/>
      <protection locked="0"/>
    </xf>
    <xf numFmtId="165" fontId="22" fillId="0" borderId="10" xfId="276" applyFont="1" applyFill="1" applyBorder="1" applyAlignment="1" applyProtection="1">
      <alignment horizontal="center" vertical="center" wrapText="1"/>
      <protection locked="0"/>
    </xf>
    <xf numFmtId="165" fontId="22" fillId="0" borderId="14" xfId="276" applyFont="1" applyFill="1" applyBorder="1" applyAlignment="1" applyProtection="1">
      <alignment horizontal="center" vertical="center" wrapText="1"/>
      <protection locked="0"/>
    </xf>
    <xf numFmtId="165" fontId="56" fillId="0" borderId="13" xfId="276" applyFont="1" applyFill="1" applyBorder="1" applyAlignment="1" applyProtection="1">
      <alignment vertical="center"/>
      <protection locked="0"/>
    </xf>
    <xf numFmtId="165" fontId="22" fillId="0" borderId="13" xfId="276" applyFont="1" applyFill="1" applyBorder="1" applyAlignment="1" applyProtection="1">
      <alignment vertical="center"/>
      <protection locked="0"/>
    </xf>
    <xf numFmtId="165" fontId="21" fillId="0" borderId="22" xfId="276" applyFont="1" applyFill="1" applyBorder="1" applyAlignment="1" applyProtection="1">
      <alignment horizontal="center" vertical="center"/>
      <protection locked="0"/>
    </xf>
    <xf numFmtId="165" fontId="34" fillId="0" borderId="0" xfId="276" applyFont="1" applyAlignment="1" applyProtection="1">
      <alignment horizontal="center" vertical="center"/>
      <protection locked="0"/>
    </xf>
    <xf numFmtId="165" fontId="65" fillId="29" borderId="10" xfId="276" applyFont="1" applyFill="1" applyBorder="1" applyAlignment="1" applyProtection="1">
      <alignment vertical="center" wrapText="1"/>
    </xf>
    <xf numFmtId="166" fontId="68" fillId="0" borderId="13" xfId="276" applyNumberFormat="1" applyFont="1" applyFill="1" applyBorder="1" applyAlignment="1" applyProtection="1">
      <alignment horizontal="center" vertical="top"/>
      <protection locked="0"/>
    </xf>
    <xf numFmtId="0" fontId="65" fillId="0" borderId="13" xfId="0" applyFont="1" applyFill="1" applyBorder="1" applyAlignment="1" applyProtection="1">
      <alignment horizontal="center" vertical="top"/>
    </xf>
    <xf numFmtId="0" fontId="65" fillId="0" borderId="14" xfId="0" applyFont="1" applyFill="1" applyBorder="1" applyAlignment="1">
      <alignment vertical="top" wrapText="1"/>
    </xf>
    <xf numFmtId="0" fontId="65" fillId="0" borderId="13" xfId="0" applyFont="1" applyFill="1" applyBorder="1" applyAlignment="1">
      <alignment vertical="top" wrapText="1"/>
    </xf>
    <xf numFmtId="0" fontId="34" fillId="25" borderId="12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 horizontal="left" vertical="center"/>
      <protection locked="0"/>
    </xf>
    <xf numFmtId="0" fontId="34" fillId="25" borderId="22" xfId="0" applyFont="1" applyFill="1" applyBorder="1" applyAlignment="1" applyProtection="1">
      <alignment horizontal="left" vertical="center"/>
      <protection locked="0"/>
    </xf>
    <xf numFmtId="0" fontId="34" fillId="25" borderId="16" xfId="0" applyFont="1" applyFill="1" applyBorder="1" applyAlignment="1" applyProtection="1">
      <alignment horizontal="left" vertical="center"/>
      <protection locked="0"/>
    </xf>
    <xf numFmtId="166" fontId="22" fillId="0" borderId="14" xfId="276" applyNumberFormat="1" applyFont="1" applyFill="1" applyBorder="1" applyAlignment="1" applyProtection="1">
      <alignment horizontal="center" vertical="center"/>
      <protection locked="0"/>
    </xf>
    <xf numFmtId="166" fontId="22" fillId="0" borderId="10" xfId="276" applyNumberFormat="1" applyFont="1" applyFill="1" applyBorder="1" applyAlignment="1" applyProtection="1">
      <alignment horizontal="center" vertical="center"/>
      <protection locked="0"/>
    </xf>
    <xf numFmtId="165" fontId="22" fillId="0" borderId="14" xfId="276" applyFont="1" applyFill="1" applyBorder="1" applyAlignment="1" applyProtection="1">
      <alignment horizontal="center" vertical="center"/>
      <protection locked="0"/>
    </xf>
    <xf numFmtId="165" fontId="22" fillId="0" borderId="11" xfId="276" applyFont="1" applyFill="1" applyBorder="1" applyAlignment="1" applyProtection="1">
      <alignment horizontal="center" vertical="center"/>
      <protection locked="0"/>
    </xf>
    <xf numFmtId="166" fontId="22" fillId="0" borderId="0" xfId="276" applyNumberFormat="1" applyFont="1" applyFill="1" applyAlignment="1" applyProtection="1">
      <alignment horizontal="right"/>
      <protection locked="0"/>
    </xf>
    <xf numFmtId="0" fontId="34" fillId="0" borderId="22" xfId="0" applyFont="1" applyFill="1" applyBorder="1" applyAlignment="1" applyProtection="1">
      <alignment horizontal="left" vertical="top" wrapText="1"/>
      <protection locked="0"/>
    </xf>
    <xf numFmtId="166" fontId="22" fillId="0" borderId="21" xfId="276" applyNumberFormat="1" applyFont="1" applyFill="1" applyBorder="1" applyAlignment="1" applyProtection="1">
      <alignment horizontal="right"/>
      <protection locked="0"/>
    </xf>
    <xf numFmtId="166" fontId="22" fillId="0" borderId="12" xfId="276" applyNumberFormat="1" applyFont="1" applyFill="1" applyBorder="1" applyAlignment="1" applyProtection="1">
      <alignment horizontal="center" vertical="center" wrapText="1"/>
      <protection locked="0"/>
    </xf>
    <xf numFmtId="166" fontId="22" fillId="0" borderId="16" xfId="276" applyNumberFormat="1" applyFont="1" applyFill="1" applyBorder="1" applyAlignment="1" applyProtection="1">
      <alignment horizontal="center" vertical="center" wrapText="1"/>
      <protection locked="0"/>
    </xf>
    <xf numFmtId="0" fontId="22" fillId="27" borderId="13" xfId="397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top" wrapText="1"/>
    </xf>
    <xf numFmtId="166" fontId="22" fillId="0" borderId="13" xfId="276" applyNumberFormat="1" applyFont="1" applyFill="1" applyBorder="1" applyAlignment="1" applyProtection="1">
      <alignment horizontal="center" vertical="center"/>
      <protection locked="0"/>
    </xf>
    <xf numFmtId="0" fontId="22" fillId="0" borderId="14" xfId="397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397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22" fillId="0" borderId="14" xfId="397" applyNumberFormat="1" applyFont="1" applyFill="1" applyBorder="1" applyAlignment="1" applyProtection="1">
      <alignment horizontal="center" vertical="center"/>
      <protection locked="0"/>
    </xf>
    <xf numFmtId="0" fontId="22" fillId="0" borderId="10" xfId="397" applyNumberFormat="1" applyFont="1" applyFill="1" applyBorder="1" applyAlignment="1" applyProtection="1">
      <alignment horizontal="center" vertical="center"/>
      <protection locked="0"/>
    </xf>
    <xf numFmtId="9" fontId="22" fillId="0" borderId="14" xfId="421" applyFont="1" applyFill="1" applyBorder="1" applyAlignment="1" applyProtection="1">
      <alignment horizontal="center" vertical="center"/>
      <protection locked="0"/>
    </xf>
    <xf numFmtId="9" fontId="22" fillId="0" borderId="10" xfId="421" applyFont="1" applyFill="1" applyBorder="1" applyAlignment="1" applyProtection="1">
      <alignment horizontal="center" vertical="center"/>
      <protection locked="0"/>
    </xf>
    <xf numFmtId="165" fontId="21" fillId="25" borderId="13" xfId="276" applyFont="1" applyFill="1" applyBorder="1" applyAlignment="1" applyProtection="1">
      <alignment horizontal="left" vertical="center"/>
    </xf>
    <xf numFmtId="0" fontId="22" fillId="24" borderId="14" xfId="397" applyNumberFormat="1" applyFont="1" applyFill="1" applyBorder="1" applyAlignment="1" applyProtection="1">
      <alignment horizontal="center" vertical="center"/>
    </xf>
    <xf numFmtId="0" fontId="22" fillId="24" borderId="10" xfId="397" applyNumberFormat="1" applyFont="1" applyFill="1" applyBorder="1" applyAlignment="1" applyProtection="1">
      <alignment horizontal="center" vertical="center"/>
    </xf>
    <xf numFmtId="0" fontId="22" fillId="0" borderId="13" xfId="397" applyFont="1" applyBorder="1" applyAlignment="1" applyProtection="1">
      <alignment horizontal="center" vertical="center" wrapText="1"/>
    </xf>
    <xf numFmtId="9" fontId="22" fillId="0" borderId="14" xfId="421" applyFont="1" applyFill="1" applyBorder="1" applyAlignment="1" applyProtection="1">
      <alignment horizontal="center" vertical="center"/>
    </xf>
    <xf numFmtId="9" fontId="22" fillId="0" borderId="10" xfId="421" applyFont="1" applyFill="1" applyBorder="1" applyAlignment="1" applyProtection="1">
      <alignment horizontal="center" vertical="center"/>
    </xf>
    <xf numFmtId="166" fontId="22" fillId="0" borderId="14" xfId="276" applyNumberFormat="1" applyFont="1" applyFill="1" applyBorder="1" applyAlignment="1" applyProtection="1">
      <alignment horizontal="center" vertical="center" wrapText="1"/>
    </xf>
    <xf numFmtId="166" fontId="22" fillId="0" borderId="11" xfId="276" applyNumberFormat="1" applyFont="1" applyFill="1" applyBorder="1" applyAlignment="1" applyProtection="1">
      <alignment horizontal="center" vertical="center" wrapText="1"/>
    </xf>
    <xf numFmtId="0" fontId="23" fillId="0" borderId="17" xfId="383" quotePrefix="1" applyFont="1" applyFill="1" applyBorder="1" applyAlignment="1" applyProtection="1">
      <alignment horizontal="center" vertical="top" wrapText="1"/>
    </xf>
    <xf numFmtId="0" fontId="23" fillId="0" borderId="10" xfId="383" quotePrefix="1" applyFont="1" applyFill="1" applyBorder="1" applyAlignment="1" applyProtection="1">
      <alignment horizontal="center" vertical="top" wrapText="1"/>
    </xf>
    <xf numFmtId="49" fontId="22" fillId="0" borderId="14" xfId="0" applyNumberFormat="1" applyFont="1" applyFill="1" applyBorder="1" applyAlignment="1" applyProtection="1">
      <alignment horizontal="center" vertical="top" wrapText="1"/>
    </xf>
    <xf numFmtId="49" fontId="22" fillId="0" borderId="11" xfId="0" applyNumberFormat="1" applyFont="1" applyFill="1" applyBorder="1" applyAlignment="1" applyProtection="1">
      <alignment horizontal="center" vertical="top" wrapText="1"/>
    </xf>
    <xf numFmtId="0" fontId="23" fillId="0" borderId="17" xfId="0" quotePrefix="1" applyFont="1" applyFill="1" applyBorder="1" applyAlignment="1" applyProtection="1">
      <alignment horizontal="center" vertical="top" wrapText="1"/>
    </xf>
    <xf numFmtId="0" fontId="23" fillId="0" borderId="10" xfId="0" quotePrefix="1" applyFont="1" applyFill="1" applyBorder="1" applyAlignment="1" applyProtection="1">
      <alignment horizontal="center" vertical="top" wrapText="1"/>
    </xf>
    <xf numFmtId="0" fontId="23" fillId="0" borderId="17" xfId="382" quotePrefix="1" applyFont="1" applyFill="1" applyBorder="1" applyAlignment="1" applyProtection="1">
      <alignment horizontal="center" vertical="top" wrapText="1"/>
    </xf>
    <xf numFmtId="0" fontId="23" fillId="0" borderId="10" xfId="382" quotePrefix="1" applyFont="1" applyFill="1" applyBorder="1" applyAlignment="1" applyProtection="1">
      <alignment horizontal="center" vertical="top" wrapText="1"/>
    </xf>
    <xf numFmtId="0" fontId="22" fillId="0" borderId="17" xfId="382" quotePrefix="1" applyFont="1" applyFill="1" applyBorder="1" applyAlignment="1" applyProtection="1">
      <alignment horizontal="center" vertical="top" wrapText="1"/>
    </xf>
    <xf numFmtId="0" fontId="22" fillId="0" borderId="10" xfId="382" quotePrefix="1" applyFont="1" applyFill="1" applyBorder="1" applyAlignment="1" applyProtection="1">
      <alignment horizontal="center" vertical="top" wrapText="1"/>
    </xf>
    <xf numFmtId="0" fontId="23" fillId="0" borderId="11" xfId="0" quotePrefix="1" applyFont="1" applyFill="1" applyBorder="1" applyAlignment="1" applyProtection="1">
      <alignment horizontal="center" vertical="top" wrapText="1"/>
    </xf>
    <xf numFmtId="0" fontId="23" fillId="0" borderId="18" xfId="0" quotePrefix="1" applyFont="1" applyFill="1" applyBorder="1" applyAlignment="1" applyProtection="1">
      <alignment horizontal="center" vertical="top" wrapText="1"/>
    </xf>
    <xf numFmtId="0" fontId="23" fillId="0" borderId="19" xfId="0" quotePrefix="1" applyFont="1" applyFill="1" applyBorder="1" applyAlignment="1" applyProtection="1">
      <alignment horizontal="center" vertical="top" wrapText="1"/>
    </xf>
    <xf numFmtId="0" fontId="23" fillId="0" borderId="14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4" xfId="0" quotePrefix="1" applyFont="1" applyFill="1" applyBorder="1" applyAlignment="1" applyProtection="1">
      <alignment horizontal="center" vertical="top" wrapText="1"/>
    </xf>
    <xf numFmtId="49" fontId="22" fillId="0" borderId="17" xfId="0" applyNumberFormat="1" applyFont="1" applyFill="1" applyBorder="1" applyAlignment="1" applyProtection="1">
      <alignment horizontal="center" vertical="top" wrapText="1"/>
    </xf>
    <xf numFmtId="49" fontId="22" fillId="0" borderId="10" xfId="0" applyNumberFormat="1" applyFont="1" applyFill="1" applyBorder="1" applyAlignment="1" applyProtection="1">
      <alignment horizontal="center" vertical="top" wrapText="1"/>
    </xf>
    <xf numFmtId="49" fontId="22" fillId="0" borderId="17" xfId="382" applyNumberFormat="1" applyFont="1" applyFill="1" applyBorder="1" applyAlignment="1" applyProtection="1">
      <alignment horizontal="center" vertical="top" wrapText="1"/>
    </xf>
    <xf numFmtId="49" fontId="22" fillId="0" borderId="10" xfId="382" applyNumberFormat="1" applyFont="1" applyFill="1" applyBorder="1" applyAlignment="1" applyProtection="1">
      <alignment horizontal="center" vertical="top" wrapText="1"/>
    </xf>
    <xf numFmtId="0" fontId="23" fillId="0" borderId="14" xfId="383" quotePrefix="1" applyFont="1" applyFill="1" applyBorder="1" applyAlignment="1" applyProtection="1">
      <alignment horizontal="center" vertical="top" wrapText="1"/>
    </xf>
    <xf numFmtId="0" fontId="23" fillId="0" borderId="11" xfId="383" quotePrefix="1" applyFont="1" applyFill="1" applyBorder="1" applyAlignment="1" applyProtection="1">
      <alignment horizontal="center" vertical="top" wrapText="1"/>
    </xf>
    <xf numFmtId="0" fontId="22" fillId="0" borderId="17" xfId="383" applyFont="1" applyFill="1" applyBorder="1" applyAlignment="1" applyProtection="1">
      <alignment horizontal="center" vertical="top"/>
    </xf>
    <xf numFmtId="0" fontId="22" fillId="0" borderId="10" xfId="383" applyFont="1" applyFill="1" applyBorder="1" applyAlignment="1" applyProtection="1">
      <alignment horizontal="center" vertical="top"/>
    </xf>
    <xf numFmtId="0" fontId="22" fillId="0" borderId="11" xfId="383" applyFont="1" applyFill="1" applyBorder="1" applyAlignment="1" applyProtection="1">
      <alignment horizontal="center" vertical="top"/>
    </xf>
    <xf numFmtId="0" fontId="22" fillId="0" borderId="14" xfId="0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top" wrapText="1"/>
    </xf>
    <xf numFmtId="0" fontId="22" fillId="0" borderId="11" xfId="0" applyFont="1" applyFill="1" applyBorder="1" applyAlignment="1" applyProtection="1">
      <alignment horizontal="center" vertical="top" wrapText="1"/>
    </xf>
    <xf numFmtId="14" fontId="22" fillId="0" borderId="14" xfId="0" quotePrefix="1" applyNumberFormat="1" applyFont="1" applyFill="1" applyBorder="1" applyAlignment="1" applyProtection="1">
      <alignment horizontal="center" vertical="top" wrapText="1"/>
    </xf>
    <xf numFmtId="14" fontId="22" fillId="0" borderId="10" xfId="0" quotePrefix="1" applyNumberFormat="1" applyFont="1" applyFill="1" applyBorder="1" applyAlignment="1" applyProtection="1">
      <alignment horizontal="center" vertical="top" wrapText="1"/>
    </xf>
    <xf numFmtId="14" fontId="22" fillId="0" borderId="11" xfId="0" quotePrefix="1" applyNumberFormat="1" applyFont="1" applyFill="1" applyBorder="1" applyAlignment="1" applyProtection="1">
      <alignment horizontal="center" vertical="top" wrapText="1"/>
    </xf>
    <xf numFmtId="49" fontId="22" fillId="0" borderId="19" xfId="382" applyNumberFormat="1" applyFont="1" applyFill="1" applyBorder="1" applyAlignment="1" applyProtection="1">
      <alignment horizontal="center" vertical="top" wrapText="1"/>
    </xf>
    <xf numFmtId="0" fontId="23" fillId="0" borderId="11" xfId="382" quotePrefix="1" applyFont="1" applyFill="1" applyBorder="1" applyAlignment="1" applyProtection="1">
      <alignment horizontal="center" vertical="top" wrapText="1"/>
    </xf>
    <xf numFmtId="0" fontId="21" fillId="0" borderId="0" xfId="382" applyFont="1" applyFill="1" applyBorder="1" applyAlignment="1" applyProtection="1">
      <alignment horizontal="left" vertical="center" wrapText="1"/>
    </xf>
    <xf numFmtId="166" fontId="22" fillId="0" borderId="23" xfId="282" applyNumberFormat="1" applyFont="1" applyFill="1" applyBorder="1" applyAlignment="1" applyProtection="1">
      <alignment horizontal="center"/>
    </xf>
    <xf numFmtId="165" fontId="22" fillId="0" borderId="24" xfId="276" applyFont="1" applyFill="1" applyBorder="1" applyAlignment="1" applyProtection="1">
      <alignment horizontal="center"/>
    </xf>
    <xf numFmtId="165" fontId="22" fillId="0" borderId="23" xfId="276" applyFont="1" applyFill="1" applyBorder="1" applyAlignment="1" applyProtection="1">
      <alignment horizontal="center"/>
    </xf>
    <xf numFmtId="166" fontId="22" fillId="0" borderId="14" xfId="282" applyNumberFormat="1" applyFont="1" applyFill="1" applyBorder="1" applyAlignment="1" applyProtection="1">
      <alignment horizontal="center" vertical="center"/>
    </xf>
    <xf numFmtId="166" fontId="22" fillId="0" borderId="11" xfId="282" applyNumberFormat="1" applyFont="1" applyFill="1" applyBorder="1" applyAlignment="1" applyProtection="1">
      <alignment horizontal="center" vertical="center"/>
    </xf>
    <xf numFmtId="165" fontId="22" fillId="27" borderId="14" xfId="276" applyFont="1" applyFill="1" applyBorder="1" applyAlignment="1" applyProtection="1">
      <alignment horizontal="center" vertical="center"/>
    </xf>
    <xf numFmtId="165" fontId="22" fillId="27" borderId="11" xfId="276" applyFont="1" applyFill="1" applyBorder="1" applyAlignment="1" applyProtection="1">
      <alignment horizontal="center" vertical="center"/>
    </xf>
    <xf numFmtId="166" fontId="22" fillId="0" borderId="18" xfId="282" applyNumberFormat="1" applyFont="1" applyFill="1" applyBorder="1" applyAlignment="1" applyProtection="1">
      <alignment horizontal="center"/>
    </xf>
    <xf numFmtId="165" fontId="22" fillId="0" borderId="17" xfId="276" applyFont="1" applyFill="1" applyBorder="1" applyAlignment="1" applyProtection="1">
      <alignment horizontal="center"/>
    </xf>
    <xf numFmtId="0" fontId="22" fillId="0" borderId="17" xfId="0" quotePrefix="1" applyFont="1" applyFill="1" applyBorder="1" applyAlignment="1" applyProtection="1">
      <alignment horizontal="center" vertical="top" wrapText="1"/>
    </xf>
    <xf numFmtId="0" fontId="22" fillId="0" borderId="10" xfId="0" quotePrefix="1" applyFont="1" applyFill="1" applyBorder="1" applyAlignment="1" applyProtection="1">
      <alignment horizontal="center" vertical="top" wrapText="1"/>
    </xf>
    <xf numFmtId="165" fontId="22" fillId="0" borderId="18" xfId="276" applyFont="1" applyFill="1" applyBorder="1" applyAlignment="1" applyProtection="1">
      <alignment horizontal="center" vertical="center"/>
    </xf>
    <xf numFmtId="165" fontId="22" fillId="0" borderId="17" xfId="276" applyFont="1" applyFill="1" applyBorder="1" applyAlignment="1" applyProtection="1">
      <alignment horizontal="center" vertical="center"/>
    </xf>
    <xf numFmtId="165" fontId="22" fillId="0" borderId="23" xfId="276" applyFont="1" applyFill="1" applyBorder="1" applyAlignment="1" applyProtection="1">
      <alignment horizontal="center" vertical="center"/>
    </xf>
    <xf numFmtId="165" fontId="22" fillId="0" borderId="24" xfId="276" applyFont="1" applyFill="1" applyBorder="1" applyAlignment="1" applyProtection="1">
      <alignment horizontal="center" vertical="center"/>
    </xf>
    <xf numFmtId="165" fontId="22" fillId="0" borderId="18" xfId="276" applyFont="1" applyFill="1" applyBorder="1" applyAlignment="1" applyProtection="1">
      <alignment horizontal="center"/>
    </xf>
    <xf numFmtId="165" fontId="22" fillId="0" borderId="14" xfId="276" applyFont="1" applyFill="1" applyBorder="1" applyAlignment="1" applyProtection="1">
      <alignment horizontal="center" vertical="center"/>
    </xf>
    <xf numFmtId="165" fontId="22" fillId="0" borderId="10" xfId="276" applyFont="1" applyFill="1" applyBorder="1" applyAlignment="1" applyProtection="1">
      <alignment horizontal="center" vertical="center"/>
    </xf>
    <xf numFmtId="165" fontId="22" fillId="0" borderId="11" xfId="276" applyFont="1" applyFill="1" applyBorder="1" applyAlignment="1" applyProtection="1">
      <alignment horizontal="center" vertical="center"/>
    </xf>
    <xf numFmtId="0" fontId="22" fillId="0" borderId="14" xfId="397" applyNumberFormat="1" applyFont="1" applyFill="1" applyBorder="1" applyAlignment="1" applyProtection="1">
      <alignment horizontal="center" vertical="center"/>
    </xf>
    <xf numFmtId="0" fontId="22" fillId="0" borderId="10" xfId="397" applyNumberFormat="1" applyFont="1" applyFill="1" applyBorder="1" applyAlignment="1" applyProtection="1">
      <alignment horizontal="center" vertical="center"/>
    </xf>
    <xf numFmtId="0" fontId="22" fillId="0" borderId="11" xfId="397" applyNumberFormat="1" applyFont="1" applyFill="1" applyBorder="1" applyAlignment="1" applyProtection="1">
      <alignment horizontal="center" vertical="center"/>
    </xf>
    <xf numFmtId="0" fontId="22" fillId="0" borderId="14" xfId="397" applyFont="1" applyFill="1" applyBorder="1" applyAlignment="1" applyProtection="1">
      <alignment horizontal="center" vertical="center" wrapText="1"/>
    </xf>
    <xf numFmtId="0" fontId="22" fillId="0" borderId="10" xfId="397" applyFont="1" applyFill="1" applyBorder="1" applyAlignment="1" applyProtection="1">
      <alignment horizontal="center" vertical="center" wrapText="1"/>
    </xf>
    <xf numFmtId="0" fontId="22" fillId="0" borderId="11" xfId="397" applyFont="1" applyFill="1" applyBorder="1" applyAlignment="1" applyProtection="1">
      <alignment horizontal="center" vertical="center" wrapText="1"/>
    </xf>
    <xf numFmtId="9" fontId="22" fillId="0" borderId="14" xfId="426" applyFont="1" applyFill="1" applyBorder="1" applyAlignment="1" applyProtection="1">
      <alignment horizontal="center" vertical="center"/>
    </xf>
    <xf numFmtId="9" fontId="22" fillId="0" borderId="10" xfId="426" applyFont="1" applyFill="1" applyBorder="1" applyAlignment="1" applyProtection="1">
      <alignment horizontal="center" vertical="center"/>
    </xf>
    <xf numFmtId="9" fontId="22" fillId="0" borderId="11" xfId="426" applyFont="1" applyFill="1" applyBorder="1" applyAlignment="1" applyProtection="1">
      <alignment horizontal="center" vertical="center"/>
    </xf>
    <xf numFmtId="0" fontId="22" fillId="0" borderId="14" xfId="0" quotePrefix="1" applyFont="1" applyFill="1" applyBorder="1" applyAlignment="1" applyProtection="1">
      <alignment horizontal="center" vertical="top" wrapText="1"/>
    </xf>
    <xf numFmtId="0" fontId="22" fillId="0" borderId="11" xfId="0" quotePrefix="1" applyFont="1" applyFill="1" applyBorder="1" applyAlignment="1" applyProtection="1">
      <alignment horizontal="center" vertical="top" wrapText="1"/>
    </xf>
    <xf numFmtId="0" fontId="25" fillId="0" borderId="17" xfId="382" quotePrefix="1" applyFont="1" applyFill="1" applyBorder="1" applyAlignment="1" applyProtection="1">
      <alignment horizontal="center" vertical="top" wrapText="1"/>
    </xf>
    <xf numFmtId="0" fontId="25" fillId="0" borderId="10" xfId="382" quotePrefix="1" applyFont="1" applyFill="1" applyBorder="1" applyAlignment="1" applyProtection="1">
      <alignment horizontal="center" vertical="top" wrapText="1"/>
    </xf>
    <xf numFmtId="0" fontId="22" fillId="0" borderId="17" xfId="382" applyFont="1" applyFill="1" applyBorder="1" applyAlignment="1" applyProtection="1">
      <alignment horizontal="center" vertical="top" wrapText="1"/>
    </xf>
    <xf numFmtId="0" fontId="22" fillId="0" borderId="11" xfId="382" applyFont="1" applyFill="1" applyBorder="1" applyAlignment="1" applyProtection="1">
      <alignment horizontal="center" vertical="top" wrapText="1"/>
    </xf>
    <xf numFmtId="0" fontId="23" fillId="0" borderId="14" xfId="382" quotePrefix="1" applyFont="1" applyFill="1" applyBorder="1" applyAlignment="1" applyProtection="1">
      <alignment horizontal="center" vertical="top" wrapText="1"/>
    </xf>
    <xf numFmtId="0" fontId="23" fillId="0" borderId="15" xfId="383" quotePrefix="1" applyFont="1" applyFill="1" applyBorder="1" applyAlignment="1" applyProtection="1">
      <alignment horizontal="center" vertical="top" wrapText="1"/>
    </xf>
    <xf numFmtId="0" fontId="22" fillId="0" borderId="10" xfId="382" applyFont="1" applyFill="1" applyBorder="1" applyAlignment="1" applyProtection="1">
      <alignment horizontal="center" vertical="top" wrapText="1"/>
    </xf>
    <xf numFmtId="0" fontId="23" fillId="0" borderId="20" xfId="0" quotePrefix="1" applyFont="1" applyFill="1" applyBorder="1" applyAlignment="1" applyProtection="1">
      <alignment horizontal="center" vertical="top" wrapText="1"/>
    </xf>
    <xf numFmtId="0" fontId="22" fillId="0" borderId="17" xfId="382" applyFont="1" applyFill="1" applyBorder="1" applyAlignment="1" applyProtection="1">
      <alignment horizontal="center" vertical="top"/>
    </xf>
    <xf numFmtId="0" fontId="22" fillId="0" borderId="10" xfId="382" applyFont="1" applyFill="1" applyBorder="1" applyAlignment="1" applyProtection="1">
      <alignment horizontal="center" vertical="top"/>
    </xf>
    <xf numFmtId="0" fontId="23" fillId="0" borderId="17" xfId="382" applyFont="1" applyFill="1" applyBorder="1" applyAlignment="1" applyProtection="1">
      <alignment horizontal="center" vertical="top" wrapText="1"/>
    </xf>
    <xf numFmtId="0" fontId="23" fillId="0" borderId="10" xfId="382" applyFont="1" applyFill="1" applyBorder="1" applyAlignment="1" applyProtection="1">
      <alignment horizontal="center" vertical="top" wrapText="1"/>
    </xf>
    <xf numFmtId="0" fontId="22" fillId="29" borderId="10" xfId="382" applyFont="1" applyFill="1" applyBorder="1" applyAlignment="1" applyProtection="1">
      <alignment horizontal="center" vertical="top" wrapText="1"/>
    </xf>
    <xf numFmtId="0" fontId="23" fillId="0" borderId="11" xfId="382" applyFont="1" applyFill="1" applyBorder="1" applyAlignment="1" applyProtection="1">
      <alignment horizontal="center" vertical="top" wrapText="1"/>
    </xf>
    <xf numFmtId="0" fontId="25" fillId="0" borderId="14" xfId="382" quotePrefix="1" applyFont="1" applyFill="1" applyBorder="1" applyAlignment="1" applyProtection="1">
      <alignment horizontal="center" vertical="top" wrapText="1"/>
    </xf>
    <xf numFmtId="0" fontId="25" fillId="0" borderId="11" xfId="382" quotePrefix="1" applyFont="1" applyFill="1" applyBorder="1" applyAlignment="1" applyProtection="1">
      <alignment horizontal="center" vertical="top" wrapText="1"/>
    </xf>
    <xf numFmtId="0" fontId="23" fillId="0" borderId="15" xfId="0" quotePrefix="1" applyFont="1" applyFill="1" applyBorder="1" applyAlignment="1" applyProtection="1">
      <alignment horizontal="center" vertical="top" wrapText="1"/>
    </xf>
    <xf numFmtId="49" fontId="22" fillId="0" borderId="11" xfId="382" applyNumberFormat="1" applyFont="1" applyFill="1" applyBorder="1" applyAlignment="1" applyProtection="1">
      <alignment horizontal="center" vertical="top" wrapText="1"/>
    </xf>
    <xf numFmtId="49" fontId="22" fillId="0" borderId="17" xfId="383" applyNumberFormat="1" applyFont="1" applyFill="1" applyBorder="1" applyAlignment="1" applyProtection="1">
      <alignment horizontal="center" vertical="top" wrapText="1"/>
    </xf>
    <xf numFmtId="49" fontId="22" fillId="0" borderId="10" xfId="383" applyNumberFormat="1" applyFont="1" applyFill="1" applyBorder="1" applyAlignment="1" applyProtection="1">
      <alignment horizontal="center" vertical="top" wrapText="1"/>
    </xf>
    <xf numFmtId="49" fontId="22" fillId="0" borderId="11" xfId="383" applyNumberFormat="1" applyFont="1" applyFill="1" applyBorder="1" applyAlignment="1" applyProtection="1">
      <alignment horizontal="center" vertical="top" wrapText="1"/>
    </xf>
    <xf numFmtId="0" fontId="22" fillId="0" borderId="11" xfId="382" applyFont="1" applyFill="1" applyBorder="1" applyAlignment="1" applyProtection="1">
      <alignment horizontal="center" vertical="top"/>
    </xf>
    <xf numFmtId="0" fontId="23" fillId="0" borderId="14" xfId="0" applyFont="1" applyFill="1" applyBorder="1" applyAlignment="1" applyProtection="1">
      <alignment horizontal="center" vertical="top" wrapText="1"/>
    </xf>
    <xf numFmtId="0" fontId="23" fillId="0" borderId="10" xfId="0" applyFont="1" applyFill="1" applyBorder="1" applyAlignment="1" applyProtection="1">
      <alignment horizontal="center" vertical="top" wrapText="1"/>
    </xf>
    <xf numFmtId="0" fontId="23" fillId="0" borderId="11" xfId="0" applyFont="1" applyFill="1" applyBorder="1" applyAlignment="1" applyProtection="1">
      <alignment horizontal="center" vertical="top" wrapText="1"/>
    </xf>
    <xf numFmtId="49" fontId="26" fillId="0" borderId="14" xfId="0" applyNumberFormat="1" applyFont="1" applyFill="1" applyBorder="1" applyAlignment="1" applyProtection="1">
      <alignment horizontal="center" vertical="top" wrapText="1"/>
    </xf>
    <xf numFmtId="49" fontId="26" fillId="0" borderId="10" xfId="0" applyNumberFormat="1" applyFont="1" applyFill="1" applyBorder="1" applyAlignment="1" applyProtection="1">
      <alignment horizontal="center" vertical="top" wrapText="1"/>
    </xf>
    <xf numFmtId="49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4" xfId="0" applyFont="1" applyFill="1" applyBorder="1" applyAlignment="1" applyProtection="1">
      <alignment horizontal="center" vertical="top" wrapText="1"/>
    </xf>
    <xf numFmtId="0" fontId="26" fillId="0" borderId="10" xfId="0" applyFont="1" applyFill="1" applyBorder="1" applyAlignment="1" applyProtection="1">
      <alignment horizontal="center" vertical="top" wrapText="1"/>
    </xf>
    <xf numFmtId="49" fontId="22" fillId="0" borderId="20" xfId="382" applyNumberFormat="1" applyFont="1" applyFill="1" applyBorder="1" applyAlignment="1" applyProtection="1">
      <alignment horizontal="center" vertical="top" wrapText="1"/>
    </xf>
    <xf numFmtId="0" fontId="22" fillId="0" borderId="17" xfId="0" applyFont="1" applyFill="1" applyBorder="1" applyAlignment="1" applyProtection="1">
      <alignment horizontal="center" vertical="top" wrapText="1"/>
    </xf>
  </cellXfs>
  <cellStyles count="453">
    <cellStyle name="20% - Accent1 2" xfId="1"/>
    <cellStyle name="20% - Accent1 2 2" xfId="2"/>
    <cellStyle name="20% - Accent1 3" xfId="3"/>
    <cellStyle name="20% - Accent1 3 2" xfId="4"/>
    <cellStyle name="20% - Accent1 4" xfId="5"/>
    <cellStyle name="20% - Accent1 4 2" xfId="6"/>
    <cellStyle name="20% - Accent1 4 2 2" xfId="7"/>
    <cellStyle name="20% - Accent1 4 3" xfId="8"/>
    <cellStyle name="20% - Accent1 5" xfId="9"/>
    <cellStyle name="20% - Accent1 5 2" xfId="10"/>
    <cellStyle name="20% - Accent1 6" xfId="11"/>
    <cellStyle name="20% - Accent1 6 2" xfId="12"/>
    <cellStyle name="20% - Accent1 7" xfId="13"/>
    <cellStyle name="20% - Accent1 7 2" xfId="14"/>
    <cellStyle name="20% - Accent2 2" xfId="15"/>
    <cellStyle name="20% - Accent2 2 2" xfId="16"/>
    <cellStyle name="20% - Accent2 3" xfId="17"/>
    <cellStyle name="20% - Accent2 3 2" xfId="18"/>
    <cellStyle name="20% - Accent2 4" xfId="19"/>
    <cellStyle name="20% - Accent2 4 2" xfId="20"/>
    <cellStyle name="20% - Accent2 4 2 2" xfId="21"/>
    <cellStyle name="20% - Accent2 4 3" xfId="22"/>
    <cellStyle name="20% - Accent2 5" xfId="23"/>
    <cellStyle name="20% - Accent2 5 2" xfId="24"/>
    <cellStyle name="20% - Accent2 6" xfId="25"/>
    <cellStyle name="20% - Accent2 6 2" xfId="26"/>
    <cellStyle name="20% - Accent2 7" xfId="27"/>
    <cellStyle name="20% - Accent2 7 2" xfId="28"/>
    <cellStyle name="20% - Accent3 2" xfId="29"/>
    <cellStyle name="20% - Accent3 2 2" xfId="30"/>
    <cellStyle name="20% - Accent3 3" xfId="31"/>
    <cellStyle name="20% - Accent3 3 2" xfId="32"/>
    <cellStyle name="20% - Accent3 4" xfId="33"/>
    <cellStyle name="20% - Accent3 4 2" xfId="34"/>
    <cellStyle name="20% - Accent3 4 2 2" xfId="35"/>
    <cellStyle name="20% - Accent3 4 3" xfId="36"/>
    <cellStyle name="20% - Accent3 5" xfId="37"/>
    <cellStyle name="20% - Accent3 5 2" xfId="38"/>
    <cellStyle name="20% - Accent3 6" xfId="39"/>
    <cellStyle name="20% - Accent3 6 2" xfId="40"/>
    <cellStyle name="20% - Accent3 7" xfId="41"/>
    <cellStyle name="20% - Accent3 7 2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4 2" xfId="48"/>
    <cellStyle name="20% - Accent4 4 2 2" xfId="49"/>
    <cellStyle name="20% - Accent4 4 3" xfId="50"/>
    <cellStyle name="20% - Accent4 5" xfId="51"/>
    <cellStyle name="20% - Accent4 5 2" xfId="52"/>
    <cellStyle name="20% - Accent4 6" xfId="53"/>
    <cellStyle name="20% - Accent4 6 2" xfId="54"/>
    <cellStyle name="20% - Accent4 7" xfId="55"/>
    <cellStyle name="20% - Accent4 7 2" xfId="56"/>
    <cellStyle name="20% - Accent5 2" xfId="57"/>
    <cellStyle name="20% - Accent5 2 2" xfId="58"/>
    <cellStyle name="20% - Accent5 3" xfId="59"/>
    <cellStyle name="20% - Accent5 3 2" xfId="60"/>
    <cellStyle name="20% - Accent5 4" xfId="61"/>
    <cellStyle name="20% - Accent5 4 2" xfId="62"/>
    <cellStyle name="20% - Accent5 4 2 2" xfId="63"/>
    <cellStyle name="20% - Accent5 4 3" xfId="64"/>
    <cellStyle name="20% - Accent5 5" xfId="65"/>
    <cellStyle name="20% - Accent5 5 2" xfId="66"/>
    <cellStyle name="20% - Accent5 6" xfId="67"/>
    <cellStyle name="20% - Accent5 6 2" xfId="68"/>
    <cellStyle name="20% - Accent5 7" xfId="69"/>
    <cellStyle name="20% - Accent5 7 2" xfId="70"/>
    <cellStyle name="20% - Accent6 2" xfId="71"/>
    <cellStyle name="20% - Accent6 2 2" xfId="72"/>
    <cellStyle name="20% - Accent6 3" xfId="73"/>
    <cellStyle name="20% - Accent6 3 2" xfId="74"/>
    <cellStyle name="20% - Accent6 4" xfId="75"/>
    <cellStyle name="20% - Accent6 4 2" xfId="76"/>
    <cellStyle name="20% - Accent6 4 2 2" xfId="77"/>
    <cellStyle name="20% - Accent6 4 3" xfId="78"/>
    <cellStyle name="20% - Accent6 5" xfId="79"/>
    <cellStyle name="20% - Accent6 5 2" xfId="80"/>
    <cellStyle name="20% - Accent6 6" xfId="81"/>
    <cellStyle name="20% - Accent6 6 2" xfId="82"/>
    <cellStyle name="20% - Accent6 7" xfId="83"/>
    <cellStyle name="20% - Accent6 7 2" xfId="84"/>
    <cellStyle name="40% - Accent1 2" xfId="85"/>
    <cellStyle name="40% - Accent1 2 2" xfId="86"/>
    <cellStyle name="40% - Accent1 3" xfId="87"/>
    <cellStyle name="40% - Accent1 3 2" xfId="88"/>
    <cellStyle name="40% - Accent1 4" xfId="89"/>
    <cellStyle name="40% - Accent1 4 2" xfId="90"/>
    <cellStyle name="40% - Accent1 4 2 2" xfId="91"/>
    <cellStyle name="40% - Accent1 4 3" xfId="92"/>
    <cellStyle name="40% - Accent1 5" xfId="93"/>
    <cellStyle name="40% - Accent1 5 2" xfId="94"/>
    <cellStyle name="40% - Accent1 6" xfId="95"/>
    <cellStyle name="40% - Accent1 6 2" xfId="96"/>
    <cellStyle name="40% - Accent1 7" xfId="97"/>
    <cellStyle name="40% - Accent1 7 2" xfId="98"/>
    <cellStyle name="40% - Accent2 2" xfId="99"/>
    <cellStyle name="40% - Accent2 2 2" xfId="100"/>
    <cellStyle name="40% - Accent2 3" xfId="101"/>
    <cellStyle name="40% - Accent2 3 2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2 5 2" xfId="108"/>
    <cellStyle name="40% - Accent2 6" xfId="109"/>
    <cellStyle name="40% - Accent2 6 2" xfId="110"/>
    <cellStyle name="40% - Accent2 7" xfId="111"/>
    <cellStyle name="40% - Accent2 7 2" xfId="112"/>
    <cellStyle name="40% - Accent3 2" xfId="113"/>
    <cellStyle name="40% - Accent3 2 2" xfId="114"/>
    <cellStyle name="40% - Accent3 3" xfId="115"/>
    <cellStyle name="40% - Accent3 3 2" xfId="116"/>
    <cellStyle name="40% - Accent3 4" xfId="117"/>
    <cellStyle name="40% - Accent3 4 2" xfId="118"/>
    <cellStyle name="40% - Accent3 4 2 2" xfId="119"/>
    <cellStyle name="40% - Accent3 4 3" xfId="120"/>
    <cellStyle name="40% - Accent3 5" xfId="121"/>
    <cellStyle name="40% - Accent3 5 2" xfId="122"/>
    <cellStyle name="40% - Accent3 6" xfId="123"/>
    <cellStyle name="40% - Accent3 6 2" xfId="124"/>
    <cellStyle name="40% - Accent3 7" xfId="125"/>
    <cellStyle name="40% - Accent3 7 2" xfId="126"/>
    <cellStyle name="40% - Accent4 2" xfId="127"/>
    <cellStyle name="40% - Accent4 2 2" xfId="128"/>
    <cellStyle name="40% - Accent4 3" xfId="129"/>
    <cellStyle name="40% - Accent4 3 2" xfId="130"/>
    <cellStyle name="40% - Accent4 4" xfId="131"/>
    <cellStyle name="40% - Accent4 4 2" xfId="132"/>
    <cellStyle name="40% - Accent4 4 2 2" xfId="133"/>
    <cellStyle name="40% - Accent4 4 3" xfId="134"/>
    <cellStyle name="40% - Accent4 5" xfId="135"/>
    <cellStyle name="40% - Accent4 5 2" xfId="136"/>
    <cellStyle name="40% - Accent4 6" xfId="137"/>
    <cellStyle name="40% - Accent4 6 2" xfId="138"/>
    <cellStyle name="40% - Accent4 7" xfId="139"/>
    <cellStyle name="40% - Accent4 7 2" xfId="140"/>
    <cellStyle name="40% - Accent5 2" xfId="141"/>
    <cellStyle name="40% - Accent5 2 2" xfId="142"/>
    <cellStyle name="40% - Accent5 3" xfId="143"/>
    <cellStyle name="40% - Accent5 3 2" xfId="144"/>
    <cellStyle name="40% - Accent5 4" xfId="145"/>
    <cellStyle name="40% - Accent5 4 2" xfId="146"/>
    <cellStyle name="40% - Accent5 4 2 2" xfId="147"/>
    <cellStyle name="40% - Accent5 4 3" xfId="148"/>
    <cellStyle name="40% - Accent5 5" xfId="149"/>
    <cellStyle name="40% - Accent5 5 2" xfId="150"/>
    <cellStyle name="40% - Accent5 6" xfId="151"/>
    <cellStyle name="40% - Accent5 6 2" xfId="152"/>
    <cellStyle name="40% - Accent5 7" xfId="153"/>
    <cellStyle name="40% - Accent5 7 2" xfId="154"/>
    <cellStyle name="40% - Accent6 2" xfId="155"/>
    <cellStyle name="40% - Accent6 2 2" xfId="156"/>
    <cellStyle name="40% - Accent6 3" xfId="157"/>
    <cellStyle name="40% - Accent6 3 2" xfId="158"/>
    <cellStyle name="40% - Accent6 4" xfId="159"/>
    <cellStyle name="40% - Accent6 4 2" xfId="160"/>
    <cellStyle name="40% - Accent6 4 2 2" xfId="161"/>
    <cellStyle name="40% - Accent6 4 3" xfId="162"/>
    <cellStyle name="40% - Accent6 5" xfId="163"/>
    <cellStyle name="40% - Accent6 5 2" xfId="164"/>
    <cellStyle name="40% - Accent6 6" xfId="165"/>
    <cellStyle name="40% - Accent6 6 2" xfId="166"/>
    <cellStyle name="40% - Accent6 7" xfId="167"/>
    <cellStyle name="40% - Accent6 7 2" xfId="168"/>
    <cellStyle name="60% - Accent1 2" xfId="169"/>
    <cellStyle name="60% - Accent1 3" xfId="170"/>
    <cellStyle name="60% - Accent1 4" xfId="171"/>
    <cellStyle name="60% - Accent1 4 2" xfId="172"/>
    <cellStyle name="60% - Accent1 5" xfId="173"/>
    <cellStyle name="60% - Accent1 6" xfId="174"/>
    <cellStyle name="60% - Accent1 7" xfId="175"/>
    <cellStyle name="60% - Accent2 2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 2" xfId="183"/>
    <cellStyle name="60% - Accent3 3" xfId="184"/>
    <cellStyle name="60% - Accent3 4" xfId="185"/>
    <cellStyle name="60% - Accent3 4 2" xfId="186"/>
    <cellStyle name="60% - Accent3 5" xfId="187"/>
    <cellStyle name="60% - Accent3 6" xfId="188"/>
    <cellStyle name="60% - Accent3 7" xfId="189"/>
    <cellStyle name="60% - Accent4 2" xfId="190"/>
    <cellStyle name="60% - Accent4 3" xfId="191"/>
    <cellStyle name="60% - Accent4 4" xfId="192"/>
    <cellStyle name="60% - Accent4 4 2" xfId="193"/>
    <cellStyle name="60% - Accent4 5" xfId="194"/>
    <cellStyle name="60% - Accent4 6" xfId="195"/>
    <cellStyle name="60% - Accent4 7" xfId="196"/>
    <cellStyle name="60% - Accent5 2" xfId="197"/>
    <cellStyle name="60% - Accent5 3" xfId="198"/>
    <cellStyle name="60% - Accent5 4" xfId="199"/>
    <cellStyle name="60% - Accent5 4 2" xfId="200"/>
    <cellStyle name="60% - Accent5 5" xfId="201"/>
    <cellStyle name="60% - Accent5 6" xfId="202"/>
    <cellStyle name="60% - Accent5 7" xfId="203"/>
    <cellStyle name="60% - Accent6 2" xfId="204"/>
    <cellStyle name="60% - Accent6 3" xfId="205"/>
    <cellStyle name="60% - Accent6 4" xfId="206"/>
    <cellStyle name="60% - Accent6 4 2" xfId="207"/>
    <cellStyle name="60% - Accent6 5" xfId="208"/>
    <cellStyle name="60% - Accent6 6" xfId="209"/>
    <cellStyle name="60% - Accent6 7" xfId="210"/>
    <cellStyle name="Accent1 2" xfId="211"/>
    <cellStyle name="Accent1 3" xfId="212"/>
    <cellStyle name="Accent1 4" xfId="213"/>
    <cellStyle name="Accent1 4 2" xfId="214"/>
    <cellStyle name="Accent1 5" xfId="215"/>
    <cellStyle name="Accent1 6" xfId="216"/>
    <cellStyle name="Accent1 7" xfId="217"/>
    <cellStyle name="Accent2 2" xfId="218"/>
    <cellStyle name="Accent2 3" xfId="219"/>
    <cellStyle name="Accent2 4" xfId="220"/>
    <cellStyle name="Accent2 4 2" xfId="221"/>
    <cellStyle name="Accent2 5" xfId="222"/>
    <cellStyle name="Accent2 6" xfId="223"/>
    <cellStyle name="Accent2 7" xfId="224"/>
    <cellStyle name="Accent3 2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3" xfId="233"/>
    <cellStyle name="Accent4 4" xfId="234"/>
    <cellStyle name="Accent4 4 2" xfId="235"/>
    <cellStyle name="Accent4 5" xfId="236"/>
    <cellStyle name="Accent4 6" xfId="237"/>
    <cellStyle name="Accent4 7" xfId="238"/>
    <cellStyle name="Accent5 2" xfId="239"/>
    <cellStyle name="Accent5 3" xfId="240"/>
    <cellStyle name="Accent5 4" xfId="241"/>
    <cellStyle name="Accent5 4 2" xfId="242"/>
    <cellStyle name="Accent5 5" xfId="243"/>
    <cellStyle name="Accent5 6" xfId="244"/>
    <cellStyle name="Accent5 7" xfId="245"/>
    <cellStyle name="Accent6 2" xfId="246"/>
    <cellStyle name="Accent6 3" xfId="247"/>
    <cellStyle name="Accent6 4" xfId="248"/>
    <cellStyle name="Accent6 4 2" xfId="249"/>
    <cellStyle name="Accent6 5" xfId="250"/>
    <cellStyle name="Accent6 6" xfId="251"/>
    <cellStyle name="Accent6 7" xfId="252"/>
    <cellStyle name="Bad 2" xfId="253"/>
    <cellStyle name="Bad 3" xfId="254"/>
    <cellStyle name="Bad 4" xfId="255"/>
    <cellStyle name="Bad 4 2" xfId="256"/>
    <cellStyle name="Bad 5" xfId="257"/>
    <cellStyle name="Bad 6" xfId="258"/>
    <cellStyle name="Bad 7" xfId="259"/>
    <cellStyle name="Calculation 2" xfId="260"/>
    <cellStyle name="Calculation 3" xfId="261"/>
    <cellStyle name="Calculation 4" xfId="262"/>
    <cellStyle name="Calculation 4 2" xfId="263"/>
    <cellStyle name="Calculation 4_SAN2009-IIIxlsx" xfId="264"/>
    <cellStyle name="Calculation 5" xfId="265"/>
    <cellStyle name="Calculation 6" xfId="266"/>
    <cellStyle name="Calculation 7" xfId="267"/>
    <cellStyle name="Check Cell 2" xfId="268"/>
    <cellStyle name="Check Cell 3" xfId="269"/>
    <cellStyle name="Check Cell 4" xfId="270"/>
    <cellStyle name="Check Cell 4 2" xfId="271"/>
    <cellStyle name="Check Cell 4_SAN2009-IIIxlsx" xfId="272"/>
    <cellStyle name="Check Cell 5" xfId="273"/>
    <cellStyle name="Check Cell 6" xfId="274"/>
    <cellStyle name="Check Cell 7" xfId="275"/>
    <cellStyle name="Comma" xfId="276" builtinId="3"/>
    <cellStyle name="Comma 10" xfId="277"/>
    <cellStyle name="Comma 10 2" xfId="278"/>
    <cellStyle name="Comma 2" xfId="279"/>
    <cellStyle name="Comma 2 2" xfId="280"/>
    <cellStyle name="Comma 2 3" xfId="281"/>
    <cellStyle name="Comma 3" xfId="282"/>
    <cellStyle name="Comma 3 2" xfId="283"/>
    <cellStyle name="Comma 3 3" xfId="284"/>
    <cellStyle name="Comma 4" xfId="285"/>
    <cellStyle name="Comma 4 2" xfId="286"/>
    <cellStyle name="Comma 5" xfId="287"/>
    <cellStyle name="Comma 5 2" xfId="288"/>
    <cellStyle name="Comma 7" xfId="452"/>
    <cellStyle name="Currency 2" xfId="289"/>
    <cellStyle name="Currency 2 2" xfId="290"/>
    <cellStyle name="Explanatory Text 2" xfId="291"/>
    <cellStyle name="Explanatory Text 3" xfId="292"/>
    <cellStyle name="Explanatory Text 4" xfId="293"/>
    <cellStyle name="Explanatory Text 4 2" xfId="294"/>
    <cellStyle name="Explanatory Text 5" xfId="295"/>
    <cellStyle name="Explanatory Text 6" xfId="296"/>
    <cellStyle name="Explanatory Text 7" xfId="297"/>
    <cellStyle name="Good 2" xfId="298"/>
    <cellStyle name="Good 3" xfId="299"/>
    <cellStyle name="Good 4" xfId="300"/>
    <cellStyle name="Good 4 2" xfId="301"/>
    <cellStyle name="Good 5" xfId="302"/>
    <cellStyle name="Good 6" xfId="303"/>
    <cellStyle name="Good 7" xfId="304"/>
    <cellStyle name="Heading 1 2" xfId="305"/>
    <cellStyle name="Heading 1 3" xfId="306"/>
    <cellStyle name="Heading 1 4" xfId="307"/>
    <cellStyle name="Heading 1 4 2" xfId="308"/>
    <cellStyle name="Heading 1 4_SAN2009-IIIxlsx" xfId="309"/>
    <cellStyle name="Heading 1 5" xfId="310"/>
    <cellStyle name="Heading 1 6" xfId="311"/>
    <cellStyle name="Heading 1 7" xfId="312"/>
    <cellStyle name="Heading 2 2" xfId="313"/>
    <cellStyle name="Heading 2 3" xfId="314"/>
    <cellStyle name="Heading 2 4" xfId="315"/>
    <cellStyle name="Heading 2 4 2" xfId="316"/>
    <cellStyle name="Heading 2 4_SAN2009-IIIxlsx" xfId="317"/>
    <cellStyle name="Heading 2 5" xfId="318"/>
    <cellStyle name="Heading 2 6" xfId="319"/>
    <cellStyle name="Heading 2 7" xfId="320"/>
    <cellStyle name="Heading 3 2" xfId="321"/>
    <cellStyle name="Heading 3 3" xfId="322"/>
    <cellStyle name="Heading 3 4" xfId="323"/>
    <cellStyle name="Heading 3 4 2" xfId="324"/>
    <cellStyle name="Heading 3 4_SAN2009-IIIxlsx" xfId="325"/>
    <cellStyle name="Heading 3 5" xfId="326"/>
    <cellStyle name="Heading 3 6" xfId="327"/>
    <cellStyle name="Heading 3 7" xfId="328"/>
    <cellStyle name="Heading 4 2" xfId="329"/>
    <cellStyle name="Heading 4 3" xfId="330"/>
    <cellStyle name="Heading 4 4" xfId="331"/>
    <cellStyle name="Heading 4 4 2" xfId="332"/>
    <cellStyle name="Heading 4 5" xfId="333"/>
    <cellStyle name="Heading 4 6" xfId="334"/>
    <cellStyle name="Heading 4 7" xfId="335"/>
    <cellStyle name="Hyperlink" xfId="336" builtinId="8"/>
    <cellStyle name="Input 2" xfId="337"/>
    <cellStyle name="Input 3" xfId="338"/>
    <cellStyle name="Input 4" xfId="339"/>
    <cellStyle name="Input 4 2" xfId="340"/>
    <cellStyle name="Input 4_SAN2009-IIIxlsx" xfId="341"/>
    <cellStyle name="Input 5" xfId="342"/>
    <cellStyle name="Input 6" xfId="343"/>
    <cellStyle name="Input 7" xfId="344"/>
    <cellStyle name="Linked Cell 2" xfId="345"/>
    <cellStyle name="Linked Cell 3" xfId="346"/>
    <cellStyle name="Linked Cell 4" xfId="347"/>
    <cellStyle name="Linked Cell 4 2" xfId="348"/>
    <cellStyle name="Linked Cell 4_SAN2009-IIIxlsx" xfId="349"/>
    <cellStyle name="Linked Cell 5" xfId="350"/>
    <cellStyle name="Linked Cell 6" xfId="351"/>
    <cellStyle name="Linked Cell 7" xfId="352"/>
    <cellStyle name="Neutral 2" xfId="353"/>
    <cellStyle name="Neutral 3" xfId="354"/>
    <cellStyle name="Neutral 4" xfId="355"/>
    <cellStyle name="Neutral 4 2" xfId="356"/>
    <cellStyle name="Neutral 5" xfId="357"/>
    <cellStyle name="Neutral 6" xfId="358"/>
    <cellStyle name="Neutral 7" xfId="359"/>
    <cellStyle name="Normal" xfId="0" builtinId="0"/>
    <cellStyle name="Normal 10" xfId="360"/>
    <cellStyle name="Normal 11" xfId="361"/>
    <cellStyle name="Normal 12" xfId="362"/>
    <cellStyle name="Normal 13" xfId="363"/>
    <cellStyle name="Normal 13 2" xfId="364"/>
    <cellStyle name="Normal 14" xfId="365"/>
    <cellStyle name="Normal 14 2" xfId="366"/>
    <cellStyle name="Normal 2" xfId="367"/>
    <cellStyle name="Normal 2 2" xfId="368"/>
    <cellStyle name="Normal 2 2 2" xfId="369"/>
    <cellStyle name="Normal 2 2 3" xfId="370"/>
    <cellStyle name="Normal 2 2 4" xfId="371"/>
    <cellStyle name="Normal 2 2 5" xfId="372"/>
    <cellStyle name="Normal 2 2_samsheneblo 2009-II" xfId="373"/>
    <cellStyle name="Normal 2 3" xfId="374"/>
    <cellStyle name="Normal 2 4" xfId="375"/>
    <cellStyle name="Normal 2 5" xfId="376"/>
    <cellStyle name="Normal 2 6" xfId="377"/>
    <cellStyle name="Normal 2 7" xfId="378"/>
    <cellStyle name="Normal 2_samseneblo - 2009" xfId="379"/>
    <cellStyle name="Normal 26" xfId="380"/>
    <cellStyle name="Normal 27" xfId="381"/>
    <cellStyle name="Normal 3" xfId="382"/>
    <cellStyle name="Normal 3 2" xfId="383"/>
    <cellStyle name="Normal 3 3" xfId="384"/>
    <cellStyle name="Normal 31" xfId="385"/>
    <cellStyle name="Normal 4" xfId="386"/>
    <cellStyle name="Normal 4 2" xfId="387"/>
    <cellStyle name="Normal 4 2 2" xfId="388"/>
    <cellStyle name="Normal 5" xfId="389"/>
    <cellStyle name="Normal 6" xfId="390"/>
    <cellStyle name="Normal 7" xfId="391"/>
    <cellStyle name="Normal 8" xfId="392"/>
    <cellStyle name="Normal 8 2" xfId="393"/>
    <cellStyle name="Normal 9" xfId="394"/>
    <cellStyle name="Normal 9 2" xfId="395"/>
    <cellStyle name="Normal 9 2 2" xfId="396"/>
    <cellStyle name="Normal_gare wyalsadfenigagarini 2_SMSH2008-IIkv ." xfId="397"/>
    <cellStyle name="Note 2" xfId="398"/>
    <cellStyle name="Note 2 2" xfId="399"/>
    <cellStyle name="Note 3" xfId="400"/>
    <cellStyle name="Note 3 2" xfId="401"/>
    <cellStyle name="Note 4" xfId="402"/>
    <cellStyle name="Note 4 2" xfId="403"/>
    <cellStyle name="Note 4 2 2" xfId="404"/>
    <cellStyle name="Note 4 3" xfId="405"/>
    <cellStyle name="Note 4_SAN2009-IIIxlsx" xfId="406"/>
    <cellStyle name="Note 5" xfId="407"/>
    <cellStyle name="Note 5 2" xfId="408"/>
    <cellStyle name="Note 6" xfId="409"/>
    <cellStyle name="Note 6 2" xfId="410"/>
    <cellStyle name="Note 7" xfId="411"/>
    <cellStyle name="Note 7 2" xfId="412"/>
    <cellStyle name="Output 2" xfId="413"/>
    <cellStyle name="Output 3" xfId="414"/>
    <cellStyle name="Output 4" xfId="415"/>
    <cellStyle name="Output 4 2" xfId="416"/>
    <cellStyle name="Output 4_SAN2009-IIIxlsx" xfId="417"/>
    <cellStyle name="Output 5" xfId="418"/>
    <cellStyle name="Output 6" xfId="419"/>
    <cellStyle name="Output 7" xfId="420"/>
    <cellStyle name="Percent" xfId="421" builtinId="5"/>
    <cellStyle name="Percent 2" xfId="422"/>
    <cellStyle name="Percent 2 2" xfId="423"/>
    <cellStyle name="Percent 2 2 2" xfId="424"/>
    <cellStyle name="Percent 2 3" xfId="425"/>
    <cellStyle name="Percent 3" xfId="426"/>
    <cellStyle name="Percent 3 2" xfId="427"/>
    <cellStyle name="Style 1" xfId="428"/>
    <cellStyle name="Title 2" xfId="429"/>
    <cellStyle name="Title 3" xfId="430"/>
    <cellStyle name="Title 4" xfId="431"/>
    <cellStyle name="Title 4 2" xfId="432"/>
    <cellStyle name="Title 5" xfId="433"/>
    <cellStyle name="Title 6" xfId="434"/>
    <cellStyle name="Title 7" xfId="435"/>
    <cellStyle name="Total 2" xfId="436"/>
    <cellStyle name="Total 3" xfId="437"/>
    <cellStyle name="Total 4" xfId="438"/>
    <cellStyle name="Total 4 2" xfId="439"/>
    <cellStyle name="Total 4_SAN2009-IIIxlsx" xfId="440"/>
    <cellStyle name="Total 5" xfId="441"/>
    <cellStyle name="Total 6" xfId="442"/>
    <cellStyle name="Total 7" xfId="443"/>
    <cellStyle name="Warning Text 2" xfId="444"/>
    <cellStyle name="Warning Text 3" xfId="445"/>
    <cellStyle name="Warning Text 4" xfId="446"/>
    <cellStyle name="Warning Text 4 2" xfId="447"/>
    <cellStyle name="Warning Text 5" xfId="448"/>
    <cellStyle name="Warning Text 6" xfId="449"/>
    <cellStyle name="Warning Text 7" xfId="450"/>
    <cellStyle name="㼿㼿㼿㼿㼿㼿" xfId="451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R912"/>
  <sheetViews>
    <sheetView tabSelected="1" zoomScaleNormal="100" zoomScaleSheetLayoutView="100" workbookViewId="0">
      <pane ySplit="7" topLeftCell="A493" activePane="bottomLeft" state="frozen"/>
      <selection pane="bottomLeft" activeCell="C918" sqref="C918"/>
    </sheetView>
  </sheetViews>
  <sheetFormatPr defaultColWidth="11.42578125" defaultRowHeight="13.5"/>
  <cols>
    <col min="1" max="1" width="6.140625" style="1371" customWidth="1"/>
    <col min="2" max="2" width="7.42578125" style="646" customWidth="1"/>
    <col min="3" max="3" width="49.85546875" style="646" customWidth="1"/>
    <col min="4" max="4" width="9.7109375" style="646" customWidth="1"/>
    <col min="5" max="5" width="10.140625" style="1362" bestFit="1" customWidth="1"/>
    <col min="6" max="9" width="6.5703125" style="646" bestFit="1" customWidth="1"/>
    <col min="10" max="12" width="7.5703125" style="646" bestFit="1" customWidth="1"/>
    <col min="13" max="13" width="13.42578125" style="646" bestFit="1" customWidth="1"/>
    <col min="14" max="14" width="12.85546875" style="646" bestFit="1" customWidth="1"/>
    <col min="15" max="15" width="10.42578125" style="646" customWidth="1"/>
    <col min="16" max="16" width="11.42578125" style="646"/>
    <col min="17" max="17" width="21" style="646" customWidth="1"/>
    <col min="18" max="16384" width="11.42578125" style="646"/>
  </cols>
  <sheetData>
    <row r="1" spans="1:16" ht="21.75" customHeight="1">
      <c r="C1" s="1387" t="s">
        <v>11</v>
      </c>
      <c r="D1" s="1393" t="s">
        <v>1826</v>
      </c>
      <c r="E1" s="1394"/>
      <c r="F1" s="1395"/>
      <c r="G1" s="1395"/>
      <c r="H1" s="1395"/>
      <c r="I1" s="1395"/>
      <c r="J1" s="1395"/>
      <c r="K1" s="1395"/>
      <c r="L1" s="1395"/>
      <c r="M1" s="1396"/>
    </row>
    <row r="2" spans="1:16">
      <c r="C2" s="647" t="s">
        <v>54</v>
      </c>
      <c r="D2" s="648"/>
      <c r="E2" s="1373"/>
      <c r="F2" s="649"/>
      <c r="G2" s="649"/>
      <c r="H2" s="649"/>
      <c r="I2" s="649"/>
      <c r="J2" s="650"/>
      <c r="K2" s="649"/>
      <c r="L2" s="651"/>
    </row>
    <row r="3" spans="1:16">
      <c r="C3" s="652" t="s">
        <v>10</v>
      </c>
      <c r="D3" s="653"/>
      <c r="F3" s="654"/>
      <c r="G3" s="1401" t="s">
        <v>104</v>
      </c>
      <c r="H3" s="1401"/>
      <c r="I3" s="1401"/>
      <c r="J3" s="1401"/>
      <c r="K3" s="1401"/>
      <c r="L3" s="655">
        <f>L907</f>
        <v>0</v>
      </c>
      <c r="M3" s="656"/>
      <c r="N3" s="657" t="e">
        <f>ხარჯთაღრიცხვა!#REF!</f>
        <v>#REF!</v>
      </c>
    </row>
    <row r="4" spans="1:16" ht="15" customHeight="1">
      <c r="C4" s="652"/>
      <c r="D4" s="653"/>
      <c r="E4" s="1374"/>
      <c r="F4" s="658"/>
      <c r="G4" s="1403" t="s">
        <v>105</v>
      </c>
      <c r="H4" s="1403"/>
      <c r="I4" s="1403"/>
      <c r="J4" s="1403"/>
      <c r="K4" s="1403"/>
      <c r="L4" s="655">
        <f>I907</f>
        <v>0</v>
      </c>
    </row>
    <row r="5" spans="1:16" ht="32.25" customHeight="1">
      <c r="A5" s="1415" t="s">
        <v>106</v>
      </c>
      <c r="B5" s="1410" t="s">
        <v>810</v>
      </c>
      <c r="C5" s="1406" t="s">
        <v>711</v>
      </c>
      <c r="D5" s="1417" t="s">
        <v>107</v>
      </c>
      <c r="E5" s="1399" t="s">
        <v>111</v>
      </c>
      <c r="F5" s="1409" t="s">
        <v>109</v>
      </c>
      <c r="G5" s="1409"/>
      <c r="H5" s="1409" t="s">
        <v>108</v>
      </c>
      <c r="I5" s="1409"/>
      <c r="J5" s="1404" t="s">
        <v>737</v>
      </c>
      <c r="K5" s="1405"/>
      <c r="L5" s="1397" t="s">
        <v>110</v>
      </c>
      <c r="M5" s="1397" t="s">
        <v>839</v>
      </c>
    </row>
    <row r="6" spans="1:16" ht="27">
      <c r="A6" s="1416"/>
      <c r="B6" s="1411"/>
      <c r="C6" s="1406"/>
      <c r="D6" s="1418"/>
      <c r="E6" s="1400"/>
      <c r="F6" s="660" t="s">
        <v>34</v>
      </c>
      <c r="G6" s="661" t="s">
        <v>111</v>
      </c>
      <c r="H6" s="662" t="s">
        <v>34</v>
      </c>
      <c r="I6" s="661" t="s">
        <v>111</v>
      </c>
      <c r="J6" s="662" t="s">
        <v>34</v>
      </c>
      <c r="K6" s="661" t="s">
        <v>111</v>
      </c>
      <c r="L6" s="1398"/>
      <c r="M6" s="1398"/>
    </row>
    <row r="7" spans="1:16" ht="27">
      <c r="A7" s="663">
        <v>1</v>
      </c>
      <c r="B7" s="663">
        <v>2</v>
      </c>
      <c r="C7" s="664">
        <v>3</v>
      </c>
      <c r="D7" s="665">
        <v>4</v>
      </c>
      <c r="E7" s="666" t="s">
        <v>916</v>
      </c>
      <c r="F7" s="664">
        <v>6</v>
      </c>
      <c r="G7" s="664">
        <v>7</v>
      </c>
      <c r="H7" s="664">
        <v>8</v>
      </c>
      <c r="I7" s="664">
        <v>9</v>
      </c>
      <c r="J7" s="664">
        <v>10</v>
      </c>
      <c r="K7" s="664">
        <v>11</v>
      </c>
      <c r="L7" s="664">
        <v>12</v>
      </c>
      <c r="M7" s="323"/>
      <c r="N7" s="667" t="s">
        <v>863</v>
      </c>
    </row>
    <row r="8" spans="1:16" ht="16.5" customHeight="1">
      <c r="A8" s="1361"/>
      <c r="B8" s="195"/>
      <c r="C8" s="118" t="s">
        <v>76</v>
      </c>
      <c r="D8" s="324"/>
      <c r="E8" s="327"/>
      <c r="F8" s="326"/>
      <c r="G8" s="326"/>
      <c r="H8" s="326"/>
      <c r="I8" s="326"/>
      <c r="J8" s="659"/>
      <c r="K8" s="326"/>
      <c r="L8" s="326"/>
      <c r="M8" s="323"/>
      <c r="N8" s="322"/>
    </row>
    <row r="9" spans="1:16" hidden="1">
      <c r="A9" s="195">
        <v>1</v>
      </c>
      <c r="B9" s="195"/>
      <c r="C9" s="26" t="s">
        <v>1678</v>
      </c>
      <c r="D9" s="24" t="s">
        <v>112</v>
      </c>
      <c r="E9" s="123"/>
      <c r="F9" s="326"/>
      <c r="G9" s="326"/>
      <c r="H9" s="326"/>
      <c r="I9" s="326"/>
      <c r="J9" s="659"/>
      <c r="K9" s="326"/>
      <c r="L9" s="326"/>
      <c r="M9" s="323"/>
      <c r="N9" s="323"/>
    </row>
    <row r="10" spans="1:16" hidden="1">
      <c r="A10" s="195">
        <v>2</v>
      </c>
      <c r="B10" s="195"/>
      <c r="C10" s="26" t="s">
        <v>838</v>
      </c>
      <c r="D10" s="24" t="s">
        <v>112</v>
      </c>
      <c r="E10" s="123"/>
      <c r="F10" s="326"/>
      <c r="G10" s="326"/>
      <c r="H10" s="326"/>
      <c r="I10" s="326"/>
      <c r="J10" s="659"/>
      <c r="K10" s="326"/>
      <c r="L10" s="326"/>
      <c r="M10" s="323"/>
      <c r="N10" s="322"/>
    </row>
    <row r="11" spans="1:16" hidden="1">
      <c r="A11" s="195">
        <v>3</v>
      </c>
      <c r="B11" s="195"/>
      <c r="C11" s="26" t="s">
        <v>1259</v>
      </c>
      <c r="D11" s="24" t="s">
        <v>112</v>
      </c>
      <c r="E11" s="123"/>
      <c r="F11" s="326"/>
      <c r="G11" s="326"/>
      <c r="H11" s="326"/>
      <c r="I11" s="326"/>
      <c r="J11" s="659"/>
      <c r="K11" s="326"/>
      <c r="L11" s="326"/>
      <c r="M11" s="323" t="s">
        <v>859</v>
      </c>
      <c r="N11" s="322"/>
    </row>
    <row r="12" spans="1:16" ht="27" hidden="1">
      <c r="A12" s="195">
        <v>4</v>
      </c>
      <c r="B12" s="195"/>
      <c r="C12" s="26" t="s">
        <v>1679</v>
      </c>
      <c r="D12" s="24" t="s">
        <v>437</v>
      </c>
      <c r="E12" s="123"/>
      <c r="F12" s="326"/>
      <c r="G12" s="326"/>
      <c r="H12" s="326"/>
      <c r="I12" s="326"/>
      <c r="J12" s="659"/>
      <c r="K12" s="326"/>
      <c r="L12" s="326"/>
      <c r="M12" s="323"/>
      <c r="N12" s="323"/>
      <c r="P12" s="672"/>
    </row>
    <row r="13" spans="1:16" hidden="1">
      <c r="A13" s="195">
        <v>5</v>
      </c>
      <c r="B13" s="195"/>
      <c r="C13" s="101" t="s">
        <v>996</v>
      </c>
      <c r="D13" s="24" t="s">
        <v>112</v>
      </c>
      <c r="E13" s="123"/>
      <c r="F13" s="326"/>
      <c r="G13" s="326"/>
      <c r="H13" s="326"/>
      <c r="I13" s="326"/>
      <c r="J13" s="659"/>
      <c r="K13" s="326"/>
      <c r="L13" s="326"/>
      <c r="M13" s="323"/>
      <c r="N13" s="322"/>
    </row>
    <row r="14" spans="1:16">
      <c r="A14" s="1361">
        <v>1</v>
      </c>
      <c r="B14" s="195"/>
      <c r="C14" s="101" t="s">
        <v>941</v>
      </c>
      <c r="D14" s="24" t="s">
        <v>112</v>
      </c>
      <c r="E14" s="455">
        <v>64.47</v>
      </c>
      <c r="F14" s="326"/>
      <c r="G14" s="326"/>
      <c r="H14" s="326"/>
      <c r="I14" s="326"/>
      <c r="J14" s="659"/>
      <c r="K14" s="326"/>
      <c r="L14" s="326"/>
      <c r="M14" s="323"/>
      <c r="N14" s="323"/>
    </row>
    <row r="15" spans="1:16" hidden="1">
      <c r="A15" s="195">
        <v>7</v>
      </c>
      <c r="B15" s="195"/>
      <c r="C15" s="101" t="s">
        <v>866</v>
      </c>
      <c r="D15" s="24" t="s">
        <v>112</v>
      </c>
      <c r="E15" s="123"/>
      <c r="F15" s="326"/>
      <c r="G15" s="326"/>
      <c r="H15" s="326"/>
      <c r="I15" s="326"/>
      <c r="J15" s="659"/>
      <c r="K15" s="326"/>
      <c r="L15" s="326"/>
      <c r="M15" s="323"/>
      <c r="N15" s="322"/>
    </row>
    <row r="16" spans="1:16" hidden="1">
      <c r="A16" s="195">
        <v>8</v>
      </c>
      <c r="B16" s="195"/>
      <c r="C16" s="101" t="s">
        <v>903</v>
      </c>
      <c r="D16" s="24" t="s">
        <v>112</v>
      </c>
      <c r="E16" s="123"/>
      <c r="F16" s="326"/>
      <c r="G16" s="326"/>
      <c r="H16" s="326"/>
      <c r="I16" s="326"/>
      <c r="J16" s="659"/>
      <c r="K16" s="326"/>
      <c r="L16" s="326"/>
      <c r="M16" s="323"/>
      <c r="N16" s="322"/>
    </row>
    <row r="17" spans="1:14" hidden="1">
      <c r="A17" s="195">
        <v>9</v>
      </c>
      <c r="B17" s="195"/>
      <c r="C17" s="26" t="s">
        <v>414</v>
      </c>
      <c r="D17" s="24" t="s">
        <v>437</v>
      </c>
      <c r="E17" s="123"/>
      <c r="F17" s="326"/>
      <c r="G17" s="326"/>
      <c r="H17" s="326"/>
      <c r="I17" s="326"/>
      <c r="J17" s="659"/>
      <c r="K17" s="326"/>
      <c r="L17" s="326"/>
      <c r="M17" s="323"/>
      <c r="N17" s="322"/>
    </row>
    <row r="18" spans="1:14">
      <c r="A18" s="1361">
        <v>2</v>
      </c>
      <c r="B18" s="195"/>
      <c r="C18" s="26" t="s">
        <v>1476</v>
      </c>
      <c r="D18" s="24" t="s">
        <v>437</v>
      </c>
      <c r="E18" s="455">
        <v>2.15</v>
      </c>
      <c r="F18" s="326"/>
      <c r="G18" s="326"/>
      <c r="H18" s="326"/>
      <c r="I18" s="326"/>
      <c r="J18" s="659"/>
      <c r="K18" s="326"/>
      <c r="L18" s="326"/>
      <c r="M18" s="323"/>
      <c r="N18" s="322"/>
    </row>
    <row r="19" spans="1:14" hidden="1">
      <c r="A19" s="195">
        <v>9</v>
      </c>
      <c r="B19" s="195"/>
      <c r="C19" s="26" t="s">
        <v>1474</v>
      </c>
      <c r="D19" s="24" t="s">
        <v>437</v>
      </c>
      <c r="E19" s="123"/>
      <c r="F19" s="326"/>
      <c r="G19" s="326"/>
      <c r="H19" s="326"/>
      <c r="I19" s="326"/>
      <c r="J19" s="659"/>
      <c r="K19" s="326"/>
      <c r="L19" s="326"/>
      <c r="M19" s="323"/>
      <c r="N19" s="322"/>
    </row>
    <row r="20" spans="1:14" hidden="1">
      <c r="A20" s="195">
        <v>10</v>
      </c>
      <c r="B20" s="195"/>
      <c r="C20" s="26" t="s">
        <v>867</v>
      </c>
      <c r="D20" s="24" t="s">
        <v>437</v>
      </c>
      <c r="E20" s="123"/>
      <c r="F20" s="326"/>
      <c r="G20" s="326"/>
      <c r="H20" s="326"/>
      <c r="I20" s="326"/>
      <c r="J20" s="659"/>
      <c r="K20" s="326"/>
      <c r="L20" s="326"/>
      <c r="M20" s="323"/>
      <c r="N20" s="323"/>
    </row>
    <row r="21" spans="1:14">
      <c r="A21" s="1361">
        <v>3</v>
      </c>
      <c r="B21" s="195"/>
      <c r="C21" s="101" t="s">
        <v>1729</v>
      </c>
      <c r="D21" s="24" t="s">
        <v>112</v>
      </c>
      <c r="E21" s="455">
        <v>81</v>
      </c>
      <c r="F21" s="326"/>
      <c r="G21" s="326"/>
      <c r="H21" s="326"/>
      <c r="I21" s="326"/>
      <c r="J21" s="659"/>
      <c r="K21" s="326"/>
      <c r="L21" s="326"/>
      <c r="M21" s="323"/>
      <c r="N21" s="322"/>
    </row>
    <row r="22" spans="1:14" hidden="1">
      <c r="A22" s="195">
        <v>12</v>
      </c>
      <c r="B22" s="195"/>
      <c r="C22" s="26" t="s">
        <v>16</v>
      </c>
      <c r="D22" s="24" t="s">
        <v>112</v>
      </c>
      <c r="E22" s="455"/>
      <c r="F22" s="670"/>
      <c r="G22" s="326"/>
      <c r="H22" s="670"/>
      <c r="I22" s="326"/>
      <c r="J22" s="671"/>
      <c r="K22" s="326"/>
      <c r="L22" s="326"/>
      <c r="M22" s="323"/>
      <c r="N22" s="322"/>
    </row>
    <row r="23" spans="1:14" hidden="1">
      <c r="A23" s="195">
        <v>13</v>
      </c>
      <c r="B23" s="195"/>
      <c r="C23" s="26" t="s">
        <v>22</v>
      </c>
      <c r="D23" s="24" t="s">
        <v>112</v>
      </c>
      <c r="E23" s="455"/>
      <c r="F23" s="670"/>
      <c r="G23" s="326"/>
      <c r="H23" s="670"/>
      <c r="I23" s="326"/>
      <c r="J23" s="671"/>
      <c r="K23" s="326"/>
      <c r="L23" s="326"/>
      <c r="M23" s="323"/>
      <c r="N23" s="322"/>
    </row>
    <row r="24" spans="1:14">
      <c r="A24" s="1361">
        <v>4</v>
      </c>
      <c r="B24" s="195"/>
      <c r="C24" s="101" t="s">
        <v>17</v>
      </c>
      <c r="D24" s="24" t="s">
        <v>112</v>
      </c>
      <c r="E24" s="455">
        <v>81</v>
      </c>
      <c r="F24" s="326"/>
      <c r="G24" s="326"/>
      <c r="H24" s="326"/>
      <c r="I24" s="326"/>
      <c r="J24" s="659"/>
      <c r="K24" s="326"/>
      <c r="L24" s="326"/>
      <c r="M24" s="323"/>
      <c r="N24" s="322"/>
    </row>
    <row r="25" spans="1:14" s="672" customFormat="1" hidden="1">
      <c r="A25" s="195">
        <v>15</v>
      </c>
      <c r="B25" s="195"/>
      <c r="C25" s="101" t="s">
        <v>1680</v>
      </c>
      <c r="D25" s="24" t="s">
        <v>437</v>
      </c>
      <c r="E25" s="123"/>
      <c r="F25" s="326"/>
      <c r="G25" s="326"/>
      <c r="H25" s="326"/>
      <c r="I25" s="326"/>
      <c r="J25" s="659"/>
      <c r="K25" s="326"/>
      <c r="L25" s="326"/>
      <c r="M25" s="323"/>
      <c r="N25" s="323"/>
    </row>
    <row r="26" spans="1:14" s="672" customFormat="1" hidden="1">
      <c r="A26" s="195"/>
      <c r="B26" s="195"/>
      <c r="C26" s="101" t="s">
        <v>1469</v>
      </c>
      <c r="D26" s="24" t="s">
        <v>437</v>
      </c>
      <c r="E26" s="123"/>
      <c r="F26" s="326"/>
      <c r="G26" s="326"/>
      <c r="H26" s="326"/>
      <c r="I26" s="326"/>
      <c r="J26" s="659"/>
      <c r="K26" s="326"/>
      <c r="L26" s="326"/>
      <c r="M26" s="323"/>
      <c r="N26" s="323"/>
    </row>
    <row r="27" spans="1:14" s="672" customFormat="1" hidden="1">
      <c r="A27" s="195"/>
      <c r="B27" s="195"/>
      <c r="C27" s="101" t="s">
        <v>1470</v>
      </c>
      <c r="D27" s="24" t="s">
        <v>437</v>
      </c>
      <c r="E27" s="123"/>
      <c r="F27" s="326"/>
      <c r="G27" s="326"/>
      <c r="H27" s="326"/>
      <c r="I27" s="326"/>
      <c r="J27" s="659"/>
      <c r="K27" s="326"/>
      <c r="L27" s="326"/>
      <c r="M27" s="323"/>
      <c r="N27" s="323"/>
    </row>
    <row r="28" spans="1:14" s="672" customFormat="1" ht="27">
      <c r="A28" s="1361">
        <v>5</v>
      </c>
      <c r="B28" s="195"/>
      <c r="C28" s="1221" t="s">
        <v>1816</v>
      </c>
      <c r="D28" s="24" t="s">
        <v>437</v>
      </c>
      <c r="E28" s="455">
        <v>5.7</v>
      </c>
      <c r="F28" s="326"/>
      <c r="G28" s="326"/>
      <c r="H28" s="326"/>
      <c r="I28" s="326"/>
      <c r="J28" s="659"/>
      <c r="K28" s="326"/>
      <c r="L28" s="326"/>
      <c r="M28" s="323"/>
      <c r="N28" s="323"/>
    </row>
    <row r="29" spans="1:14" s="672" customFormat="1" hidden="1">
      <c r="A29" s="195"/>
      <c r="B29" s="195"/>
      <c r="C29" s="101" t="s">
        <v>1471</v>
      </c>
      <c r="D29" s="24" t="s">
        <v>437</v>
      </c>
      <c r="E29" s="123"/>
      <c r="F29" s="326"/>
      <c r="G29" s="326"/>
      <c r="H29" s="326"/>
      <c r="I29" s="326"/>
      <c r="J29" s="659"/>
      <c r="K29" s="326"/>
      <c r="L29" s="326"/>
      <c r="M29" s="323"/>
      <c r="N29" s="323"/>
    </row>
    <row r="30" spans="1:14" s="672" customFormat="1" hidden="1">
      <c r="A30" s="195"/>
      <c r="B30" s="195"/>
      <c r="C30" s="101" t="s">
        <v>1472</v>
      </c>
      <c r="D30" s="24" t="s">
        <v>437</v>
      </c>
      <c r="E30" s="123"/>
      <c r="F30" s="326"/>
      <c r="G30" s="326"/>
      <c r="H30" s="326"/>
      <c r="I30" s="326"/>
      <c r="J30" s="659"/>
      <c r="K30" s="326"/>
      <c r="L30" s="326"/>
      <c r="M30" s="323"/>
      <c r="N30" s="323"/>
    </row>
    <row r="31" spans="1:14" s="672" customFormat="1" hidden="1">
      <c r="A31" s="195"/>
      <c r="B31" s="195"/>
      <c r="C31" s="101" t="s">
        <v>1488</v>
      </c>
      <c r="D31" s="24" t="s">
        <v>437</v>
      </c>
      <c r="E31" s="123"/>
      <c r="F31" s="326"/>
      <c r="G31" s="326"/>
      <c r="H31" s="326"/>
      <c r="I31" s="326"/>
      <c r="J31" s="659"/>
      <c r="K31" s="326"/>
      <c r="L31" s="326"/>
      <c r="M31" s="323"/>
      <c r="N31" s="323"/>
    </row>
    <row r="32" spans="1:14" hidden="1">
      <c r="A32" s="195">
        <v>16</v>
      </c>
      <c r="B32" s="195"/>
      <c r="C32" s="40" t="s">
        <v>997</v>
      </c>
      <c r="D32" s="24" t="s">
        <v>112</v>
      </c>
      <c r="E32" s="123">
        <v>0</v>
      </c>
      <c r="F32" s="326"/>
      <c r="G32" s="326"/>
      <c r="H32" s="326"/>
      <c r="I32" s="326"/>
      <c r="J32" s="659"/>
      <c r="K32" s="326"/>
      <c r="L32" s="326"/>
      <c r="M32" s="323"/>
      <c r="N32" s="322"/>
    </row>
    <row r="33" spans="1:14" hidden="1">
      <c r="A33" s="195">
        <v>17</v>
      </c>
      <c r="B33" s="195"/>
      <c r="C33" s="40" t="s">
        <v>805</v>
      </c>
      <c r="D33" s="29" t="s">
        <v>124</v>
      </c>
      <c r="E33" s="123"/>
      <c r="F33" s="326"/>
      <c r="G33" s="326"/>
      <c r="H33" s="326"/>
      <c r="I33" s="326"/>
      <c r="J33" s="659"/>
      <c r="K33" s="326"/>
      <c r="L33" s="326"/>
      <c r="M33" s="323"/>
      <c r="N33" s="322"/>
    </row>
    <row r="34" spans="1:14" hidden="1">
      <c r="A34" s="195">
        <v>18</v>
      </c>
      <c r="B34" s="195"/>
      <c r="C34" s="40" t="s">
        <v>868</v>
      </c>
      <c r="D34" s="24" t="s">
        <v>112</v>
      </c>
      <c r="E34" s="123"/>
      <c r="F34" s="326"/>
      <c r="G34" s="326"/>
      <c r="H34" s="326"/>
      <c r="I34" s="326"/>
      <c r="J34" s="659"/>
      <c r="K34" s="326"/>
      <c r="L34" s="326"/>
      <c r="M34" s="323"/>
      <c r="N34" s="322"/>
    </row>
    <row r="35" spans="1:14" hidden="1">
      <c r="A35" s="195">
        <v>19</v>
      </c>
      <c r="B35" s="195"/>
      <c r="C35" s="40" t="s">
        <v>869</v>
      </c>
      <c r="D35" s="24" t="s">
        <v>112</v>
      </c>
      <c r="E35" s="123"/>
      <c r="F35" s="326"/>
      <c r="G35" s="326"/>
      <c r="H35" s="326"/>
      <c r="I35" s="326"/>
      <c r="J35" s="659"/>
      <c r="K35" s="326"/>
      <c r="L35" s="326"/>
      <c r="M35" s="323"/>
      <c r="N35" s="322"/>
    </row>
    <row r="36" spans="1:14" ht="19.5" hidden="1" customHeight="1">
      <c r="A36" s="195">
        <v>20</v>
      </c>
      <c r="B36" s="195"/>
      <c r="C36" s="40" t="s">
        <v>1687</v>
      </c>
      <c r="D36" s="24" t="s">
        <v>112</v>
      </c>
      <c r="E36" s="123"/>
      <c r="F36" s="326"/>
      <c r="G36" s="326"/>
      <c r="H36" s="326"/>
      <c r="I36" s="326"/>
      <c r="J36" s="659"/>
      <c r="K36" s="326"/>
      <c r="L36" s="326"/>
      <c r="M36" s="323"/>
      <c r="N36" s="323"/>
    </row>
    <row r="37" spans="1:14" hidden="1">
      <c r="A37" s="195">
        <v>21</v>
      </c>
      <c r="B37" s="195"/>
      <c r="C37" s="40" t="s">
        <v>880</v>
      </c>
      <c r="D37" s="24" t="s">
        <v>112</v>
      </c>
      <c r="E37" s="123"/>
      <c r="F37" s="326"/>
      <c r="G37" s="326"/>
      <c r="H37" s="326"/>
      <c r="I37" s="326"/>
      <c r="J37" s="659"/>
      <c r="K37" s="326"/>
      <c r="L37" s="326"/>
      <c r="M37" s="323"/>
      <c r="N37" s="322"/>
    </row>
    <row r="38" spans="1:14">
      <c r="A38" s="1361">
        <v>6</v>
      </c>
      <c r="B38" s="195"/>
      <c r="C38" s="101" t="s">
        <v>13</v>
      </c>
      <c r="D38" s="24" t="s">
        <v>112</v>
      </c>
      <c r="E38" s="455">
        <v>37.24</v>
      </c>
      <c r="F38" s="326"/>
      <c r="G38" s="326"/>
      <c r="H38" s="326"/>
      <c r="I38" s="326"/>
      <c r="J38" s="659"/>
      <c r="K38" s="326"/>
      <c r="L38" s="326"/>
      <c r="M38" s="323"/>
      <c r="N38" s="322"/>
    </row>
    <row r="39" spans="1:14" hidden="1">
      <c r="A39" s="195">
        <v>23</v>
      </c>
      <c r="B39" s="195"/>
      <c r="C39" s="101" t="s">
        <v>1681</v>
      </c>
      <c r="D39" s="24" t="s">
        <v>112</v>
      </c>
      <c r="E39" s="123"/>
      <c r="F39" s="326"/>
      <c r="G39" s="326"/>
      <c r="H39" s="326"/>
      <c r="I39" s="326"/>
      <c r="J39" s="659"/>
      <c r="K39" s="326"/>
      <c r="L39" s="326"/>
      <c r="M39" s="323"/>
      <c r="N39" s="323"/>
    </row>
    <row r="40" spans="1:14" hidden="1">
      <c r="A40" s="195">
        <v>24</v>
      </c>
      <c r="B40" s="195"/>
      <c r="C40" s="101" t="s">
        <v>15</v>
      </c>
      <c r="D40" s="24" t="s">
        <v>112</v>
      </c>
      <c r="E40" s="123">
        <v>0</v>
      </c>
      <c r="F40" s="326"/>
      <c r="G40" s="326"/>
      <c r="H40" s="326"/>
      <c r="I40" s="326"/>
      <c r="J40" s="659"/>
      <c r="K40" s="326"/>
      <c r="L40" s="326"/>
      <c r="M40" s="323"/>
      <c r="N40" s="322"/>
    </row>
    <row r="41" spans="1:14" hidden="1">
      <c r="A41" s="195">
        <v>25</v>
      </c>
      <c r="B41" s="195"/>
      <c r="C41" s="101" t="s">
        <v>18</v>
      </c>
      <c r="D41" s="24" t="s">
        <v>112</v>
      </c>
      <c r="E41" s="123"/>
      <c r="F41" s="326"/>
      <c r="G41" s="326"/>
      <c r="H41" s="326"/>
      <c r="I41" s="326"/>
      <c r="J41" s="659"/>
      <c r="K41" s="326"/>
      <c r="L41" s="326"/>
      <c r="M41" s="323"/>
      <c r="N41" s="322"/>
    </row>
    <row r="42" spans="1:14">
      <c r="A42" s="1361">
        <v>7</v>
      </c>
      <c r="B42" s="195"/>
      <c r="C42" s="28" t="s">
        <v>12</v>
      </c>
      <c r="D42" s="24" t="s">
        <v>112</v>
      </c>
      <c r="E42" s="455">
        <v>10.8</v>
      </c>
      <c r="F42" s="670"/>
      <c r="G42" s="326"/>
      <c r="H42" s="670"/>
      <c r="I42" s="326"/>
      <c r="J42" s="671"/>
      <c r="K42" s="326"/>
      <c r="L42" s="326"/>
      <c r="M42" s="323"/>
      <c r="N42" s="322"/>
    </row>
    <row r="43" spans="1:14" hidden="1">
      <c r="A43" s="195">
        <v>27</v>
      </c>
      <c r="B43" s="195"/>
      <c r="C43" s="28" t="s">
        <v>9</v>
      </c>
      <c r="D43" s="24" t="s">
        <v>112</v>
      </c>
      <c r="E43" s="123"/>
      <c r="F43" s="670"/>
      <c r="G43" s="326"/>
      <c r="H43" s="670"/>
      <c r="I43" s="326"/>
      <c r="J43" s="671"/>
      <c r="K43" s="326"/>
      <c r="L43" s="326"/>
      <c r="M43" s="323"/>
      <c r="N43" s="322"/>
    </row>
    <row r="44" spans="1:14" s="672" customFormat="1" ht="27" hidden="1">
      <c r="A44" s="195"/>
      <c r="B44" s="195"/>
      <c r="C44" s="28" t="s">
        <v>1493</v>
      </c>
      <c r="D44" s="24" t="s">
        <v>113</v>
      </c>
      <c r="E44" s="123"/>
      <c r="F44" s="670"/>
      <c r="G44" s="326"/>
      <c r="H44" s="670"/>
      <c r="I44" s="326"/>
      <c r="J44" s="671"/>
      <c r="K44" s="326"/>
      <c r="L44" s="326"/>
      <c r="M44" s="323"/>
      <c r="N44" s="323"/>
    </row>
    <row r="45" spans="1:14" hidden="1">
      <c r="A45" s="195">
        <v>28</v>
      </c>
      <c r="B45" s="195"/>
      <c r="C45" s="40" t="s">
        <v>364</v>
      </c>
      <c r="D45" s="29" t="s">
        <v>124</v>
      </c>
      <c r="E45" s="123"/>
      <c r="F45" s="670"/>
      <c r="G45" s="326"/>
      <c r="H45" s="670"/>
      <c r="I45" s="326"/>
      <c r="J45" s="671"/>
      <c r="K45" s="326"/>
      <c r="L45" s="326"/>
      <c r="M45" s="323"/>
      <c r="N45" s="322"/>
    </row>
    <row r="46" spans="1:14" hidden="1">
      <c r="A46" s="195">
        <v>29</v>
      </c>
      <c r="B46" s="195"/>
      <c r="C46" s="28" t="s">
        <v>21</v>
      </c>
      <c r="D46" s="29" t="s">
        <v>124</v>
      </c>
      <c r="E46" s="123"/>
      <c r="F46" s="670"/>
      <c r="G46" s="326"/>
      <c r="H46" s="670"/>
      <c r="I46" s="326"/>
      <c r="J46" s="671"/>
      <c r="K46" s="326"/>
      <c r="L46" s="326"/>
      <c r="M46" s="323"/>
      <c r="N46" s="322"/>
    </row>
    <row r="47" spans="1:14">
      <c r="A47" s="1361">
        <v>8</v>
      </c>
      <c r="B47" s="195"/>
      <c r="C47" s="28" t="s">
        <v>19</v>
      </c>
      <c r="D47" s="24" t="s">
        <v>112</v>
      </c>
      <c r="E47" s="455">
        <v>22.1</v>
      </c>
      <c r="F47" s="670"/>
      <c r="G47" s="326"/>
      <c r="H47" s="670"/>
      <c r="I47" s="326"/>
      <c r="J47" s="671"/>
      <c r="K47" s="326"/>
      <c r="L47" s="326"/>
      <c r="M47" s="323"/>
      <c r="N47" s="322"/>
    </row>
    <row r="48" spans="1:14" hidden="1">
      <c r="A48" s="195">
        <v>31</v>
      </c>
      <c r="B48" s="195"/>
      <c r="C48" s="28" t="s">
        <v>25</v>
      </c>
      <c r="D48" s="27" t="s">
        <v>113</v>
      </c>
      <c r="E48" s="123">
        <v>0</v>
      </c>
      <c r="F48" s="670"/>
      <c r="G48" s="326"/>
      <c r="H48" s="670"/>
      <c r="I48" s="326"/>
      <c r="J48" s="671"/>
      <c r="K48" s="326"/>
      <c r="L48" s="326"/>
      <c r="M48" s="323"/>
      <c r="N48" s="322"/>
    </row>
    <row r="49" spans="1:14">
      <c r="A49" s="1361">
        <v>9</v>
      </c>
      <c r="B49" s="195"/>
      <c r="C49" s="28" t="s">
        <v>26</v>
      </c>
      <c r="D49" s="27" t="s">
        <v>113</v>
      </c>
      <c r="E49" s="455">
        <v>4</v>
      </c>
      <c r="F49" s="670"/>
      <c r="G49" s="326"/>
      <c r="H49" s="670"/>
      <c r="I49" s="326"/>
      <c r="J49" s="671"/>
      <c r="K49" s="326"/>
      <c r="L49" s="326"/>
      <c r="M49" s="323"/>
      <c r="N49" s="322"/>
    </row>
    <row r="50" spans="1:14">
      <c r="A50" s="1361">
        <v>10</v>
      </c>
      <c r="B50" s="195"/>
      <c r="C50" s="28" t="s">
        <v>27</v>
      </c>
      <c r="D50" s="27" t="s">
        <v>113</v>
      </c>
      <c r="E50" s="455">
        <v>4</v>
      </c>
      <c r="F50" s="670"/>
      <c r="G50" s="326"/>
      <c r="H50" s="670"/>
      <c r="I50" s="326"/>
      <c r="J50" s="671"/>
      <c r="K50" s="326"/>
      <c r="L50" s="326"/>
      <c r="M50" s="323"/>
      <c r="N50" s="323"/>
    </row>
    <row r="51" spans="1:14">
      <c r="A51" s="1361">
        <v>11</v>
      </c>
      <c r="B51" s="195"/>
      <c r="C51" s="28" t="s">
        <v>24</v>
      </c>
      <c r="D51" s="24" t="s">
        <v>112</v>
      </c>
      <c r="E51" s="455">
        <v>74.48</v>
      </c>
      <c r="F51" s="670"/>
      <c r="G51" s="326"/>
      <c r="H51" s="670"/>
      <c r="I51" s="326"/>
      <c r="J51" s="671"/>
      <c r="K51" s="326"/>
      <c r="L51" s="326"/>
      <c r="M51" s="323"/>
      <c r="N51" s="322"/>
    </row>
    <row r="52" spans="1:14">
      <c r="A52" s="1361">
        <v>12</v>
      </c>
      <c r="B52" s="195"/>
      <c r="C52" s="28" t="s">
        <v>28</v>
      </c>
      <c r="D52" s="24" t="s">
        <v>112</v>
      </c>
      <c r="E52" s="455">
        <v>74.48</v>
      </c>
      <c r="F52" s="670"/>
      <c r="G52" s="326"/>
      <c r="H52" s="670"/>
      <c r="I52" s="326"/>
      <c r="J52" s="671"/>
      <c r="K52" s="326"/>
      <c r="L52" s="326"/>
      <c r="M52" s="323"/>
      <c r="N52" s="322"/>
    </row>
    <row r="53" spans="1:14" hidden="1">
      <c r="A53" s="195">
        <v>36</v>
      </c>
      <c r="B53" s="195"/>
      <c r="C53" s="40" t="s">
        <v>373</v>
      </c>
      <c r="D53" s="27" t="s">
        <v>113</v>
      </c>
      <c r="E53" s="123"/>
      <c r="F53" s="670"/>
      <c r="G53" s="326"/>
      <c r="H53" s="670"/>
      <c r="I53" s="326"/>
      <c r="J53" s="671"/>
      <c r="K53" s="326"/>
      <c r="L53" s="326"/>
      <c r="M53" s="323"/>
      <c r="N53" s="322"/>
    </row>
    <row r="54" spans="1:14" hidden="1">
      <c r="A54" s="195"/>
      <c r="B54" s="195"/>
      <c r="C54" s="323" t="s">
        <v>1682</v>
      </c>
      <c r="D54" s="27" t="s">
        <v>124</v>
      </c>
      <c r="E54" s="123"/>
      <c r="F54" s="670"/>
      <c r="G54" s="326"/>
      <c r="H54" s="670"/>
      <c r="I54" s="326"/>
      <c r="J54" s="671"/>
      <c r="K54" s="326"/>
      <c r="L54" s="326"/>
      <c r="M54" s="323"/>
      <c r="N54" s="322"/>
    </row>
    <row r="55" spans="1:14">
      <c r="A55" s="1361">
        <v>13</v>
      </c>
      <c r="B55" s="195"/>
      <c r="C55" s="28" t="s">
        <v>23</v>
      </c>
      <c r="D55" s="24" t="s">
        <v>112</v>
      </c>
      <c r="E55" s="455">
        <v>74.48</v>
      </c>
      <c r="F55" s="670"/>
      <c r="G55" s="326"/>
      <c r="H55" s="670"/>
      <c r="I55" s="326"/>
      <c r="J55" s="671"/>
      <c r="K55" s="326"/>
      <c r="L55" s="326"/>
      <c r="M55" s="323"/>
      <c r="N55" s="322"/>
    </row>
    <row r="56" spans="1:14">
      <c r="A56" s="1361">
        <v>14</v>
      </c>
      <c r="B56" s="195"/>
      <c r="C56" s="28" t="s">
        <v>1239</v>
      </c>
      <c r="D56" s="27" t="s">
        <v>114</v>
      </c>
      <c r="E56" s="327">
        <f>E9*0.004+E10*0.19+E11*0.011+E12*0.66+E13*0.1*1.5+E14*0.125*2+E15*(0.0678*0.66+0.14*0.002+0.078*1)+E16*26*3.9/1000+E17*2+E20*1.6+E21*0.0006+E22*0.018+E23*0.014+E24*0.02*2+E25*2.5+E26*2.4+E27*2.4+E28*2.5+E29*2.4+E30*2.5+E31*2.4+E32*0.03*2.1+E33*0.15*0.3*2.4+E34*0.025+E35*0.084+E36*0.04*0.66+E37*0.0029+E38*0.127+E39*0.02+E40*0.0006+E41*0.02*2+E42*0.07+E43*0.03+E46*0.04*0.25*0.66+E47*0.035+E48*0.025+E49*0.01+E53*0.02+E50*0.015+E45*0.13+E18*2</f>
        <v>44.315080000000002</v>
      </c>
      <c r="F56" s="673"/>
      <c r="G56" s="326"/>
      <c r="H56" s="326"/>
      <c r="I56" s="326"/>
      <c r="J56" s="659"/>
      <c r="K56" s="326"/>
      <c r="L56" s="326"/>
      <c r="M56" s="323"/>
      <c r="N56" s="322"/>
    </row>
    <row r="57" spans="1:14">
      <c r="A57" s="1361">
        <v>15</v>
      </c>
      <c r="B57" s="195"/>
      <c r="C57" s="28" t="s">
        <v>1240</v>
      </c>
      <c r="D57" s="27" t="s">
        <v>114</v>
      </c>
      <c r="E57" s="327">
        <f>E56</f>
        <v>44.315080000000002</v>
      </c>
      <c r="F57" s="673"/>
      <c r="G57" s="326"/>
      <c r="H57" s="326"/>
      <c r="I57" s="326"/>
      <c r="J57" s="659"/>
      <c r="K57" s="326"/>
      <c r="L57" s="326"/>
      <c r="M57" s="323"/>
      <c r="N57" s="322"/>
    </row>
    <row r="58" spans="1:14">
      <c r="A58" s="1361">
        <v>16</v>
      </c>
      <c r="B58" s="195"/>
      <c r="C58" s="28" t="s">
        <v>454</v>
      </c>
      <c r="D58" s="27" t="s">
        <v>114</v>
      </c>
      <c r="E58" s="327">
        <f>E56</f>
        <v>44.315080000000002</v>
      </c>
      <c r="F58" s="673"/>
      <c r="G58" s="326"/>
      <c r="H58" s="326"/>
      <c r="I58" s="326"/>
      <c r="J58" s="659"/>
      <c r="K58" s="326"/>
      <c r="L58" s="326"/>
      <c r="M58" s="323"/>
      <c r="N58" s="322"/>
    </row>
    <row r="59" spans="1:14">
      <c r="A59" s="1363"/>
      <c r="B59" s="197"/>
      <c r="C59" s="30" t="s">
        <v>110</v>
      </c>
      <c r="D59" s="27"/>
      <c r="E59" s="327"/>
      <c r="F59" s="326"/>
      <c r="G59" s="326"/>
      <c r="H59" s="326"/>
      <c r="I59" s="326"/>
      <c r="J59" s="659"/>
      <c r="K59" s="326"/>
      <c r="L59" s="326"/>
      <c r="M59" s="323"/>
      <c r="N59" s="322"/>
    </row>
    <row r="60" spans="1:14">
      <c r="A60" s="1363"/>
      <c r="B60" s="197"/>
      <c r="C60" s="32" t="s">
        <v>115</v>
      </c>
      <c r="D60" s="320" t="s">
        <v>457</v>
      </c>
      <c r="E60" s="685">
        <v>10</v>
      </c>
      <c r="F60" s="326"/>
      <c r="G60" s="674"/>
      <c r="H60" s="674"/>
      <c r="I60" s="327"/>
      <c r="J60" s="327"/>
      <c r="K60" s="327"/>
      <c r="L60" s="327"/>
      <c r="M60" s="323"/>
      <c r="N60" s="322"/>
    </row>
    <row r="61" spans="1:14">
      <c r="A61" s="1363"/>
      <c r="B61" s="197"/>
      <c r="C61" s="30" t="s">
        <v>110</v>
      </c>
      <c r="D61" s="27"/>
      <c r="E61" s="327"/>
      <c r="F61" s="326"/>
      <c r="G61" s="674"/>
      <c r="H61" s="674"/>
      <c r="I61" s="327"/>
      <c r="J61" s="327"/>
      <c r="K61" s="327"/>
      <c r="L61" s="327"/>
      <c r="M61" s="323"/>
      <c r="N61" s="322"/>
    </row>
    <row r="62" spans="1:14">
      <c r="A62" s="1363"/>
      <c r="B62" s="197"/>
      <c r="C62" s="33" t="s">
        <v>116</v>
      </c>
      <c r="D62" s="320" t="s">
        <v>457</v>
      </c>
      <c r="E62" s="685">
        <v>8</v>
      </c>
      <c r="F62" s="326"/>
      <c r="G62" s="674"/>
      <c r="H62" s="674"/>
      <c r="I62" s="327"/>
      <c r="J62" s="327"/>
      <c r="K62" s="327"/>
      <c r="L62" s="327"/>
      <c r="M62" s="323"/>
      <c r="N62" s="322"/>
    </row>
    <row r="63" spans="1:14">
      <c r="A63" s="1363"/>
      <c r="B63" s="197"/>
      <c r="C63" s="30" t="s">
        <v>207</v>
      </c>
      <c r="D63" s="27"/>
      <c r="E63" s="327"/>
      <c r="F63" s="326"/>
      <c r="G63" s="675"/>
      <c r="H63" s="675"/>
      <c r="I63" s="327"/>
      <c r="J63" s="327"/>
      <c r="K63" s="327"/>
      <c r="L63" s="327"/>
      <c r="M63" s="323"/>
      <c r="N63" s="322"/>
    </row>
    <row r="64" spans="1:14">
      <c r="A64" s="1360"/>
      <c r="B64" s="325"/>
      <c r="C64" s="118" t="s">
        <v>453</v>
      </c>
      <c r="D64" s="27"/>
      <c r="E64" s="1375"/>
      <c r="F64" s="676"/>
      <c r="G64" s="676"/>
      <c r="H64" s="676"/>
      <c r="I64" s="676"/>
      <c r="J64" s="677"/>
      <c r="K64" s="676"/>
      <c r="L64" s="676"/>
      <c r="M64" s="323"/>
      <c r="N64" s="322"/>
    </row>
    <row r="65" spans="1:14">
      <c r="A65" s="1360"/>
      <c r="B65" s="325"/>
      <c r="C65" s="118" t="s">
        <v>118</v>
      </c>
      <c r="D65" s="27"/>
      <c r="E65" s="1375"/>
      <c r="F65" s="676"/>
      <c r="G65" s="676"/>
      <c r="H65" s="676"/>
      <c r="I65" s="676"/>
      <c r="J65" s="677"/>
      <c r="K65" s="676"/>
      <c r="L65" s="676"/>
      <c r="M65" s="323"/>
      <c r="N65" s="322"/>
    </row>
    <row r="66" spans="1:14" ht="27">
      <c r="A66" s="1359">
        <v>1</v>
      </c>
      <c r="B66" s="198"/>
      <c r="C66" s="28" t="s">
        <v>1502</v>
      </c>
      <c r="D66" s="24" t="s">
        <v>112</v>
      </c>
      <c r="E66" s="455">
        <v>120.2</v>
      </c>
      <c r="F66" s="326"/>
      <c r="G66" s="326"/>
      <c r="H66" s="326"/>
      <c r="I66" s="326"/>
      <c r="J66" s="659"/>
      <c r="K66" s="326"/>
      <c r="L66" s="326"/>
      <c r="M66" s="326"/>
      <c r="N66" s="1040"/>
    </row>
    <row r="67" spans="1:14" ht="27" hidden="1">
      <c r="A67" s="198">
        <v>2</v>
      </c>
      <c r="B67" s="198"/>
      <c r="C67" s="26" t="s">
        <v>998</v>
      </c>
      <c r="D67" s="24" t="s">
        <v>437</v>
      </c>
      <c r="E67" s="455"/>
      <c r="F67" s="670"/>
      <c r="G67" s="326"/>
      <c r="H67" s="670"/>
      <c r="I67" s="326"/>
      <c r="J67" s="679"/>
      <c r="K67" s="326"/>
      <c r="L67" s="326"/>
      <c r="M67" s="326"/>
      <c r="N67" s="323"/>
    </row>
    <row r="68" spans="1:14" ht="27" hidden="1">
      <c r="A68" s="198">
        <v>3</v>
      </c>
      <c r="B68" s="198"/>
      <c r="C68" s="26" t="s">
        <v>1499</v>
      </c>
      <c r="D68" s="24" t="s">
        <v>437</v>
      </c>
      <c r="E68" s="455"/>
      <c r="F68" s="670"/>
      <c r="G68" s="326"/>
      <c r="H68" s="670"/>
      <c r="I68" s="326"/>
      <c r="J68" s="679"/>
      <c r="K68" s="326"/>
      <c r="L68" s="326"/>
      <c r="M68" s="326"/>
      <c r="N68" s="323"/>
    </row>
    <row r="69" spans="1:14" hidden="1">
      <c r="A69" s="198">
        <v>1</v>
      </c>
      <c r="B69" s="198"/>
      <c r="C69" s="845" t="s">
        <v>1509</v>
      </c>
      <c r="D69" s="98" t="s">
        <v>88</v>
      </c>
      <c r="E69" s="455"/>
      <c r="F69" s="670"/>
      <c r="G69" s="326"/>
      <c r="H69" s="670"/>
      <c r="I69" s="326"/>
      <c r="J69" s="679"/>
      <c r="K69" s="326"/>
      <c r="L69" s="326"/>
      <c r="M69" s="326"/>
      <c r="N69" s="323"/>
    </row>
    <row r="70" spans="1:14">
      <c r="A70" s="1359">
        <v>2</v>
      </c>
      <c r="B70" s="198"/>
      <c r="C70" s="28" t="s">
        <v>37</v>
      </c>
      <c r="D70" s="24" t="s">
        <v>112</v>
      </c>
      <c r="E70" s="455">
        <v>440</v>
      </c>
      <c r="F70" s="670"/>
      <c r="G70" s="326"/>
      <c r="H70" s="670"/>
      <c r="I70" s="326"/>
      <c r="J70" s="679"/>
      <c r="K70" s="326"/>
      <c r="L70" s="326"/>
      <c r="M70" s="326"/>
      <c r="N70" s="322"/>
    </row>
    <row r="71" spans="1:14" s="672" customFormat="1" ht="69.75">
      <c r="A71" s="1359">
        <v>3</v>
      </c>
      <c r="B71" s="1222"/>
      <c r="C71" s="1227" t="s">
        <v>1868</v>
      </c>
      <c r="D71" s="259" t="s">
        <v>112</v>
      </c>
      <c r="E71" s="455">
        <v>34.4</v>
      </c>
      <c r="F71" s="670"/>
      <c r="G71" s="326"/>
      <c r="H71" s="670"/>
      <c r="I71" s="326"/>
      <c r="J71" s="679"/>
      <c r="K71" s="326"/>
      <c r="L71" s="326"/>
      <c r="M71" s="326"/>
      <c r="N71" s="323"/>
    </row>
    <row r="72" spans="1:14" ht="28.5" hidden="1" customHeight="1">
      <c r="A72" s="198">
        <v>5</v>
      </c>
      <c r="B72" s="198"/>
      <c r="C72" s="28" t="s">
        <v>1462</v>
      </c>
      <c r="D72" s="24" t="s">
        <v>112</v>
      </c>
      <c r="E72" s="455"/>
      <c r="F72" s="670"/>
      <c r="G72" s="326"/>
      <c r="H72" s="670"/>
      <c r="I72" s="326"/>
      <c r="J72" s="679"/>
      <c r="K72" s="326"/>
      <c r="L72" s="326"/>
      <c r="M72" s="326"/>
      <c r="N72" s="1040"/>
    </row>
    <row r="73" spans="1:14" hidden="1">
      <c r="A73" s="198">
        <v>6</v>
      </c>
      <c r="B73" s="198"/>
      <c r="C73" s="888" t="s">
        <v>1466</v>
      </c>
      <c r="D73" s="24" t="s">
        <v>112</v>
      </c>
      <c r="E73" s="455"/>
      <c r="F73" s="670"/>
      <c r="G73" s="326"/>
      <c r="H73" s="670"/>
      <c r="I73" s="326"/>
      <c r="J73" s="679"/>
      <c r="K73" s="326"/>
      <c r="L73" s="326"/>
      <c r="M73" s="326"/>
      <c r="N73" s="322"/>
    </row>
    <row r="74" spans="1:14" ht="27">
      <c r="A74" s="1359">
        <v>4</v>
      </c>
      <c r="B74" s="198"/>
      <c r="C74" s="28" t="s">
        <v>1243</v>
      </c>
      <c r="D74" s="24" t="s">
        <v>112</v>
      </c>
      <c r="E74" s="455">
        <v>15</v>
      </c>
      <c r="F74" s="670"/>
      <c r="G74" s="326"/>
      <c r="H74" s="670"/>
      <c r="I74" s="326"/>
      <c r="J74" s="679"/>
      <c r="K74" s="326"/>
      <c r="L74" s="326"/>
      <c r="M74" s="326"/>
      <c r="N74" s="322"/>
    </row>
    <row r="75" spans="1:14" hidden="1">
      <c r="A75" s="198">
        <v>8</v>
      </c>
      <c r="B75" s="198"/>
      <c r="C75" s="28" t="s">
        <v>38</v>
      </c>
      <c r="D75" s="24" t="s">
        <v>112</v>
      </c>
      <c r="E75" s="455"/>
      <c r="F75" s="670"/>
      <c r="G75" s="326"/>
      <c r="H75" s="670"/>
      <c r="I75" s="326"/>
      <c r="J75" s="679"/>
      <c r="K75" s="326"/>
      <c r="L75" s="326"/>
      <c r="M75" s="326"/>
      <c r="N75" s="322"/>
    </row>
    <row r="76" spans="1:14" ht="15" hidden="1" customHeight="1">
      <c r="A76" s="198">
        <v>9</v>
      </c>
      <c r="B76" s="198"/>
      <c r="C76" s="28" t="s">
        <v>35</v>
      </c>
      <c r="D76" s="24" t="s">
        <v>112</v>
      </c>
      <c r="E76" s="455"/>
      <c r="F76" s="670"/>
      <c r="G76" s="326"/>
      <c r="H76" s="670"/>
      <c r="I76" s="326"/>
      <c r="J76" s="679"/>
      <c r="K76" s="326"/>
      <c r="L76" s="326"/>
      <c r="M76" s="326"/>
      <c r="N76" s="322"/>
    </row>
    <row r="77" spans="1:14" ht="27" hidden="1">
      <c r="A77" s="198">
        <v>10</v>
      </c>
      <c r="B77" s="198"/>
      <c r="C77" s="26" t="s">
        <v>32</v>
      </c>
      <c r="D77" s="24" t="s">
        <v>112</v>
      </c>
      <c r="E77" s="455"/>
      <c r="F77" s="326"/>
      <c r="G77" s="326"/>
      <c r="H77" s="670"/>
      <c r="I77" s="326"/>
      <c r="J77" s="659"/>
      <c r="K77" s="326"/>
      <c r="L77" s="326"/>
      <c r="M77" s="326" t="s">
        <v>859</v>
      </c>
      <c r="N77" s="322"/>
    </row>
    <row r="78" spans="1:14" ht="27" hidden="1">
      <c r="A78" s="198">
        <v>11</v>
      </c>
      <c r="B78" s="198"/>
      <c r="C78" s="26" t="s">
        <v>33</v>
      </c>
      <c r="D78" s="24" t="s">
        <v>112</v>
      </c>
      <c r="E78" s="455"/>
      <c r="F78" s="326"/>
      <c r="G78" s="326"/>
      <c r="H78" s="670"/>
      <c r="I78" s="326"/>
      <c r="J78" s="659"/>
      <c r="K78" s="326"/>
      <c r="L78" s="326"/>
      <c r="M78" s="326" t="s">
        <v>859</v>
      </c>
      <c r="N78" s="322"/>
    </row>
    <row r="79" spans="1:14" hidden="1">
      <c r="A79" s="198">
        <v>12</v>
      </c>
      <c r="B79" s="198"/>
      <c r="C79" s="26" t="s">
        <v>31</v>
      </c>
      <c r="D79" s="24" t="s">
        <v>112</v>
      </c>
      <c r="E79" s="455"/>
      <c r="F79" s="326"/>
      <c r="G79" s="326"/>
      <c r="H79" s="670"/>
      <c r="I79" s="326"/>
      <c r="J79" s="659"/>
      <c r="K79" s="326"/>
      <c r="L79" s="326"/>
      <c r="M79" s="326" t="s">
        <v>859</v>
      </c>
      <c r="N79" s="322"/>
    </row>
    <row r="80" spans="1:14" ht="27" hidden="1">
      <c r="A80" s="198">
        <v>13</v>
      </c>
      <c r="B80" s="198"/>
      <c r="C80" s="26" t="s">
        <v>30</v>
      </c>
      <c r="D80" s="24" t="s">
        <v>112</v>
      </c>
      <c r="E80" s="455"/>
      <c r="F80" s="326"/>
      <c r="G80" s="326"/>
      <c r="H80" s="670"/>
      <c r="I80" s="326"/>
      <c r="J80" s="659"/>
      <c r="K80" s="326"/>
      <c r="L80" s="326"/>
      <c r="M80" s="326" t="s">
        <v>859</v>
      </c>
      <c r="N80" s="322"/>
    </row>
    <row r="81" spans="1:14" ht="27" hidden="1">
      <c r="A81" s="198">
        <v>14</v>
      </c>
      <c r="B81" s="198"/>
      <c r="C81" s="26" t="s">
        <v>1245</v>
      </c>
      <c r="D81" s="24" t="s">
        <v>112</v>
      </c>
      <c r="E81" s="455"/>
      <c r="F81" s="326"/>
      <c r="G81" s="326"/>
      <c r="H81" s="670"/>
      <c r="I81" s="326"/>
      <c r="J81" s="659"/>
      <c r="K81" s="326"/>
      <c r="L81" s="326"/>
      <c r="M81" s="326"/>
      <c r="N81" s="322"/>
    </row>
    <row r="82" spans="1:14" ht="27">
      <c r="A82" s="1359">
        <v>5</v>
      </c>
      <c r="B82" s="198"/>
      <c r="C82" s="26" t="s">
        <v>999</v>
      </c>
      <c r="D82" s="24" t="s">
        <v>112</v>
      </c>
      <c r="E82" s="455">
        <v>220</v>
      </c>
      <c r="F82" s="326"/>
      <c r="G82" s="326"/>
      <c r="H82" s="670"/>
      <c r="I82" s="326"/>
      <c r="J82" s="659"/>
      <c r="K82" s="326"/>
      <c r="L82" s="326"/>
      <c r="M82" s="326"/>
      <c r="N82" s="322"/>
    </row>
    <row r="83" spans="1:14">
      <c r="A83" s="1359">
        <v>6</v>
      </c>
      <c r="B83" s="198"/>
      <c r="C83" s="26" t="s">
        <v>1693</v>
      </c>
      <c r="D83" s="24" t="s">
        <v>112</v>
      </c>
      <c r="E83" s="455">
        <v>170.4</v>
      </c>
      <c r="F83" s="326"/>
      <c r="G83" s="326"/>
      <c r="H83" s="670"/>
      <c r="I83" s="326"/>
      <c r="J83" s="659"/>
      <c r="K83" s="326"/>
      <c r="L83" s="326"/>
      <c r="M83" s="326" t="s">
        <v>859</v>
      </c>
      <c r="N83" s="322"/>
    </row>
    <row r="84" spans="1:14" hidden="1">
      <c r="A84" s="198"/>
      <c r="B84" s="198"/>
      <c r="C84" s="26" t="s">
        <v>1685</v>
      </c>
      <c r="D84" s="24" t="s">
        <v>112</v>
      </c>
      <c r="E84" s="123"/>
      <c r="F84" s="326"/>
      <c r="G84" s="326"/>
      <c r="H84" s="670"/>
      <c r="I84" s="326"/>
      <c r="J84" s="659"/>
      <c r="K84" s="326"/>
      <c r="L84" s="326"/>
      <c r="M84" s="326"/>
      <c r="N84" s="322"/>
    </row>
    <row r="85" spans="1:14" hidden="1">
      <c r="A85" s="198">
        <v>17</v>
      </c>
      <c r="B85" s="198"/>
      <c r="C85" s="26" t="s">
        <v>285</v>
      </c>
      <c r="D85" s="24" t="s">
        <v>112</v>
      </c>
      <c r="E85" s="123"/>
      <c r="F85" s="326"/>
      <c r="G85" s="326"/>
      <c r="H85" s="670"/>
      <c r="I85" s="326"/>
      <c r="J85" s="659"/>
      <c r="K85" s="326"/>
      <c r="L85" s="326"/>
      <c r="M85" s="326"/>
      <c r="N85" s="322"/>
    </row>
    <row r="86" spans="1:14" ht="27" hidden="1">
      <c r="A86" s="198">
        <v>17</v>
      </c>
      <c r="B86" s="198"/>
      <c r="C86" s="26" t="s">
        <v>1537</v>
      </c>
      <c r="D86" s="24" t="s">
        <v>112</v>
      </c>
      <c r="E86" s="123"/>
      <c r="F86" s="326"/>
      <c r="G86" s="326"/>
      <c r="H86" s="670"/>
      <c r="I86" s="326"/>
      <c r="J86" s="659"/>
      <c r="K86" s="326"/>
      <c r="L86" s="326"/>
      <c r="M86" s="326"/>
      <c r="N86" s="322"/>
    </row>
    <row r="87" spans="1:14" ht="27">
      <c r="A87" s="1359">
        <v>7</v>
      </c>
      <c r="B87" s="198"/>
      <c r="C87" s="26" t="s">
        <v>1244</v>
      </c>
      <c r="D87" s="29" t="s">
        <v>124</v>
      </c>
      <c r="E87" s="455">
        <v>80</v>
      </c>
      <c r="F87" s="326"/>
      <c r="G87" s="326"/>
      <c r="H87" s="670"/>
      <c r="I87" s="326"/>
      <c r="J87" s="659"/>
      <c r="K87" s="326"/>
      <c r="L87" s="326"/>
      <c r="M87" s="326"/>
      <c r="N87" s="322"/>
    </row>
    <row r="88" spans="1:14">
      <c r="A88" s="1359">
        <v>8</v>
      </c>
      <c r="B88" s="198"/>
      <c r="C88" s="885" t="s">
        <v>1516</v>
      </c>
      <c r="D88" s="24" t="s">
        <v>112</v>
      </c>
      <c r="E88" s="455">
        <v>16</v>
      </c>
      <c r="F88" s="326"/>
      <c r="G88" s="326"/>
      <c r="H88" s="670"/>
      <c r="I88" s="326"/>
      <c r="J88" s="659"/>
      <c r="K88" s="326"/>
      <c r="L88" s="326"/>
      <c r="M88" s="326"/>
      <c r="N88" s="322"/>
    </row>
    <row r="89" spans="1:14" hidden="1">
      <c r="A89" s="198">
        <v>20</v>
      </c>
      <c r="B89" s="198"/>
      <c r="C89" s="885" t="s">
        <v>1517</v>
      </c>
      <c r="D89" s="24" t="s">
        <v>112</v>
      </c>
      <c r="E89" s="123"/>
      <c r="F89" s="326"/>
      <c r="G89" s="326"/>
      <c r="H89" s="670"/>
      <c r="I89" s="326"/>
      <c r="J89" s="659"/>
      <c r="K89" s="326"/>
      <c r="L89" s="326"/>
      <c r="M89" s="326"/>
      <c r="N89" s="322"/>
    </row>
    <row r="90" spans="1:14" hidden="1">
      <c r="A90" s="198">
        <v>21</v>
      </c>
      <c r="B90" s="198"/>
      <c r="C90" s="26" t="s">
        <v>1449</v>
      </c>
      <c r="D90" s="24" t="s">
        <v>112</v>
      </c>
      <c r="E90" s="123"/>
      <c r="F90" s="326"/>
      <c r="G90" s="326"/>
      <c r="H90" s="670"/>
      <c r="I90" s="326"/>
      <c r="J90" s="659"/>
      <c r="K90" s="326"/>
      <c r="L90" s="326"/>
      <c r="M90" s="326"/>
      <c r="N90" s="322"/>
    </row>
    <row r="91" spans="1:14" hidden="1">
      <c r="A91" s="198">
        <v>22</v>
      </c>
      <c r="B91" s="198"/>
      <c r="C91" s="26" t="s">
        <v>725</v>
      </c>
      <c r="D91" s="24" t="s">
        <v>112</v>
      </c>
      <c r="E91" s="123"/>
      <c r="F91" s="326"/>
      <c r="G91" s="326"/>
      <c r="H91" s="670"/>
      <c r="I91" s="326"/>
      <c r="J91" s="659"/>
      <c r="K91" s="326"/>
      <c r="L91" s="326"/>
      <c r="M91" s="326"/>
      <c r="N91" s="322"/>
    </row>
    <row r="92" spans="1:14" hidden="1">
      <c r="A92" s="198">
        <v>23</v>
      </c>
      <c r="B92" s="198"/>
      <c r="C92" s="26" t="s">
        <v>1281</v>
      </c>
      <c r="D92" s="24" t="s">
        <v>112</v>
      </c>
      <c r="E92" s="123"/>
      <c r="F92" s="326"/>
      <c r="G92" s="326"/>
      <c r="H92" s="670"/>
      <c r="I92" s="326"/>
      <c r="J92" s="659"/>
      <c r="K92" s="326"/>
      <c r="L92" s="326"/>
      <c r="M92" s="326"/>
      <c r="N92" s="322"/>
    </row>
    <row r="93" spans="1:14" ht="27">
      <c r="A93" s="1359">
        <v>9</v>
      </c>
      <c r="B93" s="198"/>
      <c r="C93" s="26" t="s">
        <v>1544</v>
      </c>
      <c r="D93" s="24" t="s">
        <v>114</v>
      </c>
      <c r="E93" s="455">
        <f>0.274652*2</f>
        <v>0.54930400000000001</v>
      </c>
      <c r="F93" s="326"/>
      <c r="G93" s="326"/>
      <c r="H93" s="670"/>
      <c r="I93" s="326"/>
      <c r="J93" s="659"/>
      <c r="K93" s="326"/>
      <c r="L93" s="326"/>
      <c r="M93" s="326"/>
      <c r="N93" s="322"/>
    </row>
    <row r="94" spans="1:14" s="672" customFormat="1" ht="27">
      <c r="A94" s="1359">
        <v>10</v>
      </c>
      <c r="B94" s="198"/>
      <c r="C94" s="26" t="s">
        <v>1505</v>
      </c>
      <c r="D94" s="24" t="s">
        <v>114</v>
      </c>
      <c r="E94" s="455">
        <f>E93</f>
        <v>0.54930400000000001</v>
      </c>
      <c r="F94" s="326"/>
      <c r="G94" s="326"/>
      <c r="H94" s="670"/>
      <c r="I94" s="326"/>
      <c r="J94" s="659"/>
      <c r="K94" s="326"/>
      <c r="L94" s="326"/>
      <c r="M94" s="326"/>
      <c r="N94" s="322"/>
    </row>
    <row r="95" spans="1:14" s="1136" customFormat="1" ht="17.25" customHeight="1">
      <c r="A95" s="1359"/>
      <c r="B95" s="1129"/>
      <c r="C95" s="118" t="s">
        <v>1813</v>
      </c>
      <c r="D95" s="24"/>
      <c r="E95" s="327"/>
      <c r="F95" s="326"/>
      <c r="G95" s="326"/>
      <c r="H95" s="670"/>
      <c r="I95" s="326"/>
      <c r="J95" s="1130"/>
      <c r="K95" s="326"/>
      <c r="L95" s="326"/>
      <c r="M95" s="326"/>
      <c r="N95" s="1135"/>
    </row>
    <row r="96" spans="1:14" s="1136" customFormat="1" ht="27">
      <c r="A96" s="1359">
        <v>11</v>
      </c>
      <c r="B96" s="1143"/>
      <c r="C96" s="26" t="s">
        <v>1836</v>
      </c>
      <c r="D96" s="24" t="s">
        <v>113</v>
      </c>
      <c r="E96" s="455">
        <v>10</v>
      </c>
      <c r="F96" s="326"/>
      <c r="G96" s="326"/>
      <c r="H96" s="670"/>
      <c r="I96" s="326"/>
      <c r="J96" s="1144"/>
      <c r="K96" s="326"/>
      <c r="L96" s="326"/>
      <c r="M96" s="326"/>
      <c r="N96" s="1135"/>
    </row>
    <row r="97" spans="1:14" s="1136" customFormat="1" ht="27">
      <c r="A97" s="1359">
        <v>12</v>
      </c>
      <c r="B97" s="1143"/>
      <c r="C97" s="26" t="s">
        <v>1837</v>
      </c>
      <c r="D97" s="24"/>
      <c r="E97" s="455"/>
      <c r="F97" s="326"/>
      <c r="G97" s="326"/>
      <c r="H97" s="670"/>
      <c r="I97" s="326"/>
      <c r="J97" s="1144"/>
      <c r="K97" s="326"/>
      <c r="L97" s="326"/>
      <c r="M97" s="326"/>
      <c r="N97" s="1135"/>
    </row>
    <row r="98" spans="1:14" s="1136" customFormat="1" ht="15.75" customHeight="1">
      <c r="A98" s="1359"/>
      <c r="B98" s="1143"/>
      <c r="C98" s="26" t="s">
        <v>1821</v>
      </c>
      <c r="D98" s="24" t="s">
        <v>114</v>
      </c>
      <c r="E98" s="1376">
        <v>0.46</v>
      </c>
      <c r="F98" s="326"/>
      <c r="G98" s="326"/>
      <c r="H98" s="670"/>
      <c r="I98" s="326"/>
      <c r="J98" s="1144"/>
      <c r="K98" s="326"/>
      <c r="L98" s="326"/>
      <c r="M98" s="326"/>
      <c r="N98" s="1135"/>
    </row>
    <row r="99" spans="1:14" s="1136" customFormat="1" ht="18" customHeight="1">
      <c r="A99" s="1359"/>
      <c r="B99" s="1143"/>
      <c r="C99" s="26" t="s">
        <v>1820</v>
      </c>
      <c r="D99" s="24" t="s">
        <v>114</v>
      </c>
      <c r="E99" s="1376">
        <v>0.51600000000000001</v>
      </c>
      <c r="F99" s="326"/>
      <c r="G99" s="326"/>
      <c r="H99" s="670"/>
      <c r="I99" s="326"/>
      <c r="J99" s="1144"/>
      <c r="K99" s="326"/>
      <c r="L99" s="326"/>
      <c r="M99" s="326"/>
      <c r="N99" s="1135"/>
    </row>
    <row r="100" spans="1:14" s="1136" customFormat="1" ht="15" customHeight="1">
      <c r="A100" s="1359"/>
      <c r="B100" s="1143"/>
      <c r="C100" s="26" t="s">
        <v>1808</v>
      </c>
      <c r="D100" s="24" t="s">
        <v>114</v>
      </c>
      <c r="E100" s="1376">
        <v>1.4999999999999999E-2</v>
      </c>
      <c r="F100" s="326"/>
      <c r="G100" s="326"/>
      <c r="H100" s="670"/>
      <c r="I100" s="326"/>
      <c r="J100" s="1144"/>
      <c r="K100" s="326"/>
      <c r="L100" s="326"/>
      <c r="M100" s="326"/>
      <c r="N100" s="1135"/>
    </row>
    <row r="101" spans="1:14" s="1136" customFormat="1" ht="18.75" customHeight="1">
      <c r="A101" s="1359">
        <v>12</v>
      </c>
      <c r="B101" s="1143"/>
      <c r="C101" s="26" t="s">
        <v>1822</v>
      </c>
      <c r="D101" s="24" t="s">
        <v>114</v>
      </c>
      <c r="E101" s="1376">
        <f>SUM(E98:E100)</f>
        <v>0.99099999999999999</v>
      </c>
      <c r="F101" s="326"/>
      <c r="G101" s="326"/>
      <c r="H101" s="670"/>
      <c r="I101" s="326"/>
      <c r="J101" s="1144"/>
      <c r="K101" s="326"/>
      <c r="L101" s="326"/>
      <c r="M101" s="326"/>
      <c r="N101" s="1135"/>
    </row>
    <row r="102" spans="1:14" s="1136" customFormat="1" ht="27">
      <c r="A102" s="1359">
        <v>14</v>
      </c>
      <c r="B102" s="1143"/>
      <c r="C102" s="1227" t="s">
        <v>1809</v>
      </c>
      <c r="D102" s="24" t="s">
        <v>437</v>
      </c>
      <c r="E102" s="455">
        <v>3.6</v>
      </c>
      <c r="F102" s="326"/>
      <c r="G102" s="326"/>
      <c r="H102" s="670"/>
      <c r="I102" s="326"/>
      <c r="J102" s="1144"/>
      <c r="K102" s="326"/>
      <c r="L102" s="326"/>
      <c r="M102" s="326"/>
      <c r="N102" s="1135"/>
    </row>
    <row r="103" spans="1:14" s="1136" customFormat="1">
      <c r="A103" s="1359"/>
      <c r="B103" s="1143"/>
      <c r="C103" s="1227" t="s">
        <v>1810</v>
      </c>
      <c r="D103" s="24" t="s">
        <v>114</v>
      </c>
      <c r="E103" s="455">
        <v>0.27</v>
      </c>
      <c r="F103" s="326"/>
      <c r="G103" s="1389"/>
      <c r="H103" s="670"/>
      <c r="I103" s="326"/>
      <c r="J103" s="1144"/>
      <c r="K103" s="326"/>
      <c r="L103" s="326"/>
      <c r="M103" s="326"/>
      <c r="N103" s="1135"/>
    </row>
    <row r="104" spans="1:14" s="1136" customFormat="1">
      <c r="A104" s="1359"/>
      <c r="B104" s="1143"/>
      <c r="C104" s="1227" t="s">
        <v>1811</v>
      </c>
      <c r="D104" s="24" t="s">
        <v>114</v>
      </c>
      <c r="E104" s="455">
        <v>0.4</v>
      </c>
      <c r="F104" s="326"/>
      <c r="G104" s="1389"/>
      <c r="H104" s="670"/>
      <c r="I104" s="326"/>
      <c r="J104" s="1144"/>
      <c r="K104" s="326"/>
      <c r="L104" s="326"/>
      <c r="M104" s="326"/>
      <c r="N104" s="1135"/>
    </row>
    <row r="105" spans="1:14" s="1136" customFormat="1" hidden="1">
      <c r="A105" s="1129"/>
      <c r="B105" s="1129"/>
      <c r="C105" s="26" t="s">
        <v>1812</v>
      </c>
      <c r="D105" s="24" t="s">
        <v>113</v>
      </c>
      <c r="E105" s="123"/>
      <c r="F105" s="326"/>
      <c r="G105" s="326"/>
      <c r="H105" s="670"/>
      <c r="I105" s="326"/>
      <c r="J105" s="1130"/>
      <c r="K105" s="326"/>
      <c r="L105" s="326"/>
      <c r="M105" s="326"/>
      <c r="N105" s="1135"/>
    </row>
    <row r="106" spans="1:14">
      <c r="A106" s="1363"/>
      <c r="B106" s="197"/>
      <c r="C106" s="34" t="s">
        <v>119</v>
      </c>
      <c r="D106" s="29"/>
      <c r="E106" s="327"/>
      <c r="F106" s="326"/>
      <c r="G106" s="670"/>
      <c r="H106" s="670"/>
      <c r="I106" s="670"/>
      <c r="J106" s="659"/>
      <c r="K106" s="670"/>
      <c r="L106" s="670"/>
      <c r="M106" s="326" t="s">
        <v>859</v>
      </c>
      <c r="N106" s="322"/>
    </row>
    <row r="107" spans="1:14">
      <c r="A107" s="1363">
        <v>1</v>
      </c>
      <c r="B107" s="197"/>
      <c r="C107" s="40" t="s">
        <v>1457</v>
      </c>
      <c r="D107" s="24" t="s">
        <v>437</v>
      </c>
      <c r="E107" s="455">
        <v>3.8</v>
      </c>
      <c r="F107" s="326"/>
      <c r="G107" s="326"/>
      <c r="H107" s="670"/>
      <c r="I107" s="326"/>
      <c r="J107" s="659"/>
      <c r="K107" s="326"/>
      <c r="L107" s="326"/>
      <c r="M107" s="326"/>
      <c r="N107" s="322"/>
    </row>
    <row r="108" spans="1:14">
      <c r="A108" s="1363">
        <v>2</v>
      </c>
      <c r="B108" s="197"/>
      <c r="C108" s="191" t="s">
        <v>1000</v>
      </c>
      <c r="D108" s="24" t="s">
        <v>112</v>
      </c>
      <c r="E108" s="455">
        <v>74.48</v>
      </c>
      <c r="F108" s="326"/>
      <c r="G108" s="326"/>
      <c r="H108" s="670"/>
      <c r="I108" s="326"/>
      <c r="J108" s="659"/>
      <c r="K108" s="326"/>
      <c r="L108" s="326"/>
      <c r="M108" s="326"/>
      <c r="N108" s="322"/>
    </row>
    <row r="109" spans="1:14" hidden="1">
      <c r="A109" s="197">
        <v>3</v>
      </c>
      <c r="B109" s="197"/>
      <c r="C109" s="1088" t="s">
        <v>1735</v>
      </c>
      <c r="D109" s="83" t="s">
        <v>78</v>
      </c>
      <c r="E109" s="123"/>
      <c r="F109" s="326"/>
      <c r="G109" s="326"/>
      <c r="H109" s="670"/>
      <c r="I109" s="326"/>
      <c r="J109" s="659"/>
      <c r="K109" s="326"/>
      <c r="L109" s="326"/>
      <c r="M109" s="326"/>
      <c r="N109" s="322"/>
    </row>
    <row r="110" spans="1:14" ht="27" hidden="1">
      <c r="A110" s="197">
        <v>4</v>
      </c>
      <c r="B110" s="197"/>
      <c r="C110" s="49" t="s">
        <v>960</v>
      </c>
      <c r="D110" s="48" t="s">
        <v>78</v>
      </c>
      <c r="E110" s="123"/>
      <c r="F110" s="326"/>
      <c r="G110" s="326"/>
      <c r="H110" s="670"/>
      <c r="I110" s="326"/>
      <c r="J110" s="659"/>
      <c r="K110" s="326"/>
      <c r="L110" s="326"/>
      <c r="M110" s="326"/>
      <c r="N110" s="322"/>
    </row>
    <row r="111" spans="1:14" hidden="1">
      <c r="A111" s="197">
        <v>5</v>
      </c>
      <c r="B111" s="197"/>
      <c r="C111" s="49" t="s">
        <v>973</v>
      </c>
      <c r="D111" s="48" t="s">
        <v>78</v>
      </c>
      <c r="E111" s="123"/>
      <c r="F111" s="326"/>
      <c r="G111" s="326"/>
      <c r="H111" s="670"/>
      <c r="I111" s="326"/>
      <c r="J111" s="659"/>
      <c r="K111" s="326"/>
      <c r="L111" s="326"/>
      <c r="M111" s="326"/>
      <c r="N111" s="323"/>
    </row>
    <row r="112" spans="1:14" ht="27" hidden="1">
      <c r="A112" s="197">
        <v>6</v>
      </c>
      <c r="B112" s="197"/>
      <c r="C112" s="1072" t="s">
        <v>1731</v>
      </c>
      <c r="D112" s="24" t="s">
        <v>78</v>
      </c>
      <c r="E112" s="123"/>
      <c r="F112" s="326"/>
      <c r="G112" s="326"/>
      <c r="H112" s="670"/>
      <c r="I112" s="326"/>
      <c r="J112" s="659"/>
      <c r="K112" s="326"/>
      <c r="L112" s="326"/>
      <c r="M112" s="326"/>
      <c r="N112" s="322"/>
    </row>
    <row r="113" spans="1:14" hidden="1">
      <c r="A113" s="197">
        <v>7</v>
      </c>
      <c r="B113" s="197"/>
      <c r="C113" s="785" t="s">
        <v>976</v>
      </c>
      <c r="D113" s="24" t="s">
        <v>78</v>
      </c>
      <c r="E113" s="123"/>
      <c r="F113" s="326"/>
      <c r="G113" s="326"/>
      <c r="H113" s="670"/>
      <c r="I113" s="326"/>
      <c r="J113" s="659"/>
      <c r="K113" s="326"/>
      <c r="L113" s="326"/>
      <c r="M113" s="326"/>
      <c r="N113" s="322"/>
    </row>
    <row r="114" spans="1:14" ht="27" hidden="1">
      <c r="A114" s="197">
        <v>8</v>
      </c>
      <c r="B114" s="197"/>
      <c r="C114" s="46" t="s">
        <v>968</v>
      </c>
      <c r="D114" s="47" t="s">
        <v>78</v>
      </c>
      <c r="E114" s="123"/>
      <c r="F114" s="326"/>
      <c r="G114" s="326"/>
      <c r="H114" s="670"/>
      <c r="I114" s="326"/>
      <c r="J114" s="659"/>
      <c r="K114" s="326"/>
      <c r="L114" s="326"/>
      <c r="M114" s="326"/>
      <c r="N114" s="1040"/>
    </row>
    <row r="115" spans="1:14" ht="27" hidden="1">
      <c r="A115" s="197">
        <v>9</v>
      </c>
      <c r="B115" s="197"/>
      <c r="C115" s="40" t="s">
        <v>160</v>
      </c>
      <c r="D115" s="24" t="s">
        <v>112</v>
      </c>
      <c r="E115" s="123"/>
      <c r="F115" s="680"/>
      <c r="G115" s="326"/>
      <c r="H115" s="670"/>
      <c r="I115" s="326"/>
      <c r="J115" s="659"/>
      <c r="K115" s="326"/>
      <c r="L115" s="326"/>
      <c r="M115" s="326"/>
      <c r="N115" s="322"/>
    </row>
    <row r="116" spans="1:14" ht="27" hidden="1">
      <c r="A116" s="197">
        <v>10</v>
      </c>
      <c r="B116" s="197"/>
      <c r="C116" s="40" t="s">
        <v>162</v>
      </c>
      <c r="D116" s="24" t="s">
        <v>112</v>
      </c>
      <c r="E116" s="123"/>
      <c r="F116" s="680"/>
      <c r="G116" s="326"/>
      <c r="H116" s="670"/>
      <c r="I116" s="326"/>
      <c r="J116" s="659"/>
      <c r="K116" s="326"/>
      <c r="L116" s="326"/>
      <c r="M116" s="326"/>
      <c r="N116" s="322"/>
    </row>
    <row r="117" spans="1:14" hidden="1">
      <c r="A117" s="197">
        <v>11</v>
      </c>
      <c r="B117" s="197"/>
      <c r="C117" s="35" t="s">
        <v>918</v>
      </c>
      <c r="D117" s="24" t="s">
        <v>112</v>
      </c>
      <c r="E117" s="123"/>
      <c r="F117" s="680"/>
      <c r="G117" s="326"/>
      <c r="H117" s="670"/>
      <c r="I117" s="326"/>
      <c r="J117" s="659"/>
      <c r="K117" s="326"/>
      <c r="L117" s="326"/>
      <c r="M117" s="326"/>
      <c r="N117" s="322"/>
    </row>
    <row r="118" spans="1:14" hidden="1">
      <c r="A118" s="197">
        <v>12</v>
      </c>
      <c r="B118" s="197"/>
      <c r="C118" s="35" t="s">
        <v>1036</v>
      </c>
      <c r="D118" s="24" t="s">
        <v>112</v>
      </c>
      <c r="E118" s="123"/>
      <c r="F118" s="680"/>
      <c r="G118" s="326"/>
      <c r="H118" s="670"/>
      <c r="I118" s="326"/>
      <c r="J118" s="659"/>
      <c r="K118" s="326"/>
      <c r="L118" s="326"/>
      <c r="M118" s="326"/>
      <c r="N118" s="322"/>
    </row>
    <row r="119" spans="1:14" hidden="1">
      <c r="A119" s="197">
        <v>13</v>
      </c>
      <c r="B119" s="197"/>
      <c r="C119" s="35" t="s">
        <v>1001</v>
      </c>
      <c r="D119" s="24" t="s">
        <v>112</v>
      </c>
      <c r="E119" s="123"/>
      <c r="F119" s="680"/>
      <c r="G119" s="326"/>
      <c r="H119" s="670"/>
      <c r="I119" s="326"/>
      <c r="J119" s="659"/>
      <c r="K119" s="326"/>
      <c r="L119" s="326"/>
      <c r="M119" s="326"/>
      <c r="N119" s="322"/>
    </row>
    <row r="120" spans="1:14" ht="40.5" hidden="1">
      <c r="A120" s="197">
        <v>14</v>
      </c>
      <c r="B120" s="197"/>
      <c r="C120" s="40" t="s">
        <v>1002</v>
      </c>
      <c r="D120" s="24" t="s">
        <v>112</v>
      </c>
      <c r="E120" s="123"/>
      <c r="F120" s="680"/>
      <c r="G120" s="326"/>
      <c r="H120" s="670"/>
      <c r="I120" s="326"/>
      <c r="J120" s="659"/>
      <c r="K120" s="326"/>
      <c r="L120" s="326"/>
      <c r="M120" s="326"/>
      <c r="N120" s="322"/>
    </row>
    <row r="121" spans="1:14" ht="27" hidden="1">
      <c r="A121" s="197">
        <v>15</v>
      </c>
      <c r="B121" s="197"/>
      <c r="C121" s="26" t="s">
        <v>1741</v>
      </c>
      <c r="D121" s="24" t="s">
        <v>112</v>
      </c>
      <c r="E121" s="123"/>
      <c r="F121" s="326"/>
      <c r="G121" s="326"/>
      <c r="H121" s="670"/>
      <c r="I121" s="326"/>
      <c r="J121" s="659"/>
      <c r="K121" s="326"/>
      <c r="L121" s="326"/>
      <c r="M121" s="326"/>
      <c r="N121" s="322"/>
    </row>
    <row r="122" spans="1:14" hidden="1">
      <c r="A122" s="197">
        <v>16</v>
      </c>
      <c r="B122" s="197"/>
      <c r="C122" s="40" t="s">
        <v>1686</v>
      </c>
      <c r="D122" s="24" t="s">
        <v>112</v>
      </c>
      <c r="E122" s="123"/>
      <c r="F122" s="670"/>
      <c r="G122" s="326"/>
      <c r="H122" s="670"/>
      <c r="I122" s="326"/>
      <c r="J122" s="679"/>
      <c r="K122" s="326"/>
      <c r="L122" s="326"/>
      <c r="M122" s="326"/>
      <c r="N122" s="322"/>
    </row>
    <row r="123" spans="1:14" hidden="1">
      <c r="A123" s="197">
        <v>17</v>
      </c>
      <c r="B123" s="197"/>
      <c r="C123" s="26" t="s">
        <v>36</v>
      </c>
      <c r="D123" s="29" t="s">
        <v>124</v>
      </c>
      <c r="E123" s="123"/>
      <c r="F123" s="670"/>
      <c r="G123" s="326"/>
      <c r="H123" s="670"/>
      <c r="I123" s="326"/>
      <c r="J123" s="679"/>
      <c r="K123" s="326"/>
      <c r="L123" s="326"/>
      <c r="M123" s="326"/>
      <c r="N123" s="322"/>
    </row>
    <row r="124" spans="1:14" hidden="1">
      <c r="A124" s="197">
        <v>18</v>
      </c>
      <c r="B124" s="197"/>
      <c r="C124" s="26" t="s">
        <v>51</v>
      </c>
      <c r="D124" s="29" t="s">
        <v>124</v>
      </c>
      <c r="E124" s="123"/>
      <c r="F124" s="670"/>
      <c r="G124" s="326"/>
      <c r="H124" s="670"/>
      <c r="I124" s="326"/>
      <c r="J124" s="681"/>
      <c r="K124" s="326"/>
      <c r="L124" s="326"/>
      <c r="M124" s="326"/>
      <c r="N124" s="322"/>
    </row>
    <row r="125" spans="1:14" ht="27" hidden="1">
      <c r="A125" s="197">
        <v>19</v>
      </c>
      <c r="B125" s="197"/>
      <c r="C125" s="26" t="s">
        <v>1003</v>
      </c>
      <c r="D125" s="24" t="s">
        <v>112</v>
      </c>
      <c r="E125" s="123"/>
      <c r="F125" s="670"/>
      <c r="G125" s="326"/>
      <c r="H125" s="670"/>
      <c r="I125" s="326"/>
      <c r="J125" s="679"/>
      <c r="K125" s="326"/>
      <c r="L125" s="326"/>
      <c r="M125" s="326"/>
      <c r="N125" s="322"/>
    </row>
    <row r="126" spans="1:14">
      <c r="A126" s="1363">
        <v>3</v>
      </c>
      <c r="B126" s="197"/>
      <c r="C126" s="26" t="s">
        <v>1467</v>
      </c>
      <c r="D126" s="24" t="s">
        <v>112</v>
      </c>
      <c r="E126" s="455">
        <v>74.48</v>
      </c>
      <c r="F126" s="670"/>
      <c r="G126" s="326"/>
      <c r="H126" s="670"/>
      <c r="I126" s="326"/>
      <c r="J126" s="679"/>
      <c r="K126" s="326"/>
      <c r="L126" s="326"/>
      <c r="M126" s="326"/>
      <c r="N126" s="322"/>
    </row>
    <row r="127" spans="1:14" ht="16.5" hidden="1" customHeight="1">
      <c r="A127" s="197">
        <v>21</v>
      </c>
      <c r="B127" s="197"/>
      <c r="C127" s="26" t="s">
        <v>429</v>
      </c>
      <c r="D127" s="24" t="s">
        <v>112</v>
      </c>
      <c r="E127" s="123"/>
      <c r="F127" s="670"/>
      <c r="G127" s="326"/>
      <c r="H127" s="670"/>
      <c r="I127" s="326"/>
      <c r="J127" s="679"/>
      <c r="K127" s="326"/>
      <c r="L127" s="326"/>
      <c r="M127" s="326"/>
      <c r="N127" s="322"/>
    </row>
    <row r="128" spans="1:14" hidden="1">
      <c r="A128" s="197">
        <v>22</v>
      </c>
      <c r="B128" s="197"/>
      <c r="C128" s="191" t="s">
        <v>120</v>
      </c>
      <c r="D128" s="29" t="s">
        <v>124</v>
      </c>
      <c r="E128" s="123"/>
      <c r="F128" s="326"/>
      <c r="G128" s="326"/>
      <c r="H128" s="670"/>
      <c r="I128" s="326"/>
      <c r="J128" s="659"/>
      <c r="K128" s="326"/>
      <c r="L128" s="326"/>
      <c r="M128" s="326"/>
      <c r="N128" s="322"/>
    </row>
    <row r="129" spans="1:14" s="672" customFormat="1" ht="27">
      <c r="A129" s="1363">
        <v>4</v>
      </c>
      <c r="B129" s="197"/>
      <c r="C129" s="26" t="s">
        <v>1510</v>
      </c>
      <c r="D129" s="29" t="s">
        <v>124</v>
      </c>
      <c r="E129" s="455">
        <v>12.4</v>
      </c>
      <c r="F129" s="326"/>
      <c r="G129" s="326"/>
      <c r="H129" s="670"/>
      <c r="I129" s="326"/>
      <c r="J129" s="659"/>
      <c r="K129" s="326"/>
      <c r="L129" s="326"/>
      <c r="M129" s="326"/>
      <c r="N129" s="323"/>
    </row>
    <row r="130" spans="1:14">
      <c r="A130" s="1363"/>
      <c r="B130" s="197"/>
      <c r="C130" s="34" t="s">
        <v>121</v>
      </c>
      <c r="D130" s="27"/>
      <c r="E130" s="327"/>
      <c r="F130" s="326"/>
      <c r="G130" s="670"/>
      <c r="H130" s="670"/>
      <c r="I130" s="670"/>
      <c r="J130" s="659"/>
      <c r="K130" s="670"/>
      <c r="L130" s="670"/>
      <c r="M130" s="326"/>
      <c r="N130" s="322"/>
    </row>
    <row r="131" spans="1:14" hidden="1">
      <c r="A131" s="197">
        <v>1</v>
      </c>
      <c r="B131" s="197"/>
      <c r="C131" s="26" t="s">
        <v>170</v>
      </c>
      <c r="D131" s="24" t="s">
        <v>112</v>
      </c>
      <c r="E131" s="123"/>
      <c r="F131" s="326"/>
      <c r="G131" s="326"/>
      <c r="H131" s="670"/>
      <c r="I131" s="326"/>
      <c r="J131" s="659"/>
      <c r="K131" s="326"/>
      <c r="L131" s="326"/>
      <c r="M131" s="326"/>
      <c r="N131" s="322"/>
    </row>
    <row r="132" spans="1:14" ht="27">
      <c r="A132" s="1363">
        <v>1</v>
      </c>
      <c r="B132" s="197"/>
      <c r="C132" s="68" t="s">
        <v>1604</v>
      </c>
      <c r="D132" s="24" t="s">
        <v>112</v>
      </c>
      <c r="E132" s="455">
        <v>74.48</v>
      </c>
      <c r="F132" s="326"/>
      <c r="G132" s="326"/>
      <c r="H132" s="670"/>
      <c r="I132" s="326"/>
      <c r="J132" s="659"/>
      <c r="K132" s="326"/>
      <c r="L132" s="326"/>
      <c r="M132" s="326"/>
      <c r="N132" s="322"/>
    </row>
    <row r="133" spans="1:14" ht="27" hidden="1">
      <c r="A133" s="197">
        <v>3</v>
      </c>
      <c r="B133" s="197"/>
      <c r="C133" s="26" t="s">
        <v>1602</v>
      </c>
      <c r="D133" s="24" t="s">
        <v>112</v>
      </c>
      <c r="E133" s="123"/>
      <c r="F133" s="326"/>
      <c r="G133" s="326"/>
      <c r="H133" s="670"/>
      <c r="I133" s="326"/>
      <c r="J133" s="659"/>
      <c r="K133" s="326"/>
      <c r="L133" s="326"/>
      <c r="M133" s="326"/>
      <c r="N133" s="322"/>
    </row>
    <row r="134" spans="1:14" ht="27" hidden="1">
      <c r="A134" s="197">
        <v>4</v>
      </c>
      <c r="B134" s="197"/>
      <c r="C134" s="26" t="s">
        <v>1603</v>
      </c>
      <c r="D134" s="24" t="s">
        <v>112</v>
      </c>
      <c r="E134" s="123"/>
      <c r="F134" s="326"/>
      <c r="G134" s="326"/>
      <c r="H134" s="670"/>
      <c r="I134" s="326"/>
      <c r="J134" s="659"/>
      <c r="K134" s="326"/>
      <c r="L134" s="326"/>
      <c r="M134" s="326"/>
      <c r="N134" s="322"/>
    </row>
    <row r="135" spans="1:14" ht="27" hidden="1">
      <c r="A135" s="197">
        <v>5</v>
      </c>
      <c r="B135" s="197"/>
      <c r="C135" s="26" t="s">
        <v>483</v>
      </c>
      <c r="D135" s="24" t="s">
        <v>112</v>
      </c>
      <c r="E135" s="123"/>
      <c r="F135" s="326"/>
      <c r="G135" s="326"/>
      <c r="H135" s="670"/>
      <c r="I135" s="326"/>
      <c r="J135" s="659"/>
      <c r="K135" s="326"/>
      <c r="L135" s="326"/>
      <c r="M135" s="326"/>
      <c r="N135" s="322"/>
    </row>
    <row r="136" spans="1:14" hidden="1">
      <c r="A136" s="197">
        <v>6</v>
      </c>
      <c r="B136" s="197"/>
      <c r="C136" s="26" t="s">
        <v>698</v>
      </c>
      <c r="D136" s="24" t="s">
        <v>112</v>
      </c>
      <c r="E136" s="123"/>
      <c r="F136" s="326"/>
      <c r="G136" s="326"/>
      <c r="H136" s="670"/>
      <c r="I136" s="326"/>
      <c r="J136" s="659"/>
      <c r="K136" s="326"/>
      <c r="L136" s="326"/>
      <c r="M136" s="326"/>
      <c r="N136" s="322"/>
    </row>
    <row r="137" spans="1:14" hidden="1">
      <c r="A137" s="197"/>
      <c r="B137" s="197"/>
      <c r="C137" s="26" t="s">
        <v>1561</v>
      </c>
      <c r="D137" s="24" t="s">
        <v>112</v>
      </c>
      <c r="E137" s="123"/>
      <c r="F137" s="326"/>
      <c r="G137" s="326"/>
      <c r="H137" s="670"/>
      <c r="I137" s="326"/>
      <c r="J137" s="659"/>
      <c r="K137" s="326"/>
      <c r="L137" s="326"/>
      <c r="M137" s="326"/>
      <c r="N137" s="322"/>
    </row>
    <row r="138" spans="1:14" ht="15.75" hidden="1" customHeight="1">
      <c r="A138" s="197">
        <v>7</v>
      </c>
      <c r="B138" s="197"/>
      <c r="C138" s="26" t="s">
        <v>0</v>
      </c>
      <c r="D138" s="24" t="s">
        <v>112</v>
      </c>
      <c r="E138" s="123"/>
      <c r="F138" s="326"/>
      <c r="G138" s="326"/>
      <c r="H138" s="670"/>
      <c r="I138" s="326"/>
      <c r="J138" s="659"/>
      <c r="K138" s="326"/>
      <c r="L138" s="326"/>
      <c r="M138" s="326"/>
      <c r="N138" s="322"/>
    </row>
    <row r="139" spans="1:14" hidden="1">
      <c r="A139" s="197">
        <v>8</v>
      </c>
      <c r="B139" s="197"/>
      <c r="C139" s="28" t="s">
        <v>168</v>
      </c>
      <c r="D139" s="24" t="s">
        <v>112</v>
      </c>
      <c r="E139" s="123"/>
      <c r="F139" s="326"/>
      <c r="G139" s="326"/>
      <c r="H139" s="670"/>
      <c r="I139" s="326"/>
      <c r="J139" s="659"/>
      <c r="K139" s="326"/>
      <c r="L139" s="326"/>
      <c r="M139" s="326"/>
      <c r="N139" s="322"/>
    </row>
    <row r="140" spans="1:14" hidden="1">
      <c r="A140" s="197">
        <v>9</v>
      </c>
      <c r="B140" s="197"/>
      <c r="C140" s="28" t="s">
        <v>169</v>
      </c>
      <c r="D140" s="24" t="s">
        <v>112</v>
      </c>
      <c r="E140" s="123"/>
      <c r="F140" s="326"/>
      <c r="G140" s="326"/>
      <c r="H140" s="670"/>
      <c r="I140" s="326"/>
      <c r="J140" s="659"/>
      <c r="K140" s="326"/>
      <c r="L140" s="326"/>
      <c r="M140" s="326"/>
      <c r="N140" s="322"/>
    </row>
    <row r="141" spans="1:14" s="1266" customFormat="1" ht="16.5" customHeight="1">
      <c r="A141" s="1363">
        <v>2</v>
      </c>
      <c r="B141" s="1261"/>
      <c r="C141" s="1227" t="s">
        <v>1862</v>
      </c>
      <c r="D141" s="1390" t="s">
        <v>124</v>
      </c>
      <c r="E141" s="455">
        <v>9</v>
      </c>
      <c r="F141" s="1349"/>
      <c r="G141" s="1263"/>
      <c r="H141" s="1349"/>
      <c r="I141" s="1263"/>
      <c r="J141" s="1350"/>
      <c r="K141" s="1263"/>
      <c r="L141" s="1263"/>
      <c r="M141" s="1263"/>
      <c r="N141" s="1265"/>
    </row>
    <row r="142" spans="1:14" s="1266" customFormat="1" ht="27">
      <c r="A142" s="1363">
        <v>3</v>
      </c>
      <c r="B142" s="1261"/>
      <c r="C142" s="1227" t="s">
        <v>1863</v>
      </c>
      <c r="D142" s="1205" t="s">
        <v>112</v>
      </c>
      <c r="E142" s="455">
        <v>5</v>
      </c>
      <c r="F142" s="1263"/>
      <c r="G142" s="1263"/>
      <c r="H142" s="1349"/>
      <c r="I142" s="1263"/>
      <c r="J142" s="1264"/>
      <c r="K142" s="1263"/>
      <c r="L142" s="1263"/>
      <c r="M142" s="1263"/>
      <c r="N142" s="1265"/>
    </row>
    <row r="143" spans="1:14" ht="27" hidden="1">
      <c r="A143" s="197">
        <v>10</v>
      </c>
      <c r="B143" s="197"/>
      <c r="C143" s="26" t="s">
        <v>999</v>
      </c>
      <c r="D143" s="24" t="s">
        <v>112</v>
      </c>
      <c r="E143" s="123"/>
      <c r="F143" s="326"/>
      <c r="G143" s="326"/>
      <c r="H143" s="670"/>
      <c r="I143" s="326"/>
      <c r="J143" s="659"/>
      <c r="K143" s="326"/>
      <c r="L143" s="326"/>
      <c r="M143" s="326"/>
      <c r="N143" s="322"/>
    </row>
    <row r="144" spans="1:14" ht="16.5" hidden="1" customHeight="1">
      <c r="A144" s="197">
        <v>11</v>
      </c>
      <c r="B144" s="197"/>
      <c r="C144" s="28" t="s">
        <v>167</v>
      </c>
      <c r="D144" s="29" t="s">
        <v>124</v>
      </c>
      <c r="E144" s="123"/>
      <c r="F144" s="670"/>
      <c r="G144" s="326"/>
      <c r="H144" s="670"/>
      <c r="I144" s="326"/>
      <c r="J144" s="679"/>
      <c r="K144" s="326"/>
      <c r="L144" s="326"/>
      <c r="M144" s="326"/>
      <c r="N144" s="322"/>
    </row>
    <row r="145" spans="1:14">
      <c r="A145" s="1363"/>
      <c r="B145" s="197"/>
      <c r="C145" s="34" t="s">
        <v>123</v>
      </c>
      <c r="D145" s="27"/>
      <c r="E145" s="327"/>
      <c r="F145" s="326"/>
      <c r="G145" s="670"/>
      <c r="H145" s="670"/>
      <c r="I145" s="670"/>
      <c r="J145" s="659"/>
      <c r="K145" s="670"/>
      <c r="L145" s="670"/>
      <c r="M145" s="326"/>
      <c r="N145" s="322"/>
    </row>
    <row r="146" spans="1:14" ht="16.5" customHeight="1">
      <c r="A146" s="1359">
        <v>1</v>
      </c>
      <c r="B146" s="198"/>
      <c r="C146" s="26" t="s">
        <v>1814</v>
      </c>
      <c r="D146" s="24" t="s">
        <v>112</v>
      </c>
      <c r="E146" s="455">
        <v>27.54</v>
      </c>
      <c r="F146" s="670"/>
      <c r="G146" s="326"/>
      <c r="H146" s="670"/>
      <c r="I146" s="326"/>
      <c r="J146" s="679"/>
      <c r="K146" s="326"/>
      <c r="L146" s="326"/>
      <c r="M146" s="326" t="s">
        <v>859</v>
      </c>
      <c r="N146" s="741"/>
    </row>
    <row r="147" spans="1:14" ht="27" hidden="1">
      <c r="A147" s="198">
        <v>2</v>
      </c>
      <c r="B147" s="198"/>
      <c r="C147" s="28" t="s">
        <v>1519</v>
      </c>
      <c r="D147" s="24" t="s">
        <v>112</v>
      </c>
      <c r="E147" s="123"/>
      <c r="F147" s="670"/>
      <c r="G147" s="326"/>
      <c r="H147" s="670"/>
      <c r="I147" s="326"/>
      <c r="J147" s="679"/>
      <c r="K147" s="326"/>
      <c r="L147" s="326"/>
      <c r="M147" s="326" t="s">
        <v>859</v>
      </c>
      <c r="N147" s="322"/>
    </row>
    <row r="148" spans="1:14">
      <c r="A148" s="1359">
        <v>2</v>
      </c>
      <c r="B148" s="198"/>
      <c r="C148" s="191" t="s">
        <v>1518</v>
      </c>
      <c r="D148" s="29" t="s">
        <v>124</v>
      </c>
      <c r="E148" s="455">
        <v>64.2</v>
      </c>
      <c r="F148" s="326"/>
      <c r="G148" s="326"/>
      <c r="H148" s="670"/>
      <c r="I148" s="326"/>
      <c r="J148" s="659"/>
      <c r="K148" s="326"/>
      <c r="L148" s="326"/>
      <c r="M148" s="326"/>
      <c r="N148" s="322"/>
    </row>
    <row r="149" spans="1:14" hidden="1">
      <c r="A149" s="1407">
        <v>4</v>
      </c>
      <c r="B149" s="198"/>
      <c r="C149" s="28" t="s">
        <v>1038</v>
      </c>
      <c r="D149" s="24" t="s">
        <v>112</v>
      </c>
      <c r="E149" s="123"/>
      <c r="F149" s="670"/>
      <c r="G149" s="326"/>
      <c r="H149" s="670"/>
      <c r="I149" s="326"/>
      <c r="J149" s="679"/>
      <c r="K149" s="326"/>
      <c r="L149" s="326"/>
      <c r="M149" s="326" t="s">
        <v>859</v>
      </c>
      <c r="N149" s="322"/>
    </row>
    <row r="150" spans="1:14" ht="15" hidden="1">
      <c r="A150" s="1408"/>
      <c r="B150" s="746"/>
      <c r="C150" s="28" t="s">
        <v>363</v>
      </c>
      <c r="D150" s="158" t="s">
        <v>4</v>
      </c>
      <c r="E150" s="123"/>
      <c r="F150" s="670"/>
      <c r="G150" s="326"/>
      <c r="H150" s="670"/>
      <c r="I150" s="326"/>
      <c r="J150" s="679"/>
      <c r="K150" s="326"/>
      <c r="L150" s="326"/>
      <c r="M150" s="326"/>
      <c r="N150" s="322"/>
    </row>
    <row r="151" spans="1:14" hidden="1">
      <c r="A151" s="1407">
        <v>5</v>
      </c>
      <c r="B151" s="198"/>
      <c r="C151" s="40" t="s">
        <v>1096</v>
      </c>
      <c r="D151" s="24" t="s">
        <v>112</v>
      </c>
      <c r="E151" s="123"/>
      <c r="F151" s="670"/>
      <c r="G151" s="326"/>
      <c r="H151" s="670"/>
      <c r="I151" s="326"/>
      <c r="J151" s="679"/>
      <c r="K151" s="326"/>
      <c r="L151" s="326"/>
      <c r="M151" s="326"/>
      <c r="N151" s="322"/>
    </row>
    <row r="152" spans="1:14" hidden="1">
      <c r="A152" s="1407"/>
      <c r="B152" s="198"/>
      <c r="C152" s="28" t="s">
        <v>363</v>
      </c>
      <c r="D152" s="158" t="s">
        <v>4</v>
      </c>
      <c r="E152" s="123"/>
      <c r="F152" s="670"/>
      <c r="G152" s="326"/>
      <c r="H152" s="670"/>
      <c r="I152" s="326"/>
      <c r="J152" s="679"/>
      <c r="K152" s="326"/>
      <c r="L152" s="326"/>
      <c r="M152" s="326"/>
      <c r="N152" s="322"/>
    </row>
    <row r="153" spans="1:14" ht="27" hidden="1">
      <c r="A153" s="362">
        <v>6</v>
      </c>
      <c r="B153" s="198"/>
      <c r="C153" s="46" t="s">
        <v>1280</v>
      </c>
      <c r="D153" s="24" t="s">
        <v>112</v>
      </c>
      <c r="E153" s="123"/>
      <c r="F153" s="670"/>
      <c r="G153" s="326"/>
      <c r="H153" s="670"/>
      <c r="I153" s="326"/>
      <c r="J153" s="679"/>
      <c r="K153" s="326"/>
      <c r="L153" s="326"/>
      <c r="M153" s="326" t="s">
        <v>859</v>
      </c>
      <c r="N153" s="322"/>
    </row>
    <row r="154" spans="1:14" hidden="1">
      <c r="A154" s="369">
        <v>7</v>
      </c>
      <c r="B154" s="24"/>
      <c r="C154" s="26" t="s">
        <v>1026</v>
      </c>
      <c r="D154" s="24" t="s">
        <v>112</v>
      </c>
      <c r="E154" s="123"/>
      <c r="F154" s="326"/>
      <c r="G154" s="326"/>
      <c r="H154" s="326"/>
      <c r="I154" s="326"/>
      <c r="J154" s="659"/>
      <c r="K154" s="326"/>
      <c r="L154" s="326"/>
      <c r="M154" s="326"/>
      <c r="N154" s="322"/>
    </row>
    <row r="155" spans="1:14" ht="28.5" hidden="1" customHeight="1">
      <c r="A155" s="198">
        <v>8</v>
      </c>
      <c r="B155" s="24"/>
      <c r="C155" s="26" t="s">
        <v>1027</v>
      </c>
      <c r="D155" s="24" t="s">
        <v>112</v>
      </c>
      <c r="E155" s="123"/>
      <c r="F155" s="326"/>
      <c r="G155" s="326"/>
      <c r="H155" s="326"/>
      <c r="I155" s="326"/>
      <c r="J155" s="659"/>
      <c r="K155" s="326"/>
      <c r="L155" s="326"/>
      <c r="M155" s="326"/>
      <c r="N155" s="322"/>
    </row>
    <row r="156" spans="1:14" hidden="1">
      <c r="A156" s="198">
        <v>9</v>
      </c>
      <c r="B156" s="198"/>
      <c r="C156" s="28" t="s">
        <v>1107</v>
      </c>
      <c r="D156" s="24" t="s">
        <v>112</v>
      </c>
      <c r="E156" s="123"/>
      <c r="F156" s="670"/>
      <c r="G156" s="326"/>
      <c r="H156" s="670"/>
      <c r="I156" s="326"/>
      <c r="J156" s="679"/>
      <c r="K156" s="326"/>
      <c r="L156" s="326"/>
      <c r="M156" s="326" t="s">
        <v>859</v>
      </c>
      <c r="N156" s="322"/>
    </row>
    <row r="157" spans="1:14" hidden="1">
      <c r="A157" s="198">
        <v>1</v>
      </c>
      <c r="B157" s="198"/>
      <c r="C157" s="26" t="s">
        <v>171</v>
      </c>
      <c r="D157" s="24" t="s">
        <v>112</v>
      </c>
      <c r="E157" s="123">
        <v>0</v>
      </c>
      <c r="F157" s="670"/>
      <c r="G157" s="326"/>
      <c r="H157" s="670"/>
      <c r="I157" s="326"/>
      <c r="J157" s="679"/>
      <c r="K157" s="326"/>
      <c r="L157" s="326"/>
      <c r="M157" s="326" t="s">
        <v>859</v>
      </c>
      <c r="N157" s="322"/>
    </row>
    <row r="158" spans="1:14" hidden="1">
      <c r="A158" s="198">
        <v>11</v>
      </c>
      <c r="B158" s="198"/>
      <c r="C158" s="26" t="s">
        <v>172</v>
      </c>
      <c r="D158" s="24" t="s">
        <v>112</v>
      </c>
      <c r="E158" s="123"/>
      <c r="F158" s="670"/>
      <c r="G158" s="326"/>
      <c r="H158" s="670"/>
      <c r="I158" s="326"/>
      <c r="J158" s="679"/>
      <c r="K158" s="326"/>
      <c r="L158" s="326"/>
      <c r="M158" s="326" t="s">
        <v>859</v>
      </c>
      <c r="N158" s="322"/>
    </row>
    <row r="159" spans="1:14">
      <c r="A159" s="1359">
        <v>3</v>
      </c>
      <c r="B159" s="198"/>
      <c r="C159" s="36" t="s">
        <v>1004</v>
      </c>
      <c r="D159" s="24" t="s">
        <v>112</v>
      </c>
      <c r="E159" s="455">
        <v>11.2</v>
      </c>
      <c r="F159" s="326"/>
      <c r="G159" s="326"/>
      <c r="H159" s="670"/>
      <c r="I159" s="326"/>
      <c r="J159" s="659"/>
      <c r="K159" s="326"/>
      <c r="L159" s="326"/>
      <c r="M159" s="326" t="s">
        <v>859</v>
      </c>
      <c r="N159" s="322"/>
    </row>
    <row r="160" spans="1:14">
      <c r="A160" s="1359">
        <v>4</v>
      </c>
      <c r="B160" s="198"/>
      <c r="C160" s="36" t="s">
        <v>1005</v>
      </c>
      <c r="D160" s="24" t="s">
        <v>112</v>
      </c>
      <c r="E160" s="455">
        <v>24.1</v>
      </c>
      <c r="F160" s="326"/>
      <c r="G160" s="326"/>
      <c r="H160" s="670"/>
      <c r="I160" s="326"/>
      <c r="J160" s="659"/>
      <c r="K160" s="326"/>
      <c r="L160" s="326"/>
      <c r="M160" s="326" t="s">
        <v>859</v>
      </c>
      <c r="N160" s="741"/>
    </row>
    <row r="161" spans="1:14" hidden="1">
      <c r="A161" s="198">
        <v>14</v>
      </c>
      <c r="B161" s="198"/>
      <c r="C161" s="36" t="s">
        <v>1006</v>
      </c>
      <c r="D161" s="24" t="s">
        <v>112</v>
      </c>
      <c r="E161" s="123"/>
      <c r="F161" s="326"/>
      <c r="G161" s="326"/>
      <c r="H161" s="670"/>
      <c r="I161" s="326"/>
      <c r="J161" s="659"/>
      <c r="K161" s="326"/>
      <c r="L161" s="326"/>
      <c r="M161" s="326"/>
      <c r="N161" s="322"/>
    </row>
    <row r="162" spans="1:14">
      <c r="A162" s="1359">
        <v>5</v>
      </c>
      <c r="B162" s="198"/>
      <c r="C162" s="36" t="s">
        <v>1007</v>
      </c>
      <c r="D162" s="29" t="s">
        <v>124</v>
      </c>
      <c r="E162" s="455">
        <v>12</v>
      </c>
      <c r="F162" s="326"/>
      <c r="G162" s="326"/>
      <c r="H162" s="670"/>
      <c r="I162" s="326"/>
      <c r="J162" s="659"/>
      <c r="K162" s="326"/>
      <c r="L162" s="326"/>
      <c r="M162" s="326" t="s">
        <v>859</v>
      </c>
      <c r="N162" s="322"/>
    </row>
    <row r="163" spans="1:14" hidden="1">
      <c r="A163" s="198">
        <v>3</v>
      </c>
      <c r="B163" s="198"/>
      <c r="C163" s="36" t="s">
        <v>1008</v>
      </c>
      <c r="D163" s="24" t="s">
        <v>112</v>
      </c>
      <c r="E163" s="123">
        <v>0</v>
      </c>
      <c r="F163" s="326"/>
      <c r="G163" s="326"/>
      <c r="H163" s="670"/>
      <c r="I163" s="326"/>
      <c r="J163" s="659"/>
      <c r="K163" s="326"/>
      <c r="L163" s="326"/>
      <c r="M163" s="326"/>
      <c r="N163" s="322"/>
    </row>
    <row r="164" spans="1:14" hidden="1">
      <c r="A164" s="198">
        <v>17</v>
      </c>
      <c r="B164" s="198"/>
      <c r="C164" s="40" t="s">
        <v>365</v>
      </c>
      <c r="D164" s="24" t="s">
        <v>112</v>
      </c>
      <c r="E164" s="123"/>
      <c r="F164" s="326"/>
      <c r="G164" s="326"/>
      <c r="H164" s="670"/>
      <c r="I164" s="326"/>
      <c r="J164" s="659"/>
      <c r="K164" s="326"/>
      <c r="L164" s="326"/>
      <c r="M164" s="326"/>
      <c r="N164" s="322"/>
    </row>
    <row r="165" spans="1:14" hidden="1">
      <c r="A165" s="198">
        <v>18</v>
      </c>
      <c r="B165" s="198"/>
      <c r="C165" s="36" t="s">
        <v>259</v>
      </c>
      <c r="D165" s="24" t="s">
        <v>112</v>
      </c>
      <c r="E165" s="123"/>
      <c r="F165" s="326"/>
      <c r="G165" s="326"/>
      <c r="H165" s="670"/>
      <c r="I165" s="326"/>
      <c r="J165" s="659"/>
      <c r="K165" s="326"/>
      <c r="L165" s="326"/>
      <c r="M165" s="326"/>
      <c r="N165" s="322"/>
    </row>
    <row r="166" spans="1:14" ht="27" hidden="1">
      <c r="A166" s="198">
        <v>4</v>
      </c>
      <c r="B166" s="198"/>
      <c r="C166" s="28" t="s">
        <v>1294</v>
      </c>
      <c r="D166" s="24" t="s">
        <v>112</v>
      </c>
      <c r="E166" s="123">
        <v>0</v>
      </c>
      <c r="F166" s="670"/>
      <c r="G166" s="326"/>
      <c r="H166" s="670"/>
      <c r="I166" s="326"/>
      <c r="J166" s="679"/>
      <c r="K166" s="326"/>
      <c r="L166" s="326"/>
      <c r="M166" s="326" t="s">
        <v>859</v>
      </c>
      <c r="N166" s="322"/>
    </row>
    <row r="167" spans="1:14" s="682" customFormat="1" ht="27.75" hidden="1" customHeight="1">
      <c r="A167" s="198">
        <v>20</v>
      </c>
      <c r="B167" s="198"/>
      <c r="C167" s="26" t="s">
        <v>1279</v>
      </c>
      <c r="D167" s="24" t="s">
        <v>112</v>
      </c>
      <c r="E167" s="123"/>
      <c r="F167" s="670"/>
      <c r="G167" s="326"/>
      <c r="H167" s="670"/>
      <c r="I167" s="326"/>
      <c r="J167" s="679"/>
      <c r="K167" s="326"/>
      <c r="L167" s="326"/>
      <c r="M167" s="326"/>
      <c r="N167" s="363"/>
    </row>
    <row r="168" spans="1:14" s="682" customFormat="1" ht="18" hidden="1" customHeight="1">
      <c r="A168" s="198">
        <v>21</v>
      </c>
      <c r="B168" s="198"/>
      <c r="C168" s="26" t="s">
        <v>1241</v>
      </c>
      <c r="D168" s="24" t="s">
        <v>112</v>
      </c>
      <c r="E168" s="123"/>
      <c r="F168" s="670"/>
      <c r="G168" s="326"/>
      <c r="H168" s="670"/>
      <c r="I168" s="326"/>
      <c r="J168" s="679"/>
      <c r="K168" s="326"/>
      <c r="L168" s="326"/>
      <c r="M168" s="326"/>
      <c r="N168" s="363"/>
    </row>
    <row r="169" spans="1:14" ht="27" hidden="1">
      <c r="A169" s="198">
        <v>22</v>
      </c>
      <c r="B169" s="198"/>
      <c r="C169" s="26" t="s">
        <v>922</v>
      </c>
      <c r="D169" s="24" t="s">
        <v>112</v>
      </c>
      <c r="E169" s="123"/>
      <c r="F169" s="670"/>
      <c r="G169" s="326"/>
      <c r="H169" s="670"/>
      <c r="I169" s="326"/>
      <c r="J169" s="679"/>
      <c r="K169" s="326"/>
      <c r="L169" s="326"/>
      <c r="M169" s="326"/>
      <c r="N169" s="322"/>
    </row>
    <row r="170" spans="1:14" ht="27" hidden="1">
      <c r="A170" s="198">
        <v>23</v>
      </c>
      <c r="B170" s="198"/>
      <c r="C170" s="28" t="s">
        <v>1562</v>
      </c>
      <c r="D170" s="29" t="s">
        <v>124</v>
      </c>
      <c r="E170" s="123"/>
      <c r="F170" s="670"/>
      <c r="G170" s="326"/>
      <c r="H170" s="670"/>
      <c r="I170" s="326"/>
      <c r="J170" s="679"/>
      <c r="K170" s="326"/>
      <c r="L170" s="326"/>
      <c r="M170" s="326" t="s">
        <v>859</v>
      </c>
      <c r="N170" s="322"/>
    </row>
    <row r="171" spans="1:14" hidden="1">
      <c r="A171" s="198">
        <v>24</v>
      </c>
      <c r="B171" s="198"/>
      <c r="C171" s="40" t="s">
        <v>360</v>
      </c>
      <c r="D171" s="24" t="s">
        <v>112</v>
      </c>
      <c r="E171" s="123"/>
      <c r="F171" s="670"/>
      <c r="G171" s="326"/>
      <c r="H171" s="670"/>
      <c r="I171" s="326"/>
      <c r="J171" s="679"/>
      <c r="K171" s="326"/>
      <c r="L171" s="326"/>
      <c r="M171" s="326"/>
      <c r="N171" s="322"/>
    </row>
    <row r="172" spans="1:14" ht="27" hidden="1">
      <c r="A172" s="369">
        <v>25</v>
      </c>
      <c r="B172" s="198"/>
      <c r="C172" s="40" t="s">
        <v>1563</v>
      </c>
      <c r="D172" s="259" t="s">
        <v>112</v>
      </c>
      <c r="E172" s="123"/>
      <c r="F172" s="670"/>
      <c r="G172" s="326"/>
      <c r="H172" s="670"/>
      <c r="I172" s="326"/>
      <c r="J172" s="679"/>
      <c r="K172" s="326"/>
      <c r="L172" s="326"/>
      <c r="M172" s="326"/>
      <c r="N172" s="322"/>
    </row>
    <row r="173" spans="1:14" hidden="1">
      <c r="A173" s="198"/>
      <c r="B173" s="198"/>
      <c r="C173" s="34" t="s">
        <v>261</v>
      </c>
      <c r="D173" s="29"/>
      <c r="E173" s="29"/>
      <c r="F173" s="670"/>
      <c r="G173" s="670"/>
      <c r="H173" s="670"/>
      <c r="I173" s="670"/>
      <c r="J173" s="679"/>
      <c r="K173" s="670"/>
      <c r="L173" s="670"/>
      <c r="M173" s="326"/>
      <c r="N173" s="322"/>
    </row>
    <row r="174" spans="1:14" ht="27" hidden="1">
      <c r="A174" s="197">
        <v>1</v>
      </c>
      <c r="B174" s="197"/>
      <c r="C174" s="26" t="s">
        <v>1545</v>
      </c>
      <c r="D174" s="29" t="s">
        <v>124</v>
      </c>
      <c r="E174" s="123"/>
      <c r="F174" s="326"/>
      <c r="G174" s="670"/>
      <c r="H174" s="670"/>
      <c r="I174" s="670"/>
      <c r="J174" s="679"/>
      <c r="K174" s="670"/>
      <c r="L174" s="670"/>
      <c r="M174" s="326" t="s">
        <v>859</v>
      </c>
      <c r="N174" s="322"/>
    </row>
    <row r="175" spans="1:14" hidden="1">
      <c r="A175" s="198">
        <v>2</v>
      </c>
      <c r="B175" s="198"/>
      <c r="C175" s="26" t="s">
        <v>1313</v>
      </c>
      <c r="D175" s="24" t="s">
        <v>437</v>
      </c>
      <c r="E175" s="123"/>
      <c r="F175" s="326"/>
      <c r="G175" s="326"/>
      <c r="H175" s="326"/>
      <c r="I175" s="326"/>
      <c r="J175" s="659"/>
      <c r="K175" s="326"/>
      <c r="L175" s="326"/>
      <c r="M175" s="326" t="s">
        <v>859</v>
      </c>
      <c r="N175" s="322"/>
    </row>
    <row r="176" spans="1:14" hidden="1">
      <c r="A176" s="198">
        <v>3</v>
      </c>
      <c r="B176" s="198"/>
      <c r="C176" s="26" t="s">
        <v>380</v>
      </c>
      <c r="D176" s="24" t="s">
        <v>437</v>
      </c>
      <c r="E176" s="123"/>
      <c r="F176" s="326"/>
      <c r="G176" s="326"/>
      <c r="H176" s="326"/>
      <c r="I176" s="326"/>
      <c r="J176" s="659"/>
      <c r="K176" s="326"/>
      <c r="L176" s="326"/>
      <c r="M176" s="326"/>
      <c r="N176" s="322"/>
    </row>
    <row r="177" spans="1:14" ht="27" hidden="1">
      <c r="A177" s="198">
        <v>4</v>
      </c>
      <c r="B177" s="198"/>
      <c r="C177" s="26" t="s">
        <v>1009</v>
      </c>
      <c r="D177" s="24" t="s">
        <v>112</v>
      </c>
      <c r="E177" s="123"/>
      <c r="F177" s="326"/>
      <c r="G177" s="326"/>
      <c r="H177" s="326"/>
      <c r="I177" s="326"/>
      <c r="J177" s="659"/>
      <c r="K177" s="326"/>
      <c r="L177" s="326"/>
      <c r="M177" s="326" t="s">
        <v>859</v>
      </c>
      <c r="N177" s="322"/>
    </row>
    <row r="178" spans="1:14" hidden="1">
      <c r="A178" s="198">
        <v>5</v>
      </c>
      <c r="B178" s="198"/>
      <c r="C178" s="26" t="s">
        <v>385</v>
      </c>
      <c r="D178" s="24" t="s">
        <v>112</v>
      </c>
      <c r="E178" s="123"/>
      <c r="F178" s="326"/>
      <c r="G178" s="326"/>
      <c r="H178" s="326"/>
      <c r="I178" s="326"/>
      <c r="J178" s="659"/>
      <c r="K178" s="326"/>
      <c r="L178" s="326"/>
      <c r="M178" s="326"/>
      <c r="N178" s="322"/>
    </row>
    <row r="179" spans="1:14" hidden="1">
      <c r="A179" s="198">
        <v>6</v>
      </c>
      <c r="B179" s="198"/>
      <c r="C179" s="26" t="s">
        <v>386</v>
      </c>
      <c r="D179" s="24" t="s">
        <v>112</v>
      </c>
      <c r="E179" s="123"/>
      <c r="F179" s="326"/>
      <c r="G179" s="326"/>
      <c r="H179" s="326"/>
      <c r="I179" s="326"/>
      <c r="J179" s="659"/>
      <c r="K179" s="326"/>
      <c r="L179" s="326"/>
      <c r="M179" s="326"/>
      <c r="N179" s="322"/>
    </row>
    <row r="180" spans="1:14" ht="30" hidden="1" customHeight="1">
      <c r="A180" s="198">
        <v>7</v>
      </c>
      <c r="B180" s="198"/>
      <c r="C180" s="26" t="s">
        <v>1293</v>
      </c>
      <c r="D180" s="24" t="s">
        <v>112</v>
      </c>
      <c r="E180" s="123"/>
      <c r="F180" s="326"/>
      <c r="G180" s="326"/>
      <c r="H180" s="670"/>
      <c r="I180" s="326"/>
      <c r="J180" s="679"/>
      <c r="K180" s="326"/>
      <c r="L180" s="326"/>
      <c r="M180" s="326"/>
      <c r="N180" s="322"/>
    </row>
    <row r="181" spans="1:14" ht="29.25" hidden="1" customHeight="1">
      <c r="A181" s="198">
        <v>8</v>
      </c>
      <c r="B181" s="198"/>
      <c r="C181" s="26" t="s">
        <v>1292</v>
      </c>
      <c r="D181" s="24" t="s">
        <v>112</v>
      </c>
      <c r="E181" s="123"/>
      <c r="F181" s="326"/>
      <c r="G181" s="326"/>
      <c r="H181" s="670"/>
      <c r="I181" s="326"/>
      <c r="J181" s="679"/>
      <c r="K181" s="326"/>
      <c r="L181" s="326"/>
      <c r="M181" s="326"/>
      <c r="N181" s="322"/>
    </row>
    <row r="182" spans="1:14" ht="30" hidden="1" customHeight="1">
      <c r="A182" s="198">
        <v>9</v>
      </c>
      <c r="B182" s="198"/>
      <c r="C182" s="26" t="s">
        <v>1290</v>
      </c>
      <c r="D182" s="24" t="s">
        <v>112</v>
      </c>
      <c r="E182" s="123"/>
      <c r="F182" s="326"/>
      <c r="G182" s="326"/>
      <c r="H182" s="670"/>
      <c r="I182" s="326"/>
      <c r="J182" s="679"/>
      <c r="K182" s="326"/>
      <c r="L182" s="326"/>
      <c r="M182" s="326"/>
      <c r="N182" s="322"/>
    </row>
    <row r="183" spans="1:14" ht="27" hidden="1">
      <c r="A183" s="198">
        <v>10</v>
      </c>
      <c r="B183" s="198"/>
      <c r="C183" s="151" t="s">
        <v>1291</v>
      </c>
      <c r="D183" s="24" t="s">
        <v>112</v>
      </c>
      <c r="E183" s="123"/>
      <c r="F183" s="326"/>
      <c r="G183" s="326"/>
      <c r="H183" s="670"/>
      <c r="I183" s="326"/>
      <c r="J183" s="679"/>
      <c r="K183" s="326"/>
      <c r="L183" s="326"/>
      <c r="M183" s="326"/>
      <c r="N183" s="322"/>
    </row>
    <row r="184" spans="1:14" ht="28.5" hidden="1" customHeight="1">
      <c r="A184" s="198">
        <v>11</v>
      </c>
      <c r="B184" s="198"/>
      <c r="C184" s="26" t="s">
        <v>1010</v>
      </c>
      <c r="D184" s="24" t="s">
        <v>112</v>
      </c>
      <c r="E184" s="123"/>
      <c r="F184" s="326"/>
      <c r="G184" s="326"/>
      <c r="H184" s="670"/>
      <c r="I184" s="326"/>
      <c r="J184" s="679"/>
      <c r="K184" s="326"/>
      <c r="L184" s="326"/>
      <c r="M184" s="326"/>
      <c r="N184" s="322"/>
    </row>
    <row r="185" spans="1:14" hidden="1">
      <c r="A185" s="198">
        <v>12</v>
      </c>
      <c r="B185" s="198"/>
      <c r="C185" s="26" t="s">
        <v>1688</v>
      </c>
      <c r="D185" s="24" t="s">
        <v>112</v>
      </c>
      <c r="E185" s="123"/>
      <c r="F185" s="326"/>
      <c r="G185" s="326"/>
      <c r="H185" s="670"/>
      <c r="I185" s="326"/>
      <c r="J185" s="679"/>
      <c r="K185" s="326"/>
      <c r="L185" s="326"/>
      <c r="M185" s="326"/>
      <c r="N185" s="1040"/>
    </row>
    <row r="186" spans="1:14" hidden="1">
      <c r="A186" s="198">
        <v>13</v>
      </c>
      <c r="B186" s="198"/>
      <c r="C186" s="26" t="s">
        <v>813</v>
      </c>
      <c r="D186" s="24" t="s">
        <v>113</v>
      </c>
      <c r="E186" s="123"/>
      <c r="F186" s="326"/>
      <c r="G186" s="326"/>
      <c r="H186" s="670"/>
      <c r="I186" s="326"/>
      <c r="J186" s="679"/>
      <c r="K186" s="326"/>
      <c r="L186" s="326"/>
      <c r="M186" s="326" t="s">
        <v>859</v>
      </c>
      <c r="N186" s="322"/>
    </row>
    <row r="187" spans="1:14" ht="40.5" hidden="1">
      <c r="A187" s="198">
        <v>14</v>
      </c>
      <c r="B187" s="198"/>
      <c r="C187" s="26" t="s">
        <v>1696</v>
      </c>
      <c r="D187" s="24" t="s">
        <v>112</v>
      </c>
      <c r="E187" s="123"/>
      <c r="F187" s="326"/>
      <c r="G187" s="326"/>
      <c r="H187" s="670"/>
      <c r="I187" s="326"/>
      <c r="J187" s="679"/>
      <c r="K187" s="326"/>
      <c r="L187" s="326"/>
      <c r="M187" s="326"/>
      <c r="N187" s="322"/>
    </row>
    <row r="188" spans="1:14" hidden="1">
      <c r="A188" s="198"/>
      <c r="B188" s="198"/>
      <c r="C188" s="26" t="s">
        <v>1691</v>
      </c>
      <c r="D188" s="330" t="s">
        <v>78</v>
      </c>
      <c r="E188" s="123"/>
      <c r="F188" s="326"/>
      <c r="G188" s="326"/>
      <c r="H188" s="670"/>
      <c r="I188" s="326"/>
      <c r="J188" s="679"/>
      <c r="K188" s="326"/>
      <c r="L188" s="326"/>
      <c r="M188" s="326"/>
      <c r="N188" s="322"/>
    </row>
    <row r="189" spans="1:14" ht="17.25" hidden="1" customHeight="1">
      <c r="A189" s="198">
        <v>15</v>
      </c>
      <c r="B189" s="198"/>
      <c r="C189" s="26" t="s">
        <v>896</v>
      </c>
      <c r="D189" s="24" t="s">
        <v>112</v>
      </c>
      <c r="E189" s="123"/>
      <c r="F189" s="326"/>
      <c r="G189" s="326"/>
      <c r="H189" s="670"/>
      <c r="I189" s="326"/>
      <c r="J189" s="679"/>
      <c r="K189" s="326"/>
      <c r="L189" s="326"/>
      <c r="M189" s="326"/>
      <c r="N189" s="323"/>
    </row>
    <row r="190" spans="1:14" ht="27" hidden="1">
      <c r="A190" s="198">
        <v>16</v>
      </c>
      <c r="B190" s="198"/>
      <c r="C190" s="26" t="s">
        <v>1287</v>
      </c>
      <c r="D190" s="29" t="s">
        <v>124</v>
      </c>
      <c r="E190" s="123"/>
      <c r="F190" s="326"/>
      <c r="G190" s="326"/>
      <c r="H190" s="670"/>
      <c r="I190" s="326"/>
      <c r="J190" s="679"/>
      <c r="K190" s="326"/>
      <c r="L190" s="326"/>
      <c r="M190" s="326"/>
      <c r="N190" s="322"/>
    </row>
    <row r="191" spans="1:14" ht="27" hidden="1">
      <c r="A191" s="198">
        <v>17</v>
      </c>
      <c r="B191" s="198"/>
      <c r="C191" s="26" t="s">
        <v>1286</v>
      </c>
      <c r="D191" s="29" t="s">
        <v>124</v>
      </c>
      <c r="E191" s="123"/>
      <c r="F191" s="326"/>
      <c r="G191" s="326"/>
      <c r="H191" s="670"/>
      <c r="I191" s="326"/>
      <c r="J191" s="679"/>
      <c r="K191" s="326"/>
      <c r="L191" s="326"/>
      <c r="M191" s="326"/>
      <c r="N191" s="322"/>
    </row>
    <row r="192" spans="1:14" ht="27" hidden="1">
      <c r="A192" s="198">
        <v>18</v>
      </c>
      <c r="B192" s="198"/>
      <c r="C192" s="26" t="s">
        <v>1285</v>
      </c>
      <c r="D192" s="29" t="s">
        <v>124</v>
      </c>
      <c r="E192" s="123"/>
      <c r="F192" s="326"/>
      <c r="G192" s="326"/>
      <c r="H192" s="670"/>
      <c r="I192" s="326"/>
      <c r="J192" s="679"/>
      <c r="K192" s="326"/>
      <c r="L192" s="326"/>
      <c r="M192" s="326"/>
      <c r="N192" s="322"/>
    </row>
    <row r="193" spans="1:14" ht="27" hidden="1">
      <c r="A193" s="198">
        <v>19</v>
      </c>
      <c r="B193" s="198"/>
      <c r="C193" s="26" t="s">
        <v>1288</v>
      </c>
      <c r="D193" s="27" t="s">
        <v>113</v>
      </c>
      <c r="E193" s="123"/>
      <c r="F193" s="326"/>
      <c r="G193" s="326"/>
      <c r="H193" s="670"/>
      <c r="I193" s="326"/>
      <c r="J193" s="679"/>
      <c r="K193" s="326"/>
      <c r="L193" s="326"/>
      <c r="M193" s="326"/>
      <c r="N193" s="322"/>
    </row>
    <row r="194" spans="1:14" ht="27" hidden="1">
      <c r="A194" s="198">
        <v>20</v>
      </c>
      <c r="B194" s="198"/>
      <c r="C194" s="26" t="s">
        <v>1289</v>
      </c>
      <c r="D194" s="27" t="s">
        <v>113</v>
      </c>
      <c r="E194" s="123"/>
      <c r="F194" s="326"/>
      <c r="G194" s="326"/>
      <c r="H194" s="670"/>
      <c r="I194" s="326"/>
      <c r="J194" s="679"/>
      <c r="K194" s="326"/>
      <c r="L194" s="326"/>
      <c r="M194" s="326"/>
      <c r="N194" s="322"/>
    </row>
    <row r="195" spans="1:14" s="672" customFormat="1" ht="27" hidden="1">
      <c r="A195" s="198">
        <v>21</v>
      </c>
      <c r="B195" s="198"/>
      <c r="C195" s="26" t="s">
        <v>1278</v>
      </c>
      <c r="D195" s="24" t="s">
        <v>112</v>
      </c>
      <c r="E195" s="123"/>
      <c r="F195" s="326"/>
      <c r="G195" s="326"/>
      <c r="H195" s="670"/>
      <c r="I195" s="326"/>
      <c r="J195" s="679"/>
      <c r="K195" s="326"/>
      <c r="L195" s="326"/>
      <c r="M195" s="326" t="s">
        <v>859</v>
      </c>
      <c r="N195" s="323"/>
    </row>
    <row r="196" spans="1:14" hidden="1">
      <c r="A196" s="198">
        <v>22</v>
      </c>
      <c r="B196" s="198"/>
      <c r="C196" s="26" t="s">
        <v>870</v>
      </c>
      <c r="D196" s="24" t="s">
        <v>112</v>
      </c>
      <c r="E196" s="123"/>
      <c r="F196" s="326"/>
      <c r="G196" s="326"/>
      <c r="H196" s="670"/>
      <c r="I196" s="326"/>
      <c r="J196" s="679"/>
      <c r="K196" s="326"/>
      <c r="L196" s="326"/>
      <c r="M196" s="326" t="s">
        <v>859</v>
      </c>
      <c r="N196" s="322"/>
    </row>
    <row r="197" spans="1:14" hidden="1">
      <c r="A197" s="198">
        <v>23</v>
      </c>
      <c r="B197" s="198"/>
      <c r="C197" s="26" t="s">
        <v>1277</v>
      </c>
      <c r="D197" s="24" t="s">
        <v>437</v>
      </c>
      <c r="E197" s="123"/>
      <c r="F197" s="326"/>
      <c r="G197" s="326"/>
      <c r="H197" s="670"/>
      <c r="I197" s="326"/>
      <c r="J197" s="679"/>
      <c r="K197" s="326"/>
      <c r="L197" s="326"/>
      <c r="M197" s="326" t="s">
        <v>859</v>
      </c>
      <c r="N197" s="322"/>
    </row>
    <row r="198" spans="1:14" hidden="1">
      <c r="A198" s="198">
        <v>24</v>
      </c>
      <c r="B198" s="198"/>
      <c r="C198" s="26" t="s">
        <v>1011</v>
      </c>
      <c r="D198" s="24" t="s">
        <v>112</v>
      </c>
      <c r="E198" s="123"/>
      <c r="F198" s="326"/>
      <c r="G198" s="326"/>
      <c r="H198" s="670"/>
      <c r="I198" s="326"/>
      <c r="J198" s="679"/>
      <c r="K198" s="326"/>
      <c r="L198" s="326"/>
      <c r="M198" s="326" t="s">
        <v>859</v>
      </c>
      <c r="N198" s="322"/>
    </row>
    <row r="199" spans="1:14" hidden="1">
      <c r="A199" s="198">
        <v>25</v>
      </c>
      <c r="B199" s="198"/>
      <c r="C199" s="100" t="s">
        <v>913</v>
      </c>
      <c r="D199" s="24" t="s">
        <v>112</v>
      </c>
      <c r="E199" s="123"/>
      <c r="F199" s="326"/>
      <c r="G199" s="326"/>
      <c r="H199" s="670"/>
      <c r="I199" s="326"/>
      <c r="J199" s="679"/>
      <c r="K199" s="326"/>
      <c r="L199" s="326"/>
      <c r="M199" s="326" t="s">
        <v>859</v>
      </c>
      <c r="N199" s="322"/>
    </row>
    <row r="200" spans="1:14" hidden="1">
      <c r="A200" s="198">
        <v>26</v>
      </c>
      <c r="B200" s="198"/>
      <c r="C200" s="100" t="s">
        <v>914</v>
      </c>
      <c r="D200" s="24" t="s">
        <v>112</v>
      </c>
      <c r="E200" s="123"/>
      <c r="F200" s="326"/>
      <c r="G200" s="326"/>
      <c r="H200" s="670"/>
      <c r="I200" s="326"/>
      <c r="J200" s="679"/>
      <c r="K200" s="326"/>
      <c r="L200" s="326"/>
      <c r="M200" s="326" t="s">
        <v>859</v>
      </c>
      <c r="N200" s="322"/>
    </row>
    <row r="201" spans="1:14" hidden="1">
      <c r="A201" s="198">
        <v>27</v>
      </c>
      <c r="B201" s="198"/>
      <c r="C201" s="100" t="s">
        <v>319</v>
      </c>
      <c r="D201" s="24" t="s">
        <v>112</v>
      </c>
      <c r="E201" s="123"/>
      <c r="F201" s="326"/>
      <c r="G201" s="326"/>
      <c r="H201" s="670"/>
      <c r="I201" s="326"/>
      <c r="J201" s="679"/>
      <c r="K201" s="326"/>
      <c r="L201" s="326"/>
      <c r="M201" s="326" t="s">
        <v>859</v>
      </c>
      <c r="N201" s="322"/>
    </row>
    <row r="202" spans="1:14" hidden="1">
      <c r="A202" s="198">
        <v>28</v>
      </c>
      <c r="B202" s="198"/>
      <c r="C202" s="100" t="s">
        <v>320</v>
      </c>
      <c r="D202" s="24" t="s">
        <v>112</v>
      </c>
      <c r="E202" s="123"/>
      <c r="F202" s="326"/>
      <c r="G202" s="326"/>
      <c r="H202" s="670"/>
      <c r="I202" s="326"/>
      <c r="J202" s="679"/>
      <c r="K202" s="326"/>
      <c r="L202" s="326"/>
      <c r="M202" s="326" t="s">
        <v>859</v>
      </c>
      <c r="N202" s="322"/>
    </row>
    <row r="203" spans="1:14" ht="27.75" hidden="1" customHeight="1">
      <c r="A203" s="198">
        <v>29</v>
      </c>
      <c r="B203" s="198"/>
      <c r="C203" s="26" t="s">
        <v>1297</v>
      </c>
      <c r="D203" s="29" t="s">
        <v>124</v>
      </c>
      <c r="E203" s="123"/>
      <c r="F203" s="326"/>
      <c r="G203" s="326"/>
      <c r="H203" s="670"/>
      <c r="I203" s="326"/>
      <c r="J203" s="679"/>
      <c r="K203" s="326"/>
      <c r="L203" s="326"/>
      <c r="M203" s="326" t="s">
        <v>859</v>
      </c>
      <c r="N203" s="322"/>
    </row>
    <row r="204" spans="1:14" ht="14.25" hidden="1" customHeight="1">
      <c r="A204" s="198">
        <v>30</v>
      </c>
      <c r="B204" s="198"/>
      <c r="C204" s="26" t="s">
        <v>892</v>
      </c>
      <c r="D204" s="29" t="s">
        <v>113</v>
      </c>
      <c r="E204" s="123"/>
      <c r="F204" s="326"/>
      <c r="G204" s="326"/>
      <c r="H204" s="670"/>
      <c r="I204" s="326"/>
      <c r="J204" s="679"/>
      <c r="K204" s="326"/>
      <c r="L204" s="326"/>
      <c r="M204" s="326"/>
      <c r="N204" s="322"/>
    </row>
    <row r="205" spans="1:14" hidden="1">
      <c r="A205" s="197"/>
      <c r="B205" s="197"/>
      <c r="C205" s="34" t="s">
        <v>45</v>
      </c>
      <c r="D205" s="29"/>
      <c r="E205" s="134"/>
      <c r="F205" s="326"/>
      <c r="G205" s="670"/>
      <c r="H205" s="670"/>
      <c r="I205" s="670"/>
      <c r="J205" s="679"/>
      <c r="K205" s="670"/>
      <c r="L205" s="670"/>
      <c r="M205" s="326"/>
      <c r="N205" s="322"/>
    </row>
    <row r="206" spans="1:14" ht="27" hidden="1">
      <c r="A206" s="197">
        <v>1</v>
      </c>
      <c r="B206" s="197"/>
      <c r="C206" s="26" t="s">
        <v>1012</v>
      </c>
      <c r="D206" s="29" t="s">
        <v>124</v>
      </c>
      <c r="E206" s="123"/>
      <c r="F206" s="326"/>
      <c r="G206" s="670"/>
      <c r="H206" s="670"/>
      <c r="I206" s="670"/>
      <c r="J206" s="679"/>
      <c r="K206" s="670"/>
      <c r="L206" s="670"/>
      <c r="M206" s="326" t="s">
        <v>859</v>
      </c>
      <c r="N206" s="322"/>
    </row>
    <row r="207" spans="1:14" ht="27" hidden="1" customHeight="1">
      <c r="A207" s="197">
        <v>2</v>
      </c>
      <c r="B207" s="198"/>
      <c r="C207" s="26" t="s">
        <v>430</v>
      </c>
      <c r="D207" s="29" t="s">
        <v>124</v>
      </c>
      <c r="E207" s="123"/>
      <c r="F207" s="326"/>
      <c r="G207" s="326"/>
      <c r="H207" s="326"/>
      <c r="I207" s="326"/>
      <c r="J207" s="659"/>
      <c r="K207" s="326"/>
      <c r="L207" s="326"/>
      <c r="M207" s="326"/>
      <c r="N207" s="322"/>
    </row>
    <row r="208" spans="1:14" hidden="1">
      <c r="A208" s="197">
        <v>3</v>
      </c>
      <c r="B208" s="198"/>
      <c r="C208" s="38" t="s">
        <v>43</v>
      </c>
      <c r="D208" s="24" t="s">
        <v>112</v>
      </c>
      <c r="E208" s="123"/>
      <c r="F208" s="326"/>
      <c r="G208" s="326"/>
      <c r="H208" s="326"/>
      <c r="I208" s="326"/>
      <c r="J208" s="659"/>
      <c r="K208" s="326"/>
      <c r="L208" s="326"/>
      <c r="M208" s="326" t="s">
        <v>859</v>
      </c>
      <c r="N208" s="322"/>
    </row>
    <row r="209" spans="1:14" hidden="1">
      <c r="A209" s="197">
        <v>4</v>
      </c>
      <c r="B209" s="198"/>
      <c r="C209" s="38" t="s">
        <v>44</v>
      </c>
      <c r="D209" s="24" t="s">
        <v>112</v>
      </c>
      <c r="E209" s="123"/>
      <c r="F209" s="326"/>
      <c r="G209" s="326"/>
      <c r="H209" s="326"/>
      <c r="I209" s="326"/>
      <c r="J209" s="659"/>
      <c r="K209" s="326"/>
      <c r="L209" s="326"/>
      <c r="M209" s="326" t="s">
        <v>859</v>
      </c>
      <c r="N209" s="322"/>
    </row>
    <row r="210" spans="1:14" ht="27" hidden="1" customHeight="1">
      <c r="A210" s="197">
        <v>5</v>
      </c>
      <c r="B210" s="198"/>
      <c r="C210" s="38" t="s">
        <v>1039</v>
      </c>
      <c r="D210" s="29" t="s">
        <v>124</v>
      </c>
      <c r="E210" s="123"/>
      <c r="F210" s="326"/>
      <c r="G210" s="326"/>
      <c r="H210" s="326"/>
      <c r="I210" s="326"/>
      <c r="J210" s="659"/>
      <c r="K210" s="326"/>
      <c r="L210" s="326"/>
      <c r="M210" s="326"/>
      <c r="N210" s="322"/>
    </row>
    <row r="211" spans="1:14" hidden="1">
      <c r="A211" s="197">
        <v>6</v>
      </c>
      <c r="B211" s="198"/>
      <c r="C211" s="26" t="s">
        <v>47</v>
      </c>
      <c r="D211" s="24" t="s">
        <v>112</v>
      </c>
      <c r="E211" s="123"/>
      <c r="F211" s="326"/>
      <c r="G211" s="326"/>
      <c r="H211" s="326"/>
      <c r="I211" s="326"/>
      <c r="J211" s="659"/>
      <c r="K211" s="326"/>
      <c r="L211" s="326"/>
      <c r="M211" s="326" t="s">
        <v>859</v>
      </c>
      <c r="N211" s="322"/>
    </row>
    <row r="212" spans="1:14" hidden="1">
      <c r="A212" s="197">
        <v>7</v>
      </c>
      <c r="B212" s="198"/>
      <c r="C212" s="26" t="s">
        <v>48</v>
      </c>
      <c r="D212" s="24" t="s">
        <v>112</v>
      </c>
      <c r="E212" s="123"/>
      <c r="F212" s="326"/>
      <c r="G212" s="326"/>
      <c r="H212" s="670"/>
      <c r="I212" s="326"/>
      <c r="J212" s="659"/>
      <c r="K212" s="326"/>
      <c r="L212" s="326"/>
      <c r="M212" s="326"/>
      <c r="N212" s="322"/>
    </row>
    <row r="213" spans="1:14" hidden="1">
      <c r="A213" s="197">
        <v>8</v>
      </c>
      <c r="B213" s="198"/>
      <c r="C213" s="26" t="s">
        <v>802</v>
      </c>
      <c r="D213" s="24" t="s">
        <v>112</v>
      </c>
      <c r="E213" s="123"/>
      <c r="F213" s="326"/>
      <c r="G213" s="326"/>
      <c r="H213" s="670"/>
      <c r="I213" s="326"/>
      <c r="J213" s="659"/>
      <c r="K213" s="326"/>
      <c r="L213" s="326"/>
      <c r="M213" s="326"/>
      <c r="N213" s="322"/>
    </row>
    <row r="214" spans="1:14" hidden="1">
      <c r="A214" s="197">
        <v>9</v>
      </c>
      <c r="B214" s="198"/>
      <c r="C214" s="26" t="s">
        <v>50</v>
      </c>
      <c r="D214" s="24" t="s">
        <v>112</v>
      </c>
      <c r="E214" s="123"/>
      <c r="F214" s="326"/>
      <c r="G214" s="326"/>
      <c r="H214" s="670"/>
      <c r="I214" s="326"/>
      <c r="J214" s="659"/>
      <c r="K214" s="326"/>
      <c r="L214" s="326"/>
      <c r="M214" s="326"/>
      <c r="N214" s="322"/>
    </row>
    <row r="215" spans="1:14" hidden="1">
      <c r="A215" s="197">
        <v>10</v>
      </c>
      <c r="B215" s="198"/>
      <c r="C215" s="26" t="s">
        <v>49</v>
      </c>
      <c r="D215" s="24" t="s">
        <v>112</v>
      </c>
      <c r="E215" s="123"/>
      <c r="F215" s="326"/>
      <c r="G215" s="326"/>
      <c r="H215" s="670"/>
      <c r="I215" s="326"/>
      <c r="J215" s="659"/>
      <c r="K215" s="326"/>
      <c r="L215" s="326"/>
      <c r="M215" s="326"/>
      <c r="N215" s="322"/>
    </row>
    <row r="216" spans="1:14" ht="27" hidden="1">
      <c r="A216" s="197">
        <v>11</v>
      </c>
      <c r="B216" s="198"/>
      <c r="C216" s="26" t="s">
        <v>1108</v>
      </c>
      <c r="D216" s="29" t="s">
        <v>124</v>
      </c>
      <c r="E216" s="123"/>
      <c r="F216" s="326"/>
      <c r="G216" s="326"/>
      <c r="H216" s="670"/>
      <c r="I216" s="326"/>
      <c r="J216" s="659"/>
      <c r="K216" s="326"/>
      <c r="L216" s="326"/>
      <c r="M216" s="326" t="s">
        <v>859</v>
      </c>
      <c r="N216" s="322"/>
    </row>
    <row r="217" spans="1:14" hidden="1">
      <c r="A217" s="197">
        <v>12</v>
      </c>
      <c r="B217" s="198"/>
      <c r="C217" s="26" t="s">
        <v>431</v>
      </c>
      <c r="D217" s="29" t="s">
        <v>124</v>
      </c>
      <c r="E217" s="123"/>
      <c r="F217" s="326"/>
      <c r="G217" s="326"/>
      <c r="H217" s="670"/>
      <c r="I217" s="326"/>
      <c r="J217" s="659"/>
      <c r="K217" s="326"/>
      <c r="L217" s="326"/>
      <c r="M217" s="326" t="s">
        <v>859</v>
      </c>
      <c r="N217" s="322"/>
    </row>
    <row r="218" spans="1:14" ht="27" hidden="1">
      <c r="A218" s="197">
        <v>13</v>
      </c>
      <c r="B218" s="198"/>
      <c r="C218" s="26" t="s">
        <v>246</v>
      </c>
      <c r="D218" s="24" t="s">
        <v>112</v>
      </c>
      <c r="E218" s="123"/>
      <c r="F218" s="326"/>
      <c r="G218" s="326"/>
      <c r="H218" s="670"/>
      <c r="I218" s="326"/>
      <c r="J218" s="659"/>
      <c r="K218" s="326"/>
      <c r="L218" s="326"/>
      <c r="M218" s="326"/>
      <c r="N218" s="322"/>
    </row>
    <row r="219" spans="1:14" hidden="1">
      <c r="A219" s="197">
        <v>14</v>
      </c>
      <c r="B219" s="198"/>
      <c r="C219" s="26" t="s">
        <v>1511</v>
      </c>
      <c r="D219" s="29" t="s">
        <v>124</v>
      </c>
      <c r="E219" s="123"/>
      <c r="F219" s="326"/>
      <c r="G219" s="326"/>
      <c r="H219" s="670"/>
      <c r="I219" s="326"/>
      <c r="J219" s="659"/>
      <c r="K219" s="326"/>
      <c r="L219" s="326"/>
      <c r="M219" s="326"/>
      <c r="N219" s="322"/>
    </row>
    <row r="220" spans="1:14" s="672" customFormat="1" hidden="1">
      <c r="A220" s="198"/>
      <c r="B220" s="198"/>
      <c r="C220" s="34" t="s">
        <v>610</v>
      </c>
      <c r="D220" s="37"/>
      <c r="E220" s="169"/>
      <c r="F220" s="670"/>
      <c r="G220" s="670"/>
      <c r="H220" s="670"/>
      <c r="I220" s="670"/>
      <c r="J220" s="679"/>
      <c r="K220" s="326"/>
      <c r="L220" s="326"/>
      <c r="M220" s="326" t="s">
        <v>860</v>
      </c>
      <c r="N220" s="323"/>
    </row>
    <row r="221" spans="1:14" s="672" customFormat="1" hidden="1">
      <c r="A221" s="198">
        <v>1</v>
      </c>
      <c r="B221" s="198"/>
      <c r="C221" s="260" t="s">
        <v>519</v>
      </c>
      <c r="D221" s="24" t="s">
        <v>437</v>
      </c>
      <c r="E221" s="123"/>
      <c r="F221" s="670"/>
      <c r="G221" s="670"/>
      <c r="H221" s="670"/>
      <c r="I221" s="670"/>
      <c r="J221" s="679"/>
      <c r="K221" s="326"/>
      <c r="L221" s="326"/>
      <c r="M221" s="326"/>
      <c r="N221" s="323"/>
    </row>
    <row r="222" spans="1:14" s="672" customFormat="1" hidden="1">
      <c r="A222" s="198">
        <v>2</v>
      </c>
      <c r="B222" s="198"/>
      <c r="C222" s="260" t="s">
        <v>433</v>
      </c>
      <c r="D222" s="24" t="s">
        <v>437</v>
      </c>
      <c r="E222" s="123"/>
      <c r="F222" s="670"/>
      <c r="G222" s="670"/>
      <c r="H222" s="670"/>
      <c r="I222" s="670"/>
      <c r="J222" s="679"/>
      <c r="K222" s="326"/>
      <c r="L222" s="326"/>
      <c r="M222" s="326"/>
      <c r="N222" s="323"/>
    </row>
    <row r="223" spans="1:14" s="672" customFormat="1" hidden="1">
      <c r="A223" s="198">
        <v>3</v>
      </c>
      <c r="B223" s="198"/>
      <c r="C223" s="260" t="s">
        <v>1042</v>
      </c>
      <c r="D223" s="24" t="s">
        <v>437</v>
      </c>
      <c r="E223" s="123"/>
      <c r="F223" s="670"/>
      <c r="G223" s="670"/>
      <c r="H223" s="670"/>
      <c r="I223" s="670"/>
      <c r="J223" s="679"/>
      <c r="K223" s="326"/>
      <c r="L223" s="326"/>
      <c r="M223" s="326"/>
      <c r="N223" s="323"/>
    </row>
    <row r="224" spans="1:14" s="672" customFormat="1" hidden="1">
      <c r="A224" s="198">
        <v>4</v>
      </c>
      <c r="B224" s="198"/>
      <c r="C224" s="26" t="s">
        <v>895</v>
      </c>
      <c r="D224" s="24" t="s">
        <v>437</v>
      </c>
      <c r="E224" s="123"/>
      <c r="F224" s="670"/>
      <c r="G224" s="670"/>
      <c r="H224" s="670"/>
      <c r="I224" s="670"/>
      <c r="J224" s="679"/>
      <c r="K224" s="326"/>
      <c r="L224" s="326"/>
      <c r="M224" s="326"/>
      <c r="N224" s="323"/>
    </row>
    <row r="225" spans="1:14" s="672" customFormat="1" hidden="1">
      <c r="A225" s="198">
        <v>5</v>
      </c>
      <c r="B225" s="198"/>
      <c r="C225" s="26" t="s">
        <v>500</v>
      </c>
      <c r="D225" s="24" t="s">
        <v>437</v>
      </c>
      <c r="E225" s="123"/>
      <c r="F225" s="670"/>
      <c r="G225" s="670"/>
      <c r="H225" s="670"/>
      <c r="I225" s="670"/>
      <c r="J225" s="679"/>
      <c r="K225" s="326"/>
      <c r="L225" s="326"/>
      <c r="M225" s="326"/>
      <c r="N225" s="323"/>
    </row>
    <row r="226" spans="1:14" s="672" customFormat="1" ht="27" hidden="1">
      <c r="A226" s="198">
        <v>6</v>
      </c>
      <c r="B226" s="198"/>
      <c r="C226" s="26" t="s">
        <v>1276</v>
      </c>
      <c r="D226" s="24" t="s">
        <v>437</v>
      </c>
      <c r="E226" s="123"/>
      <c r="F226" s="670"/>
      <c r="G226" s="670"/>
      <c r="H226" s="670"/>
      <c r="I226" s="670"/>
      <c r="J226" s="679"/>
      <c r="K226" s="326"/>
      <c r="L226" s="326"/>
      <c r="M226" s="326"/>
      <c r="N226" s="323"/>
    </row>
    <row r="227" spans="1:14" s="672" customFormat="1" hidden="1">
      <c r="A227" s="198">
        <v>7</v>
      </c>
      <c r="B227" s="198"/>
      <c r="C227" s="260" t="s">
        <v>501</v>
      </c>
      <c r="D227" s="27" t="s">
        <v>97</v>
      </c>
      <c r="E227" s="123"/>
      <c r="F227" s="670"/>
      <c r="G227" s="670"/>
      <c r="H227" s="670"/>
      <c r="I227" s="670"/>
      <c r="J227" s="679"/>
      <c r="K227" s="326"/>
      <c r="L227" s="326"/>
      <c r="M227" s="326"/>
      <c r="N227" s="323"/>
    </row>
    <row r="228" spans="1:14" s="672" customFormat="1" hidden="1">
      <c r="A228" s="198">
        <v>8</v>
      </c>
      <c r="B228" s="198"/>
      <c r="C228" s="100" t="s">
        <v>884</v>
      </c>
      <c r="D228" s="27" t="s">
        <v>97</v>
      </c>
      <c r="E228" s="123"/>
      <c r="F228" s="670"/>
      <c r="G228" s="670"/>
      <c r="H228" s="670"/>
      <c r="I228" s="670"/>
      <c r="J228" s="679"/>
      <c r="K228" s="326"/>
      <c r="L228" s="326"/>
      <c r="M228" s="326"/>
      <c r="N228" s="323"/>
    </row>
    <row r="229" spans="1:14" s="672" customFormat="1" hidden="1">
      <c r="A229" s="198">
        <v>9</v>
      </c>
      <c r="B229" s="198"/>
      <c r="C229" s="100" t="s">
        <v>979</v>
      </c>
      <c r="D229" s="27" t="s">
        <v>97</v>
      </c>
      <c r="E229" s="123"/>
      <c r="F229" s="670"/>
      <c r="G229" s="670"/>
      <c r="H229" s="670"/>
      <c r="I229" s="670"/>
      <c r="J229" s="679"/>
      <c r="K229" s="326"/>
      <c r="L229" s="326"/>
      <c r="M229" s="326"/>
      <c r="N229" s="323"/>
    </row>
    <row r="230" spans="1:14" s="672" customFormat="1" hidden="1">
      <c r="A230" s="198">
        <v>10</v>
      </c>
      <c r="B230" s="198"/>
      <c r="C230" s="260" t="s">
        <v>495</v>
      </c>
      <c r="D230" s="27" t="s">
        <v>113</v>
      </c>
      <c r="E230" s="123"/>
      <c r="F230" s="326"/>
      <c r="G230" s="326"/>
      <c r="H230" s="326"/>
      <c r="I230" s="326"/>
      <c r="J230" s="659"/>
      <c r="K230" s="326"/>
      <c r="L230" s="326"/>
      <c r="M230" s="326"/>
      <c r="N230" s="323"/>
    </row>
    <row r="231" spans="1:14" s="672" customFormat="1" hidden="1">
      <c r="A231" s="198">
        <v>11</v>
      </c>
      <c r="B231" s="198"/>
      <c r="C231" s="26" t="s">
        <v>1252</v>
      </c>
      <c r="D231" s="27" t="s">
        <v>114</v>
      </c>
      <c r="E231" s="123"/>
      <c r="F231" s="326"/>
      <c r="G231" s="326"/>
      <c r="H231" s="670"/>
      <c r="I231" s="326"/>
      <c r="J231" s="659"/>
      <c r="K231" s="326"/>
      <c r="L231" s="326"/>
      <c r="M231" s="326"/>
      <c r="N231" s="323"/>
    </row>
    <row r="232" spans="1:14" s="672" customFormat="1" hidden="1">
      <c r="A232" s="198"/>
      <c r="B232" s="198"/>
      <c r="C232" s="26" t="s">
        <v>1050</v>
      </c>
      <c r="D232" s="29" t="s">
        <v>124</v>
      </c>
      <c r="E232" s="123"/>
      <c r="F232" s="326"/>
      <c r="G232" s="326"/>
      <c r="H232" s="326"/>
      <c r="I232" s="326"/>
      <c r="J232" s="659"/>
      <c r="K232" s="326"/>
      <c r="L232" s="326"/>
      <c r="M232" s="326"/>
      <c r="N232" s="323"/>
    </row>
    <row r="233" spans="1:14" s="672" customFormat="1" hidden="1">
      <c r="A233" s="198"/>
      <c r="B233" s="198"/>
      <c r="C233" s="26" t="s">
        <v>1051</v>
      </c>
      <c r="D233" s="29" t="s">
        <v>124</v>
      </c>
      <c r="E233" s="123"/>
      <c r="F233" s="326"/>
      <c r="G233" s="326"/>
      <c r="H233" s="670"/>
      <c r="I233" s="326"/>
      <c r="J233" s="679"/>
      <c r="K233" s="326"/>
      <c r="L233" s="326"/>
      <c r="M233" s="326"/>
      <c r="N233" s="323"/>
    </row>
    <row r="234" spans="1:14" s="672" customFormat="1" hidden="1">
      <c r="A234" s="198"/>
      <c r="B234" s="198"/>
      <c r="C234" s="26" t="s">
        <v>1052</v>
      </c>
      <c r="D234" s="29" t="s">
        <v>124</v>
      </c>
      <c r="E234" s="123"/>
      <c r="F234" s="326"/>
      <c r="G234" s="326"/>
      <c r="H234" s="670"/>
      <c r="I234" s="326"/>
      <c r="J234" s="679"/>
      <c r="K234" s="326"/>
      <c r="L234" s="326"/>
      <c r="M234" s="326"/>
      <c r="N234" s="323"/>
    </row>
    <row r="235" spans="1:14" s="672" customFormat="1" hidden="1">
      <c r="A235" s="198"/>
      <c r="B235" s="198"/>
      <c r="C235" s="26" t="s">
        <v>766</v>
      </c>
      <c r="D235" s="29" t="s">
        <v>124</v>
      </c>
      <c r="E235" s="123"/>
      <c r="F235" s="326"/>
      <c r="G235" s="326"/>
      <c r="H235" s="670"/>
      <c r="I235" s="326"/>
      <c r="J235" s="679"/>
      <c r="K235" s="326"/>
      <c r="L235" s="326"/>
      <c r="M235" s="326"/>
      <c r="N235" s="323"/>
    </row>
    <row r="236" spans="1:14" s="672" customFormat="1" hidden="1">
      <c r="A236" s="198">
        <v>12</v>
      </c>
      <c r="B236" s="198"/>
      <c r="C236" s="26" t="s">
        <v>613</v>
      </c>
      <c r="D236" s="27" t="s">
        <v>114</v>
      </c>
      <c r="E236" s="123"/>
      <c r="F236" s="326"/>
      <c r="G236" s="326"/>
      <c r="H236" s="670"/>
      <c r="I236" s="326"/>
      <c r="J236" s="679"/>
      <c r="K236" s="326"/>
      <c r="L236" s="326"/>
      <c r="M236" s="326"/>
      <c r="N236" s="323"/>
    </row>
    <row r="237" spans="1:14" s="672" customFormat="1" hidden="1">
      <c r="A237" s="198">
        <v>13</v>
      </c>
      <c r="B237" s="198"/>
      <c r="C237" s="26" t="s">
        <v>612</v>
      </c>
      <c r="D237" s="24" t="s">
        <v>437</v>
      </c>
      <c r="E237" s="123"/>
      <c r="F237" s="326"/>
      <c r="G237" s="326"/>
      <c r="H237" s="670"/>
      <c r="I237" s="326"/>
      <c r="J237" s="679"/>
      <c r="K237" s="326"/>
      <c r="L237" s="326"/>
      <c r="M237" s="326"/>
      <c r="N237" s="323"/>
    </row>
    <row r="238" spans="1:14" s="672" customFormat="1" ht="29.25" hidden="1" customHeight="1">
      <c r="A238" s="198">
        <v>14</v>
      </c>
      <c r="B238" s="198"/>
      <c r="C238" s="26" t="s">
        <v>1312</v>
      </c>
      <c r="D238" s="24" t="s">
        <v>112</v>
      </c>
      <c r="E238" s="123"/>
      <c r="F238" s="326"/>
      <c r="G238" s="326"/>
      <c r="H238" s="670"/>
      <c r="I238" s="326"/>
      <c r="J238" s="679"/>
      <c r="K238" s="326"/>
      <c r="L238" s="326"/>
      <c r="M238" s="326"/>
      <c r="N238" s="323"/>
    </row>
    <row r="239" spans="1:14" s="672" customFormat="1" hidden="1">
      <c r="A239" s="198">
        <v>15</v>
      </c>
      <c r="B239" s="198"/>
      <c r="C239" s="26" t="s">
        <v>614</v>
      </c>
      <c r="D239" s="24" t="s">
        <v>112</v>
      </c>
      <c r="E239" s="123"/>
      <c r="F239" s="326"/>
      <c r="G239" s="326"/>
      <c r="H239" s="670"/>
      <c r="I239" s="326"/>
      <c r="J239" s="679"/>
      <c r="K239" s="326"/>
      <c r="L239" s="326"/>
      <c r="M239" s="326"/>
      <c r="N239" s="323"/>
    </row>
    <row r="240" spans="1:14" hidden="1">
      <c r="A240" s="198"/>
      <c r="B240" s="198"/>
      <c r="C240" s="34" t="s">
        <v>432</v>
      </c>
      <c r="D240" s="37"/>
      <c r="E240" s="169"/>
      <c r="F240" s="670"/>
      <c r="G240" s="670"/>
      <c r="H240" s="670"/>
      <c r="I240" s="670"/>
      <c r="J240" s="679"/>
      <c r="K240" s="670"/>
      <c r="L240" s="670"/>
      <c r="M240" s="326" t="s">
        <v>860</v>
      </c>
      <c r="N240" s="322"/>
    </row>
    <row r="241" spans="1:14" hidden="1">
      <c r="A241" s="198">
        <v>1</v>
      </c>
      <c r="B241" s="198"/>
      <c r="C241" s="26" t="s">
        <v>891</v>
      </c>
      <c r="D241" s="24" t="s">
        <v>437</v>
      </c>
      <c r="E241" s="123"/>
      <c r="F241" s="326"/>
      <c r="G241" s="326"/>
      <c r="H241" s="326"/>
      <c r="I241" s="326"/>
      <c r="J241" s="659"/>
      <c r="K241" s="326"/>
      <c r="L241" s="326"/>
      <c r="M241" s="326"/>
      <c r="N241" s="322"/>
    </row>
    <row r="242" spans="1:14" hidden="1">
      <c r="A242" s="198">
        <v>2</v>
      </c>
      <c r="B242" s="198"/>
      <c r="C242" s="26" t="s">
        <v>433</v>
      </c>
      <c r="D242" s="24" t="s">
        <v>437</v>
      </c>
      <c r="E242" s="123"/>
      <c r="F242" s="326"/>
      <c r="G242" s="326"/>
      <c r="H242" s="326"/>
      <c r="I242" s="326"/>
      <c r="J242" s="659"/>
      <c r="K242" s="326"/>
      <c r="L242" s="326"/>
      <c r="M242" s="326"/>
      <c r="N242" s="322"/>
    </row>
    <row r="243" spans="1:14" ht="27" hidden="1">
      <c r="A243" s="198">
        <v>3</v>
      </c>
      <c r="B243" s="198"/>
      <c r="C243" s="100" t="s">
        <v>1117</v>
      </c>
      <c r="D243" s="24" t="s">
        <v>437</v>
      </c>
      <c r="E243" s="123"/>
      <c r="F243" s="326"/>
      <c r="G243" s="326"/>
      <c r="H243" s="326"/>
      <c r="I243" s="326"/>
      <c r="J243" s="659"/>
      <c r="K243" s="326"/>
      <c r="L243" s="326"/>
      <c r="M243" s="326"/>
      <c r="N243" s="322"/>
    </row>
    <row r="244" spans="1:14" hidden="1">
      <c r="A244" s="198">
        <v>4</v>
      </c>
      <c r="B244" s="198"/>
      <c r="C244" s="26" t="s">
        <v>895</v>
      </c>
      <c r="D244" s="24" t="s">
        <v>437</v>
      </c>
      <c r="E244" s="123"/>
      <c r="F244" s="326"/>
      <c r="G244" s="326"/>
      <c r="H244" s="326"/>
      <c r="I244" s="326"/>
      <c r="J244" s="659"/>
      <c r="K244" s="326"/>
      <c r="L244" s="326"/>
      <c r="M244" s="326"/>
      <c r="N244" s="322"/>
    </row>
    <row r="245" spans="1:14" hidden="1">
      <c r="A245" s="198">
        <v>5</v>
      </c>
      <c r="B245" s="198"/>
      <c r="C245" s="26" t="s">
        <v>293</v>
      </c>
      <c r="D245" s="24" t="s">
        <v>437</v>
      </c>
      <c r="E245" s="123"/>
      <c r="F245" s="326"/>
      <c r="G245" s="326"/>
      <c r="H245" s="326"/>
      <c r="I245" s="326"/>
      <c r="J245" s="659"/>
      <c r="K245" s="326"/>
      <c r="L245" s="326"/>
      <c r="M245" s="326"/>
      <c r="N245" s="322"/>
    </row>
    <row r="246" spans="1:14" hidden="1">
      <c r="A246" s="198">
        <v>6</v>
      </c>
      <c r="B246" s="198"/>
      <c r="C246" s="26" t="s">
        <v>512</v>
      </c>
      <c r="D246" s="24" t="s">
        <v>437</v>
      </c>
      <c r="E246" s="123"/>
      <c r="F246" s="326"/>
      <c r="G246" s="326"/>
      <c r="H246" s="326"/>
      <c r="I246" s="326"/>
      <c r="J246" s="659"/>
      <c r="K246" s="326"/>
      <c r="L246" s="326"/>
      <c r="M246" s="326"/>
      <c r="N246" s="322"/>
    </row>
    <row r="247" spans="1:14" hidden="1">
      <c r="A247" s="198">
        <v>7</v>
      </c>
      <c r="B247" s="198"/>
      <c r="C247" s="26" t="s">
        <v>1013</v>
      </c>
      <c r="D247" s="24" t="s">
        <v>437</v>
      </c>
      <c r="E247" s="123"/>
      <c r="F247" s="326"/>
      <c r="G247" s="326"/>
      <c r="H247" s="670"/>
      <c r="I247" s="326"/>
      <c r="J247" s="659"/>
      <c r="K247" s="326"/>
      <c r="L247" s="326"/>
      <c r="M247" s="326"/>
      <c r="N247" s="322"/>
    </row>
    <row r="248" spans="1:14" ht="15" hidden="1" customHeight="1">
      <c r="A248" s="198">
        <v>8</v>
      </c>
      <c r="B248" s="198"/>
      <c r="C248" s="26" t="s">
        <v>584</v>
      </c>
      <c r="D248" s="27" t="s">
        <v>114</v>
      </c>
      <c r="E248" s="123"/>
      <c r="F248" s="326"/>
      <c r="G248" s="326"/>
      <c r="H248" s="670"/>
      <c r="I248" s="326"/>
      <c r="J248" s="659"/>
      <c r="K248" s="326"/>
      <c r="L248" s="326"/>
      <c r="M248" s="326"/>
      <c r="N248" s="322"/>
    </row>
    <row r="249" spans="1:14" ht="15.75" hidden="1" customHeight="1">
      <c r="A249" s="198">
        <v>9</v>
      </c>
      <c r="B249" s="198"/>
      <c r="C249" s="26" t="s">
        <v>1014</v>
      </c>
      <c r="D249" s="24" t="s">
        <v>112</v>
      </c>
      <c r="E249" s="123"/>
      <c r="F249" s="326"/>
      <c r="G249" s="326"/>
      <c r="H249" s="670"/>
      <c r="I249" s="326"/>
      <c r="J249" s="659"/>
      <c r="K249" s="326"/>
      <c r="L249" s="326"/>
      <c r="M249" s="326"/>
      <c r="N249" s="322"/>
    </row>
    <row r="250" spans="1:14" ht="16.5" hidden="1" customHeight="1">
      <c r="A250" s="198">
        <v>10</v>
      </c>
      <c r="B250" s="198"/>
      <c r="C250" s="40" t="s">
        <v>349</v>
      </c>
      <c r="D250" s="24" t="s">
        <v>112</v>
      </c>
      <c r="E250" s="123"/>
      <c r="F250" s="326"/>
      <c r="G250" s="326"/>
      <c r="H250" s="670"/>
      <c r="I250" s="326"/>
      <c r="J250" s="679"/>
      <c r="K250" s="326"/>
      <c r="L250" s="326"/>
      <c r="M250" s="326"/>
      <c r="N250" s="322"/>
    </row>
    <row r="251" spans="1:14" ht="27" hidden="1" customHeight="1">
      <c r="A251" s="198">
        <v>11</v>
      </c>
      <c r="B251" s="198"/>
      <c r="C251" s="40" t="s">
        <v>350</v>
      </c>
      <c r="D251" s="24" t="s">
        <v>112</v>
      </c>
      <c r="E251" s="123"/>
      <c r="F251" s="326"/>
      <c r="G251" s="326"/>
      <c r="H251" s="670"/>
      <c r="I251" s="326"/>
      <c r="J251" s="679"/>
      <c r="K251" s="326"/>
      <c r="L251" s="326"/>
      <c r="M251" s="326"/>
      <c r="N251" s="322"/>
    </row>
    <row r="252" spans="1:14" hidden="1">
      <c r="A252" s="198"/>
      <c r="B252" s="198"/>
      <c r="C252" s="107" t="s">
        <v>352</v>
      </c>
      <c r="D252" s="37"/>
      <c r="E252" s="169"/>
      <c r="F252" s="670"/>
      <c r="G252" s="670"/>
      <c r="H252" s="670"/>
      <c r="I252" s="670"/>
      <c r="J252" s="679"/>
      <c r="K252" s="670"/>
      <c r="L252" s="670"/>
      <c r="M252" s="326" t="s">
        <v>859</v>
      </c>
      <c r="N252" s="322"/>
    </row>
    <row r="253" spans="1:14" hidden="1">
      <c r="A253" s="198">
        <v>1</v>
      </c>
      <c r="B253" s="198"/>
      <c r="C253" s="26" t="s">
        <v>891</v>
      </c>
      <c r="D253" s="24" t="s">
        <v>437</v>
      </c>
      <c r="E253" s="123"/>
      <c r="F253" s="670"/>
      <c r="G253" s="670"/>
      <c r="H253" s="670"/>
      <c r="I253" s="670"/>
      <c r="J253" s="679"/>
      <c r="K253" s="670"/>
      <c r="L253" s="670"/>
      <c r="M253" s="326"/>
      <c r="N253" s="322"/>
    </row>
    <row r="254" spans="1:14" ht="15" hidden="1" customHeight="1">
      <c r="A254" s="198">
        <v>2</v>
      </c>
      <c r="B254" s="198"/>
      <c r="C254" s="100" t="s">
        <v>298</v>
      </c>
      <c r="D254" s="24" t="s">
        <v>437</v>
      </c>
      <c r="E254" s="123"/>
      <c r="F254" s="670"/>
      <c r="G254" s="670"/>
      <c r="H254" s="670"/>
      <c r="I254" s="670"/>
      <c r="J254" s="679"/>
      <c r="K254" s="670"/>
      <c r="L254" s="670"/>
      <c r="M254" s="326"/>
      <c r="N254" s="322"/>
    </row>
    <row r="255" spans="1:14" hidden="1">
      <c r="A255" s="198">
        <v>3</v>
      </c>
      <c r="B255" s="198"/>
      <c r="C255" s="26" t="s">
        <v>895</v>
      </c>
      <c r="D255" s="24" t="s">
        <v>437</v>
      </c>
      <c r="E255" s="123"/>
      <c r="F255" s="670"/>
      <c r="G255" s="670"/>
      <c r="H255" s="670"/>
      <c r="I255" s="670"/>
      <c r="J255" s="679"/>
      <c r="K255" s="670"/>
      <c r="L255" s="670"/>
      <c r="M255" s="326"/>
      <c r="N255" s="322"/>
    </row>
    <row r="256" spans="1:14" hidden="1">
      <c r="A256" s="198">
        <v>4</v>
      </c>
      <c r="B256" s="198"/>
      <c r="C256" s="26" t="s">
        <v>293</v>
      </c>
      <c r="D256" s="24" t="s">
        <v>437</v>
      </c>
      <c r="E256" s="123"/>
      <c r="F256" s="326"/>
      <c r="G256" s="326"/>
      <c r="H256" s="326"/>
      <c r="I256" s="326"/>
      <c r="J256" s="659"/>
      <c r="K256" s="326"/>
      <c r="L256" s="326"/>
      <c r="M256" s="326"/>
      <c r="N256" s="322"/>
    </row>
    <row r="257" spans="1:14" ht="27" hidden="1">
      <c r="A257" s="198">
        <v>5</v>
      </c>
      <c r="B257" s="198"/>
      <c r="C257" s="26" t="s">
        <v>1015</v>
      </c>
      <c r="D257" s="24" t="s">
        <v>112</v>
      </c>
      <c r="E257" s="123"/>
      <c r="F257" s="326"/>
      <c r="G257" s="326"/>
      <c r="H257" s="326"/>
      <c r="I257" s="326"/>
      <c r="J257" s="659"/>
      <c r="K257" s="326"/>
      <c r="L257" s="326"/>
      <c r="M257" s="326"/>
      <c r="N257" s="322"/>
    </row>
    <row r="258" spans="1:14" hidden="1">
      <c r="A258" s="198">
        <v>6</v>
      </c>
      <c r="B258" s="198"/>
      <c r="C258" s="747" t="s">
        <v>1018</v>
      </c>
      <c r="D258" s="24" t="s">
        <v>88</v>
      </c>
      <c r="E258" s="123"/>
      <c r="F258" s="326"/>
      <c r="G258" s="326"/>
      <c r="H258" s="326"/>
      <c r="I258" s="326"/>
      <c r="J258" s="659"/>
      <c r="K258" s="326"/>
      <c r="L258" s="326"/>
      <c r="M258" s="326"/>
      <c r="N258" s="322"/>
    </row>
    <row r="259" spans="1:14" ht="27" hidden="1">
      <c r="A259" s="198">
        <v>7</v>
      </c>
      <c r="B259" s="198"/>
      <c r="C259" s="26" t="s">
        <v>1543</v>
      </c>
      <c r="D259" s="29" t="s">
        <v>124</v>
      </c>
      <c r="E259" s="123"/>
      <c r="F259" s="326"/>
      <c r="G259" s="326"/>
      <c r="H259" s="326"/>
      <c r="I259" s="326"/>
      <c r="J259" s="659"/>
      <c r="K259" s="326"/>
      <c r="L259" s="326"/>
      <c r="M259" s="326"/>
      <c r="N259" s="322"/>
    </row>
    <row r="260" spans="1:14" ht="27" hidden="1">
      <c r="A260" s="198">
        <v>8</v>
      </c>
      <c r="B260" s="198"/>
      <c r="C260" s="26" t="s">
        <v>1541</v>
      </c>
      <c r="D260" s="29" t="s">
        <v>124</v>
      </c>
      <c r="E260" s="123"/>
      <c r="F260" s="326"/>
      <c r="G260" s="326"/>
      <c r="H260" s="326"/>
      <c r="I260" s="326"/>
      <c r="J260" s="659"/>
      <c r="K260" s="326"/>
      <c r="L260" s="326"/>
      <c r="M260" s="326"/>
      <c r="N260" s="322"/>
    </row>
    <row r="261" spans="1:14" hidden="1">
      <c r="A261" s="198"/>
      <c r="B261" s="198"/>
      <c r="C261" s="107" t="s">
        <v>1697</v>
      </c>
      <c r="D261" s="29"/>
      <c r="E261" s="29"/>
      <c r="F261" s="326"/>
      <c r="G261" s="326"/>
      <c r="H261" s="326"/>
      <c r="I261" s="326"/>
      <c r="J261" s="659"/>
      <c r="K261" s="326"/>
      <c r="L261" s="326"/>
      <c r="M261" s="326" t="s">
        <v>860</v>
      </c>
      <c r="N261" s="322"/>
    </row>
    <row r="262" spans="1:14" hidden="1">
      <c r="A262" s="198">
        <v>1</v>
      </c>
      <c r="B262" s="198"/>
      <c r="C262" s="26" t="s">
        <v>891</v>
      </c>
      <c r="D262" s="24" t="s">
        <v>437</v>
      </c>
      <c r="E262" s="123"/>
      <c r="F262" s="326"/>
      <c r="G262" s="326"/>
      <c r="H262" s="326"/>
      <c r="I262" s="326"/>
      <c r="J262" s="659"/>
      <c r="K262" s="326"/>
      <c r="L262" s="326"/>
      <c r="M262" s="326"/>
      <c r="N262" s="322"/>
    </row>
    <row r="263" spans="1:14" hidden="1">
      <c r="A263" s="198">
        <v>2</v>
      </c>
      <c r="B263" s="198"/>
      <c r="C263" s="26" t="s">
        <v>433</v>
      </c>
      <c r="D263" s="24" t="s">
        <v>437</v>
      </c>
      <c r="E263" s="123"/>
      <c r="F263" s="326"/>
      <c r="G263" s="326"/>
      <c r="H263" s="326"/>
      <c r="I263" s="326"/>
      <c r="J263" s="659"/>
      <c r="K263" s="326"/>
      <c r="L263" s="326"/>
      <c r="M263" s="326"/>
      <c r="N263" s="322"/>
    </row>
    <row r="264" spans="1:14" ht="18.75" hidden="1" customHeight="1">
      <c r="A264" s="198">
        <v>3</v>
      </c>
      <c r="B264" s="198"/>
      <c r="C264" s="100" t="s">
        <v>298</v>
      </c>
      <c r="D264" s="24" t="s">
        <v>437</v>
      </c>
      <c r="E264" s="123"/>
      <c r="F264" s="326"/>
      <c r="G264" s="326"/>
      <c r="H264" s="326"/>
      <c r="I264" s="326"/>
      <c r="J264" s="659"/>
      <c r="K264" s="326"/>
      <c r="L264" s="326"/>
      <c r="M264" s="326"/>
      <c r="N264" s="322"/>
    </row>
    <row r="265" spans="1:14" hidden="1">
      <c r="A265" s="198">
        <v>4</v>
      </c>
      <c r="B265" s="198"/>
      <c r="C265" s="26" t="s">
        <v>895</v>
      </c>
      <c r="D265" s="24" t="s">
        <v>437</v>
      </c>
      <c r="E265" s="123"/>
      <c r="F265" s="326"/>
      <c r="G265" s="326"/>
      <c r="H265" s="326"/>
      <c r="I265" s="326"/>
      <c r="J265" s="659"/>
      <c r="K265" s="326"/>
      <c r="L265" s="326"/>
      <c r="M265" s="326"/>
      <c r="N265" s="322"/>
    </row>
    <row r="266" spans="1:14" hidden="1">
      <c r="A266" s="198">
        <v>5</v>
      </c>
      <c r="B266" s="198"/>
      <c r="C266" s="26" t="s">
        <v>293</v>
      </c>
      <c r="D266" s="24" t="s">
        <v>437</v>
      </c>
      <c r="E266" s="123"/>
      <c r="F266" s="326"/>
      <c r="G266" s="326"/>
      <c r="H266" s="326"/>
      <c r="I266" s="326"/>
      <c r="J266" s="659"/>
      <c r="K266" s="326"/>
      <c r="L266" s="326"/>
      <c r="M266" s="326"/>
      <c r="N266" s="322"/>
    </row>
    <row r="267" spans="1:14" ht="27" hidden="1">
      <c r="A267" s="1412">
        <v>6</v>
      </c>
      <c r="B267" s="198"/>
      <c r="C267" s="26" t="s">
        <v>1698</v>
      </c>
      <c r="D267" s="24" t="s">
        <v>437</v>
      </c>
      <c r="E267" s="123"/>
      <c r="F267" s="326"/>
      <c r="G267" s="326"/>
      <c r="H267" s="326"/>
      <c r="I267" s="326"/>
      <c r="J267" s="659"/>
      <c r="K267" s="326"/>
      <c r="L267" s="326"/>
      <c r="M267" s="326"/>
      <c r="N267" s="322"/>
    </row>
    <row r="268" spans="1:14" ht="15.75" hidden="1" customHeight="1">
      <c r="A268" s="1413"/>
      <c r="B268" s="198"/>
      <c r="C268" s="26" t="s">
        <v>884</v>
      </c>
      <c r="D268" s="24" t="s">
        <v>97</v>
      </c>
      <c r="E268" s="123"/>
      <c r="F268" s="326"/>
      <c r="G268" s="326"/>
      <c r="H268" s="326"/>
      <c r="I268" s="326"/>
      <c r="J268" s="659"/>
      <c r="K268" s="326"/>
      <c r="L268" s="326"/>
      <c r="M268" s="326"/>
      <c r="N268" s="322"/>
    </row>
    <row r="269" spans="1:14" ht="14.25" hidden="1" customHeight="1">
      <c r="A269" s="1414"/>
      <c r="B269" s="198"/>
      <c r="C269" s="26" t="s">
        <v>501</v>
      </c>
      <c r="D269" s="24" t="s">
        <v>97</v>
      </c>
      <c r="E269" s="123"/>
      <c r="F269" s="326"/>
      <c r="G269" s="326"/>
      <c r="H269" s="326"/>
      <c r="I269" s="326"/>
      <c r="J269" s="659"/>
      <c r="K269" s="326"/>
      <c r="L269" s="326"/>
      <c r="M269" s="326"/>
      <c r="N269" s="322"/>
    </row>
    <row r="270" spans="1:14" ht="21" hidden="1" customHeight="1">
      <c r="A270" s="196">
        <v>7</v>
      </c>
      <c r="B270" s="198"/>
      <c r="C270" s="26" t="s">
        <v>885</v>
      </c>
      <c r="D270" s="24" t="s">
        <v>112</v>
      </c>
      <c r="E270" s="123"/>
      <c r="F270" s="326"/>
      <c r="G270" s="326"/>
      <c r="H270" s="326"/>
      <c r="I270" s="326"/>
      <c r="J270" s="659"/>
      <c r="K270" s="326"/>
      <c r="L270" s="326"/>
      <c r="M270" s="326"/>
      <c r="N270" s="322"/>
    </row>
    <row r="271" spans="1:14" hidden="1">
      <c r="A271" s="198"/>
      <c r="B271" s="198"/>
      <c r="C271" s="34" t="s">
        <v>733</v>
      </c>
      <c r="D271" s="29"/>
      <c r="E271" s="134"/>
      <c r="F271" s="326"/>
      <c r="G271" s="670"/>
      <c r="H271" s="670"/>
      <c r="I271" s="670"/>
      <c r="J271" s="679"/>
      <c r="K271" s="670"/>
      <c r="L271" s="670"/>
      <c r="M271" s="326"/>
      <c r="N271" s="322"/>
    </row>
    <row r="272" spans="1:14" ht="40.5" hidden="1">
      <c r="A272" s="198">
        <v>1</v>
      </c>
      <c r="B272" s="198"/>
      <c r="C272" s="26" t="s">
        <v>1016</v>
      </c>
      <c r="D272" s="158" t="s">
        <v>4</v>
      </c>
      <c r="E272" s="123"/>
      <c r="F272" s="326"/>
      <c r="G272" s="326"/>
      <c r="H272" s="326"/>
      <c r="I272" s="326"/>
      <c r="J272" s="659"/>
      <c r="K272" s="326"/>
      <c r="L272" s="326"/>
      <c r="M272" s="326"/>
      <c r="N272" s="322"/>
    </row>
    <row r="273" spans="1:14" hidden="1">
      <c r="A273" s="198"/>
      <c r="B273" s="198"/>
      <c r="C273" s="34" t="s">
        <v>315</v>
      </c>
      <c r="D273" s="37"/>
      <c r="E273" s="169"/>
      <c r="F273" s="670"/>
      <c r="G273" s="670"/>
      <c r="H273" s="670"/>
      <c r="I273" s="670"/>
      <c r="J273" s="679"/>
      <c r="K273" s="670"/>
      <c r="L273" s="670"/>
      <c r="M273" s="326" t="s">
        <v>860</v>
      </c>
      <c r="N273" s="322"/>
    </row>
    <row r="274" spans="1:14" hidden="1">
      <c r="A274" s="198">
        <v>1</v>
      </c>
      <c r="B274" s="198"/>
      <c r="C274" s="26" t="s">
        <v>891</v>
      </c>
      <c r="D274" s="24" t="s">
        <v>437</v>
      </c>
      <c r="E274" s="123"/>
      <c r="F274" s="326"/>
      <c r="G274" s="326"/>
      <c r="H274" s="326"/>
      <c r="I274" s="326"/>
      <c r="J274" s="659"/>
      <c r="K274" s="326"/>
      <c r="L274" s="326"/>
      <c r="M274" s="326"/>
      <c r="N274" s="322"/>
    </row>
    <row r="275" spans="1:14" hidden="1">
      <c r="A275" s="198">
        <v>2</v>
      </c>
      <c r="B275" s="198"/>
      <c r="C275" s="26" t="s">
        <v>433</v>
      </c>
      <c r="D275" s="24" t="s">
        <v>437</v>
      </c>
      <c r="E275" s="123"/>
      <c r="F275" s="326"/>
      <c r="G275" s="326"/>
      <c r="H275" s="326"/>
      <c r="I275" s="326"/>
      <c r="J275" s="659"/>
      <c r="K275" s="326"/>
      <c r="L275" s="326"/>
      <c r="M275" s="326"/>
      <c r="N275" s="322"/>
    </row>
    <row r="276" spans="1:14" ht="27" hidden="1">
      <c r="A276" s="198">
        <v>3</v>
      </c>
      <c r="B276" s="198"/>
      <c r="C276" s="100" t="s">
        <v>298</v>
      </c>
      <c r="D276" s="24" t="s">
        <v>437</v>
      </c>
      <c r="E276" s="123"/>
      <c r="F276" s="326"/>
      <c r="G276" s="326"/>
      <c r="H276" s="326"/>
      <c r="I276" s="326"/>
      <c r="J276" s="659"/>
      <c r="K276" s="326"/>
      <c r="L276" s="326"/>
      <c r="M276" s="326"/>
      <c r="N276" s="322"/>
    </row>
    <row r="277" spans="1:14" hidden="1">
      <c r="A277" s="198">
        <v>4</v>
      </c>
      <c r="B277" s="198"/>
      <c r="C277" s="26" t="s">
        <v>895</v>
      </c>
      <c r="D277" s="24" t="s">
        <v>437</v>
      </c>
      <c r="E277" s="123"/>
      <c r="F277" s="326"/>
      <c r="G277" s="326"/>
      <c r="H277" s="326"/>
      <c r="I277" s="326"/>
      <c r="J277" s="659"/>
      <c r="K277" s="326"/>
      <c r="L277" s="326"/>
      <c r="M277" s="326"/>
      <c r="N277" s="322"/>
    </row>
    <row r="278" spans="1:14" hidden="1">
      <c r="A278" s="198">
        <v>5</v>
      </c>
      <c r="B278" s="198"/>
      <c r="C278" s="26" t="s">
        <v>421</v>
      </c>
      <c r="D278" s="24" t="s">
        <v>437</v>
      </c>
      <c r="E278" s="123"/>
      <c r="F278" s="326"/>
      <c r="G278" s="326"/>
      <c r="H278" s="326"/>
      <c r="I278" s="326"/>
      <c r="J278" s="659"/>
      <c r="K278" s="326"/>
      <c r="L278" s="326"/>
      <c r="M278" s="326"/>
      <c r="N278" s="322"/>
    </row>
    <row r="279" spans="1:14" ht="27" hidden="1">
      <c r="A279" s="198">
        <v>6</v>
      </c>
      <c r="B279" s="198"/>
      <c r="C279" s="26" t="s">
        <v>1017</v>
      </c>
      <c r="D279" s="24" t="s">
        <v>437</v>
      </c>
      <c r="E279" s="123"/>
      <c r="F279" s="326"/>
      <c r="G279" s="326"/>
      <c r="H279" s="326"/>
      <c r="I279" s="326"/>
      <c r="J279" s="659"/>
      <c r="K279" s="326"/>
      <c r="L279" s="326"/>
      <c r="M279" s="326"/>
      <c r="N279" s="322"/>
    </row>
    <row r="280" spans="1:14" hidden="1">
      <c r="A280" s="198">
        <v>7</v>
      </c>
      <c r="B280" s="198"/>
      <c r="C280" s="26" t="s">
        <v>318</v>
      </c>
      <c r="D280" s="29" t="s">
        <v>124</v>
      </c>
      <c r="E280" s="123"/>
      <c r="F280" s="326"/>
      <c r="G280" s="326"/>
      <c r="H280" s="326"/>
      <c r="I280" s="326"/>
      <c r="J280" s="659"/>
      <c r="K280" s="326"/>
      <c r="L280" s="326"/>
      <c r="M280" s="326"/>
      <c r="N280" s="322"/>
    </row>
    <row r="281" spans="1:14" hidden="1">
      <c r="A281" s="198"/>
      <c r="B281" s="198"/>
      <c r="C281" s="100" t="s">
        <v>317</v>
      </c>
      <c r="D281" s="29" t="s">
        <v>124</v>
      </c>
      <c r="E281" s="123"/>
      <c r="F281" s="326"/>
      <c r="G281" s="326"/>
      <c r="H281" s="326"/>
      <c r="I281" s="326"/>
      <c r="J281" s="659"/>
      <c r="K281" s="326"/>
      <c r="L281" s="326"/>
      <c r="M281" s="326"/>
      <c r="N281" s="322"/>
    </row>
    <row r="282" spans="1:14" hidden="1">
      <c r="A282" s="198"/>
      <c r="B282" s="198"/>
      <c r="C282" s="100" t="s">
        <v>424</v>
      </c>
      <c r="D282" s="29" t="s">
        <v>124</v>
      </c>
      <c r="E282" s="123"/>
      <c r="F282" s="326"/>
      <c r="G282" s="326"/>
      <c r="H282" s="670"/>
      <c r="I282" s="326"/>
      <c r="J282" s="679"/>
      <c r="K282" s="326"/>
      <c r="L282" s="326"/>
      <c r="M282" s="326"/>
      <c r="N282" s="322"/>
    </row>
    <row r="283" spans="1:14" hidden="1">
      <c r="A283" s="198"/>
      <c r="B283" s="198"/>
      <c r="C283" s="100" t="s">
        <v>306</v>
      </c>
      <c r="D283" s="29" t="s">
        <v>124</v>
      </c>
      <c r="E283" s="123"/>
      <c r="F283" s="326"/>
      <c r="G283" s="326"/>
      <c r="H283" s="670"/>
      <c r="I283" s="326"/>
      <c r="J283" s="679"/>
      <c r="K283" s="326"/>
      <c r="L283" s="326"/>
      <c r="M283" s="326"/>
      <c r="N283" s="322"/>
    </row>
    <row r="284" spans="1:14" hidden="1">
      <c r="A284" s="198"/>
      <c r="B284" s="198"/>
      <c r="C284" s="100" t="s">
        <v>423</v>
      </c>
      <c r="D284" s="29" t="s">
        <v>124</v>
      </c>
      <c r="E284" s="123"/>
      <c r="F284" s="326"/>
      <c r="G284" s="326"/>
      <c r="H284" s="670"/>
      <c r="I284" s="326"/>
      <c r="J284" s="679"/>
      <c r="K284" s="326"/>
      <c r="L284" s="326"/>
      <c r="M284" s="326"/>
      <c r="N284" s="322"/>
    </row>
    <row r="285" spans="1:14" hidden="1">
      <c r="A285" s="198"/>
      <c r="B285" s="198"/>
      <c r="C285" s="100" t="s">
        <v>448</v>
      </c>
      <c r="D285" s="29" t="s">
        <v>124</v>
      </c>
      <c r="E285" s="123"/>
      <c r="F285" s="326"/>
      <c r="G285" s="326"/>
      <c r="H285" s="670"/>
      <c r="I285" s="326"/>
      <c r="J285" s="679"/>
      <c r="K285" s="326"/>
      <c r="L285" s="326"/>
      <c r="M285" s="326"/>
      <c r="N285" s="322"/>
    </row>
    <row r="286" spans="1:14" hidden="1">
      <c r="A286" s="198"/>
      <c r="B286" s="198"/>
      <c r="C286" s="100" t="s">
        <v>449</v>
      </c>
      <c r="D286" s="29" t="s">
        <v>124</v>
      </c>
      <c r="E286" s="123"/>
      <c r="F286" s="326"/>
      <c r="G286" s="326"/>
      <c r="H286" s="670"/>
      <c r="I286" s="326"/>
      <c r="J286" s="679"/>
      <c r="K286" s="326"/>
      <c r="L286" s="326"/>
      <c r="M286" s="326"/>
      <c r="N286" s="322"/>
    </row>
    <row r="287" spans="1:14" hidden="1">
      <c r="A287" s="198"/>
      <c r="B287" s="198"/>
      <c r="C287" s="100" t="s">
        <v>447</v>
      </c>
      <c r="D287" s="29" t="s">
        <v>124</v>
      </c>
      <c r="E287" s="123"/>
      <c r="F287" s="326"/>
      <c r="G287" s="326"/>
      <c r="H287" s="670"/>
      <c r="I287" s="326"/>
      <c r="J287" s="679"/>
      <c r="K287" s="326"/>
      <c r="L287" s="326"/>
      <c r="M287" s="326"/>
      <c r="N287" s="322"/>
    </row>
    <row r="288" spans="1:14" hidden="1">
      <c r="A288" s="198"/>
      <c r="B288" s="198"/>
      <c r="C288" s="100" t="s">
        <v>219</v>
      </c>
      <c r="D288" s="24" t="s">
        <v>112</v>
      </c>
      <c r="E288" s="123"/>
      <c r="F288" s="326"/>
      <c r="G288" s="326"/>
      <c r="H288" s="670"/>
      <c r="I288" s="326"/>
      <c r="J288" s="679"/>
      <c r="K288" s="326"/>
      <c r="L288" s="326"/>
      <c r="M288" s="326"/>
      <c r="N288" s="322"/>
    </row>
    <row r="289" spans="1:14" hidden="1">
      <c r="A289" s="198"/>
      <c r="B289" s="198"/>
      <c r="C289" s="100" t="s">
        <v>452</v>
      </c>
      <c r="D289" s="27" t="s">
        <v>113</v>
      </c>
      <c r="E289" s="123"/>
      <c r="F289" s="326"/>
      <c r="G289" s="326"/>
      <c r="H289" s="670"/>
      <c r="I289" s="326"/>
      <c r="J289" s="679"/>
      <c r="K289" s="326"/>
      <c r="L289" s="326"/>
      <c r="M289" s="326"/>
      <c r="N289" s="322"/>
    </row>
    <row r="290" spans="1:14" ht="17.25" hidden="1" customHeight="1">
      <c r="A290" s="198">
        <v>8</v>
      </c>
      <c r="B290" s="198"/>
      <c r="C290" s="26" t="s">
        <v>1275</v>
      </c>
      <c r="D290" s="27" t="s">
        <v>113</v>
      </c>
      <c r="E290" s="123"/>
      <c r="F290" s="326"/>
      <c r="G290" s="326"/>
      <c r="H290" s="670"/>
      <c r="I290" s="326"/>
      <c r="J290" s="679"/>
      <c r="K290" s="326"/>
      <c r="L290" s="326"/>
      <c r="M290" s="326"/>
      <c r="N290" s="322"/>
    </row>
    <row r="291" spans="1:14" hidden="1">
      <c r="A291" s="198"/>
      <c r="B291" s="198"/>
      <c r="C291" s="100" t="s">
        <v>310</v>
      </c>
      <c r="D291" s="29" t="s">
        <v>124</v>
      </c>
      <c r="E291" s="123"/>
      <c r="F291" s="326"/>
      <c r="G291" s="326"/>
      <c r="H291" s="670"/>
      <c r="I291" s="326"/>
      <c r="J291" s="679"/>
      <c r="K291" s="326"/>
      <c r="L291" s="326"/>
      <c r="M291" s="326"/>
      <c r="N291" s="322"/>
    </row>
    <row r="292" spans="1:14" hidden="1">
      <c r="A292" s="198"/>
      <c r="B292" s="198"/>
      <c r="C292" s="100" t="s">
        <v>311</v>
      </c>
      <c r="D292" s="29" t="s">
        <v>124</v>
      </c>
      <c r="E292" s="123"/>
      <c r="F292" s="326"/>
      <c r="G292" s="326"/>
      <c r="H292" s="670"/>
      <c r="I292" s="326"/>
      <c r="J292" s="679"/>
      <c r="K292" s="326"/>
      <c r="L292" s="326"/>
      <c r="M292" s="326"/>
      <c r="N292" s="322"/>
    </row>
    <row r="293" spans="1:14" hidden="1">
      <c r="A293" s="198"/>
      <c r="B293" s="198"/>
      <c r="C293" s="100" t="s">
        <v>312</v>
      </c>
      <c r="D293" s="29" t="s">
        <v>124</v>
      </c>
      <c r="E293" s="123"/>
      <c r="F293" s="326"/>
      <c r="G293" s="326"/>
      <c r="H293" s="670"/>
      <c r="I293" s="326"/>
      <c r="J293" s="679"/>
      <c r="K293" s="326"/>
      <c r="L293" s="326"/>
      <c r="M293" s="326"/>
      <c r="N293" s="322"/>
    </row>
    <row r="294" spans="1:14" hidden="1">
      <c r="A294" s="198"/>
      <c r="B294" s="198"/>
      <c r="C294" s="100" t="s">
        <v>339</v>
      </c>
      <c r="D294" s="24" t="s">
        <v>112</v>
      </c>
      <c r="E294" s="123"/>
      <c r="F294" s="326"/>
      <c r="G294" s="326"/>
      <c r="H294" s="670"/>
      <c r="I294" s="326"/>
      <c r="J294" s="679"/>
      <c r="K294" s="326"/>
      <c r="L294" s="326"/>
      <c r="M294" s="326"/>
      <c r="N294" s="322"/>
    </row>
    <row r="295" spans="1:14" ht="27" hidden="1">
      <c r="A295" s="198">
        <v>9</v>
      </c>
      <c r="B295" s="198"/>
      <c r="C295" s="26" t="s">
        <v>455</v>
      </c>
      <c r="D295" s="24" t="s">
        <v>112</v>
      </c>
      <c r="E295" s="445"/>
      <c r="F295" s="326"/>
      <c r="G295" s="326"/>
      <c r="H295" s="670"/>
      <c r="I295" s="326"/>
      <c r="J295" s="679"/>
      <c r="K295" s="326"/>
      <c r="L295" s="326"/>
      <c r="M295" s="326"/>
      <c r="N295" s="322"/>
    </row>
    <row r="296" spans="1:14" hidden="1">
      <c r="A296" s="198">
        <v>10</v>
      </c>
      <c r="B296" s="198"/>
      <c r="C296" s="26" t="s">
        <v>637</v>
      </c>
      <c r="D296" s="24" t="s">
        <v>112</v>
      </c>
      <c r="E296" s="123"/>
      <c r="F296" s="326"/>
      <c r="G296" s="326"/>
      <c r="H296" s="670"/>
      <c r="I296" s="326"/>
      <c r="J296" s="679"/>
      <c r="K296" s="326"/>
      <c r="L296" s="326"/>
      <c r="M296" s="326"/>
      <c r="N296" s="322"/>
    </row>
    <row r="297" spans="1:14">
      <c r="A297" s="1363"/>
      <c r="B297" s="197"/>
      <c r="C297" s="30" t="s">
        <v>110</v>
      </c>
      <c r="D297" s="27"/>
      <c r="E297" s="327"/>
      <c r="F297" s="326"/>
      <c r="G297" s="326"/>
      <c r="H297" s="326"/>
      <c r="I297" s="326"/>
      <c r="J297" s="659"/>
      <c r="K297" s="326"/>
      <c r="L297" s="326"/>
      <c r="M297" s="323"/>
      <c r="N297" s="322"/>
    </row>
    <row r="298" spans="1:14">
      <c r="A298" s="1363"/>
      <c r="B298" s="197"/>
      <c r="C298" s="32" t="s">
        <v>115</v>
      </c>
      <c r="D298" s="320" t="s">
        <v>457</v>
      </c>
      <c r="E298" s="685">
        <v>10</v>
      </c>
      <c r="F298" s="326"/>
      <c r="G298" s="326"/>
      <c r="H298" s="326"/>
      <c r="I298" s="326"/>
      <c r="J298" s="659"/>
      <c r="K298" s="326"/>
      <c r="L298" s="326"/>
      <c r="M298" s="323"/>
      <c r="N298" s="322"/>
    </row>
    <row r="299" spans="1:14">
      <c r="A299" s="1363"/>
      <c r="B299" s="197"/>
      <c r="C299" s="30" t="s">
        <v>110</v>
      </c>
      <c r="D299" s="27"/>
      <c r="E299" s="327"/>
      <c r="F299" s="326"/>
      <c r="G299" s="326"/>
      <c r="H299" s="326"/>
      <c r="I299" s="326"/>
      <c r="J299" s="659"/>
      <c r="K299" s="326"/>
      <c r="L299" s="326"/>
      <c r="M299" s="323"/>
      <c r="N299" s="322"/>
    </row>
    <row r="300" spans="1:14">
      <c r="A300" s="1363"/>
      <c r="B300" s="197"/>
      <c r="C300" s="33" t="s">
        <v>116</v>
      </c>
      <c r="D300" s="320" t="s">
        <v>457</v>
      </c>
      <c r="E300" s="685">
        <v>8</v>
      </c>
      <c r="F300" s="326"/>
      <c r="G300" s="326"/>
      <c r="H300" s="326"/>
      <c r="I300" s="326"/>
      <c r="J300" s="659"/>
      <c r="K300" s="326"/>
      <c r="L300" s="326"/>
      <c r="M300" s="323"/>
      <c r="N300" s="322"/>
    </row>
    <row r="301" spans="1:14">
      <c r="A301" s="1363"/>
      <c r="B301" s="197"/>
      <c r="C301" s="30" t="s">
        <v>327</v>
      </c>
      <c r="D301" s="27"/>
      <c r="E301" s="327"/>
      <c r="F301" s="326"/>
      <c r="G301" s="683"/>
      <c r="H301" s="683"/>
      <c r="I301" s="683"/>
      <c r="J301" s="684"/>
      <c r="K301" s="683"/>
      <c r="L301" s="683"/>
      <c r="M301" s="323"/>
      <c r="N301" s="322"/>
    </row>
    <row r="302" spans="1:14" s="1266" customFormat="1">
      <c r="A302" s="1363"/>
      <c r="B302" s="1261"/>
      <c r="C302" s="194" t="s">
        <v>1871</v>
      </c>
      <c r="D302" s="1262"/>
      <c r="E302" s="1377"/>
      <c r="F302" s="1263"/>
      <c r="G302" s="1263"/>
      <c r="H302" s="1263"/>
      <c r="I302" s="1263"/>
      <c r="J302" s="1264"/>
      <c r="K302" s="1263"/>
      <c r="L302" s="1263"/>
      <c r="M302" s="1263" t="s">
        <v>860</v>
      </c>
      <c r="N302" s="1265"/>
    </row>
    <row r="303" spans="1:14" s="1266" customFormat="1" ht="31.5" customHeight="1">
      <c r="A303" s="1363">
        <v>1</v>
      </c>
      <c r="B303" s="1261"/>
      <c r="C303" s="1354" t="s">
        <v>1880</v>
      </c>
      <c r="D303" s="1355" t="s">
        <v>4</v>
      </c>
      <c r="E303" s="1378">
        <v>2</v>
      </c>
      <c r="F303" s="1263"/>
      <c r="G303" s="1351"/>
      <c r="H303" s="1351"/>
      <c r="I303" s="1351"/>
      <c r="J303" s="1351"/>
      <c r="K303" s="1351"/>
      <c r="L303" s="1351"/>
      <c r="M303" s="1265"/>
      <c r="N303" s="1265"/>
    </row>
    <row r="304" spans="1:14" s="1266" customFormat="1" ht="33" customHeight="1">
      <c r="A304" s="1363">
        <v>2</v>
      </c>
      <c r="B304" s="1352"/>
      <c r="C304" s="1356" t="s">
        <v>1867</v>
      </c>
      <c r="D304" s="1205" t="s">
        <v>113</v>
      </c>
      <c r="E304" s="1378">
        <v>6</v>
      </c>
      <c r="F304" s="1263"/>
      <c r="G304" s="1263"/>
      <c r="H304" s="1349"/>
      <c r="I304" s="1263"/>
      <c r="J304" s="1264"/>
      <c r="K304" s="1263"/>
      <c r="L304" s="1263"/>
      <c r="M304" s="1263"/>
      <c r="N304" s="1265"/>
    </row>
    <row r="305" spans="1:14" s="1266" customFormat="1" ht="27">
      <c r="A305" s="1363">
        <v>3</v>
      </c>
      <c r="B305" s="1352"/>
      <c r="C305" s="1357" t="s">
        <v>1866</v>
      </c>
      <c r="D305" s="1205" t="s">
        <v>113</v>
      </c>
      <c r="E305" s="1378">
        <v>2</v>
      </c>
      <c r="F305" s="1263"/>
      <c r="G305" s="1263"/>
      <c r="H305" s="1349"/>
      <c r="I305" s="1263"/>
      <c r="J305" s="1264"/>
      <c r="K305" s="1263"/>
      <c r="L305" s="1263"/>
      <c r="M305" s="1263"/>
      <c r="N305" s="1265"/>
    </row>
    <row r="306" spans="1:14" s="1266" customFormat="1">
      <c r="A306" s="1363"/>
      <c r="B306" s="1261"/>
      <c r="C306" s="1320" t="s">
        <v>811</v>
      </c>
      <c r="D306" s="1355"/>
      <c r="E306" s="1379"/>
      <c r="F306" s="1263"/>
      <c r="G306" s="1263"/>
      <c r="H306" s="1263"/>
      <c r="I306" s="1263"/>
      <c r="J306" s="1264"/>
      <c r="K306" s="1263"/>
      <c r="L306" s="1263"/>
      <c r="M306" s="1265"/>
      <c r="N306" s="1265"/>
    </row>
    <row r="307" spans="1:14" s="1266" customFormat="1">
      <c r="A307" s="1363"/>
      <c r="B307" s="1261"/>
      <c r="C307" s="1320" t="s">
        <v>1859</v>
      </c>
      <c r="D307" s="1355"/>
      <c r="E307" s="1379"/>
      <c r="F307" s="1263"/>
      <c r="G307" s="1263"/>
      <c r="H307" s="1263"/>
      <c r="I307" s="1263"/>
      <c r="J307" s="1264"/>
      <c r="K307" s="1263"/>
      <c r="L307" s="1263"/>
      <c r="M307" s="1265"/>
      <c r="N307" s="1265"/>
    </row>
    <row r="308" spans="1:14" s="1266" customFormat="1" ht="16.5" customHeight="1">
      <c r="A308" s="1363"/>
      <c r="B308" s="1261"/>
      <c r="C308" s="1327" t="s">
        <v>1869</v>
      </c>
      <c r="D308" s="1358" t="s">
        <v>457</v>
      </c>
      <c r="E308" s="1380">
        <v>12</v>
      </c>
      <c r="F308" s="1263"/>
      <c r="G308" s="1263"/>
      <c r="H308" s="1263"/>
      <c r="I308" s="1263"/>
      <c r="J308" s="1264"/>
      <c r="K308" s="1263"/>
      <c r="L308" s="1263"/>
      <c r="M308" s="1265"/>
      <c r="N308" s="1265"/>
    </row>
    <row r="309" spans="1:14" s="1266" customFormat="1">
      <c r="A309" s="1363"/>
      <c r="B309" s="1261"/>
      <c r="C309" s="1327" t="s">
        <v>458</v>
      </c>
      <c r="D309" s="1358" t="s">
        <v>457</v>
      </c>
      <c r="E309" s="1380">
        <v>68</v>
      </c>
      <c r="F309" s="1263"/>
      <c r="G309" s="1353"/>
      <c r="H309" s="1353"/>
      <c r="I309" s="1353"/>
      <c r="J309" s="1353"/>
      <c r="K309" s="1353"/>
      <c r="L309" s="1353"/>
      <c r="M309" s="1265"/>
      <c r="N309" s="1265"/>
    </row>
    <row r="310" spans="1:14" s="1266" customFormat="1">
      <c r="A310" s="1363"/>
      <c r="B310" s="1261"/>
      <c r="C310" s="1320" t="s">
        <v>110</v>
      </c>
      <c r="D310" s="1355"/>
      <c r="E310" s="1379"/>
      <c r="F310" s="1263"/>
      <c r="G310" s="1353"/>
      <c r="H310" s="1353"/>
      <c r="I310" s="1353"/>
      <c r="J310" s="1353"/>
      <c r="K310" s="1353"/>
      <c r="L310" s="1353"/>
      <c r="M310" s="1265"/>
      <c r="N310" s="1265"/>
    </row>
    <row r="311" spans="1:14" s="1266" customFormat="1">
      <c r="A311" s="1363"/>
      <c r="B311" s="1261"/>
      <c r="C311" s="1330" t="s">
        <v>116</v>
      </c>
      <c r="D311" s="1358" t="s">
        <v>457</v>
      </c>
      <c r="E311" s="1380">
        <v>8</v>
      </c>
      <c r="F311" s="1263"/>
      <c r="G311" s="1353"/>
      <c r="H311" s="1353"/>
      <c r="I311" s="1353"/>
      <c r="J311" s="1353"/>
      <c r="K311" s="1353"/>
      <c r="L311" s="1353"/>
      <c r="M311" s="1265"/>
      <c r="N311" s="1265"/>
    </row>
    <row r="312" spans="1:14" s="1266" customFormat="1">
      <c r="A312" s="1363"/>
      <c r="B312" s="1261"/>
      <c r="C312" s="1320" t="s">
        <v>242</v>
      </c>
      <c r="D312" s="1355"/>
      <c r="E312" s="1379"/>
      <c r="F312" s="1263"/>
      <c r="G312" s="1351"/>
      <c r="H312" s="1351"/>
      <c r="I312" s="1351"/>
      <c r="J312" s="1351"/>
      <c r="K312" s="1351"/>
      <c r="L312" s="1351"/>
      <c r="M312" s="1265"/>
      <c r="N312" s="1265"/>
    </row>
    <row r="313" spans="1:14">
      <c r="A313" s="1363"/>
      <c r="B313" s="197"/>
      <c r="C313" s="194" t="s">
        <v>1872</v>
      </c>
      <c r="D313" s="27"/>
      <c r="E313" s="327"/>
      <c r="F313" s="326"/>
      <c r="G313" s="326"/>
      <c r="H313" s="326"/>
      <c r="I313" s="326"/>
      <c r="J313" s="659"/>
      <c r="K313" s="326"/>
      <c r="L313" s="683"/>
      <c r="M313" s="326"/>
      <c r="N313" s="322"/>
    </row>
    <row r="314" spans="1:14">
      <c r="A314" s="1363"/>
      <c r="B314" s="197"/>
      <c r="C314" s="34" t="s">
        <v>1508</v>
      </c>
      <c r="D314" s="27"/>
      <c r="E314" s="327"/>
      <c r="F314" s="326"/>
      <c r="G314" s="326"/>
      <c r="H314" s="326"/>
      <c r="I314" s="326"/>
      <c r="J314" s="659"/>
      <c r="K314" s="326"/>
      <c r="L314" s="326"/>
      <c r="M314" s="326"/>
      <c r="N314" s="322"/>
    </row>
    <row r="315" spans="1:14">
      <c r="A315" s="1363">
        <v>1</v>
      </c>
      <c r="B315" s="197"/>
      <c r="C315" s="1226" t="s">
        <v>1839</v>
      </c>
      <c r="D315" s="29" t="s">
        <v>124</v>
      </c>
      <c r="E315" s="455">
        <v>100</v>
      </c>
      <c r="F315" s="326"/>
      <c r="G315" s="326"/>
      <c r="H315" s="326"/>
      <c r="I315" s="326"/>
      <c r="J315" s="659"/>
      <c r="K315" s="326"/>
      <c r="L315" s="326"/>
      <c r="M315" s="326"/>
      <c r="N315" s="322"/>
    </row>
    <row r="316" spans="1:14">
      <c r="A316" s="1363">
        <v>2</v>
      </c>
      <c r="B316" s="197"/>
      <c r="C316" s="1226" t="s">
        <v>1838</v>
      </c>
      <c r="D316" s="27" t="s">
        <v>113</v>
      </c>
      <c r="E316" s="455">
        <v>30</v>
      </c>
      <c r="F316" s="326"/>
      <c r="G316" s="326"/>
      <c r="H316" s="326"/>
      <c r="I316" s="326"/>
      <c r="J316" s="659"/>
      <c r="K316" s="326"/>
      <c r="L316" s="326"/>
      <c r="M316" s="326"/>
      <c r="N316" s="322"/>
    </row>
    <row r="317" spans="1:14">
      <c r="A317" s="1363">
        <v>3</v>
      </c>
      <c r="B317" s="197"/>
      <c r="C317" s="36" t="s">
        <v>55</v>
      </c>
      <c r="D317" s="29" t="s">
        <v>124</v>
      </c>
      <c r="E317" s="455">
        <v>60</v>
      </c>
      <c r="F317" s="326"/>
      <c r="G317" s="326"/>
      <c r="H317" s="326"/>
      <c r="I317" s="326"/>
      <c r="J317" s="659"/>
      <c r="K317" s="326"/>
      <c r="L317" s="326"/>
      <c r="M317" s="326"/>
      <c r="N317" s="322"/>
    </row>
    <row r="318" spans="1:14" ht="27">
      <c r="A318" s="1363">
        <v>4</v>
      </c>
      <c r="B318" s="197"/>
      <c r="C318" s="28" t="s">
        <v>56</v>
      </c>
      <c r="D318" s="29" t="s">
        <v>124</v>
      </c>
      <c r="E318" s="455">
        <v>60</v>
      </c>
      <c r="F318" s="326"/>
      <c r="G318" s="326"/>
      <c r="H318" s="326"/>
      <c r="I318" s="326"/>
      <c r="J318" s="659"/>
      <c r="K318" s="326"/>
      <c r="L318" s="326"/>
      <c r="M318" s="326"/>
      <c r="N318" s="322"/>
    </row>
    <row r="319" spans="1:14">
      <c r="A319" s="1363">
        <v>5</v>
      </c>
      <c r="B319" s="197"/>
      <c r="C319" s="36" t="s">
        <v>125</v>
      </c>
      <c r="D319" s="27" t="s">
        <v>113</v>
      </c>
      <c r="E319" s="455">
        <v>50</v>
      </c>
      <c r="F319" s="326"/>
      <c r="G319" s="326"/>
      <c r="H319" s="326"/>
      <c r="I319" s="326"/>
      <c r="J319" s="659"/>
      <c r="K319" s="326"/>
      <c r="L319" s="326"/>
      <c r="M319" s="326"/>
      <c r="N319" s="322"/>
    </row>
    <row r="320" spans="1:14">
      <c r="A320" s="1363">
        <v>6</v>
      </c>
      <c r="B320" s="197"/>
      <c r="C320" s="28" t="s">
        <v>1</v>
      </c>
      <c r="D320" s="158" t="s">
        <v>4</v>
      </c>
      <c r="E320" s="455">
        <v>13</v>
      </c>
      <c r="F320" s="326"/>
      <c r="G320" s="326"/>
      <c r="H320" s="326"/>
      <c r="I320" s="326"/>
      <c r="J320" s="659"/>
      <c r="K320" s="326"/>
      <c r="L320" s="326"/>
      <c r="M320" s="326"/>
      <c r="N320" s="322"/>
    </row>
    <row r="321" spans="1:14" ht="27">
      <c r="A321" s="1363">
        <v>7</v>
      </c>
      <c r="B321" s="197"/>
      <c r="C321" s="159" t="s">
        <v>225</v>
      </c>
      <c r="D321" s="158" t="s">
        <v>4</v>
      </c>
      <c r="E321" s="455">
        <v>1</v>
      </c>
      <c r="F321" s="326"/>
      <c r="G321" s="326"/>
      <c r="H321" s="326"/>
      <c r="I321" s="326"/>
      <c r="J321" s="659"/>
      <c r="K321" s="326"/>
      <c r="L321" s="326"/>
      <c r="M321" s="326" t="s">
        <v>859</v>
      </c>
      <c r="N321" s="322"/>
    </row>
    <row r="322" spans="1:14">
      <c r="A322" s="1363">
        <v>8</v>
      </c>
      <c r="B322" s="197"/>
      <c r="C322" s="36" t="s">
        <v>2</v>
      </c>
      <c r="D322" s="27" t="s">
        <v>113</v>
      </c>
      <c r="E322" s="455">
        <v>13</v>
      </c>
      <c r="F322" s="326"/>
      <c r="G322" s="326"/>
      <c r="H322" s="326"/>
      <c r="I322" s="326"/>
      <c r="J322" s="659"/>
      <c r="K322" s="326"/>
      <c r="L322" s="326"/>
      <c r="M322" s="326"/>
      <c r="N322" s="322"/>
    </row>
    <row r="323" spans="1:14">
      <c r="A323" s="1363">
        <v>9</v>
      </c>
      <c r="B323" s="197"/>
      <c r="C323" s="28" t="s">
        <v>5</v>
      </c>
      <c r="D323" s="158" t="s">
        <v>4</v>
      </c>
      <c r="E323" s="455">
        <v>9</v>
      </c>
      <c r="F323" s="326"/>
      <c r="G323" s="326"/>
      <c r="H323" s="326"/>
      <c r="I323" s="326"/>
      <c r="J323" s="679"/>
      <c r="K323" s="326"/>
      <c r="L323" s="326"/>
      <c r="M323" s="326"/>
      <c r="N323" s="322"/>
    </row>
    <row r="324" spans="1:14" ht="27">
      <c r="A324" s="1363">
        <v>10</v>
      </c>
      <c r="B324" s="197"/>
      <c r="C324" s="28" t="s">
        <v>3</v>
      </c>
      <c r="D324" s="158" t="s">
        <v>4</v>
      </c>
      <c r="E324" s="455">
        <v>1</v>
      </c>
      <c r="F324" s="326"/>
      <c r="G324" s="326"/>
      <c r="H324" s="326"/>
      <c r="I324" s="326"/>
      <c r="J324" s="659"/>
      <c r="K324" s="326"/>
      <c r="L324" s="326"/>
      <c r="M324" s="326" t="s">
        <v>859</v>
      </c>
      <c r="N324" s="322"/>
    </row>
    <row r="325" spans="1:14" hidden="1">
      <c r="A325" s="197">
        <v>11</v>
      </c>
      <c r="B325" s="197"/>
      <c r="C325" s="159" t="s">
        <v>362</v>
      </c>
      <c r="D325" s="158" t="s">
        <v>4</v>
      </c>
      <c r="E325" s="123"/>
      <c r="F325" s="326"/>
      <c r="G325" s="326"/>
      <c r="H325" s="326"/>
      <c r="I325" s="326"/>
      <c r="J325" s="659"/>
      <c r="K325" s="326"/>
      <c r="L325" s="326"/>
      <c r="M325" s="326"/>
      <c r="N325" s="322"/>
    </row>
    <row r="326" spans="1:14">
      <c r="A326" s="1363">
        <v>11</v>
      </c>
      <c r="B326" s="197"/>
      <c r="C326" s="191" t="s">
        <v>861</v>
      </c>
      <c r="D326" s="27" t="s">
        <v>113</v>
      </c>
      <c r="E326" s="455">
        <v>10</v>
      </c>
      <c r="F326" s="326"/>
      <c r="G326" s="326"/>
      <c r="H326" s="326"/>
      <c r="I326" s="326"/>
      <c r="J326" s="659"/>
      <c r="K326" s="326"/>
      <c r="L326" s="326"/>
      <c r="M326" s="326"/>
      <c r="N326" s="322"/>
    </row>
    <row r="327" spans="1:14" s="672" customFormat="1" ht="27">
      <c r="A327" s="1363">
        <v>12</v>
      </c>
      <c r="B327" s="197"/>
      <c r="C327" s="28" t="s">
        <v>1504</v>
      </c>
      <c r="D327" s="27" t="s">
        <v>113</v>
      </c>
      <c r="E327" s="455">
        <v>6</v>
      </c>
      <c r="F327" s="326"/>
      <c r="G327" s="326"/>
      <c r="H327" s="326"/>
      <c r="I327" s="326"/>
      <c r="J327" s="659"/>
      <c r="K327" s="326"/>
      <c r="L327" s="326"/>
    </row>
    <row r="328" spans="1:14" hidden="1">
      <c r="A328" s="197"/>
      <c r="B328" s="197"/>
      <c r="C328" s="34" t="s">
        <v>490</v>
      </c>
      <c r="D328" s="27"/>
      <c r="E328" s="134"/>
      <c r="F328" s="326"/>
      <c r="G328" s="326"/>
      <c r="H328" s="326"/>
      <c r="I328" s="326"/>
      <c r="J328" s="659"/>
      <c r="K328" s="326"/>
      <c r="L328" s="326"/>
      <c r="M328" s="326"/>
      <c r="N328" s="322"/>
    </row>
    <row r="329" spans="1:14" hidden="1">
      <c r="A329" s="197">
        <v>1</v>
      </c>
      <c r="B329" s="197"/>
      <c r="C329" s="36" t="s">
        <v>1605</v>
      </c>
      <c r="D329" s="29" t="s">
        <v>124</v>
      </c>
      <c r="E329" s="123"/>
      <c r="F329" s="326"/>
      <c r="G329" s="326"/>
      <c r="H329" s="326"/>
      <c r="I329" s="326"/>
      <c r="J329" s="659"/>
      <c r="K329" s="326"/>
      <c r="L329" s="326"/>
      <c r="M329" s="326"/>
      <c r="N329" s="322"/>
    </row>
    <row r="330" spans="1:14" hidden="1">
      <c r="A330" s="197">
        <v>2</v>
      </c>
      <c r="B330" s="197"/>
      <c r="C330" s="36" t="s">
        <v>53</v>
      </c>
      <c r="D330" s="27" t="s">
        <v>113</v>
      </c>
      <c r="E330" s="123"/>
      <c r="F330" s="326"/>
      <c r="G330" s="326"/>
      <c r="H330" s="326"/>
      <c r="I330" s="326"/>
      <c r="J330" s="659"/>
      <c r="K330" s="326"/>
      <c r="L330" s="326"/>
      <c r="M330" s="326"/>
      <c r="N330" s="322"/>
    </row>
    <row r="331" spans="1:14" hidden="1">
      <c r="A331" s="197">
        <v>3</v>
      </c>
      <c r="B331" s="197"/>
      <c r="C331" s="36" t="s">
        <v>55</v>
      </c>
      <c r="D331" s="29" t="s">
        <v>124</v>
      </c>
      <c r="E331" s="123"/>
      <c r="F331" s="326"/>
      <c r="G331" s="326"/>
      <c r="H331" s="326"/>
      <c r="I331" s="326"/>
      <c r="J331" s="659"/>
      <c r="K331" s="326"/>
      <c r="L331" s="326"/>
      <c r="M331" s="326"/>
      <c r="N331" s="322"/>
    </row>
    <row r="332" spans="1:14" ht="27" hidden="1">
      <c r="A332" s="197">
        <v>4</v>
      </c>
      <c r="B332" s="197"/>
      <c r="C332" s="28" t="s">
        <v>56</v>
      </c>
      <c r="D332" s="29" t="s">
        <v>124</v>
      </c>
      <c r="E332" s="123"/>
      <c r="F332" s="326"/>
      <c r="G332" s="326"/>
      <c r="H332" s="326"/>
      <c r="I332" s="326"/>
      <c r="J332" s="659"/>
      <c r="K332" s="326"/>
      <c r="L332" s="326"/>
      <c r="M332" s="326"/>
      <c r="N332" s="322"/>
    </row>
    <row r="333" spans="1:14" hidden="1">
      <c r="A333" s="197">
        <v>5</v>
      </c>
      <c r="B333" s="197"/>
      <c r="C333" s="36" t="s">
        <v>125</v>
      </c>
      <c r="D333" s="27" t="s">
        <v>113</v>
      </c>
      <c r="E333" s="123"/>
      <c r="F333" s="326"/>
      <c r="G333" s="326"/>
      <c r="H333" s="326"/>
      <c r="I333" s="326"/>
      <c r="J333" s="659"/>
      <c r="K333" s="326"/>
      <c r="L333" s="326"/>
      <c r="M333" s="326"/>
      <c r="N333" s="322"/>
    </row>
    <row r="334" spans="1:14" hidden="1">
      <c r="A334" s="197">
        <v>6</v>
      </c>
      <c r="B334" s="197"/>
      <c r="C334" s="28" t="s">
        <v>1</v>
      </c>
      <c r="D334" s="158" t="s">
        <v>4</v>
      </c>
      <c r="E334" s="123"/>
      <c r="F334" s="326"/>
      <c r="G334" s="326"/>
      <c r="H334" s="326"/>
      <c r="I334" s="326"/>
      <c r="J334" s="659"/>
      <c r="K334" s="326"/>
      <c r="L334" s="326"/>
      <c r="M334" s="326"/>
      <c r="N334" s="322"/>
    </row>
    <row r="335" spans="1:14" ht="27" hidden="1">
      <c r="A335" s="197">
        <v>7</v>
      </c>
      <c r="B335" s="197"/>
      <c r="C335" s="159" t="s">
        <v>225</v>
      </c>
      <c r="D335" s="158" t="s">
        <v>4</v>
      </c>
      <c r="E335" s="123"/>
      <c r="F335" s="326"/>
      <c r="G335" s="326"/>
      <c r="H335" s="326"/>
      <c r="I335" s="326"/>
      <c r="J335" s="659"/>
      <c r="K335" s="326"/>
      <c r="L335" s="326"/>
      <c r="M335" s="326" t="s">
        <v>859</v>
      </c>
      <c r="N335" s="322"/>
    </row>
    <row r="336" spans="1:14" hidden="1">
      <c r="A336" s="197">
        <v>8</v>
      </c>
      <c r="B336" s="197"/>
      <c r="C336" s="36" t="s">
        <v>2</v>
      </c>
      <c r="D336" s="27" t="s">
        <v>113</v>
      </c>
      <c r="E336" s="123"/>
      <c r="F336" s="326"/>
      <c r="G336" s="326"/>
      <c r="H336" s="326"/>
      <c r="I336" s="326"/>
      <c r="J336" s="659"/>
      <c r="K336" s="326"/>
      <c r="L336" s="326"/>
      <c r="M336" s="326"/>
      <c r="N336" s="322"/>
    </row>
    <row r="337" spans="1:14" ht="27" hidden="1">
      <c r="A337" s="197">
        <v>9</v>
      </c>
      <c r="B337" s="197"/>
      <c r="C337" s="28" t="s">
        <v>3</v>
      </c>
      <c r="D337" s="158" t="s">
        <v>4</v>
      </c>
      <c r="E337" s="123"/>
      <c r="F337" s="326"/>
      <c r="G337" s="326"/>
      <c r="H337" s="326"/>
      <c r="I337" s="326"/>
      <c r="J337" s="659"/>
      <c r="K337" s="326"/>
      <c r="L337" s="326"/>
      <c r="M337" s="326" t="s">
        <v>859</v>
      </c>
      <c r="N337" s="322"/>
    </row>
    <row r="338" spans="1:14" hidden="1">
      <c r="A338" s="197">
        <v>10</v>
      </c>
      <c r="B338" s="197"/>
      <c r="C338" s="159" t="s">
        <v>362</v>
      </c>
      <c r="D338" s="158" t="s">
        <v>4</v>
      </c>
      <c r="E338" s="123"/>
      <c r="F338" s="326"/>
      <c r="G338" s="326"/>
      <c r="H338" s="326"/>
      <c r="I338" s="326"/>
      <c r="J338" s="659"/>
      <c r="K338" s="326"/>
      <c r="L338" s="326"/>
      <c r="M338" s="326"/>
      <c r="N338" s="322"/>
    </row>
    <row r="339" spans="1:14" hidden="1">
      <c r="A339" s="197">
        <v>11</v>
      </c>
      <c r="B339" s="197"/>
      <c r="C339" s="28" t="s">
        <v>5</v>
      </c>
      <c r="D339" s="158" t="s">
        <v>4</v>
      </c>
      <c r="E339" s="123"/>
      <c r="F339" s="326"/>
      <c r="G339" s="326"/>
      <c r="H339" s="326"/>
      <c r="I339" s="326"/>
      <c r="J339" s="659"/>
      <c r="K339" s="326"/>
      <c r="L339" s="326"/>
      <c r="M339" s="326"/>
      <c r="N339" s="322"/>
    </row>
    <row r="340" spans="1:14">
      <c r="A340" s="1363">
        <v>13</v>
      </c>
      <c r="B340" s="197"/>
      <c r="C340" s="28" t="s">
        <v>494</v>
      </c>
      <c r="D340" s="158" t="s">
        <v>4</v>
      </c>
      <c r="E340" s="455">
        <v>4</v>
      </c>
      <c r="F340" s="326"/>
      <c r="G340" s="326"/>
      <c r="H340" s="326"/>
      <c r="I340" s="326"/>
      <c r="J340" s="659"/>
      <c r="K340" s="326"/>
      <c r="L340" s="326"/>
      <c r="M340" s="326"/>
      <c r="N340" s="322"/>
    </row>
    <row r="341" spans="1:14" s="672" customFormat="1">
      <c r="A341" s="1363"/>
      <c r="B341" s="197"/>
      <c r="C341" s="1391" t="s">
        <v>1844</v>
      </c>
      <c r="D341" s="27"/>
      <c r="E341" s="327"/>
      <c r="F341" s="326"/>
      <c r="G341" s="326"/>
      <c r="H341" s="326"/>
      <c r="I341" s="326"/>
      <c r="J341" s="1223"/>
      <c r="K341" s="326"/>
      <c r="L341" s="326"/>
      <c r="M341" s="326"/>
      <c r="N341" s="323"/>
    </row>
    <row r="342" spans="1:14" s="672" customFormat="1">
      <c r="A342" s="1363"/>
      <c r="B342" s="197"/>
      <c r="C342" s="1392" t="s">
        <v>1845</v>
      </c>
      <c r="D342" s="158" t="s">
        <v>113</v>
      </c>
      <c r="E342" s="455">
        <v>8</v>
      </c>
      <c r="F342" s="326"/>
      <c r="G342" s="326"/>
      <c r="H342" s="326"/>
      <c r="I342" s="326"/>
      <c r="J342" s="1223"/>
      <c r="K342" s="326"/>
      <c r="L342" s="326"/>
      <c r="M342" s="326"/>
      <c r="N342" s="323"/>
    </row>
    <row r="343" spans="1:14" s="672" customFormat="1">
      <c r="A343" s="1363"/>
      <c r="B343" s="197"/>
      <c r="C343" s="1392" t="s">
        <v>1846</v>
      </c>
      <c r="D343" s="158" t="s">
        <v>113</v>
      </c>
      <c r="E343" s="455">
        <v>10</v>
      </c>
      <c r="F343" s="326"/>
      <c r="G343" s="326"/>
      <c r="H343" s="326"/>
      <c r="I343" s="326"/>
      <c r="J343" s="1223"/>
      <c r="K343" s="326"/>
      <c r="L343" s="326"/>
      <c r="M343" s="326"/>
      <c r="N343" s="323"/>
    </row>
    <row r="344" spans="1:14" s="672" customFormat="1" hidden="1">
      <c r="A344" s="197"/>
      <c r="B344" s="197"/>
      <c r="C344" s="1234" t="s">
        <v>1847</v>
      </c>
      <c r="D344" s="158" t="s">
        <v>113</v>
      </c>
      <c r="E344" s="123">
        <v>0</v>
      </c>
      <c r="F344" s="326"/>
      <c r="G344" s="326"/>
      <c r="H344" s="326"/>
      <c r="I344" s="326"/>
      <c r="J344" s="1223"/>
      <c r="K344" s="326"/>
      <c r="L344" s="326"/>
      <c r="M344" s="326"/>
      <c r="N344" s="323"/>
    </row>
    <row r="345" spans="1:14" s="672" customFormat="1">
      <c r="A345" s="1363"/>
      <c r="B345" s="197"/>
      <c r="C345" s="1392" t="s">
        <v>1848</v>
      </c>
      <c r="D345" s="158" t="s">
        <v>113</v>
      </c>
      <c r="E345" s="455">
        <v>8</v>
      </c>
      <c r="F345" s="326"/>
      <c r="G345" s="326"/>
      <c r="H345" s="326"/>
      <c r="I345" s="326"/>
      <c r="J345" s="1223"/>
      <c r="K345" s="326"/>
      <c r="L345" s="326"/>
      <c r="M345" s="326"/>
      <c r="N345" s="323"/>
    </row>
    <row r="346" spans="1:14" s="672" customFormat="1">
      <c r="A346" s="1363"/>
      <c r="B346" s="197"/>
      <c r="C346" s="1392" t="s">
        <v>1849</v>
      </c>
      <c r="D346" s="158" t="s">
        <v>113</v>
      </c>
      <c r="E346" s="455">
        <v>14</v>
      </c>
      <c r="F346" s="326"/>
      <c r="G346" s="326"/>
      <c r="H346" s="326"/>
      <c r="I346" s="326"/>
      <c r="J346" s="1223"/>
      <c r="K346" s="326"/>
      <c r="L346" s="326"/>
      <c r="M346" s="326"/>
      <c r="N346" s="323"/>
    </row>
    <row r="347" spans="1:14" s="672" customFormat="1" hidden="1">
      <c r="A347" s="197"/>
      <c r="B347" s="197"/>
      <c r="C347" s="1234" t="s">
        <v>1850</v>
      </c>
      <c r="D347" s="158" t="s">
        <v>113</v>
      </c>
      <c r="E347" s="123">
        <v>0</v>
      </c>
      <c r="F347" s="326"/>
      <c r="G347" s="326"/>
      <c r="H347" s="326"/>
      <c r="I347" s="326"/>
      <c r="J347" s="1223"/>
      <c r="K347" s="326"/>
      <c r="L347" s="326"/>
      <c r="M347" s="326"/>
      <c r="N347" s="323"/>
    </row>
    <row r="348" spans="1:14" s="672" customFormat="1">
      <c r="A348" s="1363"/>
      <c r="B348" s="197"/>
      <c r="C348" s="1392" t="s">
        <v>1851</v>
      </c>
      <c r="D348" s="158" t="s">
        <v>113</v>
      </c>
      <c r="E348" s="455">
        <v>10</v>
      </c>
      <c r="F348" s="326"/>
      <c r="G348" s="326"/>
      <c r="H348" s="326"/>
      <c r="I348" s="326"/>
      <c r="J348" s="1223"/>
      <c r="K348" s="326"/>
      <c r="L348" s="326"/>
      <c r="M348" s="326"/>
      <c r="N348" s="323"/>
    </row>
    <row r="349" spans="1:14" s="672" customFormat="1">
      <c r="A349" s="1363"/>
      <c r="B349" s="197"/>
      <c r="C349" s="1293" t="s">
        <v>1852</v>
      </c>
      <c r="D349" s="158" t="s">
        <v>113</v>
      </c>
      <c r="E349" s="455">
        <v>16</v>
      </c>
      <c r="F349" s="326"/>
      <c r="G349" s="326"/>
      <c r="H349" s="326"/>
      <c r="I349" s="326"/>
      <c r="J349" s="1223"/>
      <c r="K349" s="326"/>
      <c r="L349" s="326"/>
      <c r="M349" s="326"/>
      <c r="N349" s="323"/>
    </row>
    <row r="350" spans="1:14" hidden="1">
      <c r="A350" s="197">
        <v>13</v>
      </c>
      <c r="B350" s="197"/>
      <c r="C350" s="36" t="s">
        <v>861</v>
      </c>
      <c r="D350" s="27" t="s">
        <v>113</v>
      </c>
      <c r="E350" s="123"/>
      <c r="F350" s="326"/>
      <c r="G350" s="326"/>
      <c r="H350" s="326"/>
      <c r="I350" s="326"/>
      <c r="J350" s="659"/>
      <c r="K350" s="326"/>
      <c r="L350" s="326"/>
      <c r="M350" s="326"/>
      <c r="N350" s="322"/>
    </row>
    <row r="351" spans="1:14" hidden="1">
      <c r="A351" s="197"/>
      <c r="B351" s="197"/>
      <c r="C351" s="34" t="s">
        <v>628</v>
      </c>
      <c r="D351" s="29"/>
      <c r="E351" s="134"/>
      <c r="F351" s="326"/>
      <c r="G351" s="326"/>
      <c r="H351" s="326"/>
      <c r="I351" s="326"/>
      <c r="J351" s="659"/>
      <c r="K351" s="326"/>
      <c r="L351" s="326"/>
      <c r="M351" s="326" t="s">
        <v>860</v>
      </c>
      <c r="N351" s="322"/>
    </row>
    <row r="352" spans="1:14" hidden="1">
      <c r="A352" s="197">
        <v>1</v>
      </c>
      <c r="B352" s="197"/>
      <c r="C352" s="748" t="s">
        <v>705</v>
      </c>
      <c r="D352" s="29" t="s">
        <v>124</v>
      </c>
      <c r="E352" s="123"/>
      <c r="F352" s="326"/>
      <c r="G352" s="326"/>
      <c r="H352" s="326"/>
      <c r="I352" s="326"/>
      <c r="J352" s="659"/>
      <c r="K352" s="326"/>
      <c r="L352" s="326"/>
      <c r="M352" s="326"/>
      <c r="N352" s="322"/>
    </row>
    <row r="353" spans="1:14" hidden="1">
      <c r="A353" s="197">
        <v>2</v>
      </c>
      <c r="B353" s="197"/>
      <c r="C353" s="749" t="s">
        <v>1040</v>
      </c>
      <c r="D353" s="27" t="s">
        <v>113</v>
      </c>
      <c r="E353" s="123"/>
      <c r="F353" s="326"/>
      <c r="G353" s="326"/>
      <c r="H353" s="326"/>
      <c r="I353" s="326"/>
      <c r="J353" s="659"/>
      <c r="K353" s="326"/>
      <c r="L353" s="326"/>
      <c r="M353" s="326"/>
      <c r="N353" s="322"/>
    </row>
    <row r="354" spans="1:14" hidden="1">
      <c r="A354" s="197"/>
      <c r="B354" s="197"/>
      <c r="C354" s="749" t="s">
        <v>1041</v>
      </c>
      <c r="D354" s="29" t="s">
        <v>124</v>
      </c>
      <c r="E354" s="123"/>
      <c r="F354" s="326"/>
      <c r="G354" s="326"/>
      <c r="H354" s="326"/>
      <c r="I354" s="326"/>
      <c r="J354" s="659"/>
      <c r="K354" s="326"/>
      <c r="L354" s="326"/>
      <c r="M354" s="326"/>
      <c r="N354" s="322"/>
    </row>
    <row r="355" spans="1:14" hidden="1">
      <c r="A355" s="197"/>
      <c r="B355" s="197"/>
      <c r="C355" s="26" t="s">
        <v>765</v>
      </c>
      <c r="D355" s="48" t="s">
        <v>638</v>
      </c>
      <c r="E355" s="123"/>
      <c r="F355" s="326"/>
      <c r="G355" s="326"/>
      <c r="H355" s="326"/>
      <c r="I355" s="326"/>
      <c r="J355" s="659"/>
      <c r="K355" s="326"/>
      <c r="L355" s="326"/>
      <c r="M355" s="326"/>
      <c r="N355" s="322"/>
    </row>
    <row r="356" spans="1:14" hidden="1">
      <c r="A356" s="197">
        <v>3</v>
      </c>
      <c r="B356" s="197"/>
      <c r="C356" s="750" t="s">
        <v>1046</v>
      </c>
      <c r="D356" s="777" t="s">
        <v>638</v>
      </c>
      <c r="E356" s="123"/>
      <c r="F356" s="326"/>
      <c r="G356" s="326"/>
      <c r="H356" s="326"/>
      <c r="I356" s="326"/>
      <c r="J356" s="659"/>
      <c r="K356" s="326"/>
      <c r="L356" s="326"/>
      <c r="M356" s="326"/>
      <c r="N356" s="322"/>
    </row>
    <row r="357" spans="1:14" hidden="1">
      <c r="A357" s="197">
        <v>4</v>
      </c>
      <c r="B357" s="197"/>
      <c r="C357" s="748" t="s">
        <v>704</v>
      </c>
      <c r="D357" s="27" t="s">
        <v>113</v>
      </c>
      <c r="E357" s="123"/>
      <c r="F357" s="326"/>
      <c r="G357" s="326"/>
      <c r="H357" s="326"/>
      <c r="I357" s="326"/>
      <c r="J357" s="659"/>
      <c r="K357" s="326"/>
      <c r="L357" s="326"/>
      <c r="M357" s="326"/>
      <c r="N357" s="322"/>
    </row>
    <row r="358" spans="1:14" hidden="1">
      <c r="A358" s="197">
        <v>5</v>
      </c>
      <c r="B358" s="197"/>
      <c r="C358" s="748" t="s">
        <v>767</v>
      </c>
      <c r="D358" s="29" t="s">
        <v>124</v>
      </c>
      <c r="E358" s="123"/>
      <c r="F358" s="326"/>
      <c r="G358" s="326"/>
      <c r="H358" s="326"/>
      <c r="I358" s="326"/>
      <c r="J358" s="659"/>
      <c r="K358" s="326"/>
      <c r="L358" s="326"/>
      <c r="M358" s="326"/>
      <c r="N358" s="322"/>
    </row>
    <row r="359" spans="1:14" hidden="1">
      <c r="A359" s="197">
        <v>6</v>
      </c>
      <c r="B359" s="197"/>
      <c r="C359" s="748" t="s">
        <v>768</v>
      </c>
      <c r="D359" s="29" t="s">
        <v>124</v>
      </c>
      <c r="E359" s="123"/>
      <c r="F359" s="326"/>
      <c r="G359" s="326"/>
      <c r="H359" s="326"/>
      <c r="I359" s="326"/>
      <c r="J359" s="659"/>
      <c r="K359" s="326"/>
      <c r="L359" s="326"/>
      <c r="M359" s="326"/>
      <c r="N359" s="322"/>
    </row>
    <row r="360" spans="1:14" hidden="1">
      <c r="A360" s="197">
        <v>7</v>
      </c>
      <c r="B360" s="197"/>
      <c r="C360" s="748" t="s">
        <v>769</v>
      </c>
      <c r="D360" s="29" t="s">
        <v>124</v>
      </c>
      <c r="E360" s="123"/>
      <c r="F360" s="326"/>
      <c r="G360" s="326"/>
      <c r="H360" s="326"/>
      <c r="I360" s="326"/>
      <c r="J360" s="659"/>
      <c r="K360" s="326"/>
      <c r="L360" s="326"/>
      <c r="M360" s="326"/>
      <c r="N360" s="322"/>
    </row>
    <row r="361" spans="1:14" hidden="1">
      <c r="A361" s="197">
        <v>8</v>
      </c>
      <c r="B361" s="197"/>
      <c r="C361" s="748" t="s">
        <v>909</v>
      </c>
      <c r="D361" s="29" t="s">
        <v>124</v>
      </c>
      <c r="E361" s="123"/>
      <c r="F361" s="326"/>
      <c r="G361" s="326"/>
      <c r="H361" s="326"/>
      <c r="I361" s="326"/>
      <c r="J361" s="659"/>
      <c r="K361" s="326"/>
      <c r="L361" s="326"/>
      <c r="M361" s="326"/>
      <c r="N361" s="322"/>
    </row>
    <row r="362" spans="1:14" hidden="1">
      <c r="A362" s="197">
        <v>9</v>
      </c>
      <c r="B362" s="197"/>
      <c r="C362" s="748" t="s">
        <v>1264</v>
      </c>
      <c r="D362" s="29" t="s">
        <v>124</v>
      </c>
      <c r="E362" s="123"/>
      <c r="F362" s="326"/>
      <c r="G362" s="326"/>
      <c r="H362" s="326"/>
      <c r="I362" s="326"/>
      <c r="J362" s="659"/>
      <c r="K362" s="326"/>
      <c r="L362" s="326"/>
      <c r="M362" s="326"/>
      <c r="N362" s="322"/>
    </row>
    <row r="363" spans="1:14" hidden="1">
      <c r="A363" s="197">
        <v>10</v>
      </c>
      <c r="B363" s="197"/>
      <c r="C363" s="748" t="s">
        <v>1265</v>
      </c>
      <c r="D363" s="29" t="s">
        <v>124</v>
      </c>
      <c r="E363" s="123"/>
      <c r="F363" s="326"/>
      <c r="G363" s="326"/>
      <c r="H363" s="326"/>
      <c r="I363" s="326"/>
      <c r="J363" s="659"/>
      <c r="K363" s="326"/>
      <c r="L363" s="326"/>
      <c r="M363" s="326"/>
      <c r="N363" s="322"/>
    </row>
    <row r="364" spans="1:14" hidden="1">
      <c r="A364" s="197">
        <v>11</v>
      </c>
      <c r="B364" s="197"/>
      <c r="C364" s="748" t="s">
        <v>1266</v>
      </c>
      <c r="D364" s="29" t="s">
        <v>124</v>
      </c>
      <c r="E364" s="123"/>
      <c r="F364" s="326"/>
      <c r="G364" s="326"/>
      <c r="H364" s="326"/>
      <c r="I364" s="326"/>
      <c r="J364" s="659"/>
      <c r="K364" s="326"/>
      <c r="L364" s="326"/>
      <c r="M364" s="326"/>
      <c r="N364" s="322"/>
    </row>
    <row r="365" spans="1:14" hidden="1">
      <c r="A365" s="197">
        <v>12</v>
      </c>
      <c r="B365" s="197"/>
      <c r="C365" s="751" t="s">
        <v>771</v>
      </c>
      <c r="D365" s="24" t="s">
        <v>113</v>
      </c>
      <c r="E365" s="123"/>
      <c r="F365" s="326"/>
      <c r="G365" s="326"/>
      <c r="H365" s="326"/>
      <c r="I365" s="326"/>
      <c r="J365" s="659"/>
      <c r="K365" s="326"/>
      <c r="L365" s="326"/>
      <c r="M365" s="326"/>
      <c r="N365" s="322"/>
    </row>
    <row r="366" spans="1:14" hidden="1">
      <c r="A366" s="197">
        <v>13</v>
      </c>
      <c r="B366" s="197"/>
      <c r="C366" s="260" t="s">
        <v>772</v>
      </c>
      <c r="D366" s="24" t="s">
        <v>113</v>
      </c>
      <c r="E366" s="123"/>
      <c r="F366" s="326"/>
      <c r="G366" s="326"/>
      <c r="H366" s="326"/>
      <c r="I366" s="326"/>
      <c r="J366" s="659"/>
      <c r="K366" s="326"/>
      <c r="L366" s="326"/>
      <c r="M366" s="326"/>
      <c r="N366" s="322"/>
    </row>
    <row r="367" spans="1:14" hidden="1">
      <c r="A367" s="197">
        <v>14</v>
      </c>
      <c r="B367" s="197"/>
      <c r="C367" s="260" t="s">
        <v>773</v>
      </c>
      <c r="D367" s="24" t="s">
        <v>113</v>
      </c>
      <c r="E367" s="123"/>
      <c r="F367" s="326"/>
      <c r="G367" s="326"/>
      <c r="H367" s="326"/>
      <c r="I367" s="326"/>
      <c r="J367" s="659"/>
      <c r="K367" s="326"/>
      <c r="L367" s="326"/>
      <c r="M367" s="326"/>
      <c r="N367" s="322"/>
    </row>
    <row r="368" spans="1:14" hidden="1">
      <c r="A368" s="197">
        <v>15</v>
      </c>
      <c r="B368" s="197"/>
      <c r="C368" s="751" t="s">
        <v>774</v>
      </c>
      <c r="D368" s="24" t="s">
        <v>113</v>
      </c>
      <c r="E368" s="123"/>
      <c r="F368" s="326"/>
      <c r="G368" s="326"/>
      <c r="H368" s="326"/>
      <c r="I368" s="326"/>
      <c r="J368" s="659"/>
      <c r="K368" s="326"/>
      <c r="L368" s="326"/>
      <c r="M368" s="326"/>
      <c r="N368" s="322"/>
    </row>
    <row r="369" spans="1:18" hidden="1">
      <c r="A369" s="197">
        <v>16</v>
      </c>
      <c r="B369" s="197"/>
      <c r="C369" s="260" t="s">
        <v>775</v>
      </c>
      <c r="D369" s="24" t="s">
        <v>113</v>
      </c>
      <c r="E369" s="123"/>
      <c r="F369" s="326"/>
      <c r="G369" s="326"/>
      <c r="H369" s="326"/>
      <c r="I369" s="326"/>
      <c r="J369" s="659"/>
      <c r="K369" s="326"/>
      <c r="L369" s="326"/>
      <c r="M369" s="326"/>
      <c r="N369" s="322"/>
    </row>
    <row r="370" spans="1:18" hidden="1">
      <c r="A370" s="197">
        <v>17</v>
      </c>
      <c r="B370" s="197"/>
      <c r="C370" s="260" t="s">
        <v>776</v>
      </c>
      <c r="D370" s="24" t="s">
        <v>113</v>
      </c>
      <c r="E370" s="123"/>
      <c r="F370" s="326"/>
      <c r="G370" s="326"/>
      <c r="H370" s="326"/>
      <c r="I370" s="326"/>
      <c r="J370" s="659"/>
      <c r="K370" s="326"/>
      <c r="L370" s="326"/>
      <c r="M370" s="326"/>
      <c r="N370" s="322"/>
    </row>
    <row r="371" spans="1:18" s="672" customFormat="1" hidden="1">
      <c r="A371" s="197">
        <v>18</v>
      </c>
      <c r="B371" s="197"/>
      <c r="C371" s="260" t="s">
        <v>942</v>
      </c>
      <c r="D371" s="24" t="s">
        <v>113</v>
      </c>
      <c r="E371" s="123"/>
      <c r="F371" s="326"/>
      <c r="G371" s="326"/>
      <c r="H371" s="326"/>
      <c r="I371" s="326"/>
      <c r="J371" s="659"/>
      <c r="K371" s="326"/>
      <c r="L371" s="326"/>
      <c r="M371" s="326"/>
      <c r="N371" s="323"/>
    </row>
    <row r="372" spans="1:18" hidden="1">
      <c r="A372" s="197">
        <v>19</v>
      </c>
      <c r="B372" s="197"/>
      <c r="C372" s="748" t="s">
        <v>706</v>
      </c>
      <c r="D372" s="27" t="s">
        <v>113</v>
      </c>
      <c r="E372" s="123"/>
      <c r="F372" s="326"/>
      <c r="G372" s="326"/>
      <c r="H372" s="326"/>
      <c r="I372" s="326"/>
      <c r="J372" s="659"/>
      <c r="K372" s="326"/>
      <c r="L372" s="326"/>
      <c r="M372" s="326"/>
      <c r="N372" s="322"/>
    </row>
    <row r="373" spans="1:18" hidden="1">
      <c r="A373" s="197">
        <v>20</v>
      </c>
      <c r="B373" s="197"/>
      <c r="C373" s="748" t="s">
        <v>1274</v>
      </c>
      <c r="D373" s="27" t="s">
        <v>113</v>
      </c>
      <c r="E373" s="123"/>
      <c r="F373" s="326"/>
      <c r="G373" s="326"/>
      <c r="H373" s="326"/>
      <c r="I373" s="326"/>
      <c r="J373" s="659"/>
      <c r="K373" s="326"/>
      <c r="L373" s="326"/>
      <c r="M373" s="326"/>
      <c r="N373" s="322"/>
    </row>
    <row r="374" spans="1:18" hidden="1">
      <c r="A374" s="197">
        <v>21</v>
      </c>
      <c r="B374" s="197"/>
      <c r="C374" s="748" t="s">
        <v>764</v>
      </c>
      <c r="D374" s="27" t="s">
        <v>113</v>
      </c>
      <c r="E374" s="123"/>
      <c r="F374" s="326"/>
      <c r="G374" s="326"/>
      <c r="H374" s="326"/>
      <c r="I374" s="326"/>
      <c r="J374" s="659"/>
      <c r="K374" s="326"/>
      <c r="L374" s="326"/>
      <c r="M374" s="326"/>
      <c r="N374" s="322"/>
      <c r="R374" s="672"/>
    </row>
    <row r="375" spans="1:18" ht="27" hidden="1">
      <c r="A375" s="197">
        <v>22</v>
      </c>
      <c r="B375" s="197"/>
      <c r="C375" s="752" t="s">
        <v>701</v>
      </c>
      <c r="D375" s="24" t="s">
        <v>437</v>
      </c>
      <c r="E375" s="123"/>
      <c r="F375" s="326"/>
      <c r="G375" s="326"/>
      <c r="H375" s="326"/>
      <c r="I375" s="326"/>
      <c r="J375" s="659"/>
      <c r="K375" s="326"/>
      <c r="L375" s="326"/>
      <c r="M375" s="326"/>
      <c r="N375" s="322"/>
      <c r="R375" s="672"/>
    </row>
    <row r="376" spans="1:18" hidden="1">
      <c r="A376" s="197">
        <v>23</v>
      </c>
      <c r="B376" s="197"/>
      <c r="C376" s="753" t="s">
        <v>703</v>
      </c>
      <c r="D376" s="777" t="s">
        <v>684</v>
      </c>
      <c r="E376" s="123"/>
      <c r="F376" s="326"/>
      <c r="G376" s="326"/>
      <c r="H376" s="326"/>
      <c r="I376" s="326"/>
      <c r="J376" s="659"/>
      <c r="K376" s="326"/>
      <c r="L376" s="326"/>
      <c r="M376" s="326"/>
      <c r="N376" s="322"/>
    </row>
    <row r="377" spans="1:18">
      <c r="A377" s="1363"/>
      <c r="B377" s="197"/>
      <c r="C377" s="30" t="s">
        <v>811</v>
      </c>
      <c r="D377" s="27"/>
      <c r="E377" s="327"/>
      <c r="F377" s="326"/>
      <c r="G377" s="326"/>
      <c r="H377" s="326"/>
      <c r="I377" s="326"/>
      <c r="J377" s="659"/>
      <c r="K377" s="326"/>
      <c r="L377" s="326"/>
      <c r="M377" s="323"/>
      <c r="N377" s="322"/>
    </row>
    <row r="378" spans="1:18">
      <c r="A378" s="1363"/>
      <c r="B378" s="197"/>
      <c r="C378" s="32" t="s">
        <v>115</v>
      </c>
      <c r="D378" s="320" t="s">
        <v>457</v>
      </c>
      <c r="E378" s="685">
        <v>12</v>
      </c>
      <c r="F378" s="326"/>
      <c r="G378" s="674"/>
      <c r="H378" s="674"/>
      <c r="I378" s="674"/>
      <c r="J378" s="674"/>
      <c r="K378" s="674"/>
      <c r="L378" s="674"/>
      <c r="M378" s="323"/>
      <c r="N378" s="322"/>
    </row>
    <row r="379" spans="1:18">
      <c r="A379" s="1363"/>
      <c r="B379" s="197"/>
      <c r="C379" s="30" t="s">
        <v>110</v>
      </c>
      <c r="D379" s="27"/>
      <c r="E379" s="327"/>
      <c r="F379" s="326"/>
      <c r="G379" s="674"/>
      <c r="H379" s="674"/>
      <c r="I379" s="674"/>
      <c r="J379" s="674"/>
      <c r="K379" s="674"/>
      <c r="L379" s="674"/>
      <c r="M379" s="323"/>
      <c r="N379" s="322"/>
    </row>
    <row r="380" spans="1:18">
      <c r="A380" s="1363"/>
      <c r="B380" s="197"/>
      <c r="C380" s="33" t="s">
        <v>116</v>
      </c>
      <c r="D380" s="320" t="s">
        <v>457</v>
      </c>
      <c r="E380" s="685">
        <v>8</v>
      </c>
      <c r="F380" s="326"/>
      <c r="G380" s="674"/>
      <c r="H380" s="674"/>
      <c r="I380" s="674"/>
      <c r="J380" s="674"/>
      <c r="K380" s="674"/>
      <c r="L380" s="674"/>
      <c r="M380" s="323"/>
      <c r="N380" s="322"/>
    </row>
    <row r="381" spans="1:18">
      <c r="A381" s="1363"/>
      <c r="B381" s="197"/>
      <c r="C381" s="30" t="s">
        <v>504</v>
      </c>
      <c r="D381" s="27"/>
      <c r="E381" s="327"/>
      <c r="F381" s="326"/>
      <c r="G381" s="685"/>
      <c r="H381" s="685"/>
      <c r="I381" s="685"/>
      <c r="J381" s="685"/>
      <c r="K381" s="685"/>
      <c r="L381" s="685"/>
      <c r="M381" s="323"/>
      <c r="N381" s="322"/>
    </row>
    <row r="382" spans="1:18" hidden="1">
      <c r="A382" s="197"/>
      <c r="B382" s="197"/>
      <c r="C382" s="206" t="s">
        <v>1340</v>
      </c>
      <c r="D382" s="27"/>
      <c r="E382" s="134"/>
      <c r="F382" s="326"/>
      <c r="G382" s="685"/>
      <c r="H382" s="685"/>
      <c r="I382" s="685"/>
      <c r="J382" s="685"/>
      <c r="K382" s="685"/>
      <c r="L382" s="685"/>
      <c r="M382" s="323"/>
      <c r="N382" s="322"/>
    </row>
    <row r="383" spans="1:18" ht="27" hidden="1">
      <c r="A383" s="197">
        <v>1</v>
      </c>
      <c r="B383" s="197"/>
      <c r="C383" s="28" t="s">
        <v>1132</v>
      </c>
      <c r="D383" s="24" t="s">
        <v>437</v>
      </c>
      <c r="E383" s="123"/>
      <c r="F383" s="326"/>
      <c r="G383" s="685"/>
      <c r="H383" s="685"/>
      <c r="I383" s="685"/>
      <c r="J383" s="685"/>
      <c r="K383" s="685"/>
      <c r="L383" s="685"/>
      <c r="M383" s="323"/>
      <c r="N383" s="322"/>
    </row>
    <row r="384" spans="1:18" hidden="1">
      <c r="A384" s="197">
        <v>2</v>
      </c>
      <c r="B384" s="197"/>
      <c r="C384" s="28" t="s">
        <v>1135</v>
      </c>
      <c r="D384" s="24" t="s">
        <v>437</v>
      </c>
      <c r="E384" s="123"/>
      <c r="F384" s="326"/>
      <c r="G384" s="685"/>
      <c r="H384" s="685"/>
      <c r="I384" s="685"/>
      <c r="J384" s="685"/>
      <c r="K384" s="685"/>
      <c r="L384" s="685"/>
      <c r="M384" s="323"/>
      <c r="N384" s="322"/>
    </row>
    <row r="385" spans="1:14" hidden="1">
      <c r="A385" s="197"/>
      <c r="B385" s="197"/>
      <c r="C385" s="28" t="s">
        <v>433</v>
      </c>
      <c r="D385" s="24" t="s">
        <v>437</v>
      </c>
      <c r="E385" s="123"/>
      <c r="F385" s="326"/>
      <c r="G385" s="685"/>
      <c r="H385" s="685"/>
      <c r="I385" s="685"/>
      <c r="J385" s="685"/>
      <c r="K385" s="685"/>
      <c r="L385" s="685"/>
      <c r="M385" s="323"/>
      <c r="N385" s="322"/>
    </row>
    <row r="386" spans="1:14" hidden="1">
      <c r="A386" s="197">
        <v>3</v>
      </c>
      <c r="B386" s="197"/>
      <c r="C386" s="28" t="s">
        <v>1136</v>
      </c>
      <c r="D386" s="24" t="s">
        <v>437</v>
      </c>
      <c r="E386" s="123"/>
      <c r="F386" s="326"/>
      <c r="G386" s="685"/>
      <c r="H386" s="685"/>
      <c r="I386" s="685"/>
      <c r="J386" s="685"/>
      <c r="K386" s="685"/>
      <c r="L386" s="685"/>
      <c r="M386" s="323"/>
      <c r="N386" s="322"/>
    </row>
    <row r="387" spans="1:14" hidden="1">
      <c r="A387" s="197">
        <v>4</v>
      </c>
      <c r="B387" s="197"/>
      <c r="C387" s="420" t="s">
        <v>1137</v>
      </c>
      <c r="D387" s="24" t="s">
        <v>437</v>
      </c>
      <c r="E387" s="123"/>
      <c r="F387" s="326"/>
      <c r="G387" s="685"/>
      <c r="H387" s="685"/>
      <c r="I387" s="685"/>
      <c r="J387" s="685"/>
      <c r="K387" s="685"/>
      <c r="L387" s="685"/>
      <c r="M387" s="323"/>
      <c r="N387" s="322"/>
    </row>
    <row r="388" spans="1:14" hidden="1">
      <c r="A388" s="197">
        <v>5</v>
      </c>
      <c r="B388" s="197"/>
      <c r="C388" s="227" t="s">
        <v>499</v>
      </c>
      <c r="D388" s="24" t="s">
        <v>437</v>
      </c>
      <c r="E388" s="123"/>
      <c r="F388" s="326"/>
      <c r="G388" s="685"/>
      <c r="H388" s="685"/>
      <c r="I388" s="685"/>
      <c r="J388" s="685"/>
      <c r="K388" s="685"/>
      <c r="L388" s="685"/>
      <c r="M388" s="323"/>
      <c r="N388" s="322"/>
    </row>
    <row r="389" spans="1:14" hidden="1">
      <c r="A389" s="197">
        <v>6</v>
      </c>
      <c r="B389" s="197"/>
      <c r="C389" s="127" t="s">
        <v>1530</v>
      </c>
      <c r="D389" s="24" t="s">
        <v>437</v>
      </c>
      <c r="E389" s="123"/>
      <c r="F389" s="326"/>
      <c r="G389" s="685"/>
      <c r="H389" s="685"/>
      <c r="I389" s="685"/>
      <c r="J389" s="685"/>
      <c r="K389" s="685"/>
      <c r="L389" s="685"/>
      <c r="M389" s="323"/>
      <c r="N389" s="322"/>
    </row>
    <row r="390" spans="1:14" hidden="1">
      <c r="A390" s="197">
        <v>7</v>
      </c>
      <c r="B390" s="197"/>
      <c r="C390" s="127" t="s">
        <v>1409</v>
      </c>
      <c r="D390" s="24" t="s">
        <v>437</v>
      </c>
      <c r="E390" s="123"/>
      <c r="F390" s="326"/>
      <c r="G390" s="685"/>
      <c r="H390" s="685"/>
      <c r="I390" s="685"/>
      <c r="J390" s="685"/>
      <c r="K390" s="685"/>
      <c r="L390" s="685"/>
      <c r="M390" s="323"/>
      <c r="N390" s="322"/>
    </row>
    <row r="391" spans="1:14" hidden="1">
      <c r="A391" s="197">
        <v>8</v>
      </c>
      <c r="B391" s="197"/>
      <c r="C391" s="127" t="s">
        <v>1410</v>
      </c>
      <c r="D391" s="24" t="s">
        <v>437</v>
      </c>
      <c r="E391" s="123"/>
      <c r="F391" s="326"/>
      <c r="G391" s="685"/>
      <c r="H391" s="685"/>
      <c r="I391" s="685"/>
      <c r="J391" s="685"/>
      <c r="K391" s="685"/>
      <c r="L391" s="685"/>
      <c r="M391" s="323"/>
      <c r="N391" s="322"/>
    </row>
    <row r="392" spans="1:14" hidden="1">
      <c r="A392" s="197">
        <v>9</v>
      </c>
      <c r="B392" s="197"/>
      <c r="C392" s="329" t="s">
        <v>1411</v>
      </c>
      <c r="D392" s="24" t="s">
        <v>437</v>
      </c>
      <c r="E392" s="123"/>
      <c r="F392" s="326"/>
      <c r="G392" s="685"/>
      <c r="H392" s="685"/>
      <c r="I392" s="685"/>
      <c r="J392" s="685"/>
      <c r="K392" s="685"/>
      <c r="L392" s="685"/>
      <c r="M392" s="323"/>
      <c r="N392" s="322"/>
    </row>
    <row r="393" spans="1:14" hidden="1">
      <c r="A393" s="197">
        <v>10</v>
      </c>
      <c r="B393" s="197"/>
      <c r="C393" s="127" t="s">
        <v>1339</v>
      </c>
      <c r="D393" s="27" t="s">
        <v>437</v>
      </c>
      <c r="E393" s="123"/>
      <c r="F393" s="326"/>
      <c r="G393" s="685"/>
      <c r="H393" s="685"/>
      <c r="I393" s="685"/>
      <c r="J393" s="685"/>
      <c r="K393" s="685"/>
      <c r="L393" s="685"/>
      <c r="M393" s="323"/>
      <c r="N393" s="322"/>
    </row>
    <row r="394" spans="1:14" hidden="1">
      <c r="A394" s="197">
        <v>11</v>
      </c>
      <c r="B394" s="197"/>
      <c r="C394" s="128" t="s">
        <v>1380</v>
      </c>
      <c r="D394" s="98" t="s">
        <v>122</v>
      </c>
      <c r="E394" s="123"/>
      <c r="F394" s="326"/>
      <c r="G394" s="685"/>
      <c r="H394" s="685"/>
      <c r="I394" s="685"/>
      <c r="J394" s="685"/>
      <c r="K394" s="685"/>
      <c r="L394" s="685"/>
      <c r="M394" s="323"/>
      <c r="N394" s="322"/>
    </row>
    <row r="395" spans="1:14" hidden="1">
      <c r="A395" s="197">
        <v>12</v>
      </c>
      <c r="B395" s="197"/>
      <c r="C395" s="128" t="s">
        <v>1412</v>
      </c>
      <c r="D395" s="486" t="s">
        <v>122</v>
      </c>
      <c r="E395" s="123"/>
      <c r="F395" s="326"/>
      <c r="G395" s="685"/>
      <c r="H395" s="685"/>
      <c r="I395" s="685"/>
      <c r="J395" s="685"/>
      <c r="K395" s="685"/>
      <c r="L395" s="685"/>
      <c r="M395" s="323"/>
      <c r="N395" s="322"/>
    </row>
    <row r="396" spans="1:14" ht="40.5" hidden="1">
      <c r="A396" s="197">
        <v>13</v>
      </c>
      <c r="B396" s="197"/>
      <c r="C396" s="127" t="s">
        <v>1413</v>
      </c>
      <c r="D396" s="27" t="s">
        <v>113</v>
      </c>
      <c r="E396" s="123">
        <v>0</v>
      </c>
      <c r="F396" s="326"/>
      <c r="G396" s="685"/>
      <c r="H396" s="685"/>
      <c r="I396" s="685"/>
      <c r="J396" s="685"/>
      <c r="K396" s="685"/>
      <c r="L396" s="685"/>
      <c r="M396" s="323"/>
      <c r="N396" s="322"/>
    </row>
    <row r="397" spans="1:14" hidden="1">
      <c r="A397" s="197">
        <v>14</v>
      </c>
      <c r="B397" s="197"/>
      <c r="C397" s="128" t="s">
        <v>1349</v>
      </c>
      <c r="D397" s="27" t="s">
        <v>113</v>
      </c>
      <c r="E397" s="123"/>
      <c r="F397" s="326"/>
      <c r="G397" s="685"/>
      <c r="H397" s="685"/>
      <c r="I397" s="685"/>
      <c r="J397" s="685"/>
      <c r="K397" s="685"/>
      <c r="L397" s="685"/>
      <c r="M397" s="323"/>
      <c r="N397" s="322"/>
    </row>
    <row r="398" spans="1:14" hidden="1">
      <c r="A398" s="197">
        <v>15</v>
      </c>
      <c r="B398" s="197"/>
      <c r="C398" s="128" t="s">
        <v>1355</v>
      </c>
      <c r="D398" s="27" t="s">
        <v>113</v>
      </c>
      <c r="E398" s="123"/>
      <c r="F398" s="326"/>
      <c r="G398" s="685"/>
      <c r="H398" s="685"/>
      <c r="I398" s="685"/>
      <c r="J398" s="685"/>
      <c r="K398" s="685"/>
      <c r="L398" s="685"/>
      <c r="M398" s="323"/>
      <c r="N398" s="322"/>
    </row>
    <row r="399" spans="1:14" hidden="1">
      <c r="A399" s="197">
        <v>16</v>
      </c>
      <c r="B399" s="197"/>
      <c r="C399" s="845" t="s">
        <v>1414</v>
      </c>
      <c r="D399" s="98" t="s">
        <v>1365</v>
      </c>
      <c r="E399" s="123"/>
      <c r="F399" s="326"/>
      <c r="G399" s="685"/>
      <c r="H399" s="685"/>
      <c r="I399" s="685"/>
      <c r="J399" s="685"/>
      <c r="K399" s="685"/>
      <c r="L399" s="685"/>
      <c r="M399" s="323"/>
      <c r="N399" s="322"/>
    </row>
    <row r="400" spans="1:14" hidden="1">
      <c r="A400" s="197">
        <v>17</v>
      </c>
      <c r="B400" s="197"/>
      <c r="C400" s="432" t="s">
        <v>1163</v>
      </c>
      <c r="D400" s="342" t="s">
        <v>113</v>
      </c>
      <c r="E400" s="123"/>
      <c r="F400" s="326"/>
      <c r="G400" s="685"/>
      <c r="H400" s="685"/>
      <c r="I400" s="685"/>
      <c r="J400" s="685"/>
      <c r="K400" s="685"/>
      <c r="L400" s="685"/>
      <c r="M400" s="323"/>
      <c r="N400" s="322"/>
    </row>
    <row r="401" spans="1:14" hidden="1">
      <c r="A401" s="197">
        <v>18</v>
      </c>
      <c r="B401" s="197"/>
      <c r="C401" s="128" t="s">
        <v>1383</v>
      </c>
      <c r="D401" s="342" t="s">
        <v>113</v>
      </c>
      <c r="E401" s="123"/>
      <c r="F401" s="326"/>
      <c r="G401" s="685"/>
      <c r="H401" s="685"/>
      <c r="I401" s="685"/>
      <c r="J401" s="685"/>
      <c r="K401" s="685"/>
      <c r="L401" s="685"/>
      <c r="M401" s="323"/>
      <c r="N401" s="322"/>
    </row>
    <row r="402" spans="1:14" hidden="1">
      <c r="A402" s="197">
        <v>19</v>
      </c>
      <c r="B402" s="197"/>
      <c r="C402" s="128" t="s">
        <v>1384</v>
      </c>
      <c r="D402" s="342" t="s">
        <v>113</v>
      </c>
      <c r="E402" s="123"/>
      <c r="F402" s="326"/>
      <c r="G402" s="685"/>
      <c r="H402" s="685"/>
      <c r="I402" s="685"/>
      <c r="J402" s="685"/>
      <c r="K402" s="685"/>
      <c r="L402" s="685"/>
      <c r="M402" s="323"/>
      <c r="N402" s="322"/>
    </row>
    <row r="403" spans="1:14" hidden="1">
      <c r="A403" s="197">
        <v>20</v>
      </c>
      <c r="B403" s="197"/>
      <c r="C403" s="335" t="s">
        <v>1385</v>
      </c>
      <c r="D403" s="342" t="s">
        <v>113</v>
      </c>
      <c r="E403" s="123"/>
      <c r="F403" s="326"/>
      <c r="G403" s="685"/>
      <c r="H403" s="685"/>
      <c r="I403" s="685"/>
      <c r="J403" s="685"/>
      <c r="K403" s="685"/>
      <c r="L403" s="685"/>
      <c r="M403" s="323"/>
      <c r="N403" s="322"/>
    </row>
    <row r="404" spans="1:14" hidden="1">
      <c r="A404" s="197">
        <v>21</v>
      </c>
      <c r="B404" s="197"/>
      <c r="C404" s="28" t="s">
        <v>1370</v>
      </c>
      <c r="D404" s="342" t="s">
        <v>113</v>
      </c>
      <c r="E404" s="123"/>
      <c r="F404" s="326"/>
      <c r="G404" s="685"/>
      <c r="H404" s="685"/>
      <c r="I404" s="685"/>
      <c r="J404" s="685"/>
      <c r="K404" s="685"/>
      <c r="L404" s="685"/>
      <c r="M404" s="323"/>
      <c r="N404" s="322"/>
    </row>
    <row r="405" spans="1:14" hidden="1">
      <c r="A405" s="197">
        <v>22</v>
      </c>
      <c r="B405" s="197"/>
      <c r="C405" s="128" t="s">
        <v>1372</v>
      </c>
      <c r="D405" s="342" t="s">
        <v>113</v>
      </c>
      <c r="E405" s="123"/>
      <c r="F405" s="326"/>
      <c r="G405" s="685"/>
      <c r="H405" s="685"/>
      <c r="I405" s="685"/>
      <c r="J405" s="685"/>
      <c r="K405" s="685"/>
      <c r="L405" s="685"/>
      <c r="M405" s="323"/>
      <c r="N405" s="322"/>
    </row>
    <row r="406" spans="1:14" ht="27" hidden="1">
      <c r="A406" s="197"/>
      <c r="B406" s="197"/>
      <c r="C406" s="492" t="s">
        <v>1503</v>
      </c>
      <c r="D406" s="336"/>
      <c r="E406" s="123"/>
      <c r="F406" s="326"/>
      <c r="G406" s="685"/>
      <c r="H406" s="685"/>
      <c r="I406" s="685"/>
      <c r="J406" s="685"/>
      <c r="K406" s="685"/>
      <c r="L406" s="685"/>
      <c r="M406" s="323"/>
      <c r="N406" s="322"/>
    </row>
    <row r="407" spans="1:14" hidden="1">
      <c r="A407" s="197">
        <v>23</v>
      </c>
      <c r="B407" s="197"/>
      <c r="C407" s="128" t="s">
        <v>1388</v>
      </c>
      <c r="D407" s="98" t="s">
        <v>113</v>
      </c>
      <c r="E407" s="123"/>
      <c r="F407" s="326"/>
      <c r="G407" s="685"/>
      <c r="H407" s="685"/>
      <c r="I407" s="685"/>
      <c r="J407" s="685"/>
      <c r="K407" s="685"/>
      <c r="L407" s="685"/>
      <c r="M407" s="323"/>
      <c r="N407" s="322"/>
    </row>
    <row r="408" spans="1:14" hidden="1">
      <c r="A408" s="197">
        <v>24</v>
      </c>
      <c r="B408" s="197"/>
      <c r="C408" s="128" t="s">
        <v>1389</v>
      </c>
      <c r="D408" s="98" t="s">
        <v>113</v>
      </c>
      <c r="E408" s="123"/>
      <c r="F408" s="326"/>
      <c r="G408" s="685"/>
      <c r="H408" s="685"/>
      <c r="I408" s="685"/>
      <c r="J408" s="685"/>
      <c r="K408" s="685"/>
      <c r="L408" s="685"/>
      <c r="M408" s="323"/>
      <c r="N408" s="322"/>
    </row>
    <row r="409" spans="1:14" hidden="1">
      <c r="A409" s="197">
        <v>25</v>
      </c>
      <c r="B409" s="197"/>
      <c r="C409" s="128" t="s">
        <v>1390</v>
      </c>
      <c r="D409" s="98" t="s">
        <v>113</v>
      </c>
      <c r="E409" s="123"/>
      <c r="F409" s="326"/>
      <c r="G409" s="685"/>
      <c r="H409" s="685"/>
      <c r="I409" s="685"/>
      <c r="J409" s="685"/>
      <c r="K409" s="685"/>
      <c r="L409" s="685"/>
      <c r="M409" s="323"/>
      <c r="N409" s="322"/>
    </row>
    <row r="410" spans="1:14" hidden="1">
      <c r="A410" s="197">
        <v>26</v>
      </c>
      <c r="B410" s="197"/>
      <c r="C410" s="128" t="s">
        <v>1391</v>
      </c>
      <c r="D410" s="98" t="s">
        <v>113</v>
      </c>
      <c r="E410" s="123"/>
      <c r="F410" s="326"/>
      <c r="G410" s="685"/>
      <c r="H410" s="685"/>
      <c r="I410" s="685"/>
      <c r="J410" s="685"/>
      <c r="K410" s="685"/>
      <c r="L410" s="685"/>
      <c r="M410" s="323"/>
      <c r="N410" s="322"/>
    </row>
    <row r="411" spans="1:14" hidden="1">
      <c r="A411" s="197">
        <v>27</v>
      </c>
      <c r="B411" s="197"/>
      <c r="C411" s="128" t="s">
        <v>1392</v>
      </c>
      <c r="D411" s="98" t="s">
        <v>113</v>
      </c>
      <c r="E411" s="123"/>
      <c r="F411" s="326"/>
      <c r="G411" s="685"/>
      <c r="H411" s="685"/>
      <c r="I411" s="685"/>
      <c r="J411" s="685"/>
      <c r="K411" s="685"/>
      <c r="L411" s="685"/>
      <c r="M411" s="323"/>
      <c r="N411" s="322"/>
    </row>
    <row r="412" spans="1:14" hidden="1">
      <c r="A412" s="197">
        <v>28</v>
      </c>
      <c r="B412" s="197"/>
      <c r="C412" s="128" t="s">
        <v>1393</v>
      </c>
      <c r="D412" s="98" t="s">
        <v>113</v>
      </c>
      <c r="E412" s="123"/>
      <c r="F412" s="326"/>
      <c r="G412" s="685"/>
      <c r="H412" s="685"/>
      <c r="I412" s="685"/>
      <c r="J412" s="685"/>
      <c r="K412" s="685"/>
      <c r="L412" s="685"/>
      <c r="M412" s="323"/>
      <c r="N412" s="322"/>
    </row>
    <row r="413" spans="1:14" hidden="1">
      <c r="A413" s="197">
        <v>29</v>
      </c>
      <c r="B413" s="197"/>
      <c r="C413" s="128" t="s">
        <v>1394</v>
      </c>
      <c r="D413" s="98" t="s">
        <v>113</v>
      </c>
      <c r="E413" s="123"/>
      <c r="F413" s="326"/>
      <c r="G413" s="685"/>
      <c r="H413" s="685"/>
      <c r="I413" s="685"/>
      <c r="J413" s="685"/>
      <c r="K413" s="685"/>
      <c r="L413" s="685"/>
      <c r="M413" s="323"/>
      <c r="N413" s="322"/>
    </row>
    <row r="414" spans="1:14" hidden="1">
      <c r="A414" s="197">
        <v>30</v>
      </c>
      <c r="B414" s="197"/>
      <c r="C414" s="128" t="s">
        <v>1395</v>
      </c>
      <c r="D414" s="98" t="s">
        <v>113</v>
      </c>
      <c r="E414" s="123"/>
      <c r="F414" s="326"/>
      <c r="G414" s="685"/>
      <c r="H414" s="685"/>
      <c r="I414" s="685"/>
      <c r="J414" s="685"/>
      <c r="K414" s="685"/>
      <c r="L414" s="685"/>
      <c r="M414" s="323"/>
      <c r="N414" s="322"/>
    </row>
    <row r="415" spans="1:14" hidden="1">
      <c r="A415" s="197">
        <v>31</v>
      </c>
      <c r="B415" s="197"/>
      <c r="C415" s="128" t="s">
        <v>1396</v>
      </c>
      <c r="D415" s="98" t="s">
        <v>113</v>
      </c>
      <c r="E415" s="123"/>
      <c r="F415" s="326"/>
      <c r="G415" s="685"/>
      <c r="H415" s="685"/>
      <c r="I415" s="685"/>
      <c r="J415" s="685"/>
      <c r="K415" s="685"/>
      <c r="L415" s="685"/>
      <c r="M415" s="323"/>
      <c r="N415" s="322"/>
    </row>
    <row r="416" spans="1:14" hidden="1">
      <c r="A416" s="197">
        <v>32</v>
      </c>
      <c r="B416" s="197"/>
      <c r="C416" s="128" t="s">
        <v>1397</v>
      </c>
      <c r="D416" s="98" t="s">
        <v>113</v>
      </c>
      <c r="E416" s="123"/>
      <c r="F416" s="326"/>
      <c r="G416" s="685"/>
      <c r="H416" s="685"/>
      <c r="I416" s="685"/>
      <c r="J416" s="685"/>
      <c r="K416" s="685"/>
      <c r="L416" s="685"/>
      <c r="M416" s="323"/>
      <c r="N416" s="322"/>
    </row>
    <row r="417" spans="1:14" hidden="1">
      <c r="A417" s="197">
        <v>33</v>
      </c>
      <c r="B417" s="197"/>
      <c r="C417" s="128" t="s">
        <v>1398</v>
      </c>
      <c r="D417" s="98" t="s">
        <v>113</v>
      </c>
      <c r="E417" s="123"/>
      <c r="F417" s="326"/>
      <c r="G417" s="685"/>
      <c r="H417" s="685"/>
      <c r="I417" s="685"/>
      <c r="J417" s="685"/>
      <c r="K417" s="685"/>
      <c r="L417" s="685"/>
      <c r="M417" s="323"/>
      <c r="N417" s="322"/>
    </row>
    <row r="418" spans="1:14" hidden="1">
      <c r="A418" s="197">
        <v>34</v>
      </c>
      <c r="B418" s="197"/>
      <c r="C418" s="128" t="s">
        <v>1399</v>
      </c>
      <c r="D418" s="98" t="s">
        <v>113</v>
      </c>
      <c r="E418" s="123"/>
      <c r="F418" s="326"/>
      <c r="G418" s="685"/>
      <c r="H418" s="685"/>
      <c r="I418" s="685"/>
      <c r="J418" s="685"/>
      <c r="K418" s="685"/>
      <c r="L418" s="685"/>
      <c r="M418" s="323"/>
      <c r="N418" s="322"/>
    </row>
    <row r="419" spans="1:14" hidden="1">
      <c r="A419" s="197">
        <v>35</v>
      </c>
      <c r="B419" s="197"/>
      <c r="C419" s="128" t="s">
        <v>1400</v>
      </c>
      <c r="D419" s="98" t="s">
        <v>113</v>
      </c>
      <c r="E419" s="123"/>
      <c r="F419" s="326"/>
      <c r="G419" s="685"/>
      <c r="H419" s="685"/>
      <c r="I419" s="685"/>
      <c r="J419" s="685"/>
      <c r="K419" s="685"/>
      <c r="L419" s="685"/>
      <c r="M419" s="323"/>
      <c r="N419" s="322"/>
    </row>
    <row r="420" spans="1:14" hidden="1">
      <c r="A420" s="197"/>
      <c r="B420" s="197"/>
      <c r="C420" s="492" t="s">
        <v>1402</v>
      </c>
      <c r="D420" s="98"/>
      <c r="E420" s="123"/>
      <c r="F420" s="326"/>
      <c r="G420" s="685"/>
      <c r="H420" s="685"/>
      <c r="I420" s="685"/>
      <c r="J420" s="685"/>
      <c r="K420" s="685"/>
      <c r="L420" s="685"/>
      <c r="M420" s="323"/>
      <c r="N420" s="322"/>
    </row>
    <row r="421" spans="1:14" hidden="1">
      <c r="A421" s="197">
        <v>36</v>
      </c>
      <c r="B421" s="197"/>
      <c r="C421" s="128" t="s">
        <v>1403</v>
      </c>
      <c r="D421" s="98" t="s">
        <v>113</v>
      </c>
      <c r="E421" s="123"/>
      <c r="F421" s="326"/>
      <c r="G421" s="685"/>
      <c r="H421" s="685"/>
      <c r="I421" s="685"/>
      <c r="J421" s="685"/>
      <c r="K421" s="685"/>
      <c r="L421" s="685"/>
      <c r="M421" s="323"/>
      <c r="N421" s="322"/>
    </row>
    <row r="422" spans="1:14" hidden="1">
      <c r="A422" s="197">
        <v>37</v>
      </c>
      <c r="B422" s="197"/>
      <c r="C422" s="128" t="s">
        <v>1404</v>
      </c>
      <c r="D422" s="98" t="s">
        <v>113</v>
      </c>
      <c r="E422" s="123"/>
      <c r="F422" s="326"/>
      <c r="G422" s="685"/>
      <c r="H422" s="685"/>
      <c r="I422" s="685"/>
      <c r="J422" s="685"/>
      <c r="K422" s="685"/>
      <c r="L422" s="685"/>
      <c r="M422" s="323"/>
      <c r="N422" s="322"/>
    </row>
    <row r="423" spans="1:14" hidden="1">
      <c r="A423" s="197">
        <v>38</v>
      </c>
      <c r="B423" s="197"/>
      <c r="C423" s="128" t="s">
        <v>1405</v>
      </c>
      <c r="D423" s="98" t="s">
        <v>113</v>
      </c>
      <c r="E423" s="123"/>
      <c r="F423" s="326"/>
      <c r="G423" s="685"/>
      <c r="H423" s="685"/>
      <c r="I423" s="685"/>
      <c r="J423" s="685"/>
      <c r="K423" s="685"/>
      <c r="L423" s="685"/>
      <c r="M423" s="323"/>
      <c r="N423" s="322"/>
    </row>
    <row r="424" spans="1:14" hidden="1">
      <c r="A424" s="197">
        <v>39</v>
      </c>
      <c r="B424" s="197"/>
      <c r="C424" s="128" t="s">
        <v>1406</v>
      </c>
      <c r="D424" s="98" t="s">
        <v>113</v>
      </c>
      <c r="E424" s="123"/>
      <c r="F424" s="326"/>
      <c r="G424" s="685"/>
      <c r="H424" s="685"/>
      <c r="I424" s="685"/>
      <c r="J424" s="685"/>
      <c r="K424" s="685"/>
      <c r="L424" s="685"/>
      <c r="M424" s="323"/>
      <c r="N424" s="322"/>
    </row>
    <row r="425" spans="1:14" hidden="1">
      <c r="A425" s="197">
        <v>40</v>
      </c>
      <c r="B425" s="197"/>
      <c r="C425" s="128" t="s">
        <v>1407</v>
      </c>
      <c r="D425" s="98" t="s">
        <v>113</v>
      </c>
      <c r="E425" s="123"/>
      <c r="F425" s="326"/>
      <c r="G425" s="685"/>
      <c r="H425" s="685"/>
      <c r="I425" s="685"/>
      <c r="J425" s="685"/>
      <c r="K425" s="685"/>
      <c r="L425" s="685"/>
      <c r="M425" s="323"/>
      <c r="N425" s="322"/>
    </row>
    <row r="426" spans="1:14" hidden="1">
      <c r="A426" s="197">
        <v>41</v>
      </c>
      <c r="B426" s="197"/>
      <c r="C426" s="128" t="s">
        <v>1408</v>
      </c>
      <c r="D426" s="98" t="s">
        <v>113</v>
      </c>
      <c r="E426" s="123"/>
      <c r="F426" s="326"/>
      <c r="G426" s="685"/>
      <c r="H426" s="685"/>
      <c r="I426" s="685"/>
      <c r="J426" s="685"/>
      <c r="K426" s="685"/>
      <c r="L426" s="685"/>
      <c r="M426" s="323"/>
      <c r="N426" s="322"/>
    </row>
    <row r="427" spans="1:14" hidden="1">
      <c r="A427" s="197">
        <v>42</v>
      </c>
      <c r="B427" s="197"/>
      <c r="C427" s="128" t="s">
        <v>1375</v>
      </c>
      <c r="D427" s="98" t="s">
        <v>113</v>
      </c>
      <c r="E427" s="123"/>
      <c r="F427" s="326"/>
      <c r="G427" s="685"/>
      <c r="H427" s="685"/>
      <c r="I427" s="685"/>
      <c r="J427" s="685"/>
      <c r="K427" s="685"/>
      <c r="L427" s="685"/>
      <c r="M427" s="323"/>
      <c r="N427" s="322"/>
    </row>
    <row r="428" spans="1:14" hidden="1">
      <c r="A428" s="197"/>
      <c r="B428" s="197"/>
      <c r="C428" s="481" t="s">
        <v>110</v>
      </c>
      <c r="D428" s="466"/>
      <c r="E428" s="326"/>
      <c r="F428" s="326"/>
      <c r="G428" s="685"/>
      <c r="H428" s="685"/>
      <c r="I428" s="685"/>
      <c r="J428" s="685"/>
      <c r="K428" s="685"/>
      <c r="L428" s="685"/>
      <c r="M428" s="323"/>
      <c r="N428" s="322"/>
    </row>
    <row r="429" spans="1:14" hidden="1">
      <c r="A429" s="197"/>
      <c r="B429" s="197"/>
      <c r="C429" s="111" t="s">
        <v>1177</v>
      </c>
      <c r="D429" s="483" t="s">
        <v>457</v>
      </c>
      <c r="E429" s="683">
        <v>10</v>
      </c>
      <c r="F429" s="326"/>
      <c r="G429" s="685"/>
      <c r="H429" s="685"/>
      <c r="I429" s="685"/>
      <c r="J429" s="685"/>
      <c r="K429" s="685"/>
      <c r="L429" s="685"/>
      <c r="M429" s="323"/>
      <c r="N429" s="322"/>
    </row>
    <row r="430" spans="1:14" hidden="1">
      <c r="A430" s="197"/>
      <c r="B430" s="197"/>
      <c r="C430" s="481" t="s">
        <v>110</v>
      </c>
      <c r="D430" s="466"/>
      <c r="E430" s="326"/>
      <c r="F430" s="326"/>
      <c r="G430" s="685"/>
      <c r="H430" s="685"/>
      <c r="I430" s="685"/>
      <c r="J430" s="685"/>
      <c r="K430" s="685"/>
      <c r="L430" s="685"/>
      <c r="M430" s="323"/>
      <c r="N430" s="322"/>
    </row>
    <row r="431" spans="1:14" hidden="1">
      <c r="A431" s="197"/>
      <c r="B431" s="197"/>
      <c r="C431" s="111" t="s">
        <v>1157</v>
      </c>
      <c r="D431" s="483" t="s">
        <v>457</v>
      </c>
      <c r="E431" s="683">
        <v>8</v>
      </c>
      <c r="F431" s="326"/>
      <c r="G431" s="685"/>
      <c r="H431" s="685"/>
      <c r="I431" s="685"/>
      <c r="J431" s="685"/>
      <c r="K431" s="685"/>
      <c r="L431" s="685"/>
      <c r="M431" s="323"/>
      <c r="N431" s="322"/>
    </row>
    <row r="432" spans="1:14" hidden="1">
      <c r="A432" s="197"/>
      <c r="B432" s="197"/>
      <c r="C432" s="481" t="s">
        <v>1425</v>
      </c>
      <c r="D432" s="466"/>
      <c r="E432" s="326"/>
      <c r="F432" s="326"/>
      <c r="G432" s="685"/>
      <c r="H432" s="685"/>
      <c r="I432" s="685"/>
      <c r="J432" s="685"/>
      <c r="K432" s="685"/>
      <c r="L432" s="685"/>
      <c r="M432" s="323"/>
      <c r="N432" s="322"/>
    </row>
    <row r="433" spans="1:14">
      <c r="A433" s="1363"/>
      <c r="B433" s="197"/>
      <c r="C433" s="206" t="s">
        <v>1873</v>
      </c>
      <c r="D433" s="466"/>
      <c r="E433" s="1252"/>
      <c r="F433" s="326"/>
      <c r="G433" s="685"/>
      <c r="H433" s="685"/>
      <c r="I433" s="685"/>
      <c r="J433" s="685"/>
      <c r="K433" s="685"/>
      <c r="L433" s="685"/>
      <c r="M433" s="323"/>
      <c r="N433" s="322"/>
    </row>
    <row r="434" spans="1:14" ht="27" hidden="1">
      <c r="A434" s="197">
        <v>1</v>
      </c>
      <c r="B434" s="197"/>
      <c r="C434" s="329" t="s">
        <v>1132</v>
      </c>
      <c r="D434" s="99" t="s">
        <v>437</v>
      </c>
      <c r="E434" s="123">
        <v>0</v>
      </c>
      <c r="F434" s="326"/>
      <c r="G434" s="685"/>
      <c r="H434" s="685"/>
      <c r="I434" s="685"/>
      <c r="J434" s="685"/>
      <c r="K434" s="685"/>
      <c r="L434" s="685"/>
      <c r="M434" s="323"/>
      <c r="N434" s="322"/>
    </row>
    <row r="435" spans="1:14">
      <c r="A435" s="1363">
        <v>1</v>
      </c>
      <c r="B435" s="197"/>
      <c r="C435" s="28" t="s">
        <v>1135</v>
      </c>
      <c r="D435" s="24" t="s">
        <v>437</v>
      </c>
      <c r="E435" s="455">
        <v>8.4</v>
      </c>
      <c r="F435" s="326"/>
      <c r="G435" s="685"/>
      <c r="H435" s="685"/>
      <c r="I435" s="685"/>
      <c r="J435" s="685"/>
      <c r="K435" s="685"/>
      <c r="L435" s="685"/>
      <c r="M435" s="323"/>
      <c r="N435" s="322"/>
    </row>
    <row r="436" spans="1:14">
      <c r="A436" s="1363">
        <v>2</v>
      </c>
      <c r="B436" s="197"/>
      <c r="C436" s="28" t="s">
        <v>433</v>
      </c>
      <c r="D436" s="24" t="s">
        <v>437</v>
      </c>
      <c r="E436" s="455">
        <v>6</v>
      </c>
      <c r="F436" s="326"/>
      <c r="G436" s="685"/>
      <c r="H436" s="685"/>
      <c r="I436" s="685"/>
      <c r="J436" s="685"/>
      <c r="K436" s="685"/>
      <c r="L436" s="685"/>
      <c r="M436" s="323"/>
      <c r="N436" s="322"/>
    </row>
    <row r="437" spans="1:14" hidden="1">
      <c r="A437" s="197">
        <v>4</v>
      </c>
      <c r="B437" s="197"/>
      <c r="C437" s="28" t="s">
        <v>1136</v>
      </c>
      <c r="D437" s="24" t="s">
        <v>437</v>
      </c>
      <c r="E437" s="123">
        <v>0</v>
      </c>
      <c r="F437" s="326"/>
      <c r="G437" s="685"/>
      <c r="H437" s="685"/>
      <c r="I437" s="685"/>
      <c r="J437" s="685"/>
      <c r="K437" s="685"/>
      <c r="L437" s="685"/>
      <c r="M437" s="323"/>
      <c r="N437" s="322"/>
    </row>
    <row r="438" spans="1:14" hidden="1">
      <c r="A438" s="197">
        <v>5</v>
      </c>
      <c r="B438" s="197"/>
      <c r="C438" s="420" t="s">
        <v>1137</v>
      </c>
      <c r="D438" s="24" t="s">
        <v>437</v>
      </c>
      <c r="E438" s="123"/>
      <c r="F438" s="326"/>
      <c r="G438" s="685"/>
      <c r="H438" s="685"/>
      <c r="I438" s="685"/>
      <c r="J438" s="685"/>
      <c r="K438" s="685"/>
      <c r="L438" s="685"/>
      <c r="M438" s="323"/>
      <c r="N438" s="322"/>
    </row>
    <row r="439" spans="1:14">
      <c r="A439" s="1363">
        <v>3</v>
      </c>
      <c r="B439" s="197"/>
      <c r="C439" s="227" t="s">
        <v>499</v>
      </c>
      <c r="D439" s="24" t="s">
        <v>437</v>
      </c>
      <c r="E439" s="455">
        <v>2.4</v>
      </c>
      <c r="F439" s="326"/>
      <c r="G439" s="685"/>
      <c r="H439" s="685"/>
      <c r="I439" s="685"/>
      <c r="J439" s="685"/>
      <c r="K439" s="685"/>
      <c r="L439" s="685"/>
      <c r="M439" s="323"/>
      <c r="N439" s="322"/>
    </row>
    <row r="440" spans="1:14">
      <c r="A440" s="1363">
        <v>4</v>
      </c>
      <c r="B440" s="197"/>
      <c r="C440" s="127" t="s">
        <v>1531</v>
      </c>
      <c r="D440" s="24" t="s">
        <v>437</v>
      </c>
      <c r="E440" s="455">
        <v>2.4</v>
      </c>
      <c r="F440" s="326"/>
      <c r="G440" s="685"/>
      <c r="H440" s="685"/>
      <c r="I440" s="685"/>
      <c r="J440" s="685"/>
      <c r="K440" s="685"/>
      <c r="L440" s="685"/>
      <c r="M440" s="323"/>
      <c r="N440" s="322"/>
    </row>
    <row r="441" spans="1:14">
      <c r="A441" s="1363">
        <v>5</v>
      </c>
      <c r="B441" s="197"/>
      <c r="C441" s="127" t="s">
        <v>1409</v>
      </c>
      <c r="D441" s="24" t="s">
        <v>437</v>
      </c>
      <c r="E441" s="455">
        <v>2.4</v>
      </c>
      <c r="F441" s="326"/>
      <c r="G441" s="685"/>
      <c r="H441" s="685"/>
      <c r="I441" s="685"/>
      <c r="J441" s="685"/>
      <c r="K441" s="685"/>
      <c r="L441" s="685"/>
      <c r="M441" s="323"/>
      <c r="N441" s="322"/>
    </row>
    <row r="442" spans="1:14" hidden="1">
      <c r="A442" s="197">
        <v>9</v>
      </c>
      <c r="B442" s="197"/>
      <c r="C442" s="127" t="s">
        <v>1410</v>
      </c>
      <c r="D442" s="24" t="s">
        <v>437</v>
      </c>
      <c r="E442" s="123"/>
      <c r="F442" s="326"/>
      <c r="G442" s="685"/>
      <c r="H442" s="685"/>
      <c r="I442" s="685"/>
      <c r="J442" s="685"/>
      <c r="K442" s="685"/>
      <c r="L442" s="685"/>
      <c r="M442" s="323"/>
      <c r="N442" s="322"/>
    </row>
    <row r="443" spans="1:14" hidden="1">
      <c r="A443" s="197">
        <v>10</v>
      </c>
      <c r="B443" s="197"/>
      <c r="C443" s="329" t="s">
        <v>1411</v>
      </c>
      <c r="D443" s="24" t="s">
        <v>437</v>
      </c>
      <c r="E443" s="123"/>
      <c r="F443" s="326"/>
      <c r="G443" s="685"/>
      <c r="H443" s="685"/>
      <c r="I443" s="685"/>
      <c r="J443" s="685"/>
      <c r="K443" s="685"/>
      <c r="L443" s="685"/>
      <c r="M443" s="323"/>
      <c r="N443" s="322"/>
    </row>
    <row r="444" spans="1:14" hidden="1">
      <c r="A444" s="197">
        <v>11</v>
      </c>
      <c r="B444" s="197"/>
      <c r="C444" s="127" t="s">
        <v>1339</v>
      </c>
      <c r="D444" s="27" t="s">
        <v>437</v>
      </c>
      <c r="E444" s="123"/>
      <c r="F444" s="326"/>
      <c r="G444" s="685"/>
      <c r="H444" s="685"/>
      <c r="I444" s="685"/>
      <c r="J444" s="685"/>
      <c r="K444" s="685"/>
      <c r="L444" s="685"/>
      <c r="M444" s="323"/>
      <c r="N444" s="322"/>
    </row>
    <row r="445" spans="1:14" ht="27" hidden="1">
      <c r="A445" s="197">
        <v>12</v>
      </c>
      <c r="B445" s="197"/>
      <c r="C445" s="128" t="s">
        <v>1416</v>
      </c>
      <c r="D445" s="99" t="s">
        <v>122</v>
      </c>
      <c r="E445" s="123"/>
      <c r="F445" s="326"/>
      <c r="G445" s="685"/>
      <c r="H445" s="685"/>
      <c r="I445" s="685"/>
      <c r="J445" s="685"/>
      <c r="K445" s="685"/>
      <c r="L445" s="685"/>
      <c r="M445" s="323"/>
      <c r="N445" s="322"/>
    </row>
    <row r="446" spans="1:14">
      <c r="A446" s="1363">
        <v>6</v>
      </c>
      <c r="B446" s="197"/>
      <c r="C446" s="335" t="s">
        <v>1522</v>
      </c>
      <c r="D446" s="99" t="s">
        <v>122</v>
      </c>
      <c r="E446" s="455">
        <v>30</v>
      </c>
      <c r="F446" s="326"/>
      <c r="G446" s="685"/>
      <c r="H446" s="685"/>
      <c r="I446" s="685"/>
      <c r="J446" s="685"/>
      <c r="K446" s="685"/>
      <c r="L446" s="685"/>
      <c r="M446" s="323"/>
      <c r="N446" s="322"/>
    </row>
    <row r="447" spans="1:14" ht="27">
      <c r="A447" s="1363">
        <v>7</v>
      </c>
      <c r="B447" s="197"/>
      <c r="C447" s="111" t="s">
        <v>1532</v>
      </c>
      <c r="D447" s="99" t="s">
        <v>113</v>
      </c>
      <c r="E447" s="455">
        <v>2</v>
      </c>
      <c r="F447" s="326"/>
      <c r="G447" s="685"/>
      <c r="H447" s="685"/>
      <c r="I447" s="685"/>
      <c r="J447" s="685"/>
      <c r="K447" s="685"/>
      <c r="L447" s="685"/>
      <c r="M447" s="323"/>
      <c r="N447" s="322"/>
    </row>
    <row r="448" spans="1:14" hidden="1">
      <c r="A448" s="197">
        <v>15</v>
      </c>
      <c r="B448" s="197"/>
      <c r="C448" s="127" t="s">
        <v>1375</v>
      </c>
      <c r="D448" s="99" t="s">
        <v>646</v>
      </c>
      <c r="E448" s="123"/>
      <c r="F448" s="326"/>
      <c r="G448" s="685"/>
      <c r="H448" s="685"/>
      <c r="I448" s="685"/>
      <c r="J448" s="685"/>
      <c r="K448" s="685"/>
      <c r="L448" s="685"/>
      <c r="M448" s="323"/>
      <c r="N448" s="322"/>
    </row>
    <row r="449" spans="1:14" hidden="1">
      <c r="A449" s="197">
        <v>16</v>
      </c>
      <c r="B449" s="197"/>
      <c r="C449" s="127" t="s">
        <v>1420</v>
      </c>
      <c r="D449" s="99" t="s">
        <v>113</v>
      </c>
      <c r="E449" s="123"/>
      <c r="F449" s="326"/>
      <c r="G449" s="685"/>
      <c r="H449" s="685"/>
      <c r="I449" s="685"/>
      <c r="J449" s="685"/>
      <c r="K449" s="685"/>
      <c r="L449" s="685"/>
      <c r="M449" s="323"/>
      <c r="N449" s="322"/>
    </row>
    <row r="450" spans="1:14" ht="27" hidden="1">
      <c r="A450" s="197">
        <v>17</v>
      </c>
      <c r="B450" s="197"/>
      <c r="C450" s="127" t="s">
        <v>1422</v>
      </c>
      <c r="D450" s="99" t="s">
        <v>122</v>
      </c>
      <c r="E450" s="123"/>
      <c r="F450" s="326"/>
      <c r="G450" s="685"/>
      <c r="H450" s="685"/>
      <c r="I450" s="685"/>
      <c r="J450" s="685"/>
      <c r="K450" s="685"/>
      <c r="L450" s="685"/>
      <c r="M450" s="323"/>
      <c r="N450" s="322"/>
    </row>
    <row r="451" spans="1:14">
      <c r="A451" s="1363"/>
      <c r="B451" s="197"/>
      <c r="C451" s="481" t="s">
        <v>110</v>
      </c>
      <c r="D451" s="466"/>
      <c r="E451" s="1252"/>
      <c r="F451" s="326"/>
      <c r="G451" s="685"/>
      <c r="H451" s="685"/>
      <c r="I451" s="685"/>
      <c r="J451" s="685"/>
      <c r="K451" s="685"/>
      <c r="L451" s="685"/>
      <c r="M451" s="323"/>
      <c r="N451" s="322"/>
    </row>
    <row r="452" spans="1:14">
      <c r="A452" s="1363"/>
      <c r="B452" s="197"/>
      <c r="C452" s="111" t="s">
        <v>1177</v>
      </c>
      <c r="D452" s="483" t="s">
        <v>457</v>
      </c>
      <c r="E452" s="684">
        <v>10</v>
      </c>
      <c r="F452" s="326"/>
      <c r="G452" s="685"/>
      <c r="H452" s="685"/>
      <c r="I452" s="685"/>
      <c r="J452" s="685"/>
      <c r="K452" s="685"/>
      <c r="L452" s="685"/>
      <c r="M452" s="323"/>
      <c r="N452" s="322"/>
    </row>
    <row r="453" spans="1:14">
      <c r="A453" s="1363"/>
      <c r="B453" s="197"/>
      <c r="C453" s="481" t="s">
        <v>110</v>
      </c>
      <c r="D453" s="466"/>
      <c r="E453" s="1252"/>
      <c r="F453" s="326"/>
      <c r="G453" s="685"/>
      <c r="H453" s="685"/>
      <c r="I453" s="685"/>
      <c r="J453" s="685"/>
      <c r="K453" s="685"/>
      <c r="L453" s="685"/>
      <c r="M453" s="323"/>
      <c r="N453" s="322"/>
    </row>
    <row r="454" spans="1:14">
      <c r="A454" s="1363"/>
      <c r="B454" s="197"/>
      <c r="C454" s="111" t="s">
        <v>1157</v>
      </c>
      <c r="D454" s="483" t="s">
        <v>457</v>
      </c>
      <c r="E454" s="684">
        <v>8</v>
      </c>
      <c r="F454" s="326"/>
      <c r="G454" s="685"/>
      <c r="H454" s="685"/>
      <c r="I454" s="685"/>
      <c r="J454" s="685"/>
      <c r="K454" s="685"/>
      <c r="L454" s="685"/>
      <c r="M454" s="323"/>
      <c r="N454" s="322"/>
    </row>
    <row r="455" spans="1:14">
      <c r="A455" s="1363"/>
      <c r="B455" s="197"/>
      <c r="C455" s="481" t="s">
        <v>1881</v>
      </c>
      <c r="D455" s="466"/>
      <c r="E455" s="1252"/>
      <c r="F455" s="326"/>
      <c r="G455" s="685"/>
      <c r="H455" s="685"/>
      <c r="I455" s="685"/>
      <c r="J455" s="685"/>
      <c r="K455" s="685"/>
      <c r="L455" s="685"/>
      <c r="M455" s="323"/>
      <c r="N455" s="322"/>
    </row>
    <row r="456" spans="1:14" hidden="1">
      <c r="A456" s="197"/>
      <c r="B456" s="197"/>
      <c r="C456" s="34" t="s">
        <v>1426</v>
      </c>
      <c r="D456" s="27"/>
      <c r="E456" s="134"/>
      <c r="F456" s="326"/>
      <c r="G456" s="326"/>
      <c r="H456" s="326"/>
      <c r="I456" s="326"/>
      <c r="J456" s="659"/>
      <c r="K456" s="326"/>
      <c r="L456" s="683"/>
      <c r="M456" s="323" t="s">
        <v>860</v>
      </c>
      <c r="N456" s="322"/>
    </row>
    <row r="457" spans="1:14" s="672" customFormat="1" hidden="1">
      <c r="A457" s="24">
        <v>1</v>
      </c>
      <c r="B457" s="24"/>
      <c r="C457" s="26" t="s">
        <v>1273</v>
      </c>
      <c r="D457" s="27" t="s">
        <v>113</v>
      </c>
      <c r="E457" s="123">
        <f>'eleqt, sant'!E52</f>
        <v>0</v>
      </c>
      <c r="F457" s="326"/>
      <c r="G457" s="326"/>
      <c r="H457" s="326"/>
      <c r="I457" s="326"/>
      <c r="J457" s="659"/>
      <c r="K457" s="326"/>
      <c r="L457" s="326"/>
      <c r="M457" s="326"/>
      <c r="N457" s="323"/>
    </row>
    <row r="458" spans="1:14" s="672" customFormat="1" ht="54" hidden="1">
      <c r="A458" s="24">
        <v>2</v>
      </c>
      <c r="B458" s="24"/>
      <c r="C458" s="268" t="s">
        <v>1272</v>
      </c>
      <c r="D458" s="27" t="s">
        <v>113</v>
      </c>
      <c r="E458" s="123"/>
      <c r="F458" s="326"/>
      <c r="G458" s="326"/>
      <c r="H458" s="326"/>
      <c r="I458" s="326"/>
      <c r="J458" s="659"/>
      <c r="K458" s="326"/>
      <c r="L458" s="326"/>
      <c r="M458" s="326"/>
      <c r="N458" s="323"/>
    </row>
    <row r="459" spans="1:14" s="672" customFormat="1" ht="27" hidden="1">
      <c r="A459" s="24">
        <v>3</v>
      </c>
      <c r="B459" s="24"/>
      <c r="C459" s="26" t="s">
        <v>587</v>
      </c>
      <c r="D459" s="27" t="s">
        <v>113</v>
      </c>
      <c r="E459" s="123"/>
      <c r="F459" s="326"/>
      <c r="G459" s="326"/>
      <c r="H459" s="326"/>
      <c r="I459" s="326"/>
      <c r="J459" s="659"/>
      <c r="K459" s="326"/>
      <c r="L459" s="326"/>
      <c r="M459" s="326"/>
      <c r="N459" s="323"/>
    </row>
    <row r="460" spans="1:14" s="672" customFormat="1" ht="27" hidden="1">
      <c r="A460" s="24">
        <v>4</v>
      </c>
      <c r="B460" s="24"/>
      <c r="C460" s="26" t="s">
        <v>588</v>
      </c>
      <c r="D460" s="27" t="s">
        <v>113</v>
      </c>
      <c r="E460" s="123">
        <v>0</v>
      </c>
      <c r="F460" s="326"/>
      <c r="G460" s="326"/>
      <c r="H460" s="326"/>
      <c r="I460" s="326"/>
      <c r="J460" s="659"/>
      <c r="K460" s="326"/>
      <c r="L460" s="326"/>
      <c r="M460" s="326"/>
      <c r="N460" s="323"/>
    </row>
    <row r="461" spans="1:14" s="672" customFormat="1" ht="27" hidden="1">
      <c r="A461" s="24">
        <v>5</v>
      </c>
      <c r="B461" s="24"/>
      <c r="C461" s="26" t="s">
        <v>1104</v>
      </c>
      <c r="D461" s="27" t="s">
        <v>113</v>
      </c>
      <c r="E461" s="123">
        <f>'eleqt, sant'!E56</f>
        <v>0</v>
      </c>
      <c r="F461" s="326"/>
      <c r="G461" s="326"/>
      <c r="H461" s="326"/>
      <c r="I461" s="326"/>
      <c r="J461" s="659"/>
      <c r="K461" s="326"/>
      <c r="L461" s="326"/>
      <c r="M461" s="326"/>
      <c r="N461" s="323"/>
    </row>
    <row r="462" spans="1:14" s="672" customFormat="1" hidden="1">
      <c r="A462" s="24">
        <v>6</v>
      </c>
      <c r="B462" s="24"/>
      <c r="C462" s="268" t="s">
        <v>902</v>
      </c>
      <c r="D462" s="27" t="s">
        <v>113</v>
      </c>
      <c r="E462" s="123">
        <f>'eleqt, sant'!E57</f>
        <v>0</v>
      </c>
      <c r="F462" s="326"/>
      <c r="G462" s="326"/>
      <c r="H462" s="326"/>
      <c r="I462" s="326"/>
      <c r="J462" s="659"/>
      <c r="K462" s="326"/>
      <c r="L462" s="326"/>
      <c r="M462" s="326"/>
      <c r="N462" s="323"/>
    </row>
    <row r="463" spans="1:14" s="672" customFormat="1" ht="27" hidden="1">
      <c r="A463" s="24">
        <v>7</v>
      </c>
      <c r="B463" s="24"/>
      <c r="C463" s="26" t="s">
        <v>1670</v>
      </c>
      <c r="D463" s="29" t="s">
        <v>124</v>
      </c>
      <c r="E463" s="123"/>
      <c r="F463" s="326"/>
      <c r="G463" s="326"/>
      <c r="H463" s="326"/>
      <c r="I463" s="326"/>
      <c r="J463" s="659"/>
      <c r="K463" s="326"/>
      <c r="L463" s="326"/>
      <c r="M463" s="326"/>
      <c r="N463" s="323"/>
    </row>
    <row r="464" spans="1:14" s="672" customFormat="1" ht="27" hidden="1">
      <c r="A464" s="24">
        <v>8</v>
      </c>
      <c r="B464" s="24"/>
      <c r="C464" s="26" t="s">
        <v>1671</v>
      </c>
      <c r="D464" s="29" t="s">
        <v>124</v>
      </c>
      <c r="E464" s="123"/>
      <c r="F464" s="326"/>
      <c r="G464" s="326"/>
      <c r="H464" s="326"/>
      <c r="I464" s="326"/>
      <c r="J464" s="659"/>
      <c r="K464" s="326"/>
      <c r="L464" s="326"/>
      <c r="M464" s="326"/>
      <c r="N464" s="323"/>
    </row>
    <row r="465" spans="1:14" s="672" customFormat="1" hidden="1">
      <c r="A465" s="24">
        <v>9</v>
      </c>
      <c r="B465" s="24"/>
      <c r="C465" s="26" t="s">
        <v>1672</v>
      </c>
      <c r="D465" s="29" t="s">
        <v>124</v>
      </c>
      <c r="E465" s="123"/>
      <c r="F465" s="326"/>
      <c r="G465" s="326"/>
      <c r="H465" s="326"/>
      <c r="I465" s="326"/>
      <c r="J465" s="659"/>
      <c r="K465" s="326"/>
      <c r="L465" s="326"/>
      <c r="M465" s="326"/>
      <c r="N465" s="323"/>
    </row>
    <row r="466" spans="1:14" s="672" customFormat="1" hidden="1">
      <c r="A466" s="24">
        <v>10</v>
      </c>
      <c r="B466" s="24"/>
      <c r="C466" s="26" t="s">
        <v>593</v>
      </c>
      <c r="D466" s="29" t="s">
        <v>124</v>
      </c>
      <c r="E466" s="123">
        <f>'eleqt, sant'!E61</f>
        <v>0</v>
      </c>
      <c r="F466" s="326"/>
      <c r="G466" s="326"/>
      <c r="H466" s="326"/>
      <c r="I466" s="326"/>
      <c r="J466" s="659"/>
      <c r="K466" s="326"/>
      <c r="L466" s="326"/>
      <c r="M466" s="326"/>
      <c r="N466" s="323"/>
    </row>
    <row r="467" spans="1:14" s="672" customFormat="1" ht="27" hidden="1">
      <c r="A467" s="24">
        <v>11</v>
      </c>
      <c r="B467" s="24"/>
      <c r="C467" s="26" t="s">
        <v>1271</v>
      </c>
      <c r="D467" s="24" t="s">
        <v>594</v>
      </c>
      <c r="E467" s="123">
        <f>'eleqt, sant'!E62</f>
        <v>0</v>
      </c>
      <c r="F467" s="326"/>
      <c r="G467" s="326"/>
      <c r="H467" s="326"/>
      <c r="I467" s="326"/>
      <c r="J467" s="659"/>
      <c r="K467" s="326"/>
      <c r="L467" s="326"/>
      <c r="M467" s="326"/>
      <c r="N467" s="323"/>
    </row>
    <row r="468" spans="1:14" s="672" customFormat="1" ht="20.25" hidden="1" customHeight="1">
      <c r="A468" s="24">
        <v>12</v>
      </c>
      <c r="B468" s="24"/>
      <c r="C468" s="260" t="s">
        <v>595</v>
      </c>
      <c r="D468" s="27" t="s">
        <v>113</v>
      </c>
      <c r="E468" s="123">
        <f>'eleqt, sant'!E63</f>
        <v>0</v>
      </c>
      <c r="F468" s="326"/>
      <c r="G468" s="326"/>
      <c r="H468" s="326"/>
      <c r="I468" s="326"/>
      <c r="J468" s="659"/>
      <c r="K468" s="326"/>
      <c r="L468" s="326"/>
      <c r="M468" s="326"/>
      <c r="N468" s="323"/>
    </row>
    <row r="469" spans="1:14" s="672" customFormat="1" hidden="1">
      <c r="A469" s="197"/>
      <c r="B469" s="197"/>
      <c r="C469" s="30" t="s">
        <v>811</v>
      </c>
      <c r="D469" s="27"/>
      <c r="E469" s="134"/>
      <c r="F469" s="326"/>
      <c r="G469" s="326"/>
      <c r="H469" s="326"/>
      <c r="I469" s="326"/>
      <c r="J469" s="659"/>
      <c r="K469" s="326"/>
      <c r="L469" s="326"/>
      <c r="M469" s="323"/>
      <c r="N469" s="323"/>
    </row>
    <row r="470" spans="1:14" s="672" customFormat="1" hidden="1">
      <c r="A470" s="197"/>
      <c r="B470" s="197"/>
      <c r="C470" s="30" t="s">
        <v>658</v>
      </c>
      <c r="D470" s="27"/>
      <c r="E470" s="134"/>
      <c r="F470" s="326"/>
      <c r="G470" s="326"/>
      <c r="H470" s="326"/>
      <c r="I470" s="326"/>
      <c r="J470" s="659"/>
      <c r="K470" s="326"/>
      <c r="L470" s="326"/>
      <c r="M470" s="323"/>
      <c r="N470" s="323"/>
    </row>
    <row r="471" spans="1:14" s="672" customFormat="1" hidden="1">
      <c r="A471" s="197"/>
      <c r="B471" s="197"/>
      <c r="C471" s="109" t="s">
        <v>458</v>
      </c>
      <c r="D471" s="320" t="s">
        <v>457</v>
      </c>
      <c r="E471" s="157">
        <v>75</v>
      </c>
      <c r="F471" s="326"/>
      <c r="G471" s="326"/>
      <c r="H471" s="326"/>
      <c r="I471" s="326"/>
      <c r="J471" s="659"/>
      <c r="K471" s="326"/>
      <c r="L471" s="683"/>
      <c r="M471" s="323"/>
      <c r="N471" s="323"/>
    </row>
    <row r="472" spans="1:14" s="672" customFormat="1" hidden="1">
      <c r="A472" s="197"/>
      <c r="B472" s="197"/>
      <c r="C472" s="30" t="s">
        <v>110</v>
      </c>
      <c r="D472" s="27"/>
      <c r="E472" s="134"/>
      <c r="F472" s="326"/>
      <c r="G472" s="326"/>
      <c r="H472" s="326"/>
      <c r="I472" s="326"/>
      <c r="J472" s="659"/>
      <c r="K472" s="326"/>
      <c r="L472" s="326"/>
      <c r="M472" s="323"/>
      <c r="N472" s="323"/>
    </row>
    <row r="473" spans="1:14" s="672" customFormat="1" hidden="1">
      <c r="A473" s="197"/>
      <c r="B473" s="197"/>
      <c r="C473" s="33" t="s">
        <v>116</v>
      </c>
      <c r="D473" s="320" t="s">
        <v>457</v>
      </c>
      <c r="E473" s="157">
        <v>8</v>
      </c>
      <c r="F473" s="326"/>
      <c r="G473" s="326"/>
      <c r="H473" s="326"/>
      <c r="I473" s="326"/>
      <c r="J473" s="659"/>
      <c r="K473" s="326"/>
      <c r="L473" s="326"/>
      <c r="M473" s="323"/>
      <c r="N473" s="323"/>
    </row>
    <row r="474" spans="1:14" s="672" customFormat="1" hidden="1">
      <c r="A474" s="197"/>
      <c r="B474" s="197"/>
      <c r="C474" s="30" t="s">
        <v>1218</v>
      </c>
      <c r="D474" s="320"/>
      <c r="E474" s="157"/>
      <c r="F474" s="326"/>
      <c r="G474" s="683"/>
      <c r="H474" s="683"/>
      <c r="I474" s="683"/>
      <c r="J474" s="684"/>
      <c r="K474" s="683"/>
      <c r="L474" s="683"/>
      <c r="M474" s="323"/>
      <c r="N474" s="323"/>
    </row>
    <row r="475" spans="1:14">
      <c r="A475" s="1363"/>
      <c r="B475" s="197"/>
      <c r="C475" s="34" t="s">
        <v>1875</v>
      </c>
      <c r="D475" s="27"/>
      <c r="E475" s="327"/>
      <c r="F475" s="326"/>
      <c r="G475" s="326"/>
      <c r="H475" s="326"/>
      <c r="I475" s="326"/>
      <c r="J475" s="659"/>
      <c r="K475" s="326"/>
      <c r="L475" s="326"/>
      <c r="M475" s="326" t="s">
        <v>860</v>
      </c>
      <c r="N475" s="322"/>
    </row>
    <row r="476" spans="1:14" ht="54" hidden="1">
      <c r="A476" s="197">
        <v>1</v>
      </c>
      <c r="B476" s="197"/>
      <c r="C476" s="268" t="s">
        <v>1677</v>
      </c>
      <c r="D476" s="27" t="s">
        <v>113</v>
      </c>
      <c r="E476" s="123"/>
      <c r="F476" s="326"/>
      <c r="G476" s="326"/>
      <c r="H476" s="326"/>
      <c r="I476" s="326"/>
      <c r="J476" s="659"/>
      <c r="K476" s="326"/>
      <c r="L476" s="326"/>
      <c r="M476" s="326"/>
      <c r="N476" s="322"/>
    </row>
    <row r="477" spans="1:14" ht="56.25" hidden="1" customHeight="1">
      <c r="A477" s="197">
        <v>2</v>
      </c>
      <c r="B477" s="197"/>
      <c r="C477" s="268" t="s">
        <v>1718</v>
      </c>
      <c r="D477" s="27" t="s">
        <v>113</v>
      </c>
      <c r="E477" s="123"/>
      <c r="F477" s="326"/>
      <c r="G477" s="326"/>
      <c r="H477" s="326"/>
      <c r="I477" s="326"/>
      <c r="J477" s="659"/>
      <c r="K477" s="326"/>
      <c r="L477" s="326"/>
      <c r="M477" s="326"/>
      <c r="N477" s="322"/>
    </row>
    <row r="478" spans="1:14" ht="56.25" hidden="1" customHeight="1">
      <c r="A478" s="197"/>
      <c r="B478" s="197"/>
      <c r="C478" s="268" t="s">
        <v>1719</v>
      </c>
      <c r="D478" s="27" t="s">
        <v>113</v>
      </c>
      <c r="E478" s="123"/>
      <c r="F478" s="326"/>
      <c r="G478" s="326"/>
      <c r="H478" s="326"/>
      <c r="I478" s="326"/>
      <c r="J478" s="659"/>
      <c r="K478" s="326"/>
      <c r="L478" s="326"/>
      <c r="M478" s="326"/>
      <c r="N478" s="322"/>
    </row>
    <row r="479" spans="1:14">
      <c r="A479" s="1363">
        <v>1</v>
      </c>
      <c r="B479" s="197"/>
      <c r="C479" s="26" t="s">
        <v>461</v>
      </c>
      <c r="D479" s="27" t="s">
        <v>113</v>
      </c>
      <c r="E479" s="455">
        <v>6</v>
      </c>
      <c r="F479" s="326"/>
      <c r="G479" s="326"/>
      <c r="H479" s="326"/>
      <c r="I479" s="326"/>
      <c r="J479" s="659"/>
      <c r="K479" s="326"/>
      <c r="L479" s="326"/>
      <c r="M479" s="326"/>
      <c r="N479" s="322"/>
    </row>
    <row r="480" spans="1:14" hidden="1">
      <c r="A480" s="197">
        <v>4</v>
      </c>
      <c r="B480" s="197"/>
      <c r="C480" s="268" t="s">
        <v>1668</v>
      </c>
      <c r="D480" s="27" t="s">
        <v>113</v>
      </c>
      <c r="E480" s="123"/>
      <c r="F480" s="326"/>
      <c r="G480" s="326"/>
      <c r="H480" s="326"/>
      <c r="I480" s="326"/>
      <c r="J480" s="659"/>
      <c r="K480" s="326"/>
      <c r="L480" s="326"/>
      <c r="M480" s="326"/>
      <c r="N480" s="322"/>
    </row>
    <row r="481" spans="1:14" ht="15" hidden="1" customHeight="1">
      <c r="A481" s="197">
        <v>5</v>
      </c>
      <c r="B481" s="197"/>
      <c r="C481" s="268" t="s">
        <v>732</v>
      </c>
      <c r="D481" s="27" t="s">
        <v>113</v>
      </c>
      <c r="E481" s="123">
        <v>0</v>
      </c>
      <c r="F481" s="326"/>
      <c r="G481" s="326"/>
      <c r="H481" s="326"/>
      <c r="I481" s="326"/>
      <c r="J481" s="659"/>
      <c r="K481" s="326"/>
      <c r="L481" s="326"/>
      <c r="M481" s="326"/>
      <c r="N481" s="322"/>
    </row>
    <row r="482" spans="1:14">
      <c r="A482" s="1363">
        <v>2</v>
      </c>
      <c r="B482" s="197"/>
      <c r="C482" s="268" t="s">
        <v>1520</v>
      </c>
      <c r="D482" s="27" t="s">
        <v>113</v>
      </c>
      <c r="E482" s="455">
        <v>20</v>
      </c>
      <c r="F482" s="326"/>
      <c r="G482" s="326"/>
      <c r="H482" s="326"/>
      <c r="I482" s="326"/>
      <c r="J482" s="659"/>
      <c r="K482" s="326"/>
      <c r="L482" s="326"/>
      <c r="M482" s="326"/>
      <c r="N482" s="322"/>
    </row>
    <row r="483" spans="1:14" ht="17.25" hidden="1" customHeight="1">
      <c r="A483" s="197">
        <v>7</v>
      </c>
      <c r="B483" s="197"/>
      <c r="C483" s="268" t="s">
        <v>789</v>
      </c>
      <c r="D483" s="27" t="s">
        <v>113</v>
      </c>
      <c r="E483" s="123"/>
      <c r="F483" s="326"/>
      <c r="G483" s="326"/>
      <c r="H483" s="326"/>
      <c r="I483" s="326"/>
      <c r="J483" s="659"/>
      <c r="K483" s="326"/>
      <c r="L483" s="326"/>
      <c r="M483" s="326"/>
      <c r="N483" s="322"/>
    </row>
    <row r="484" spans="1:14" hidden="1">
      <c r="A484" s="197">
        <v>8</v>
      </c>
      <c r="B484" s="197"/>
      <c r="C484" s="268" t="s">
        <v>792</v>
      </c>
      <c r="D484" s="27" t="s">
        <v>113</v>
      </c>
      <c r="E484" s="123"/>
      <c r="F484" s="326"/>
      <c r="G484" s="326"/>
      <c r="H484" s="326"/>
      <c r="I484" s="326"/>
      <c r="J484" s="659"/>
      <c r="K484" s="326"/>
      <c r="L484" s="326"/>
      <c r="M484" s="326"/>
      <c r="N484" s="322"/>
    </row>
    <row r="485" spans="1:14" ht="27" hidden="1">
      <c r="A485" s="197">
        <v>9</v>
      </c>
      <c r="B485" s="197"/>
      <c r="C485" s="268" t="s">
        <v>464</v>
      </c>
      <c r="D485" s="27" t="s">
        <v>113</v>
      </c>
      <c r="E485" s="123"/>
      <c r="F485" s="326"/>
      <c r="G485" s="326"/>
      <c r="H485" s="326"/>
      <c r="I485" s="326"/>
      <c r="J485" s="659"/>
      <c r="K485" s="326"/>
      <c r="L485" s="326"/>
      <c r="M485" s="326"/>
      <c r="N485" s="322"/>
    </row>
    <row r="486" spans="1:14" ht="27">
      <c r="A486" s="1363">
        <v>3</v>
      </c>
      <c r="B486" s="197"/>
      <c r="C486" s="26" t="s">
        <v>465</v>
      </c>
      <c r="D486" s="27" t="s">
        <v>113</v>
      </c>
      <c r="E486" s="455">
        <v>8</v>
      </c>
      <c r="F486" s="326"/>
      <c r="G486" s="326"/>
      <c r="H486" s="326"/>
      <c r="I486" s="326"/>
      <c r="J486" s="659"/>
      <c r="K486" s="326"/>
      <c r="L486" s="326"/>
      <c r="M486" s="326"/>
      <c r="N486" s="322"/>
    </row>
    <row r="487" spans="1:14" ht="27">
      <c r="A487" s="1363">
        <v>4</v>
      </c>
      <c r="B487" s="197"/>
      <c r="C487" s="26" t="s">
        <v>466</v>
      </c>
      <c r="D487" s="27" t="s">
        <v>113</v>
      </c>
      <c r="E487" s="455">
        <v>10</v>
      </c>
      <c r="F487" s="326"/>
      <c r="G487" s="326"/>
      <c r="H487" s="326"/>
      <c r="I487" s="326"/>
      <c r="J487" s="659"/>
      <c r="K487" s="326"/>
      <c r="L487" s="326"/>
      <c r="M487" s="326"/>
      <c r="N487" s="322"/>
    </row>
    <row r="488" spans="1:14" ht="27" hidden="1">
      <c r="A488" s="197">
        <v>12</v>
      </c>
      <c r="B488" s="197"/>
      <c r="C488" s="26" t="s">
        <v>467</v>
      </c>
      <c r="D488" s="27" t="s">
        <v>113</v>
      </c>
      <c r="E488" s="123">
        <v>0</v>
      </c>
      <c r="F488" s="326"/>
      <c r="G488" s="326"/>
      <c r="H488" s="326"/>
      <c r="I488" s="326"/>
      <c r="J488" s="659"/>
      <c r="K488" s="326"/>
      <c r="L488" s="326"/>
      <c r="M488" s="326"/>
      <c r="N488" s="322"/>
    </row>
    <row r="489" spans="1:14" hidden="1">
      <c r="A489" s="197">
        <v>13</v>
      </c>
      <c r="B489" s="197"/>
      <c r="C489" s="260" t="s">
        <v>1317</v>
      </c>
      <c r="D489" s="27" t="s">
        <v>113</v>
      </c>
      <c r="E489" s="123"/>
      <c r="F489" s="326"/>
      <c r="G489" s="326"/>
      <c r="H489" s="326"/>
      <c r="I489" s="326"/>
      <c r="J489" s="659"/>
      <c r="K489" s="326"/>
      <c r="L489" s="326"/>
      <c r="M489" s="326"/>
      <c r="N489" s="322"/>
    </row>
    <row r="490" spans="1:14">
      <c r="A490" s="1363">
        <v>5</v>
      </c>
      <c r="B490" s="197"/>
      <c r="C490" s="260" t="s">
        <v>1521</v>
      </c>
      <c r="D490" s="27" t="s">
        <v>113</v>
      </c>
      <c r="E490" s="455">
        <v>60</v>
      </c>
      <c r="F490" s="326"/>
      <c r="G490" s="326"/>
      <c r="H490" s="326"/>
      <c r="I490" s="326"/>
      <c r="J490" s="659"/>
      <c r="K490" s="326"/>
      <c r="L490" s="326"/>
      <c r="M490" s="326"/>
      <c r="N490" s="322"/>
    </row>
    <row r="491" spans="1:14" hidden="1">
      <c r="A491" s="197">
        <v>15</v>
      </c>
      <c r="B491" s="197"/>
      <c r="C491" s="260" t="s">
        <v>469</v>
      </c>
      <c r="D491" s="27" t="s">
        <v>113</v>
      </c>
      <c r="E491" s="123"/>
      <c r="F491" s="326"/>
      <c r="G491" s="326"/>
      <c r="H491" s="326"/>
      <c r="I491" s="326"/>
      <c r="J491" s="659"/>
      <c r="K491" s="326"/>
      <c r="L491" s="326"/>
      <c r="M491" s="326"/>
      <c r="N491" s="322"/>
    </row>
    <row r="492" spans="1:14" ht="30" customHeight="1">
      <c r="A492" s="1363">
        <v>6</v>
      </c>
      <c r="B492" s="197"/>
      <c r="C492" s="26" t="s">
        <v>1608</v>
      </c>
      <c r="D492" s="29" t="s">
        <v>124</v>
      </c>
      <c r="E492" s="455">
        <v>100</v>
      </c>
      <c r="F492" s="326"/>
      <c r="G492" s="326"/>
      <c r="H492" s="326"/>
      <c r="I492" s="326"/>
      <c r="J492" s="659"/>
      <c r="K492" s="326"/>
      <c r="L492" s="326"/>
      <c r="M492" s="326"/>
      <c r="N492" s="322"/>
    </row>
    <row r="493" spans="1:14" ht="27">
      <c r="A493" s="1363">
        <v>7</v>
      </c>
      <c r="B493" s="197"/>
      <c r="C493" s="26" t="s">
        <v>1609</v>
      </c>
      <c r="D493" s="29" t="s">
        <v>124</v>
      </c>
      <c r="E493" s="455">
        <v>50</v>
      </c>
      <c r="F493" s="326"/>
      <c r="G493" s="326"/>
      <c r="H493" s="326"/>
      <c r="I493" s="326"/>
      <c r="J493" s="659"/>
      <c r="K493" s="326"/>
      <c r="L493" s="326"/>
      <c r="M493" s="326"/>
      <c r="N493" s="322"/>
    </row>
    <row r="494" spans="1:14" ht="27" hidden="1">
      <c r="A494" s="197">
        <v>18</v>
      </c>
      <c r="B494" s="197"/>
      <c r="C494" s="26" t="s">
        <v>799</v>
      </c>
      <c r="D494" s="29" t="s">
        <v>124</v>
      </c>
      <c r="E494" s="123">
        <f>'eleqt, sant'!E20</f>
        <v>0</v>
      </c>
      <c r="F494" s="326"/>
      <c r="G494" s="326"/>
      <c r="H494" s="326"/>
      <c r="I494" s="326"/>
      <c r="J494" s="659"/>
      <c r="K494" s="326"/>
      <c r="L494" s="326"/>
      <c r="M494" s="326"/>
      <c r="N494" s="322"/>
    </row>
    <row r="495" spans="1:14" ht="27" hidden="1">
      <c r="A495" s="197">
        <v>19</v>
      </c>
      <c r="B495" s="197"/>
      <c r="C495" s="26" t="s">
        <v>1270</v>
      </c>
      <c r="D495" s="29" t="s">
        <v>124</v>
      </c>
      <c r="E495" s="123">
        <f>'eleqt, sant'!E21</f>
        <v>0</v>
      </c>
      <c r="F495" s="326"/>
      <c r="G495" s="326"/>
      <c r="H495" s="326"/>
      <c r="I495" s="326"/>
      <c r="J495" s="659"/>
      <c r="K495" s="326"/>
      <c r="L495" s="326"/>
      <c r="M495" s="326"/>
      <c r="N495" s="322"/>
    </row>
    <row r="496" spans="1:14" ht="27" hidden="1">
      <c r="A496" s="197">
        <v>20</v>
      </c>
      <c r="B496" s="197"/>
      <c r="C496" s="26" t="s">
        <v>1269</v>
      </c>
      <c r="D496" s="29" t="s">
        <v>124</v>
      </c>
      <c r="E496" s="123"/>
      <c r="F496" s="326"/>
      <c r="G496" s="326"/>
      <c r="H496" s="326"/>
      <c r="I496" s="326"/>
      <c r="J496" s="659"/>
      <c r="K496" s="326"/>
      <c r="L496" s="326"/>
      <c r="M496" s="326"/>
      <c r="N496" s="322"/>
    </row>
    <row r="497" spans="1:14" ht="27" hidden="1">
      <c r="A497" s="197">
        <v>21</v>
      </c>
      <c r="B497" s="197"/>
      <c r="C497" s="26" t="s">
        <v>1268</v>
      </c>
      <c r="D497" s="29" t="s">
        <v>124</v>
      </c>
      <c r="E497" s="123">
        <f>'eleqt, sant'!E23</f>
        <v>0</v>
      </c>
      <c r="F497" s="326"/>
      <c r="G497" s="326"/>
      <c r="H497" s="326"/>
      <c r="I497" s="326"/>
      <c r="J497" s="659"/>
      <c r="K497" s="326"/>
      <c r="L497" s="326"/>
      <c r="M497" s="326"/>
      <c r="N497" s="322"/>
    </row>
    <row r="498" spans="1:14" ht="27" hidden="1">
      <c r="A498" s="197"/>
      <c r="B498" s="197"/>
      <c r="C498" s="26" t="s">
        <v>1676</v>
      </c>
      <c r="D498" s="29" t="s">
        <v>124</v>
      </c>
      <c r="E498" s="123"/>
      <c r="F498" s="326"/>
      <c r="G498" s="326"/>
      <c r="H498" s="326"/>
      <c r="I498" s="326"/>
      <c r="J498" s="659"/>
      <c r="K498" s="326"/>
      <c r="L498" s="326"/>
      <c r="M498" s="326"/>
      <c r="N498" s="322"/>
    </row>
    <row r="499" spans="1:14" hidden="1">
      <c r="A499" s="197">
        <v>22</v>
      </c>
      <c r="B499" s="197"/>
      <c r="C499" s="26" t="s">
        <v>800</v>
      </c>
      <c r="D499" s="29" t="s">
        <v>124</v>
      </c>
      <c r="E499" s="123">
        <f>'eleqt, sant'!E23</f>
        <v>0</v>
      </c>
      <c r="F499" s="326"/>
      <c r="G499" s="326"/>
      <c r="H499" s="326"/>
      <c r="I499" s="326"/>
      <c r="J499" s="659"/>
      <c r="K499" s="326"/>
      <c r="L499" s="326"/>
      <c r="M499" s="326"/>
      <c r="N499" s="322"/>
    </row>
    <row r="500" spans="1:14" hidden="1">
      <c r="A500" s="197">
        <v>23</v>
      </c>
      <c r="B500" s="197"/>
      <c r="C500" s="26" t="s">
        <v>801</v>
      </c>
      <c r="D500" s="29" t="s">
        <v>124</v>
      </c>
      <c r="E500" s="123"/>
      <c r="F500" s="326"/>
      <c r="G500" s="326"/>
      <c r="H500" s="326"/>
      <c r="I500" s="326"/>
      <c r="J500" s="659"/>
      <c r="K500" s="326"/>
      <c r="L500" s="326"/>
      <c r="M500" s="326"/>
      <c r="N500" s="322"/>
    </row>
    <row r="501" spans="1:14" hidden="1">
      <c r="A501" s="197">
        <v>24</v>
      </c>
      <c r="B501" s="197"/>
      <c r="C501" s="26" t="s">
        <v>1674</v>
      </c>
      <c r="D501" s="29" t="s">
        <v>124</v>
      </c>
      <c r="E501" s="123"/>
      <c r="F501" s="326"/>
      <c r="G501" s="326"/>
      <c r="H501" s="326"/>
      <c r="I501" s="326"/>
      <c r="J501" s="659"/>
      <c r="K501" s="326"/>
      <c r="L501" s="326"/>
      <c r="M501" s="326"/>
      <c r="N501" s="322"/>
    </row>
    <row r="502" spans="1:14" hidden="1">
      <c r="A502" s="197">
        <v>25</v>
      </c>
      <c r="B502" s="197"/>
      <c r="C502" s="26" t="s">
        <v>902</v>
      </c>
      <c r="D502" s="29" t="s">
        <v>113</v>
      </c>
      <c r="E502" s="123">
        <v>0</v>
      </c>
      <c r="F502" s="326"/>
      <c r="G502" s="326"/>
      <c r="H502" s="326"/>
      <c r="I502" s="326"/>
      <c r="J502" s="659"/>
      <c r="K502" s="326"/>
      <c r="L502" s="326"/>
      <c r="M502" s="326"/>
      <c r="N502" s="322"/>
    </row>
    <row r="503" spans="1:14" hidden="1">
      <c r="A503" s="197">
        <v>26</v>
      </c>
      <c r="B503" s="197"/>
      <c r="C503" s="26" t="s">
        <v>478</v>
      </c>
      <c r="D503" s="29" t="s">
        <v>124</v>
      </c>
      <c r="E503" s="123"/>
      <c r="F503" s="326"/>
      <c r="G503" s="326"/>
      <c r="H503" s="326"/>
      <c r="I503" s="326"/>
      <c r="J503" s="659"/>
      <c r="K503" s="326"/>
      <c r="L503" s="326"/>
      <c r="M503" s="326"/>
      <c r="N503" s="322"/>
    </row>
    <row r="504" spans="1:14" hidden="1">
      <c r="A504" s="197">
        <v>27</v>
      </c>
      <c r="B504" s="197"/>
      <c r="C504" s="26" t="s">
        <v>475</v>
      </c>
      <c r="D504" s="29" t="s">
        <v>124</v>
      </c>
      <c r="E504" s="123"/>
      <c r="F504" s="326"/>
      <c r="G504" s="326"/>
      <c r="H504" s="326"/>
      <c r="I504" s="326"/>
      <c r="J504" s="659"/>
      <c r="K504" s="326"/>
      <c r="L504" s="326"/>
      <c r="M504" s="326"/>
      <c r="N504" s="322"/>
    </row>
    <row r="505" spans="1:14" hidden="1">
      <c r="A505" s="197">
        <v>28</v>
      </c>
      <c r="B505" s="197"/>
      <c r="C505" s="100" t="s">
        <v>476</v>
      </c>
      <c r="D505" s="29" t="s">
        <v>124</v>
      </c>
      <c r="E505" s="123"/>
      <c r="F505" s="326"/>
      <c r="G505" s="326"/>
      <c r="H505" s="326"/>
      <c r="I505" s="326"/>
      <c r="J505" s="659"/>
      <c r="K505" s="326"/>
      <c r="L505" s="326"/>
      <c r="M505" s="326"/>
      <c r="N505" s="322"/>
    </row>
    <row r="506" spans="1:14">
      <c r="A506" s="1363"/>
      <c r="B506" s="197"/>
      <c r="C506" s="113" t="s">
        <v>110</v>
      </c>
      <c r="D506" s="97"/>
      <c r="E506" s="327"/>
      <c r="F506" s="326"/>
      <c r="G506" s="326"/>
      <c r="H506" s="326"/>
      <c r="I506" s="326"/>
      <c r="J506" s="659"/>
      <c r="K506" s="326"/>
      <c r="L506" s="326"/>
      <c r="M506" s="323"/>
      <c r="N506" s="322"/>
    </row>
    <row r="507" spans="1:14">
      <c r="A507" s="1363"/>
      <c r="B507" s="197"/>
      <c r="C507" s="109" t="s">
        <v>458</v>
      </c>
      <c r="D507" s="320" t="s">
        <v>457</v>
      </c>
      <c r="E507" s="685">
        <v>75</v>
      </c>
      <c r="F507" s="326"/>
      <c r="G507" s="326"/>
      <c r="H507" s="326"/>
      <c r="I507" s="326"/>
      <c r="J507" s="659"/>
      <c r="K507" s="326"/>
      <c r="L507" s="326"/>
      <c r="M507" s="323"/>
      <c r="N507" s="322"/>
    </row>
    <row r="508" spans="1:14">
      <c r="A508" s="1363"/>
      <c r="B508" s="197"/>
      <c r="C508" s="30" t="s">
        <v>359</v>
      </c>
      <c r="D508" s="97"/>
      <c r="E508" s="327"/>
      <c r="F508" s="326"/>
      <c r="G508" s="326"/>
      <c r="H508" s="326"/>
      <c r="I508" s="326"/>
      <c r="J508" s="659"/>
      <c r="K508" s="326"/>
      <c r="L508" s="326"/>
      <c r="M508" s="323"/>
      <c r="N508" s="322"/>
    </row>
    <row r="509" spans="1:14">
      <c r="A509" s="1363"/>
      <c r="B509" s="197"/>
      <c r="C509" s="110" t="s">
        <v>116</v>
      </c>
      <c r="D509" s="320" t="s">
        <v>457</v>
      </c>
      <c r="E509" s="685">
        <v>8</v>
      </c>
      <c r="F509" s="326"/>
      <c r="G509" s="326"/>
      <c r="H509" s="326"/>
      <c r="I509" s="326"/>
      <c r="J509" s="659"/>
      <c r="K509" s="326"/>
      <c r="L509" s="326"/>
      <c r="M509" s="323"/>
      <c r="N509" s="322"/>
    </row>
    <row r="510" spans="1:14">
      <c r="A510" s="1363"/>
      <c r="B510" s="197"/>
      <c r="C510" s="170" t="s">
        <v>1882</v>
      </c>
      <c r="D510" s="24"/>
      <c r="E510" s="327"/>
      <c r="F510" s="326"/>
      <c r="G510" s="683"/>
      <c r="H510" s="683"/>
      <c r="I510" s="683"/>
      <c r="J510" s="684"/>
      <c r="K510" s="683"/>
      <c r="L510" s="683"/>
      <c r="M510" s="323"/>
      <c r="N510" s="322"/>
    </row>
    <row r="511" spans="1:14" hidden="1">
      <c r="A511" s="197"/>
      <c r="B511" s="197"/>
      <c r="C511" s="34" t="s">
        <v>1427</v>
      </c>
      <c r="D511" s="24"/>
      <c r="E511" s="892">
        <v>0</v>
      </c>
      <c r="F511" s="326"/>
      <c r="G511" s="326"/>
      <c r="H511" s="326"/>
      <c r="I511" s="326"/>
      <c r="J511" s="659"/>
      <c r="K511" s="326"/>
      <c r="L511" s="326"/>
      <c r="M511" s="326" t="s">
        <v>860</v>
      </c>
      <c r="N511" s="322"/>
    </row>
    <row r="512" spans="1:14" hidden="1">
      <c r="A512" s="24">
        <v>1</v>
      </c>
      <c r="B512" s="24"/>
      <c r="C512" s="260" t="s">
        <v>519</v>
      </c>
      <c r="D512" s="24" t="s">
        <v>437</v>
      </c>
      <c r="E512" s="123">
        <f>E511*14</f>
        <v>0</v>
      </c>
      <c r="F512" s="326"/>
      <c r="G512" s="326"/>
      <c r="H512" s="326"/>
      <c r="I512" s="326"/>
      <c r="J512" s="659"/>
      <c r="K512" s="326"/>
      <c r="L512" s="326"/>
      <c r="M512" s="326"/>
      <c r="N512" s="322"/>
    </row>
    <row r="513" spans="1:14" hidden="1">
      <c r="A513" s="24">
        <v>2</v>
      </c>
      <c r="B513" s="24"/>
      <c r="C513" s="260" t="s">
        <v>1282</v>
      </c>
      <c r="D513" s="24" t="s">
        <v>437</v>
      </c>
      <c r="E513" s="123">
        <f>E511*5.3</f>
        <v>0</v>
      </c>
      <c r="F513" s="687"/>
      <c r="G513" s="326"/>
      <c r="H513" s="326"/>
      <c r="I513" s="326"/>
      <c r="J513" s="659"/>
      <c r="K513" s="326"/>
      <c r="L513" s="326"/>
      <c r="M513" s="326"/>
      <c r="N513" s="322"/>
    </row>
    <row r="514" spans="1:14" hidden="1">
      <c r="A514" s="24">
        <v>3</v>
      </c>
      <c r="B514" s="24"/>
      <c r="C514" s="260" t="s">
        <v>1042</v>
      </c>
      <c r="D514" s="24" t="s">
        <v>437</v>
      </c>
      <c r="E514" s="123">
        <f>E511*8.7</f>
        <v>0</v>
      </c>
      <c r="F514" s="687"/>
      <c r="G514" s="326"/>
      <c r="H514" s="326"/>
      <c r="I514" s="326"/>
      <c r="J514" s="659"/>
      <c r="K514" s="326"/>
      <c r="L514" s="326"/>
      <c r="M514" s="326"/>
      <c r="N514" s="322"/>
    </row>
    <row r="515" spans="1:14" hidden="1">
      <c r="A515" s="24">
        <v>4</v>
      </c>
      <c r="B515" s="24"/>
      <c r="C515" s="26" t="s">
        <v>895</v>
      </c>
      <c r="D515" s="24" t="s">
        <v>437</v>
      </c>
      <c r="E515" s="123">
        <f>E511*8.7</f>
        <v>0</v>
      </c>
      <c r="F515" s="687"/>
      <c r="G515" s="326"/>
      <c r="H515" s="326"/>
      <c r="I515" s="326"/>
      <c r="J515" s="659"/>
      <c r="K515" s="326"/>
      <c r="L515" s="326"/>
      <c r="M515" s="326"/>
      <c r="N515" s="322"/>
    </row>
    <row r="516" spans="1:14" hidden="1">
      <c r="A516" s="24">
        <v>5</v>
      </c>
      <c r="B516" s="24"/>
      <c r="C516" s="26" t="s">
        <v>500</v>
      </c>
      <c r="D516" s="24" t="s">
        <v>437</v>
      </c>
      <c r="E516" s="123">
        <f>E511*1.2</f>
        <v>0</v>
      </c>
      <c r="F516" s="326"/>
      <c r="G516" s="326"/>
      <c r="H516" s="326"/>
      <c r="I516" s="326"/>
      <c r="J516" s="659"/>
      <c r="K516" s="326"/>
      <c r="L516" s="326"/>
      <c r="M516" s="326"/>
      <c r="N516" s="322"/>
    </row>
    <row r="517" spans="1:14" hidden="1">
      <c r="A517" s="24">
        <v>6</v>
      </c>
      <c r="B517" s="24"/>
      <c r="C517" s="127" t="s">
        <v>1283</v>
      </c>
      <c r="D517" s="24" t="s">
        <v>437</v>
      </c>
      <c r="E517" s="123">
        <f>E511*1</f>
        <v>0</v>
      </c>
      <c r="F517" s="326"/>
      <c r="G517" s="326"/>
      <c r="H517" s="326"/>
      <c r="I517" s="326"/>
      <c r="J517" s="659"/>
      <c r="K517" s="326"/>
      <c r="L517" s="326"/>
      <c r="M517" s="326"/>
      <c r="N517" s="322"/>
    </row>
    <row r="518" spans="1:14" ht="27" hidden="1">
      <c r="A518" s="24">
        <v>7</v>
      </c>
      <c r="B518" s="24"/>
      <c r="C518" s="26" t="s">
        <v>1079</v>
      </c>
      <c r="D518" s="24" t="s">
        <v>437</v>
      </c>
      <c r="E518" s="123">
        <f>E511*2.3</f>
        <v>0</v>
      </c>
      <c r="F518" s="326"/>
      <c r="G518" s="326"/>
      <c r="H518" s="326"/>
      <c r="I518" s="326"/>
      <c r="J518" s="659"/>
      <c r="K518" s="326"/>
      <c r="L518" s="326"/>
      <c r="M518" s="326"/>
      <c r="N518" s="322"/>
    </row>
    <row r="519" spans="1:14" hidden="1">
      <c r="A519" s="24">
        <v>8</v>
      </c>
      <c r="B519" s="24"/>
      <c r="C519" s="260" t="s">
        <v>501</v>
      </c>
      <c r="D519" s="27" t="s">
        <v>114</v>
      </c>
      <c r="E519" s="123">
        <f>E511*0.241</f>
        <v>0</v>
      </c>
      <c r="F519" s="326"/>
      <c r="G519" s="326"/>
      <c r="H519" s="326"/>
      <c r="I519" s="326"/>
      <c r="J519" s="659"/>
      <c r="K519" s="326"/>
      <c r="L519" s="326"/>
      <c r="M519" s="326"/>
      <c r="N519" s="322"/>
    </row>
    <row r="520" spans="1:14" s="672" customFormat="1" hidden="1">
      <c r="A520" s="24">
        <v>9</v>
      </c>
      <c r="B520" s="24"/>
      <c r="C520" s="100" t="s">
        <v>884</v>
      </c>
      <c r="D520" s="27" t="s">
        <v>114</v>
      </c>
      <c r="E520" s="884">
        <f>E511*0.014</f>
        <v>0</v>
      </c>
      <c r="F520" s="326"/>
      <c r="G520" s="326"/>
      <c r="H520" s="326"/>
      <c r="I520" s="326"/>
      <c r="J520" s="659"/>
      <c r="K520" s="326"/>
      <c r="L520" s="326"/>
      <c r="M520" s="326"/>
      <c r="N520" s="323"/>
    </row>
    <row r="521" spans="1:14" ht="27" hidden="1">
      <c r="A521" s="24">
        <v>10</v>
      </c>
      <c r="B521" s="24"/>
      <c r="C521" s="26" t="s">
        <v>1267</v>
      </c>
      <c r="D521" s="24" t="s">
        <v>437</v>
      </c>
      <c r="E521" s="123"/>
      <c r="F521" s="326"/>
      <c r="G521" s="326"/>
      <c r="H521" s="326"/>
      <c r="I521" s="326"/>
      <c r="J521" s="659"/>
      <c r="K521" s="326"/>
      <c r="L521" s="326"/>
      <c r="M521" s="326"/>
      <c r="N521" s="322"/>
    </row>
    <row r="522" spans="1:14" hidden="1">
      <c r="A522" s="24">
        <v>11</v>
      </c>
      <c r="B522" s="24"/>
      <c r="C522" s="260" t="s">
        <v>501</v>
      </c>
      <c r="D522" s="27" t="s">
        <v>114</v>
      </c>
      <c r="E522" s="123"/>
      <c r="F522" s="326"/>
      <c r="G522" s="326"/>
      <c r="H522" s="326"/>
      <c r="I522" s="326"/>
      <c r="J522" s="659"/>
      <c r="K522" s="326"/>
      <c r="L522" s="326"/>
      <c r="M522" s="326"/>
      <c r="N522" s="322"/>
    </row>
    <row r="523" spans="1:14" ht="27" hidden="1">
      <c r="A523" s="24">
        <v>12</v>
      </c>
      <c r="B523" s="24"/>
      <c r="C523" s="26" t="s">
        <v>1019</v>
      </c>
      <c r="D523" s="24" t="s">
        <v>112</v>
      </c>
      <c r="E523" s="123">
        <f>E511*2.88</f>
        <v>0</v>
      </c>
      <c r="F523" s="326"/>
      <c r="G523" s="326"/>
      <c r="H523" s="326"/>
      <c r="I523" s="326"/>
      <c r="J523" s="659"/>
      <c r="K523" s="326"/>
      <c r="L523" s="326"/>
      <c r="M523" s="326"/>
      <c r="N523" s="322"/>
    </row>
    <row r="524" spans="1:14" s="672" customFormat="1" ht="27" hidden="1">
      <c r="A524" s="24">
        <v>13</v>
      </c>
      <c r="B524" s="24"/>
      <c r="C524" s="26" t="s">
        <v>1451</v>
      </c>
      <c r="D524" s="24" t="s">
        <v>437</v>
      </c>
      <c r="E524" s="123">
        <f>E511*0.44</f>
        <v>0</v>
      </c>
      <c r="F524" s="326"/>
      <c r="G524" s="326"/>
      <c r="H524" s="326"/>
      <c r="I524" s="326"/>
      <c r="J524" s="659"/>
      <c r="K524" s="326"/>
      <c r="L524" s="326"/>
      <c r="M524" s="326"/>
      <c r="N524" s="323"/>
    </row>
    <row r="525" spans="1:14" s="672" customFormat="1" hidden="1">
      <c r="A525" s="24">
        <v>14</v>
      </c>
      <c r="B525" s="24"/>
      <c r="C525" s="100" t="s">
        <v>501</v>
      </c>
      <c r="D525" s="27" t="s">
        <v>114</v>
      </c>
      <c r="E525" s="123">
        <f>E511*0.07</f>
        <v>0</v>
      </c>
      <c r="F525" s="326"/>
      <c r="G525" s="326"/>
      <c r="H525" s="326"/>
      <c r="I525" s="326"/>
      <c r="J525" s="659"/>
      <c r="K525" s="326"/>
      <c r="L525" s="326"/>
      <c r="M525" s="326"/>
      <c r="N525" s="323"/>
    </row>
    <row r="526" spans="1:14" s="672" customFormat="1" hidden="1">
      <c r="A526" s="24">
        <v>15</v>
      </c>
      <c r="B526" s="24"/>
      <c r="C526" s="100" t="s">
        <v>884</v>
      </c>
      <c r="D526" s="27" t="s">
        <v>114</v>
      </c>
      <c r="E526" s="123">
        <f>E511*0.01</f>
        <v>0</v>
      </c>
      <c r="F526" s="326"/>
      <c r="G526" s="326"/>
      <c r="H526" s="326"/>
      <c r="I526" s="326"/>
      <c r="J526" s="659"/>
      <c r="K526" s="326"/>
      <c r="L526" s="326"/>
      <c r="M526" s="326"/>
      <c r="N526" s="323"/>
    </row>
    <row r="527" spans="1:14" ht="27" hidden="1">
      <c r="A527" s="24">
        <v>16</v>
      </c>
      <c r="B527" s="24"/>
      <c r="C527" s="26" t="s">
        <v>1452</v>
      </c>
      <c r="D527" s="24" t="s">
        <v>437</v>
      </c>
      <c r="E527" s="123">
        <f>E511*0.6</f>
        <v>0</v>
      </c>
      <c r="F527" s="326"/>
      <c r="G527" s="326"/>
      <c r="H527" s="326"/>
      <c r="I527" s="326"/>
      <c r="J527" s="659"/>
      <c r="K527" s="326"/>
      <c r="L527" s="326"/>
      <c r="M527" s="326"/>
      <c r="N527" s="322"/>
    </row>
    <row r="528" spans="1:14" hidden="1">
      <c r="A528" s="24">
        <v>17</v>
      </c>
      <c r="B528" s="24"/>
      <c r="C528" s="260" t="s">
        <v>501</v>
      </c>
      <c r="D528" s="27" t="s">
        <v>114</v>
      </c>
      <c r="E528" s="123">
        <f>E511*0.1</f>
        <v>0</v>
      </c>
      <c r="F528" s="326"/>
      <c r="G528" s="326"/>
      <c r="H528" s="326"/>
      <c r="I528" s="326"/>
      <c r="J528" s="659"/>
      <c r="K528" s="326"/>
      <c r="L528" s="326"/>
      <c r="M528" s="326"/>
      <c r="N528" s="322"/>
    </row>
    <row r="529" spans="1:14" s="672" customFormat="1" hidden="1">
      <c r="A529" s="24">
        <v>18</v>
      </c>
      <c r="B529" s="24"/>
      <c r="C529" s="100" t="s">
        <v>884</v>
      </c>
      <c r="D529" s="27" t="s">
        <v>114</v>
      </c>
      <c r="E529" s="123">
        <f>E511*0.03</f>
        <v>0</v>
      </c>
      <c r="F529" s="326"/>
      <c r="G529" s="326"/>
      <c r="H529" s="326"/>
      <c r="I529" s="326"/>
      <c r="J529" s="659"/>
      <c r="K529" s="326"/>
      <c r="L529" s="326"/>
      <c r="M529" s="326"/>
      <c r="N529" s="323"/>
    </row>
    <row r="530" spans="1:14" ht="27" hidden="1">
      <c r="A530" s="24">
        <v>19</v>
      </c>
      <c r="B530" s="24"/>
      <c r="C530" s="26" t="s">
        <v>998</v>
      </c>
      <c r="D530" s="24" t="s">
        <v>437</v>
      </c>
      <c r="E530" s="123">
        <f>E511*6.3</f>
        <v>0</v>
      </c>
      <c r="F530" s="326"/>
      <c r="G530" s="326"/>
      <c r="H530" s="326"/>
      <c r="I530" s="326"/>
      <c r="J530" s="659"/>
      <c r="K530" s="326"/>
      <c r="L530" s="326"/>
      <c r="M530" s="326"/>
      <c r="N530" s="322"/>
    </row>
    <row r="531" spans="1:14" hidden="1">
      <c r="A531" s="24">
        <v>20</v>
      </c>
      <c r="B531" s="24"/>
      <c r="C531" s="754" t="s">
        <v>502</v>
      </c>
      <c r="D531" s="24" t="s">
        <v>437</v>
      </c>
      <c r="E531" s="123">
        <f>E511*0.41</f>
        <v>0</v>
      </c>
      <c r="F531" s="326"/>
      <c r="G531" s="326"/>
      <c r="H531" s="326"/>
      <c r="I531" s="326"/>
      <c r="J531" s="659"/>
      <c r="K531" s="326"/>
      <c r="L531" s="326"/>
      <c r="M531" s="326"/>
      <c r="N531" s="322"/>
    </row>
    <row r="532" spans="1:14" hidden="1">
      <c r="A532" s="24">
        <v>21</v>
      </c>
      <c r="B532" s="24"/>
      <c r="C532" s="26" t="s">
        <v>503</v>
      </c>
      <c r="D532" s="24" t="s">
        <v>437</v>
      </c>
      <c r="E532" s="123">
        <f>E511*0.41</f>
        <v>0</v>
      </c>
      <c r="F532" s="326"/>
      <c r="G532" s="326"/>
      <c r="H532" s="326"/>
      <c r="I532" s="326"/>
      <c r="J532" s="659"/>
      <c r="K532" s="326"/>
      <c r="L532" s="326"/>
      <c r="M532" s="326"/>
      <c r="N532" s="322"/>
    </row>
    <row r="533" spans="1:14" ht="27" hidden="1">
      <c r="A533" s="24">
        <v>22</v>
      </c>
      <c r="B533" s="24"/>
      <c r="C533" s="754" t="s">
        <v>1021</v>
      </c>
      <c r="D533" s="24" t="s">
        <v>112</v>
      </c>
      <c r="E533" s="123">
        <f>E511*18</f>
        <v>0</v>
      </c>
      <c r="F533" s="326"/>
      <c r="G533" s="326"/>
      <c r="H533" s="326"/>
      <c r="I533" s="326"/>
      <c r="J533" s="659"/>
      <c r="K533" s="326"/>
      <c r="L533" s="326"/>
      <c r="M533" s="326"/>
      <c r="N533" s="322"/>
    </row>
    <row r="534" spans="1:14" hidden="1">
      <c r="A534" s="24">
        <v>23</v>
      </c>
      <c r="B534" s="24"/>
      <c r="C534" s="26" t="s">
        <v>385</v>
      </c>
      <c r="D534" s="24" t="s">
        <v>112</v>
      </c>
      <c r="E534" s="123">
        <f>E511*18</f>
        <v>0</v>
      </c>
      <c r="F534" s="326"/>
      <c r="G534" s="326"/>
      <c r="H534" s="326"/>
      <c r="I534" s="326"/>
      <c r="J534" s="659"/>
      <c r="K534" s="326"/>
      <c r="L534" s="326"/>
      <c r="M534" s="326"/>
      <c r="N534" s="322"/>
    </row>
    <row r="535" spans="1:14" hidden="1">
      <c r="A535" s="24">
        <v>24</v>
      </c>
      <c r="B535" s="24"/>
      <c r="C535" s="26" t="s">
        <v>386</v>
      </c>
      <c r="D535" s="24" t="s">
        <v>112</v>
      </c>
      <c r="E535" s="123">
        <f>E511*18</f>
        <v>0</v>
      </c>
      <c r="F535" s="326"/>
      <c r="G535" s="326"/>
      <c r="H535" s="326"/>
      <c r="I535" s="326"/>
      <c r="J535" s="659"/>
      <c r="K535" s="326"/>
      <c r="L535" s="326"/>
      <c r="M535" s="326"/>
      <c r="N535" s="322"/>
    </row>
    <row r="536" spans="1:14" s="672" customFormat="1" hidden="1">
      <c r="A536" s="24">
        <v>25</v>
      </c>
      <c r="B536" s="24"/>
      <c r="C536" s="26" t="s">
        <v>1584</v>
      </c>
      <c r="D536" s="24" t="s">
        <v>78</v>
      </c>
      <c r="E536" s="123">
        <f>E511*21</f>
        <v>0</v>
      </c>
      <c r="F536" s="326"/>
      <c r="G536" s="326"/>
      <c r="H536" s="326"/>
      <c r="I536" s="326"/>
      <c r="J536" s="659"/>
      <c r="K536" s="326"/>
      <c r="L536" s="326"/>
      <c r="M536" s="326"/>
      <c r="N536" s="323"/>
    </row>
    <row r="537" spans="1:14" s="672" customFormat="1" hidden="1">
      <c r="A537" s="24">
        <v>26</v>
      </c>
      <c r="B537" s="24"/>
      <c r="C537" s="84" t="s">
        <v>1022</v>
      </c>
      <c r="D537" s="83" t="s">
        <v>78</v>
      </c>
      <c r="E537" s="123">
        <v>0</v>
      </c>
      <c r="F537" s="326"/>
      <c r="G537" s="326"/>
      <c r="H537" s="326"/>
      <c r="I537" s="326"/>
      <c r="J537" s="659"/>
      <c r="K537" s="326"/>
      <c r="L537" s="326"/>
      <c r="M537" s="326"/>
      <c r="N537" s="323"/>
    </row>
    <row r="538" spans="1:14" ht="27.75" hidden="1" customHeight="1">
      <c r="A538" s="24">
        <v>27</v>
      </c>
      <c r="B538" s="24"/>
      <c r="C538" s="26" t="s">
        <v>1311</v>
      </c>
      <c r="D538" s="24" t="s">
        <v>112</v>
      </c>
      <c r="E538" s="123">
        <f>E511*18</f>
        <v>0</v>
      </c>
      <c r="F538" s="326"/>
      <c r="G538" s="326"/>
      <c r="H538" s="326"/>
      <c r="I538" s="326"/>
      <c r="J538" s="659"/>
      <c r="K538" s="326"/>
      <c r="L538" s="326"/>
      <c r="M538" s="326"/>
      <c r="N538" s="322"/>
    </row>
    <row r="539" spans="1:14" hidden="1">
      <c r="A539" s="24">
        <v>28</v>
      </c>
      <c r="B539" s="24"/>
      <c r="C539" s="26" t="s">
        <v>1023</v>
      </c>
      <c r="D539" s="24" t="s">
        <v>112</v>
      </c>
      <c r="E539" s="123">
        <f>E511*0.28</f>
        <v>0</v>
      </c>
      <c r="F539" s="326"/>
      <c r="G539" s="326"/>
      <c r="H539" s="326"/>
      <c r="I539" s="326"/>
      <c r="J539" s="659"/>
      <c r="K539" s="326"/>
      <c r="L539" s="326"/>
      <c r="M539" s="326"/>
      <c r="N539" s="322"/>
    </row>
    <row r="540" spans="1:14" hidden="1">
      <c r="A540" s="24">
        <v>29</v>
      </c>
      <c r="B540" s="24"/>
      <c r="C540" s="26" t="s">
        <v>1024</v>
      </c>
      <c r="D540" s="27" t="s">
        <v>113</v>
      </c>
      <c r="E540" s="123"/>
      <c r="F540" s="326"/>
      <c r="G540" s="326"/>
      <c r="H540" s="326"/>
      <c r="I540" s="326"/>
      <c r="J540" s="659"/>
      <c r="K540" s="326"/>
      <c r="L540" s="326"/>
      <c r="M540" s="326"/>
      <c r="N540" s="322"/>
    </row>
    <row r="541" spans="1:14" ht="27" hidden="1">
      <c r="A541" s="24">
        <v>30</v>
      </c>
      <c r="B541" s="24"/>
      <c r="C541" s="26" t="s">
        <v>1025</v>
      </c>
      <c r="D541" s="24" t="s">
        <v>112</v>
      </c>
      <c r="E541" s="123"/>
      <c r="F541" s="326"/>
      <c r="G541" s="326"/>
      <c r="H541" s="326"/>
      <c r="I541" s="326"/>
      <c r="J541" s="659"/>
      <c r="K541" s="326"/>
      <c r="L541" s="326"/>
      <c r="M541" s="326"/>
      <c r="N541" s="322"/>
    </row>
    <row r="542" spans="1:14" hidden="1">
      <c r="A542" s="24">
        <v>31</v>
      </c>
      <c r="B542" s="24"/>
      <c r="C542" s="26" t="s">
        <v>1026</v>
      </c>
      <c r="D542" s="24" t="s">
        <v>112</v>
      </c>
      <c r="E542" s="123">
        <f>E511*2.64</f>
        <v>0</v>
      </c>
      <c r="F542" s="326"/>
      <c r="G542" s="326"/>
      <c r="H542" s="326"/>
      <c r="I542" s="326"/>
      <c r="J542" s="659"/>
      <c r="K542" s="326"/>
      <c r="L542" s="326"/>
      <c r="M542" s="326"/>
      <c r="N542" s="322"/>
    </row>
    <row r="543" spans="1:14" ht="28.5" hidden="1" customHeight="1">
      <c r="A543" s="24">
        <v>32</v>
      </c>
      <c r="B543" s="24"/>
      <c r="C543" s="26" t="s">
        <v>1027</v>
      </c>
      <c r="D543" s="24" t="s">
        <v>112</v>
      </c>
      <c r="E543" s="123">
        <f>E511*6.34</f>
        <v>0</v>
      </c>
      <c r="F543" s="326"/>
      <c r="G543" s="326"/>
      <c r="H543" s="326"/>
      <c r="I543" s="326"/>
      <c r="J543" s="659"/>
      <c r="K543" s="326"/>
      <c r="L543" s="326"/>
      <c r="M543" s="326"/>
      <c r="N543" s="322"/>
    </row>
    <row r="544" spans="1:14" hidden="1">
      <c r="A544" s="24">
        <v>33</v>
      </c>
      <c r="B544" s="24"/>
      <c r="C544" s="26" t="s">
        <v>506</v>
      </c>
      <c r="D544" s="24" t="s">
        <v>437</v>
      </c>
      <c r="E544" s="123">
        <f>E511*1.3</f>
        <v>0</v>
      </c>
      <c r="F544" s="326"/>
      <c r="G544" s="326"/>
      <c r="H544" s="326"/>
      <c r="I544" s="326"/>
      <c r="J544" s="659"/>
      <c r="K544" s="326"/>
      <c r="L544" s="326"/>
      <c r="M544" s="326"/>
      <c r="N544" s="322"/>
    </row>
    <row r="545" spans="1:14" ht="27" hidden="1">
      <c r="A545" s="24">
        <v>34</v>
      </c>
      <c r="B545" s="24"/>
      <c r="C545" s="26" t="s">
        <v>1583</v>
      </c>
      <c r="D545" s="24" t="s">
        <v>437</v>
      </c>
      <c r="E545" s="123">
        <f>E511*1.5</f>
        <v>0</v>
      </c>
      <c r="F545" s="326"/>
      <c r="G545" s="326"/>
      <c r="H545" s="326"/>
      <c r="I545" s="326"/>
      <c r="J545" s="659"/>
      <c r="K545" s="326"/>
      <c r="L545" s="326"/>
      <c r="M545" s="326"/>
      <c r="N545" s="322"/>
    </row>
    <row r="546" spans="1:14" hidden="1">
      <c r="A546" s="24">
        <v>35</v>
      </c>
      <c r="B546" s="24"/>
      <c r="C546" s="26" t="s">
        <v>1453</v>
      </c>
      <c r="D546" s="27" t="s">
        <v>114</v>
      </c>
      <c r="E546" s="123">
        <f>E511*0.03</f>
        <v>0</v>
      </c>
      <c r="F546" s="326"/>
      <c r="G546" s="326"/>
      <c r="H546" s="326"/>
      <c r="I546" s="326"/>
      <c r="J546" s="659"/>
      <c r="K546" s="326"/>
      <c r="L546" s="326"/>
      <c r="M546" s="326"/>
      <c r="N546" s="322"/>
    </row>
    <row r="547" spans="1:14" hidden="1">
      <c r="A547" s="24">
        <v>36</v>
      </c>
      <c r="B547" s="24"/>
      <c r="C547" s="26" t="s">
        <v>1011</v>
      </c>
      <c r="D547" s="24" t="s">
        <v>112</v>
      </c>
      <c r="E547" s="123">
        <f>E511*12.71</f>
        <v>0</v>
      </c>
      <c r="F547" s="326"/>
      <c r="G547" s="326"/>
      <c r="H547" s="326"/>
      <c r="I547" s="326"/>
      <c r="J547" s="659"/>
      <c r="K547" s="326"/>
      <c r="L547" s="326"/>
      <c r="M547" s="326"/>
      <c r="N547" s="322"/>
    </row>
    <row r="548" spans="1:14" hidden="1">
      <c r="A548" s="24">
        <v>37</v>
      </c>
      <c r="B548" s="24"/>
      <c r="C548" s="26" t="s">
        <v>215</v>
      </c>
      <c r="D548" s="24" t="s">
        <v>112</v>
      </c>
      <c r="E548" s="123">
        <f>E511*38</f>
        <v>0</v>
      </c>
      <c r="F548" s="326"/>
      <c r="G548" s="326"/>
      <c r="H548" s="326"/>
      <c r="I548" s="326"/>
      <c r="J548" s="659"/>
      <c r="K548" s="326"/>
      <c r="L548" s="326"/>
      <c r="M548" s="326"/>
      <c r="N548" s="322"/>
    </row>
    <row r="549" spans="1:14" hidden="1">
      <c r="A549" s="24">
        <v>38</v>
      </c>
      <c r="B549" s="24"/>
      <c r="C549" s="26" t="s">
        <v>285</v>
      </c>
      <c r="D549" s="24" t="s">
        <v>112</v>
      </c>
      <c r="E549" s="123">
        <f>E511*42</f>
        <v>0</v>
      </c>
      <c r="F549" s="326"/>
      <c r="G549" s="326"/>
      <c r="H549" s="326"/>
      <c r="I549" s="326"/>
      <c r="J549" s="659"/>
      <c r="K549" s="326"/>
      <c r="L549" s="326"/>
      <c r="M549" s="326"/>
      <c r="N549" s="322"/>
    </row>
    <row r="550" spans="1:14" ht="28.5" hidden="1" customHeight="1">
      <c r="A550" s="24">
        <v>39</v>
      </c>
      <c r="B550" s="24"/>
      <c r="C550" s="754" t="s">
        <v>1244</v>
      </c>
      <c r="D550" s="29" t="s">
        <v>124</v>
      </c>
      <c r="E550" s="123">
        <f>E511*9</f>
        <v>0</v>
      </c>
      <c r="F550" s="326"/>
      <c r="G550" s="326"/>
      <c r="H550" s="326"/>
      <c r="I550" s="326"/>
      <c r="J550" s="659"/>
      <c r="K550" s="326"/>
      <c r="L550" s="326"/>
      <c r="M550" s="326"/>
      <c r="N550" s="322"/>
    </row>
    <row r="551" spans="1:14" hidden="1">
      <c r="A551" s="24">
        <v>40</v>
      </c>
      <c r="B551" s="24"/>
      <c r="C551" s="26" t="s">
        <v>507</v>
      </c>
      <c r="D551" s="24" t="s">
        <v>112</v>
      </c>
      <c r="E551" s="123">
        <f>E511*45</f>
        <v>0</v>
      </c>
      <c r="F551" s="326"/>
      <c r="G551" s="326"/>
      <c r="H551" s="326"/>
      <c r="I551" s="326"/>
      <c r="J551" s="659"/>
      <c r="K551" s="326"/>
      <c r="L551" s="326"/>
      <c r="M551" s="326"/>
      <c r="N551" s="322"/>
    </row>
    <row r="552" spans="1:14" hidden="1">
      <c r="A552" s="24">
        <v>41</v>
      </c>
      <c r="B552" s="24"/>
      <c r="C552" s="26" t="s">
        <v>1044</v>
      </c>
      <c r="D552" s="24" t="s">
        <v>437</v>
      </c>
      <c r="E552" s="123">
        <f>E511*3</f>
        <v>0</v>
      </c>
      <c r="F552" s="326"/>
      <c r="G552" s="326"/>
      <c r="H552" s="326"/>
      <c r="I552" s="326"/>
      <c r="J552" s="659"/>
      <c r="K552" s="326"/>
      <c r="L552" s="326"/>
      <c r="M552" s="326"/>
      <c r="N552" s="322"/>
    </row>
    <row r="553" spans="1:14" ht="17.25" hidden="1" customHeight="1">
      <c r="A553" s="24">
        <v>42</v>
      </c>
      <c r="B553" s="24"/>
      <c r="C553" s="754" t="s">
        <v>1043</v>
      </c>
      <c r="D553" s="24" t="s">
        <v>437</v>
      </c>
      <c r="E553" s="123">
        <f>E511*1.6</f>
        <v>0</v>
      </c>
      <c r="F553" s="326"/>
      <c r="G553" s="326"/>
      <c r="H553" s="326"/>
      <c r="I553" s="326"/>
      <c r="J553" s="659"/>
      <c r="K553" s="326"/>
      <c r="L553" s="326"/>
      <c r="M553" s="326"/>
      <c r="N553" s="322"/>
    </row>
    <row r="554" spans="1:14" ht="17.25" hidden="1" customHeight="1">
      <c r="A554" s="24">
        <v>43</v>
      </c>
      <c r="B554" s="24"/>
      <c r="C554" s="151" t="s">
        <v>1258</v>
      </c>
      <c r="D554" s="24" t="s">
        <v>112</v>
      </c>
      <c r="E554" s="123"/>
      <c r="F554" s="326"/>
      <c r="G554" s="326"/>
      <c r="H554" s="326"/>
      <c r="I554" s="326"/>
      <c r="J554" s="659"/>
      <c r="K554" s="326"/>
      <c r="L554" s="326"/>
      <c r="M554" s="326"/>
      <c r="N554" s="322"/>
    </row>
    <row r="555" spans="1:14" hidden="1">
      <c r="A555" s="197"/>
      <c r="B555" s="197"/>
      <c r="C555" s="30" t="s">
        <v>110</v>
      </c>
      <c r="D555" s="24"/>
      <c r="E555" s="134"/>
      <c r="F555" s="326"/>
      <c r="G555" s="326"/>
      <c r="H555" s="326"/>
      <c r="I555" s="326"/>
      <c r="J555" s="659"/>
      <c r="K555" s="326"/>
      <c r="L555" s="326"/>
      <c r="M555" s="323"/>
      <c r="N555" s="322"/>
    </row>
    <row r="556" spans="1:14" hidden="1">
      <c r="A556" s="197"/>
      <c r="B556" s="197"/>
      <c r="C556" s="32" t="s">
        <v>115</v>
      </c>
      <c r="D556" s="320" t="s">
        <v>457</v>
      </c>
      <c r="E556" s="157">
        <v>10</v>
      </c>
      <c r="F556" s="326"/>
      <c r="G556" s="674"/>
      <c r="H556" s="674"/>
      <c r="I556" s="674"/>
      <c r="J556" s="674"/>
      <c r="K556" s="674"/>
      <c r="L556" s="674"/>
      <c r="M556" s="323"/>
      <c r="N556" s="322"/>
    </row>
    <row r="557" spans="1:14" hidden="1">
      <c r="A557" s="197"/>
      <c r="B557" s="197"/>
      <c r="C557" s="30" t="s">
        <v>110</v>
      </c>
      <c r="D557" s="27"/>
      <c r="E557" s="134"/>
      <c r="F557" s="326"/>
      <c r="G557" s="674"/>
      <c r="H557" s="674"/>
      <c r="I557" s="674"/>
      <c r="J557" s="674"/>
      <c r="K557" s="674"/>
      <c r="L557" s="674"/>
      <c r="M557" s="323"/>
      <c r="N557" s="322"/>
    </row>
    <row r="558" spans="1:14" hidden="1">
      <c r="A558" s="197"/>
      <c r="B558" s="197"/>
      <c r="C558" s="33" t="s">
        <v>116</v>
      </c>
      <c r="D558" s="320" t="s">
        <v>457</v>
      </c>
      <c r="E558" s="157">
        <v>8</v>
      </c>
      <c r="F558" s="326"/>
      <c r="G558" s="674"/>
      <c r="H558" s="674"/>
      <c r="I558" s="674"/>
      <c r="J558" s="674"/>
      <c r="K558" s="674"/>
      <c r="L558" s="674"/>
      <c r="M558" s="323"/>
      <c r="N558" s="322"/>
    </row>
    <row r="559" spans="1:14" hidden="1">
      <c r="A559" s="197"/>
      <c r="B559" s="197"/>
      <c r="C559" s="30" t="s">
        <v>1428</v>
      </c>
      <c r="D559" s="24"/>
      <c r="E559" s="134"/>
      <c r="F559" s="326"/>
      <c r="G559" s="674"/>
      <c r="H559" s="674"/>
      <c r="I559" s="674"/>
      <c r="J559" s="674"/>
      <c r="K559" s="674"/>
      <c r="L559" s="674"/>
      <c r="M559" s="323"/>
      <c r="N559" s="322"/>
    </row>
    <row r="560" spans="1:14" hidden="1">
      <c r="A560" s="197"/>
      <c r="B560" s="197"/>
      <c r="C560" s="194" t="s">
        <v>1430</v>
      </c>
      <c r="D560" s="24"/>
      <c r="E560" s="892"/>
      <c r="F560" s="326"/>
      <c r="G560" s="326"/>
      <c r="H560" s="326"/>
      <c r="I560" s="326"/>
      <c r="J560" s="659"/>
      <c r="K560" s="326"/>
      <c r="L560" s="326"/>
      <c r="M560" s="326" t="s">
        <v>860</v>
      </c>
      <c r="N560" s="322"/>
    </row>
    <row r="561" spans="1:14" hidden="1">
      <c r="A561" s="24">
        <v>1</v>
      </c>
      <c r="B561" s="24"/>
      <c r="C561" s="260" t="s">
        <v>519</v>
      </c>
      <c r="D561" s="24" t="s">
        <v>437</v>
      </c>
      <c r="E561" s="123">
        <f>E560*7</f>
        <v>0</v>
      </c>
      <c r="F561" s="326"/>
      <c r="G561" s="326"/>
      <c r="H561" s="326"/>
      <c r="I561" s="326"/>
      <c r="J561" s="659"/>
      <c r="K561" s="326"/>
      <c r="L561" s="326"/>
      <c r="M561" s="326"/>
      <c r="N561" s="322"/>
    </row>
    <row r="562" spans="1:14" hidden="1">
      <c r="A562" s="24">
        <v>2</v>
      </c>
      <c r="B562" s="24"/>
      <c r="C562" s="260" t="s">
        <v>433</v>
      </c>
      <c r="D562" s="24" t="s">
        <v>437</v>
      </c>
      <c r="E562" s="123">
        <f>E560*4</f>
        <v>0</v>
      </c>
      <c r="F562" s="687"/>
      <c r="G562" s="326"/>
      <c r="H562" s="326"/>
      <c r="I562" s="326"/>
      <c r="J562" s="659"/>
      <c r="K562" s="326"/>
      <c r="L562" s="326"/>
      <c r="M562" s="326"/>
      <c r="N562" s="322"/>
    </row>
    <row r="563" spans="1:14" hidden="1">
      <c r="A563" s="24">
        <v>3</v>
      </c>
      <c r="B563" s="24"/>
      <c r="C563" s="260" t="s">
        <v>1042</v>
      </c>
      <c r="D563" s="24" t="s">
        <v>437</v>
      </c>
      <c r="E563" s="123">
        <f>E560*3</f>
        <v>0</v>
      </c>
      <c r="F563" s="687"/>
      <c r="G563" s="326"/>
      <c r="H563" s="326"/>
      <c r="I563" s="326"/>
      <c r="J563" s="659"/>
      <c r="K563" s="326"/>
      <c r="L563" s="326"/>
      <c r="M563" s="326"/>
      <c r="N563" s="322"/>
    </row>
    <row r="564" spans="1:14" hidden="1">
      <c r="A564" s="24">
        <v>4</v>
      </c>
      <c r="B564" s="24"/>
      <c r="C564" s="26" t="s">
        <v>895</v>
      </c>
      <c r="D564" s="24" t="s">
        <v>437</v>
      </c>
      <c r="E564" s="123">
        <f>E560*3</f>
        <v>0</v>
      </c>
      <c r="F564" s="687"/>
      <c r="G564" s="326"/>
      <c r="H564" s="326"/>
      <c r="I564" s="326"/>
      <c r="J564" s="659"/>
      <c r="K564" s="326"/>
      <c r="L564" s="326"/>
      <c r="M564" s="326"/>
      <c r="N564" s="322"/>
    </row>
    <row r="565" spans="1:14" hidden="1">
      <c r="A565" s="24">
        <v>5</v>
      </c>
      <c r="B565" s="24"/>
      <c r="C565" s="26" t="s">
        <v>500</v>
      </c>
      <c r="D565" s="24" t="s">
        <v>437</v>
      </c>
      <c r="E565" s="123">
        <f>E560*1.65</f>
        <v>0</v>
      </c>
      <c r="F565" s="326"/>
      <c r="G565" s="326"/>
      <c r="H565" s="326"/>
      <c r="I565" s="326"/>
      <c r="J565" s="659"/>
      <c r="K565" s="326"/>
      <c r="L565" s="326"/>
      <c r="M565" s="326"/>
      <c r="N565" s="322"/>
    </row>
    <row r="566" spans="1:14" ht="27" hidden="1">
      <c r="A566" s="24">
        <v>6</v>
      </c>
      <c r="B566" s="197"/>
      <c r="C566" s="84" t="s">
        <v>1029</v>
      </c>
      <c r="D566" s="24" t="s">
        <v>437</v>
      </c>
      <c r="E566" s="123">
        <f>E560*1.65</f>
        <v>0</v>
      </c>
      <c r="F566" s="326"/>
      <c r="G566" s="326"/>
      <c r="H566" s="326"/>
      <c r="I566" s="326"/>
      <c r="J566" s="659"/>
      <c r="K566" s="326"/>
      <c r="L566" s="326"/>
      <c r="M566" s="326"/>
      <c r="N566" s="322"/>
    </row>
    <row r="567" spans="1:14" hidden="1">
      <c r="A567" s="24">
        <v>7</v>
      </c>
      <c r="B567" s="24"/>
      <c r="C567" s="260" t="s">
        <v>884</v>
      </c>
      <c r="D567" s="27" t="s">
        <v>97</v>
      </c>
      <c r="E567" s="123">
        <f>E560*6.8</f>
        <v>0</v>
      </c>
      <c r="F567" s="326"/>
      <c r="G567" s="326"/>
      <c r="H567" s="326"/>
      <c r="I567" s="326"/>
      <c r="J567" s="659"/>
      <c r="K567" s="326"/>
      <c r="L567" s="326"/>
      <c r="M567" s="326"/>
      <c r="N567" s="322"/>
    </row>
    <row r="568" spans="1:14" s="672" customFormat="1" hidden="1">
      <c r="A568" s="24">
        <v>8</v>
      </c>
      <c r="B568" s="24"/>
      <c r="C568" s="100" t="s">
        <v>501</v>
      </c>
      <c r="D568" s="27" t="s">
        <v>97</v>
      </c>
      <c r="E568" s="123">
        <f>E560*195.4</f>
        <v>0</v>
      </c>
      <c r="F568" s="326"/>
      <c r="G568" s="326"/>
      <c r="H568" s="326"/>
      <c r="I568" s="326"/>
      <c r="J568" s="659"/>
      <c r="K568" s="326"/>
      <c r="L568" s="326"/>
      <c r="M568" s="326"/>
      <c r="N568" s="323"/>
    </row>
    <row r="569" spans="1:14" hidden="1">
      <c r="A569" s="24">
        <v>9</v>
      </c>
      <c r="B569" s="24"/>
      <c r="C569" s="26" t="s">
        <v>215</v>
      </c>
      <c r="D569" s="24" t="s">
        <v>112</v>
      </c>
      <c r="E569" s="123">
        <f>E560*12.8</f>
        <v>0</v>
      </c>
      <c r="F569" s="326"/>
      <c r="G569" s="326"/>
      <c r="H569" s="326"/>
      <c r="I569" s="326"/>
      <c r="J569" s="659"/>
      <c r="K569" s="326"/>
      <c r="L569" s="326"/>
      <c r="M569" s="326"/>
      <c r="N569" s="322"/>
    </row>
    <row r="570" spans="1:14" hidden="1">
      <c r="A570" s="24">
        <v>10</v>
      </c>
      <c r="B570" s="24"/>
      <c r="C570" s="26" t="s">
        <v>920</v>
      </c>
      <c r="D570" s="24" t="s">
        <v>112</v>
      </c>
      <c r="E570" s="123">
        <f>E560*12.8</f>
        <v>0</v>
      </c>
      <c r="F570" s="326"/>
      <c r="G570" s="326"/>
      <c r="H570" s="326"/>
      <c r="I570" s="326"/>
      <c r="J570" s="659"/>
      <c r="K570" s="326"/>
      <c r="L570" s="326"/>
      <c r="M570" s="326"/>
      <c r="N570" s="322"/>
    </row>
    <row r="571" spans="1:14" hidden="1">
      <c r="A571" s="197"/>
      <c r="B571" s="197"/>
      <c r="C571" s="30" t="s">
        <v>110</v>
      </c>
      <c r="D571" s="24"/>
      <c r="E571" s="134"/>
      <c r="F571" s="326"/>
      <c r="G571" s="326"/>
      <c r="H571" s="326"/>
      <c r="I571" s="326"/>
      <c r="J571" s="659"/>
      <c r="K571" s="326"/>
      <c r="L571" s="326"/>
      <c r="M571" s="323"/>
      <c r="N571" s="322"/>
    </row>
    <row r="572" spans="1:14" hidden="1">
      <c r="A572" s="197"/>
      <c r="B572" s="197"/>
      <c r="C572" s="32" t="s">
        <v>115</v>
      </c>
      <c r="D572" s="320" t="s">
        <v>457</v>
      </c>
      <c r="E572" s="157">
        <v>10</v>
      </c>
      <c r="F572" s="326"/>
      <c r="G572" s="674"/>
      <c r="H572" s="674"/>
      <c r="I572" s="674"/>
      <c r="J572" s="674"/>
      <c r="K572" s="674"/>
      <c r="L572" s="674"/>
      <c r="M572" s="323"/>
      <c r="N572" s="322"/>
    </row>
    <row r="573" spans="1:14" hidden="1">
      <c r="A573" s="197"/>
      <c r="B573" s="197"/>
      <c r="C573" s="30" t="s">
        <v>110</v>
      </c>
      <c r="D573" s="27"/>
      <c r="E573" s="134"/>
      <c r="F573" s="326"/>
      <c r="G573" s="674"/>
      <c r="H573" s="674"/>
      <c r="I573" s="674"/>
      <c r="J573" s="674"/>
      <c r="K573" s="674"/>
      <c r="L573" s="674"/>
      <c r="M573" s="323"/>
      <c r="N573" s="322"/>
    </row>
    <row r="574" spans="1:14" hidden="1">
      <c r="A574" s="197"/>
      <c r="B574" s="197"/>
      <c r="C574" s="33" t="s">
        <v>116</v>
      </c>
      <c r="D574" s="320" t="s">
        <v>457</v>
      </c>
      <c r="E574" s="157">
        <v>8</v>
      </c>
      <c r="F574" s="326"/>
      <c r="G574" s="674"/>
      <c r="H574" s="674"/>
      <c r="I574" s="674"/>
      <c r="J574" s="674"/>
      <c r="K574" s="674"/>
      <c r="L574" s="674"/>
      <c r="M574" s="323"/>
      <c r="N574" s="322"/>
    </row>
    <row r="575" spans="1:14" hidden="1">
      <c r="A575" s="197"/>
      <c r="B575" s="197"/>
      <c r="C575" s="30" t="s">
        <v>1431</v>
      </c>
      <c r="D575" s="24"/>
      <c r="E575" s="134"/>
      <c r="F575" s="326"/>
      <c r="G575" s="674"/>
      <c r="H575" s="674"/>
      <c r="I575" s="674"/>
      <c r="J575" s="674"/>
      <c r="K575" s="674"/>
      <c r="L575" s="674"/>
      <c r="M575" s="323"/>
      <c r="N575" s="322"/>
    </row>
    <row r="576" spans="1:14" hidden="1">
      <c r="A576" s="197"/>
      <c r="B576" s="197"/>
      <c r="C576" s="34" t="s">
        <v>1432</v>
      </c>
      <c r="D576" s="24"/>
      <c r="E576" s="134"/>
      <c r="F576" s="326"/>
      <c r="G576" s="674"/>
      <c r="H576" s="674"/>
      <c r="I576" s="674"/>
      <c r="J576" s="674"/>
      <c r="K576" s="674"/>
      <c r="L576" s="674"/>
      <c r="M576" s="327" t="s">
        <v>860</v>
      </c>
      <c r="N576" s="322"/>
    </row>
    <row r="577" spans="1:14" ht="27" hidden="1">
      <c r="A577" s="24">
        <v>1</v>
      </c>
      <c r="B577" s="24"/>
      <c r="C577" s="755" t="s">
        <v>39</v>
      </c>
      <c r="D577" s="29" t="s">
        <v>124</v>
      </c>
      <c r="E577" s="123"/>
      <c r="F577" s="326"/>
      <c r="G577" s="326"/>
      <c r="H577" s="326"/>
      <c r="I577" s="326"/>
      <c r="J577" s="659"/>
      <c r="K577" s="326"/>
      <c r="L577" s="674"/>
      <c r="M577" s="327"/>
      <c r="N577" s="322"/>
    </row>
    <row r="578" spans="1:14" ht="27" hidden="1">
      <c r="A578" s="24">
        <v>2</v>
      </c>
      <c r="B578" s="24"/>
      <c r="C578" s="755" t="s">
        <v>694</v>
      </c>
      <c r="D578" s="29" t="s">
        <v>124</v>
      </c>
      <c r="E578" s="123"/>
      <c r="F578" s="326"/>
      <c r="G578" s="326"/>
      <c r="H578" s="326"/>
      <c r="I578" s="326"/>
      <c r="J578" s="659"/>
      <c r="K578" s="326"/>
      <c r="L578" s="674"/>
      <c r="M578" s="327"/>
      <c r="N578" s="322"/>
    </row>
    <row r="579" spans="1:14" ht="25.5" hidden="1" customHeight="1">
      <c r="A579" s="24">
        <v>3</v>
      </c>
      <c r="B579" s="24"/>
      <c r="C579" s="755" t="s">
        <v>1045</v>
      </c>
      <c r="D579" s="27" t="s">
        <v>113</v>
      </c>
      <c r="E579" s="123">
        <v>0</v>
      </c>
      <c r="F579" s="326"/>
      <c r="G579" s="326"/>
      <c r="H579" s="326"/>
      <c r="I579" s="326"/>
      <c r="J579" s="659"/>
      <c r="K579" s="326"/>
      <c r="L579" s="674"/>
      <c r="M579" s="327"/>
      <c r="N579" s="322"/>
    </row>
    <row r="580" spans="1:14" hidden="1">
      <c r="A580" s="24">
        <v>4</v>
      </c>
      <c r="B580" s="24"/>
      <c r="C580" s="756" t="s">
        <v>770</v>
      </c>
      <c r="D580" s="27" t="s">
        <v>113</v>
      </c>
      <c r="E580" s="123"/>
      <c r="F580" s="326"/>
      <c r="G580" s="326"/>
      <c r="H580" s="326"/>
      <c r="I580" s="326"/>
      <c r="J580" s="659"/>
      <c r="K580" s="326"/>
      <c r="L580" s="674"/>
      <c r="M580" s="327"/>
      <c r="N580" s="322"/>
    </row>
    <row r="581" spans="1:14" ht="27" hidden="1">
      <c r="A581" s="24">
        <v>5</v>
      </c>
      <c r="B581" s="24"/>
      <c r="C581" s="755" t="s">
        <v>701</v>
      </c>
      <c r="D581" s="24" t="s">
        <v>437</v>
      </c>
      <c r="E581" s="123">
        <v>0</v>
      </c>
      <c r="F581" s="326"/>
      <c r="G581" s="326"/>
      <c r="H581" s="326"/>
      <c r="I581" s="326"/>
      <c r="J581" s="659"/>
      <c r="K581" s="326"/>
      <c r="L581" s="674"/>
      <c r="M581" s="327"/>
      <c r="N581" s="322"/>
    </row>
    <row r="582" spans="1:14" hidden="1">
      <c r="A582" s="24">
        <v>6</v>
      </c>
      <c r="B582" s="24"/>
      <c r="C582" s="756" t="s">
        <v>702</v>
      </c>
      <c r="D582" s="778" t="s">
        <v>646</v>
      </c>
      <c r="E582" s="123"/>
      <c r="F582" s="326"/>
      <c r="G582" s="326"/>
      <c r="H582" s="326"/>
      <c r="I582" s="326"/>
      <c r="J582" s="659"/>
      <c r="K582" s="326"/>
      <c r="L582" s="674"/>
      <c r="M582" s="327"/>
      <c r="N582" s="322"/>
    </row>
    <row r="583" spans="1:14" hidden="1">
      <c r="A583" s="24">
        <v>7</v>
      </c>
      <c r="B583" s="24"/>
      <c r="C583" s="756" t="s">
        <v>910</v>
      </c>
      <c r="D583" s="158" t="s">
        <v>4</v>
      </c>
      <c r="E583" s="123"/>
      <c r="F583" s="326"/>
      <c r="G583" s="326"/>
      <c r="H583" s="326"/>
      <c r="I583" s="326"/>
      <c r="J583" s="659"/>
      <c r="K583" s="326"/>
      <c r="L583" s="674"/>
      <c r="M583" s="327"/>
      <c r="N583" s="322"/>
    </row>
    <row r="584" spans="1:14" ht="27" hidden="1">
      <c r="A584" s="24">
        <v>8</v>
      </c>
      <c r="B584" s="24"/>
      <c r="C584" s="754" t="s">
        <v>739</v>
      </c>
      <c r="D584" s="158" t="s">
        <v>4</v>
      </c>
      <c r="E584" s="123"/>
      <c r="F584" s="326"/>
      <c r="G584" s="326"/>
      <c r="H584" s="326"/>
      <c r="I584" s="326"/>
      <c r="J584" s="659"/>
      <c r="K584" s="326"/>
      <c r="L584" s="674"/>
      <c r="M584" s="327"/>
      <c r="N584" s="322"/>
    </row>
    <row r="585" spans="1:14" ht="27" hidden="1">
      <c r="A585" s="24">
        <v>9</v>
      </c>
      <c r="B585" s="24"/>
      <c r="C585" s="754" t="s">
        <v>708</v>
      </c>
      <c r="D585" s="158" t="s">
        <v>4</v>
      </c>
      <c r="E585" s="123"/>
      <c r="F585" s="326"/>
      <c r="G585" s="326"/>
      <c r="H585" s="326"/>
      <c r="I585" s="326"/>
      <c r="J585" s="659"/>
      <c r="K585" s="326"/>
      <c r="L585" s="674"/>
      <c r="M585" s="327"/>
      <c r="N585" s="322"/>
    </row>
    <row r="586" spans="1:14" ht="27" hidden="1">
      <c r="A586" s="24">
        <v>10</v>
      </c>
      <c r="B586" s="24"/>
      <c r="C586" s="754" t="s">
        <v>1030</v>
      </c>
      <c r="D586" s="24" t="s">
        <v>437</v>
      </c>
      <c r="E586" s="123"/>
      <c r="F586" s="326"/>
      <c r="G586" s="326"/>
      <c r="H586" s="326"/>
      <c r="I586" s="326"/>
      <c r="J586" s="659"/>
      <c r="K586" s="326"/>
      <c r="L586" s="674"/>
      <c r="M586" s="327"/>
      <c r="N586" s="322"/>
    </row>
    <row r="587" spans="1:14" hidden="1">
      <c r="A587" s="197"/>
      <c r="B587" s="197"/>
      <c r="C587" s="30" t="s">
        <v>110</v>
      </c>
      <c r="D587" s="24"/>
      <c r="E587" s="134"/>
      <c r="F587" s="326"/>
      <c r="G587" s="326"/>
      <c r="H587" s="326"/>
      <c r="I587" s="326"/>
      <c r="J587" s="659"/>
      <c r="K587" s="326"/>
      <c r="L587" s="326"/>
      <c r="M587" s="323"/>
      <c r="N587" s="322"/>
    </row>
    <row r="588" spans="1:14" hidden="1">
      <c r="A588" s="197"/>
      <c r="B588" s="197"/>
      <c r="C588" s="32" t="s">
        <v>115</v>
      </c>
      <c r="D588" s="320" t="s">
        <v>457</v>
      </c>
      <c r="E588" s="157">
        <v>10</v>
      </c>
      <c r="F588" s="326"/>
      <c r="G588" s="674"/>
      <c r="H588" s="674"/>
      <c r="I588" s="674"/>
      <c r="J588" s="674"/>
      <c r="K588" s="674"/>
      <c r="L588" s="674"/>
      <c r="M588" s="323"/>
      <c r="N588" s="322"/>
    </row>
    <row r="589" spans="1:14" hidden="1">
      <c r="A589" s="197"/>
      <c r="B589" s="197"/>
      <c r="C589" s="30" t="s">
        <v>110</v>
      </c>
      <c r="D589" s="27"/>
      <c r="E589" s="134"/>
      <c r="F589" s="326"/>
      <c r="G589" s="674"/>
      <c r="H589" s="674"/>
      <c r="I589" s="674"/>
      <c r="J589" s="674"/>
      <c r="K589" s="674"/>
      <c r="L589" s="674"/>
      <c r="M589" s="323"/>
      <c r="N589" s="322"/>
    </row>
    <row r="590" spans="1:14" hidden="1">
      <c r="A590" s="197"/>
      <c r="B590" s="197"/>
      <c r="C590" s="33" t="s">
        <v>116</v>
      </c>
      <c r="D590" s="320" t="s">
        <v>457</v>
      </c>
      <c r="E590" s="157">
        <v>8</v>
      </c>
      <c r="F590" s="326"/>
      <c r="G590" s="674"/>
      <c r="H590" s="674"/>
      <c r="I590" s="674"/>
      <c r="J590" s="674"/>
      <c r="K590" s="674"/>
      <c r="L590" s="674"/>
      <c r="M590" s="323"/>
      <c r="N590" s="322"/>
    </row>
    <row r="591" spans="1:14" hidden="1">
      <c r="A591" s="197"/>
      <c r="B591" s="197"/>
      <c r="C591" s="30" t="s">
        <v>1433</v>
      </c>
      <c r="D591" s="27"/>
      <c r="E591" s="134"/>
      <c r="F591" s="326"/>
      <c r="G591" s="675"/>
      <c r="H591" s="675"/>
      <c r="I591" s="675"/>
      <c r="J591" s="675"/>
      <c r="K591" s="675"/>
      <c r="L591" s="675"/>
      <c r="M591" s="323"/>
      <c r="N591" s="322"/>
    </row>
    <row r="592" spans="1:14" hidden="1">
      <c r="A592" s="24"/>
      <c r="B592" s="24"/>
      <c r="C592" s="34" t="s">
        <v>1434</v>
      </c>
      <c r="D592" s="158"/>
      <c r="E592" s="134"/>
      <c r="F592" s="326"/>
      <c r="G592" s="326"/>
      <c r="H592" s="326"/>
      <c r="I592" s="326"/>
      <c r="J592" s="659"/>
      <c r="K592" s="326"/>
      <c r="L592" s="326"/>
      <c r="M592" s="326" t="s">
        <v>860</v>
      </c>
      <c r="N592" s="322"/>
    </row>
    <row r="593" spans="1:14" ht="27" hidden="1">
      <c r="A593" s="24">
        <v>1</v>
      </c>
      <c r="B593" s="24"/>
      <c r="C593" s="26" t="s">
        <v>828</v>
      </c>
      <c r="D593" s="48" t="s">
        <v>4</v>
      </c>
      <c r="E593" s="123"/>
      <c r="F593" s="326"/>
      <c r="G593" s="326"/>
      <c r="H593" s="326"/>
      <c r="I593" s="326"/>
      <c r="J593" s="659"/>
      <c r="K593" s="326"/>
      <c r="L593" s="326"/>
      <c r="M593" s="326"/>
      <c r="N593" s="322"/>
    </row>
    <row r="594" spans="1:14" ht="27" hidden="1">
      <c r="A594" s="757">
        <v>2</v>
      </c>
      <c r="B594" s="757"/>
      <c r="C594" s="26" t="s">
        <v>829</v>
      </c>
      <c r="D594" s="158" t="s">
        <v>4</v>
      </c>
      <c r="E594" s="123"/>
      <c r="F594" s="326"/>
      <c r="G594" s="326"/>
      <c r="H594" s="326"/>
      <c r="I594" s="326"/>
      <c r="J594" s="659"/>
      <c r="K594" s="326"/>
      <c r="L594" s="326"/>
      <c r="M594" s="326"/>
      <c r="N594" s="322"/>
    </row>
    <row r="595" spans="1:14" ht="27" hidden="1">
      <c r="A595" s="757">
        <v>3</v>
      </c>
      <c r="B595" s="757"/>
      <c r="C595" s="26" t="s">
        <v>830</v>
      </c>
      <c r="D595" s="158" t="s">
        <v>4</v>
      </c>
      <c r="E595" s="123"/>
      <c r="F595" s="326"/>
      <c r="G595" s="326"/>
      <c r="H595" s="326"/>
      <c r="I595" s="326"/>
      <c r="J595" s="659"/>
      <c r="K595" s="326"/>
      <c r="L595" s="326"/>
      <c r="M595" s="326"/>
      <c r="N595" s="322"/>
    </row>
    <row r="596" spans="1:14" ht="27" hidden="1">
      <c r="A596" s="757">
        <v>4</v>
      </c>
      <c r="B596" s="757"/>
      <c r="C596" s="26" t="s">
        <v>831</v>
      </c>
      <c r="D596" s="158" t="s">
        <v>4</v>
      </c>
      <c r="E596" s="123"/>
      <c r="F596" s="326"/>
      <c r="G596" s="326"/>
      <c r="H596" s="326"/>
      <c r="I596" s="326"/>
      <c r="J596" s="659"/>
      <c r="K596" s="326"/>
      <c r="L596" s="326"/>
      <c r="M596" s="326"/>
      <c r="N596" s="322"/>
    </row>
    <row r="597" spans="1:14" ht="27" hidden="1">
      <c r="A597" s="757">
        <v>5</v>
      </c>
      <c r="B597" s="757"/>
      <c r="C597" s="26" t="s">
        <v>832</v>
      </c>
      <c r="D597" s="158" t="s">
        <v>4</v>
      </c>
      <c r="E597" s="123"/>
      <c r="F597" s="326"/>
      <c r="G597" s="326"/>
      <c r="H597" s="326"/>
      <c r="I597" s="326"/>
      <c r="J597" s="659"/>
      <c r="K597" s="326"/>
      <c r="L597" s="326"/>
      <c r="M597" s="326"/>
      <c r="N597" s="322"/>
    </row>
    <row r="598" spans="1:14" ht="27" hidden="1">
      <c r="A598" s="757">
        <v>6</v>
      </c>
      <c r="B598" s="757"/>
      <c r="C598" s="26" t="s">
        <v>833</v>
      </c>
      <c r="D598" s="158" t="s">
        <v>4</v>
      </c>
      <c r="E598" s="123"/>
      <c r="F598" s="326"/>
      <c r="G598" s="326"/>
      <c r="H598" s="326"/>
      <c r="I598" s="326"/>
      <c r="J598" s="659"/>
      <c r="K598" s="326"/>
      <c r="L598" s="326"/>
      <c r="M598" s="326"/>
      <c r="N598" s="322"/>
    </row>
    <row r="599" spans="1:14" ht="27" hidden="1">
      <c r="A599" s="757">
        <v>7</v>
      </c>
      <c r="B599" s="757"/>
      <c r="C599" s="26" t="s">
        <v>834</v>
      </c>
      <c r="D599" s="158" t="s">
        <v>4</v>
      </c>
      <c r="E599" s="123">
        <v>0</v>
      </c>
      <c r="F599" s="326"/>
      <c r="G599" s="326"/>
      <c r="H599" s="326"/>
      <c r="I599" s="326"/>
      <c r="J599" s="659"/>
      <c r="K599" s="326"/>
      <c r="L599" s="326"/>
      <c r="M599" s="326"/>
      <c r="N599" s="322"/>
    </row>
    <row r="600" spans="1:14" ht="27" hidden="1">
      <c r="A600" s="757">
        <v>8</v>
      </c>
      <c r="B600" s="757"/>
      <c r="C600" s="26" t="s">
        <v>840</v>
      </c>
      <c r="D600" s="158" t="s">
        <v>4</v>
      </c>
      <c r="E600" s="123">
        <v>0</v>
      </c>
      <c r="F600" s="326"/>
      <c r="G600" s="326"/>
      <c r="H600" s="326"/>
      <c r="I600" s="326"/>
      <c r="J600" s="659"/>
      <c r="K600" s="326"/>
      <c r="L600" s="326"/>
      <c r="M600" s="326"/>
      <c r="N600" s="322"/>
    </row>
    <row r="601" spans="1:14" ht="27" hidden="1">
      <c r="A601" s="757">
        <v>9</v>
      </c>
      <c r="B601" s="757"/>
      <c r="C601" s="26" t="s">
        <v>841</v>
      </c>
      <c r="D601" s="158" t="s">
        <v>4</v>
      </c>
      <c r="E601" s="123"/>
      <c r="F601" s="326"/>
      <c r="G601" s="326"/>
      <c r="H601" s="326"/>
      <c r="I601" s="326"/>
      <c r="J601" s="659"/>
      <c r="K601" s="326"/>
      <c r="L601" s="326"/>
      <c r="M601" s="326"/>
      <c r="N601" s="322"/>
    </row>
    <row r="602" spans="1:14" ht="27" hidden="1">
      <c r="A602" s="757">
        <v>10</v>
      </c>
      <c r="B602" s="757"/>
      <c r="C602" s="26" t="s">
        <v>842</v>
      </c>
      <c r="D602" s="158" t="s">
        <v>4</v>
      </c>
      <c r="E602" s="123"/>
      <c r="F602" s="326"/>
      <c r="G602" s="326"/>
      <c r="H602" s="326"/>
      <c r="I602" s="326"/>
      <c r="J602" s="659"/>
      <c r="K602" s="326"/>
      <c r="L602" s="326"/>
      <c r="M602" s="326"/>
      <c r="N602" s="322"/>
    </row>
    <row r="603" spans="1:14" hidden="1">
      <c r="A603" s="757">
        <v>11</v>
      </c>
      <c r="B603" s="315"/>
      <c r="C603" s="754" t="s">
        <v>836</v>
      </c>
      <c r="D603" s="158" t="s">
        <v>4</v>
      </c>
      <c r="E603" s="123"/>
      <c r="F603" s="326"/>
      <c r="G603" s="326"/>
      <c r="H603" s="326"/>
      <c r="I603" s="326"/>
      <c r="J603" s="659"/>
      <c r="K603" s="326"/>
      <c r="L603" s="326"/>
      <c r="M603" s="326"/>
      <c r="N603" s="322"/>
    </row>
    <row r="604" spans="1:14" hidden="1">
      <c r="A604" s="757">
        <v>12</v>
      </c>
      <c r="B604" s="315"/>
      <c r="C604" s="754" t="s">
        <v>837</v>
      </c>
      <c r="D604" s="158" t="s">
        <v>4</v>
      </c>
      <c r="E604" s="123"/>
      <c r="F604" s="326"/>
      <c r="G604" s="326"/>
      <c r="H604" s="326"/>
      <c r="I604" s="326"/>
      <c r="J604" s="659"/>
      <c r="K604" s="326"/>
      <c r="L604" s="326"/>
      <c r="M604" s="326"/>
      <c r="N604" s="322"/>
    </row>
    <row r="605" spans="1:14" hidden="1">
      <c r="A605" s="757">
        <v>13</v>
      </c>
      <c r="B605" s="315"/>
      <c r="C605" s="754" t="s">
        <v>601</v>
      </c>
      <c r="D605" s="158" t="s">
        <v>4</v>
      </c>
      <c r="E605" s="123"/>
      <c r="F605" s="326"/>
      <c r="G605" s="326"/>
      <c r="H605" s="326"/>
      <c r="I605" s="326"/>
      <c r="J605" s="659"/>
      <c r="K605" s="326"/>
      <c r="L605" s="326"/>
      <c r="M605" s="326"/>
      <c r="N605" s="322"/>
    </row>
    <row r="606" spans="1:14" ht="27" hidden="1">
      <c r="A606" s="757">
        <v>14</v>
      </c>
      <c r="B606" s="315"/>
      <c r="C606" s="754" t="s">
        <v>667</v>
      </c>
      <c r="D606" s="158" t="s">
        <v>4</v>
      </c>
      <c r="E606" s="123"/>
      <c r="F606" s="326"/>
      <c r="G606" s="326"/>
      <c r="H606" s="326"/>
      <c r="I606" s="326"/>
      <c r="J606" s="659"/>
      <c r="K606" s="326"/>
      <c r="L606" s="326"/>
      <c r="M606" s="326"/>
      <c r="N606" s="322"/>
    </row>
    <row r="607" spans="1:14" hidden="1">
      <c r="A607" s="757">
        <v>15</v>
      </c>
      <c r="B607" s="315"/>
      <c r="C607" s="754" t="s">
        <v>605</v>
      </c>
      <c r="D607" s="29" t="s">
        <v>124</v>
      </c>
      <c r="E607" s="123"/>
      <c r="F607" s="326"/>
      <c r="G607" s="326"/>
      <c r="H607" s="326"/>
      <c r="I607" s="326"/>
      <c r="J607" s="659"/>
      <c r="K607" s="326"/>
      <c r="L607" s="326"/>
      <c r="M607" s="326"/>
      <c r="N607" s="322"/>
    </row>
    <row r="608" spans="1:14" hidden="1">
      <c r="A608" s="757">
        <v>16</v>
      </c>
      <c r="B608" s="315"/>
      <c r="C608" s="754" t="s">
        <v>606</v>
      </c>
      <c r="D608" s="778" t="s">
        <v>646</v>
      </c>
      <c r="E608" s="123"/>
      <c r="F608" s="326"/>
      <c r="G608" s="326"/>
      <c r="H608" s="326"/>
      <c r="I608" s="326"/>
      <c r="J608" s="659"/>
      <c r="K608" s="326"/>
      <c r="L608" s="326"/>
      <c r="M608" s="326"/>
      <c r="N608" s="322"/>
    </row>
    <row r="609" spans="1:14" ht="27" hidden="1">
      <c r="A609" s="757">
        <v>17</v>
      </c>
      <c r="B609" s="757"/>
      <c r="C609" s="755" t="s">
        <v>911</v>
      </c>
      <c r="D609" s="158" t="s">
        <v>4</v>
      </c>
      <c r="E609" s="123"/>
      <c r="F609" s="326"/>
      <c r="G609" s="326"/>
      <c r="H609" s="326"/>
      <c r="I609" s="326"/>
      <c r="J609" s="659"/>
      <c r="K609" s="326"/>
      <c r="L609" s="326"/>
      <c r="M609" s="326"/>
      <c r="N609" s="322"/>
    </row>
    <row r="610" spans="1:14" ht="27" hidden="1">
      <c r="A610" s="757">
        <v>18</v>
      </c>
      <c r="B610" s="757"/>
      <c r="C610" s="755" t="s">
        <v>912</v>
      </c>
      <c r="D610" s="158" t="s">
        <v>4</v>
      </c>
      <c r="E610" s="123"/>
      <c r="F610" s="326"/>
      <c r="G610" s="326"/>
      <c r="H610" s="326"/>
      <c r="I610" s="326"/>
      <c r="J610" s="659"/>
      <c r="K610" s="326"/>
      <c r="L610" s="326"/>
      <c r="M610" s="326"/>
      <c r="N610" s="322"/>
    </row>
    <row r="611" spans="1:14" hidden="1">
      <c r="A611" s="757">
        <v>19</v>
      </c>
      <c r="B611" s="315"/>
      <c r="C611" s="756" t="s">
        <v>509</v>
      </c>
      <c r="D611" s="158" t="s">
        <v>4</v>
      </c>
      <c r="E611" s="123"/>
      <c r="F611" s="326"/>
      <c r="G611" s="326"/>
      <c r="H611" s="326"/>
      <c r="I611" s="326"/>
      <c r="J611" s="659"/>
      <c r="K611" s="326"/>
      <c r="L611" s="326"/>
      <c r="M611" s="326"/>
      <c r="N611" s="322"/>
    </row>
    <row r="612" spans="1:14" hidden="1">
      <c r="A612" s="757">
        <v>20</v>
      </c>
      <c r="B612" s="315"/>
      <c r="C612" s="756" t="s">
        <v>689</v>
      </c>
      <c r="D612" s="158" t="s">
        <v>4</v>
      </c>
      <c r="E612" s="123"/>
      <c r="F612" s="326"/>
      <c r="G612" s="326"/>
      <c r="H612" s="326"/>
      <c r="I612" s="326"/>
      <c r="J612" s="659"/>
      <c r="K612" s="326"/>
      <c r="L612" s="326"/>
      <c r="M612" s="326"/>
      <c r="N612" s="322"/>
    </row>
    <row r="613" spans="1:14" hidden="1">
      <c r="A613" s="757">
        <v>21</v>
      </c>
      <c r="B613" s="315"/>
      <c r="C613" s="758" t="s">
        <v>686</v>
      </c>
      <c r="D613" s="158" t="s">
        <v>4</v>
      </c>
      <c r="E613" s="123"/>
      <c r="F613" s="326"/>
      <c r="G613" s="326"/>
      <c r="H613" s="326"/>
      <c r="I613" s="326"/>
      <c r="J613" s="659"/>
      <c r="K613" s="326"/>
      <c r="L613" s="326"/>
      <c r="M613" s="326"/>
      <c r="N613" s="322"/>
    </row>
    <row r="614" spans="1:14" ht="27" hidden="1">
      <c r="A614" s="757">
        <v>22</v>
      </c>
      <c r="B614" s="315"/>
      <c r="C614" s="755" t="s">
        <v>690</v>
      </c>
      <c r="D614" s="27" t="s">
        <v>113</v>
      </c>
      <c r="E614" s="123"/>
      <c r="F614" s="326"/>
      <c r="G614" s="326"/>
      <c r="H614" s="326"/>
      <c r="I614" s="326"/>
      <c r="J614" s="659"/>
      <c r="K614" s="326"/>
      <c r="L614" s="326"/>
      <c r="M614" s="326"/>
      <c r="N614" s="322"/>
    </row>
    <row r="615" spans="1:14" hidden="1">
      <c r="A615" s="757">
        <v>23</v>
      </c>
      <c r="B615" s="315"/>
      <c r="C615" s="260" t="s">
        <v>780</v>
      </c>
      <c r="D615" s="27" t="s">
        <v>113</v>
      </c>
      <c r="E615" s="123"/>
      <c r="F615" s="326"/>
      <c r="G615" s="326"/>
      <c r="H615" s="326"/>
      <c r="I615" s="326"/>
      <c r="J615" s="659"/>
      <c r="K615" s="326"/>
      <c r="L615" s="326"/>
      <c r="M615" s="326"/>
      <c r="N615" s="322"/>
    </row>
    <row r="616" spans="1:14" hidden="1">
      <c r="A616" s="757">
        <v>24</v>
      </c>
      <c r="B616" s="315"/>
      <c r="C616" s="260" t="s">
        <v>781</v>
      </c>
      <c r="D616" s="27" t="s">
        <v>113</v>
      </c>
      <c r="E616" s="123">
        <v>0</v>
      </c>
      <c r="F616" s="326"/>
      <c r="G616" s="326"/>
      <c r="H616" s="326"/>
      <c r="I616" s="326"/>
      <c r="J616" s="659"/>
      <c r="K616" s="326"/>
      <c r="L616" s="326"/>
      <c r="M616" s="326"/>
      <c r="N616" s="322"/>
    </row>
    <row r="617" spans="1:14" hidden="1">
      <c r="A617" s="757">
        <v>25</v>
      </c>
      <c r="B617" s="315"/>
      <c r="C617" s="260" t="s">
        <v>782</v>
      </c>
      <c r="D617" s="27" t="s">
        <v>113</v>
      </c>
      <c r="E617" s="123"/>
      <c r="F617" s="326"/>
      <c r="G617" s="326"/>
      <c r="H617" s="326"/>
      <c r="I617" s="326"/>
      <c r="J617" s="659"/>
      <c r="K617" s="326"/>
      <c r="L617" s="326"/>
      <c r="M617" s="326"/>
      <c r="N617" s="322"/>
    </row>
    <row r="618" spans="1:14" hidden="1">
      <c r="A618" s="757">
        <v>26</v>
      </c>
      <c r="B618" s="315"/>
      <c r="C618" s="260" t="s">
        <v>783</v>
      </c>
      <c r="D618" s="27" t="s">
        <v>113</v>
      </c>
      <c r="E618" s="123"/>
      <c r="F618" s="326"/>
      <c r="G618" s="326"/>
      <c r="H618" s="326"/>
      <c r="I618" s="326"/>
      <c r="J618" s="659"/>
      <c r="K618" s="326"/>
      <c r="L618" s="326"/>
      <c r="M618" s="326"/>
      <c r="N618" s="322"/>
    </row>
    <row r="619" spans="1:14" hidden="1">
      <c r="A619" s="757">
        <v>27</v>
      </c>
      <c r="B619" s="315"/>
      <c r="C619" s="756" t="s">
        <v>691</v>
      </c>
      <c r="D619" s="27" t="s">
        <v>113</v>
      </c>
      <c r="E619" s="123"/>
      <c r="F619" s="326"/>
      <c r="G619" s="326"/>
      <c r="H619" s="326"/>
      <c r="I619" s="326"/>
      <c r="J619" s="659"/>
      <c r="K619" s="326"/>
      <c r="L619" s="326"/>
      <c r="M619" s="326"/>
      <c r="N619" s="322"/>
    </row>
    <row r="620" spans="1:14" hidden="1">
      <c r="A620" s="757">
        <v>28</v>
      </c>
      <c r="B620" s="315"/>
      <c r="C620" s="756" t="s">
        <v>510</v>
      </c>
      <c r="D620" s="27" t="s">
        <v>113</v>
      </c>
      <c r="E620" s="123"/>
      <c r="F620" s="326"/>
      <c r="G620" s="326"/>
      <c r="H620" s="326"/>
      <c r="I620" s="326"/>
      <c r="J620" s="659"/>
      <c r="K620" s="326"/>
      <c r="L620" s="326"/>
      <c r="M620" s="326"/>
      <c r="N620" s="322"/>
    </row>
    <row r="621" spans="1:14" hidden="1">
      <c r="A621" s="757">
        <v>29</v>
      </c>
      <c r="B621" s="315"/>
      <c r="C621" s="756" t="s">
        <v>692</v>
      </c>
      <c r="D621" s="27" t="s">
        <v>113</v>
      </c>
      <c r="E621" s="123"/>
      <c r="F621" s="326"/>
      <c r="G621" s="326"/>
      <c r="H621" s="326"/>
      <c r="I621" s="326"/>
      <c r="J621" s="659"/>
      <c r="K621" s="326"/>
      <c r="L621" s="326"/>
      <c r="M621" s="326"/>
      <c r="N621" s="322"/>
    </row>
    <row r="622" spans="1:14" hidden="1">
      <c r="A622" s="757">
        <v>30</v>
      </c>
      <c r="B622" s="315"/>
      <c r="C622" s="758" t="s">
        <v>779</v>
      </c>
      <c r="D622" s="29" t="s">
        <v>124</v>
      </c>
      <c r="E622" s="123">
        <v>0</v>
      </c>
      <c r="F622" s="326"/>
      <c r="G622" s="326"/>
      <c r="H622" s="326"/>
      <c r="I622" s="326"/>
      <c r="J622" s="659"/>
      <c r="K622" s="326"/>
      <c r="L622" s="326"/>
      <c r="M622" s="326"/>
      <c r="N622" s="322"/>
    </row>
    <row r="623" spans="1:14" hidden="1">
      <c r="A623" s="757">
        <v>31</v>
      </c>
      <c r="B623" s="315"/>
      <c r="C623" s="758" t="s">
        <v>784</v>
      </c>
      <c r="D623" s="29" t="s">
        <v>124</v>
      </c>
      <c r="E623" s="123">
        <v>0</v>
      </c>
      <c r="F623" s="326"/>
      <c r="G623" s="326"/>
      <c r="H623" s="326"/>
      <c r="I623" s="326"/>
      <c r="J623" s="659"/>
      <c r="K623" s="326"/>
      <c r="L623" s="326"/>
      <c r="M623" s="326"/>
      <c r="N623" s="322"/>
    </row>
    <row r="624" spans="1:14" hidden="1">
      <c r="A624" s="757">
        <v>32</v>
      </c>
      <c r="B624" s="315"/>
      <c r="C624" s="758" t="s">
        <v>785</v>
      </c>
      <c r="D624" s="29" t="s">
        <v>124</v>
      </c>
      <c r="E624" s="123"/>
      <c r="F624" s="326"/>
      <c r="G624" s="326"/>
      <c r="H624" s="326"/>
      <c r="I624" s="326"/>
      <c r="J624" s="659"/>
      <c r="K624" s="326"/>
      <c r="L624" s="326"/>
      <c r="M624" s="326"/>
      <c r="N624" s="322"/>
    </row>
    <row r="625" spans="1:14" hidden="1">
      <c r="A625" s="757">
        <v>33</v>
      </c>
      <c r="B625" s="315"/>
      <c r="C625" s="758" t="s">
        <v>843</v>
      </c>
      <c r="D625" s="29" t="s">
        <v>124</v>
      </c>
      <c r="E625" s="123"/>
      <c r="F625" s="326"/>
      <c r="G625" s="326"/>
      <c r="H625" s="326"/>
      <c r="I625" s="326"/>
      <c r="J625" s="659"/>
      <c r="K625" s="326"/>
      <c r="L625" s="326"/>
      <c r="M625" s="326"/>
      <c r="N625" s="322"/>
    </row>
    <row r="626" spans="1:14" hidden="1">
      <c r="A626" s="757">
        <v>34</v>
      </c>
      <c r="B626" s="315"/>
      <c r="C626" s="758" t="s">
        <v>786</v>
      </c>
      <c r="D626" s="29" t="s">
        <v>124</v>
      </c>
      <c r="E626" s="123">
        <v>0</v>
      </c>
      <c r="F626" s="326"/>
      <c r="G626" s="326"/>
      <c r="H626" s="326"/>
      <c r="I626" s="326"/>
      <c r="J626" s="659"/>
      <c r="K626" s="326"/>
      <c r="L626" s="326"/>
      <c r="M626" s="326"/>
      <c r="N626" s="322"/>
    </row>
    <row r="627" spans="1:14" hidden="1">
      <c r="A627" s="757">
        <v>35</v>
      </c>
      <c r="B627" s="315"/>
      <c r="C627" s="758" t="s">
        <v>844</v>
      </c>
      <c r="D627" s="29" t="s">
        <v>124</v>
      </c>
      <c r="E627" s="123">
        <v>0</v>
      </c>
      <c r="F627" s="326"/>
      <c r="G627" s="326"/>
      <c r="H627" s="326"/>
      <c r="I627" s="326"/>
      <c r="J627" s="659"/>
      <c r="K627" s="326"/>
      <c r="L627" s="326"/>
      <c r="M627" s="326"/>
      <c r="N627" s="322"/>
    </row>
    <row r="628" spans="1:14" hidden="1">
      <c r="A628" s="757">
        <v>36</v>
      </c>
      <c r="B628" s="315"/>
      <c r="C628" s="758" t="s">
        <v>787</v>
      </c>
      <c r="D628" s="29" t="s">
        <v>124</v>
      </c>
      <c r="E628" s="123">
        <v>0</v>
      </c>
      <c r="F628" s="326"/>
      <c r="G628" s="326"/>
      <c r="H628" s="326"/>
      <c r="I628" s="326"/>
      <c r="J628" s="659"/>
      <c r="K628" s="326"/>
      <c r="L628" s="326"/>
      <c r="M628" s="326"/>
      <c r="N628" s="322"/>
    </row>
    <row r="629" spans="1:14" ht="27" hidden="1">
      <c r="A629" s="757">
        <v>37</v>
      </c>
      <c r="B629" s="315"/>
      <c r="C629" s="755" t="s">
        <v>1031</v>
      </c>
      <c r="D629" s="29" t="s">
        <v>124</v>
      </c>
      <c r="E629" s="123"/>
      <c r="F629" s="326"/>
      <c r="G629" s="326"/>
      <c r="H629" s="326"/>
      <c r="I629" s="326"/>
      <c r="J629" s="659"/>
      <c r="K629" s="326"/>
      <c r="L629" s="326"/>
      <c r="M629" s="326"/>
      <c r="N629" s="322"/>
    </row>
    <row r="630" spans="1:14" ht="27" hidden="1">
      <c r="A630" s="757">
        <v>38</v>
      </c>
      <c r="B630" s="315"/>
      <c r="C630" s="755" t="s">
        <v>1032</v>
      </c>
      <c r="D630" s="27" t="s">
        <v>113</v>
      </c>
      <c r="E630" s="123"/>
      <c r="F630" s="326"/>
      <c r="G630" s="326"/>
      <c r="H630" s="326"/>
      <c r="I630" s="326"/>
      <c r="J630" s="659"/>
      <c r="K630" s="326"/>
      <c r="L630" s="326"/>
      <c r="M630" s="326"/>
      <c r="N630" s="322"/>
    </row>
    <row r="631" spans="1:14" hidden="1">
      <c r="A631" s="757">
        <v>39</v>
      </c>
      <c r="B631" s="315"/>
      <c r="C631" s="756" t="s">
        <v>522</v>
      </c>
      <c r="D631" s="27" t="s">
        <v>113</v>
      </c>
      <c r="E631" s="123">
        <v>0</v>
      </c>
      <c r="F631" s="326"/>
      <c r="G631" s="326"/>
      <c r="H631" s="326"/>
      <c r="I631" s="326"/>
      <c r="J631" s="659"/>
      <c r="K631" s="326"/>
      <c r="L631" s="326"/>
      <c r="M631" s="326"/>
      <c r="N631" s="322"/>
    </row>
    <row r="632" spans="1:14" hidden="1">
      <c r="A632" s="757">
        <v>40</v>
      </c>
      <c r="B632" s="315"/>
      <c r="C632" s="756" t="s">
        <v>674</v>
      </c>
      <c r="D632" s="27" t="s">
        <v>113</v>
      </c>
      <c r="E632" s="123"/>
      <c r="F632" s="326"/>
      <c r="G632" s="326"/>
      <c r="H632" s="326"/>
      <c r="I632" s="326"/>
      <c r="J632" s="659"/>
      <c r="K632" s="326"/>
      <c r="L632" s="326"/>
      <c r="M632" s="326"/>
      <c r="N632" s="322"/>
    </row>
    <row r="633" spans="1:14" hidden="1">
      <c r="A633" s="757">
        <v>41</v>
      </c>
      <c r="B633" s="315"/>
      <c r="C633" s="756" t="s">
        <v>687</v>
      </c>
      <c r="D633" s="27" t="s">
        <v>113</v>
      </c>
      <c r="E633" s="123"/>
      <c r="F633" s="326"/>
      <c r="G633" s="326"/>
      <c r="H633" s="326"/>
      <c r="I633" s="326"/>
      <c r="J633" s="659"/>
      <c r="K633" s="326"/>
      <c r="L633" s="326"/>
      <c r="M633" s="326"/>
      <c r="N633" s="322"/>
    </row>
    <row r="634" spans="1:14" hidden="1">
      <c r="A634" s="757">
        <v>42</v>
      </c>
      <c r="B634" s="315"/>
      <c r="C634" s="756" t="s">
        <v>693</v>
      </c>
      <c r="D634" s="24" t="s">
        <v>437</v>
      </c>
      <c r="E634" s="123"/>
      <c r="F634" s="326"/>
      <c r="G634" s="326"/>
      <c r="H634" s="326"/>
      <c r="I634" s="326"/>
      <c r="J634" s="659"/>
      <c r="K634" s="326"/>
      <c r="L634" s="326"/>
      <c r="M634" s="326"/>
      <c r="N634" s="322"/>
    </row>
    <row r="635" spans="1:14" ht="27" hidden="1">
      <c r="A635" s="757">
        <v>43</v>
      </c>
      <c r="B635" s="315"/>
      <c r="C635" s="26" t="s">
        <v>607</v>
      </c>
      <c r="D635" s="27" t="s">
        <v>113</v>
      </c>
      <c r="E635" s="123"/>
      <c r="F635" s="326"/>
      <c r="G635" s="326"/>
      <c r="H635" s="326"/>
      <c r="I635" s="326"/>
      <c r="J635" s="659"/>
      <c r="K635" s="326"/>
      <c r="L635" s="326"/>
      <c r="M635" s="326"/>
      <c r="N635" s="322"/>
    </row>
    <row r="636" spans="1:14" hidden="1">
      <c r="A636" s="757">
        <v>44</v>
      </c>
      <c r="B636" s="315"/>
      <c r="C636" s="754" t="s">
        <v>671</v>
      </c>
      <c r="D636" s="27" t="s">
        <v>113</v>
      </c>
      <c r="E636" s="123"/>
      <c r="F636" s="326"/>
      <c r="G636" s="326"/>
      <c r="H636" s="326"/>
      <c r="I636" s="326"/>
      <c r="J636" s="659"/>
      <c r="K636" s="326"/>
      <c r="L636" s="326"/>
      <c r="M636" s="326"/>
      <c r="N636" s="322"/>
    </row>
    <row r="637" spans="1:14" hidden="1">
      <c r="A637" s="197"/>
      <c r="B637" s="197"/>
      <c r="C637" s="113" t="s">
        <v>110</v>
      </c>
      <c r="D637" s="97"/>
      <c r="E637" s="134"/>
      <c r="F637" s="326"/>
      <c r="G637" s="326"/>
      <c r="H637" s="326"/>
      <c r="I637" s="326"/>
      <c r="J637" s="659"/>
      <c r="K637" s="326"/>
      <c r="L637" s="326"/>
      <c r="M637" s="326"/>
      <c r="N637" s="322"/>
    </row>
    <row r="638" spans="1:14" hidden="1">
      <c r="A638" s="197"/>
      <c r="B638" s="197"/>
      <c r="C638" s="110" t="s">
        <v>658</v>
      </c>
      <c r="D638" s="97"/>
      <c r="E638" s="134"/>
      <c r="F638" s="326"/>
      <c r="G638" s="326"/>
      <c r="H638" s="326"/>
      <c r="I638" s="326"/>
      <c r="J638" s="659"/>
      <c r="K638" s="326"/>
      <c r="L638" s="326"/>
      <c r="M638" s="326"/>
      <c r="N638" s="322"/>
    </row>
    <row r="639" spans="1:14" hidden="1">
      <c r="A639" s="197"/>
      <c r="B639" s="197"/>
      <c r="C639" s="110" t="s">
        <v>117</v>
      </c>
      <c r="D639" s="97"/>
      <c r="E639" s="134"/>
      <c r="F639" s="326"/>
      <c r="G639" s="326"/>
      <c r="H639" s="326"/>
      <c r="I639" s="326"/>
      <c r="J639" s="659"/>
      <c r="K639" s="326"/>
      <c r="L639" s="326"/>
      <c r="M639" s="326"/>
      <c r="N639" s="322"/>
    </row>
    <row r="640" spans="1:14" hidden="1">
      <c r="A640" s="197"/>
      <c r="B640" s="197"/>
      <c r="C640" s="110" t="s">
        <v>659</v>
      </c>
      <c r="D640" s="97"/>
      <c r="E640" s="134"/>
      <c r="F640" s="326"/>
      <c r="G640" s="326"/>
      <c r="H640" s="326"/>
      <c r="I640" s="326"/>
      <c r="J640" s="659"/>
      <c r="K640" s="326"/>
      <c r="L640" s="326"/>
      <c r="M640" s="326"/>
      <c r="N640" s="322"/>
    </row>
    <row r="641" spans="1:14" hidden="1">
      <c r="A641" s="197"/>
      <c r="B641" s="197"/>
      <c r="C641" s="109" t="s">
        <v>680</v>
      </c>
      <c r="D641" s="320" t="s">
        <v>457</v>
      </c>
      <c r="E641" s="157">
        <v>10</v>
      </c>
      <c r="F641" s="326"/>
      <c r="G641" s="326"/>
      <c r="H641" s="326"/>
      <c r="I641" s="326"/>
      <c r="J641" s="659"/>
      <c r="K641" s="326"/>
      <c r="L641" s="326"/>
      <c r="M641" s="326"/>
      <c r="N641" s="322"/>
    </row>
    <row r="642" spans="1:14" ht="27" hidden="1">
      <c r="A642" s="197"/>
      <c r="B642" s="197"/>
      <c r="C642" s="109" t="s">
        <v>630</v>
      </c>
      <c r="D642" s="320" t="s">
        <v>457</v>
      </c>
      <c r="E642" s="157">
        <v>68</v>
      </c>
      <c r="F642" s="326"/>
      <c r="G642" s="326"/>
      <c r="H642" s="326"/>
      <c r="I642" s="326"/>
      <c r="J642" s="659"/>
      <c r="K642" s="326"/>
      <c r="L642" s="326"/>
      <c r="M642" s="326"/>
      <c r="N642" s="322"/>
    </row>
    <row r="643" spans="1:14" hidden="1">
      <c r="A643" s="197"/>
      <c r="B643" s="197"/>
      <c r="C643" s="30" t="s">
        <v>359</v>
      </c>
      <c r="D643" s="97"/>
      <c r="E643" s="134"/>
      <c r="F643" s="326"/>
      <c r="G643" s="326"/>
      <c r="H643" s="326"/>
      <c r="I643" s="326"/>
      <c r="J643" s="659"/>
      <c r="K643" s="326"/>
      <c r="L643" s="326"/>
      <c r="M643" s="326"/>
      <c r="N643" s="322"/>
    </row>
    <row r="644" spans="1:14" hidden="1">
      <c r="A644" s="197"/>
      <c r="B644" s="197"/>
      <c r="C644" s="110" t="s">
        <v>116</v>
      </c>
      <c r="D644" s="320" t="s">
        <v>457</v>
      </c>
      <c r="E644" s="157">
        <v>8</v>
      </c>
      <c r="F644" s="326"/>
      <c r="G644" s="326"/>
      <c r="H644" s="326"/>
      <c r="I644" s="326"/>
      <c r="J644" s="659"/>
      <c r="K644" s="326"/>
      <c r="L644" s="326"/>
      <c r="M644" s="326"/>
      <c r="N644" s="322"/>
    </row>
    <row r="645" spans="1:14" hidden="1">
      <c r="A645" s="197"/>
      <c r="B645" s="197"/>
      <c r="C645" s="170" t="s">
        <v>812</v>
      </c>
      <c r="D645" s="24"/>
      <c r="E645" s="134"/>
      <c r="F645" s="326"/>
      <c r="G645" s="683"/>
      <c r="H645" s="683"/>
      <c r="I645" s="683"/>
      <c r="J645" s="684"/>
      <c r="K645" s="683"/>
      <c r="L645" s="683"/>
      <c r="M645" s="326"/>
      <c r="N645" s="322"/>
    </row>
    <row r="646" spans="1:14" ht="27" hidden="1">
      <c r="A646" s="24"/>
      <c r="B646" s="24"/>
      <c r="C646" s="194" t="s">
        <v>1435</v>
      </c>
      <c r="D646" s="158"/>
      <c r="E646" s="891"/>
      <c r="F646" s="326"/>
      <c r="G646" s="326"/>
      <c r="H646" s="326"/>
      <c r="I646" s="326"/>
      <c r="J646" s="659"/>
      <c r="K646" s="326"/>
      <c r="L646" s="326"/>
      <c r="M646" s="326" t="s">
        <v>860</v>
      </c>
      <c r="N646" s="322"/>
    </row>
    <row r="647" spans="1:14" hidden="1">
      <c r="A647" s="24">
        <v>1</v>
      </c>
      <c r="B647" s="24"/>
      <c r="C647" s="260" t="s">
        <v>519</v>
      </c>
      <c r="D647" s="24" t="s">
        <v>437</v>
      </c>
      <c r="E647" s="123">
        <f>E646*3</f>
        <v>0</v>
      </c>
      <c r="F647" s="326"/>
      <c r="G647" s="326"/>
      <c r="H647" s="326"/>
      <c r="I647" s="326"/>
      <c r="J647" s="659"/>
      <c r="K647" s="326"/>
      <c r="L647" s="326"/>
      <c r="M647" s="326"/>
      <c r="N647" s="322"/>
    </row>
    <row r="648" spans="1:14" hidden="1">
      <c r="A648" s="24">
        <v>2</v>
      </c>
      <c r="B648" s="24"/>
      <c r="C648" s="260" t="s">
        <v>433</v>
      </c>
      <c r="D648" s="24" t="s">
        <v>437</v>
      </c>
      <c r="E648" s="123">
        <f>E646*2</f>
        <v>0</v>
      </c>
      <c r="F648" s="326"/>
      <c r="G648" s="326"/>
      <c r="H648" s="326"/>
      <c r="I648" s="326"/>
      <c r="J648" s="659"/>
      <c r="K648" s="326"/>
      <c r="L648" s="326"/>
      <c r="M648" s="326"/>
      <c r="N648" s="322"/>
    </row>
    <row r="649" spans="1:14" hidden="1">
      <c r="A649" s="24">
        <v>3</v>
      </c>
      <c r="B649" s="24"/>
      <c r="C649" s="26" t="s">
        <v>500</v>
      </c>
      <c r="D649" s="24" t="s">
        <v>437</v>
      </c>
      <c r="E649" s="123">
        <f>E646*0.2</f>
        <v>0</v>
      </c>
      <c r="F649" s="326"/>
      <c r="G649" s="326"/>
      <c r="H649" s="326"/>
      <c r="I649" s="326"/>
      <c r="J649" s="659"/>
      <c r="K649" s="326"/>
      <c r="L649" s="326"/>
      <c r="M649" s="326"/>
      <c r="N649" s="322"/>
    </row>
    <row r="650" spans="1:14" hidden="1">
      <c r="A650" s="24">
        <v>4</v>
      </c>
      <c r="B650" s="24"/>
      <c r="C650" s="151" t="s">
        <v>1033</v>
      </c>
      <c r="D650" s="140" t="s">
        <v>88</v>
      </c>
      <c r="E650" s="123">
        <f>E646*0.15</f>
        <v>0</v>
      </c>
      <c r="F650" s="326"/>
      <c r="G650" s="326"/>
      <c r="H650" s="326"/>
      <c r="I650" s="326"/>
      <c r="J650" s="659"/>
      <c r="K650" s="326"/>
      <c r="L650" s="326"/>
      <c r="M650" s="326"/>
      <c r="N650" s="322"/>
    </row>
    <row r="651" spans="1:14" ht="27" hidden="1">
      <c r="A651" s="24">
        <v>5</v>
      </c>
      <c r="B651" s="24"/>
      <c r="C651" s="26" t="s">
        <v>1034</v>
      </c>
      <c r="D651" s="24" t="s">
        <v>437</v>
      </c>
      <c r="E651" s="123">
        <f>0.62*E646</f>
        <v>0</v>
      </c>
      <c r="F651" s="326"/>
      <c r="G651" s="326"/>
      <c r="H651" s="326"/>
      <c r="I651" s="326"/>
      <c r="J651" s="659"/>
      <c r="K651" s="326"/>
      <c r="L651" s="326"/>
      <c r="M651" s="326"/>
      <c r="N651" s="322"/>
    </row>
    <row r="652" spans="1:14" hidden="1">
      <c r="A652" s="24">
        <v>6</v>
      </c>
      <c r="B652" s="24"/>
      <c r="C652" s="260" t="s">
        <v>501</v>
      </c>
      <c r="D652" s="27" t="s">
        <v>97</v>
      </c>
      <c r="E652" s="123">
        <f>E646*20.7</f>
        <v>0</v>
      </c>
      <c r="F652" s="326"/>
      <c r="G652" s="326"/>
      <c r="H652" s="326"/>
      <c r="I652" s="326"/>
      <c r="J652" s="659"/>
      <c r="K652" s="326"/>
      <c r="L652" s="326"/>
      <c r="M652" s="326"/>
      <c r="N652" s="322"/>
    </row>
    <row r="653" spans="1:14" hidden="1">
      <c r="A653" s="24">
        <v>7</v>
      </c>
      <c r="B653" s="24"/>
      <c r="C653" s="151" t="s">
        <v>979</v>
      </c>
      <c r="D653" s="140" t="s">
        <v>97</v>
      </c>
      <c r="E653" s="123">
        <f>E646*17.8</f>
        <v>0</v>
      </c>
      <c r="F653" s="326"/>
      <c r="G653" s="326"/>
      <c r="H653" s="326"/>
      <c r="I653" s="326"/>
      <c r="J653" s="659"/>
      <c r="K653" s="326"/>
      <c r="L653" s="326"/>
      <c r="M653" s="326"/>
      <c r="N653" s="322"/>
    </row>
    <row r="654" spans="1:14" ht="27" hidden="1">
      <c r="A654" s="24">
        <v>8</v>
      </c>
      <c r="B654" s="24"/>
      <c r="C654" s="100" t="s">
        <v>1035</v>
      </c>
      <c r="D654" s="24" t="s">
        <v>437</v>
      </c>
      <c r="E654" s="123"/>
      <c r="F654" s="326"/>
      <c r="G654" s="326"/>
      <c r="H654" s="326"/>
      <c r="I654" s="326"/>
      <c r="J654" s="659"/>
      <c r="K654" s="326"/>
      <c r="L654" s="326"/>
      <c r="M654" s="326"/>
      <c r="N654" s="322"/>
    </row>
    <row r="655" spans="1:14" ht="27" hidden="1">
      <c r="A655" s="298">
        <v>9</v>
      </c>
      <c r="B655" s="298"/>
      <c r="C655" s="260" t="s">
        <v>1573</v>
      </c>
      <c r="D655" s="27" t="s">
        <v>114</v>
      </c>
      <c r="E655" s="123">
        <v>0</v>
      </c>
      <c r="F655" s="326"/>
      <c r="G655" s="326"/>
      <c r="H655" s="326"/>
      <c r="I655" s="326"/>
      <c r="J655" s="659"/>
      <c r="K655" s="326"/>
      <c r="L655" s="326"/>
      <c r="M655" s="326"/>
      <c r="N655" s="322"/>
    </row>
    <row r="656" spans="1:14" hidden="1">
      <c r="A656" s="298"/>
      <c r="B656" s="298"/>
      <c r="C656" s="260" t="s">
        <v>1572</v>
      </c>
      <c r="D656" s="29" t="s">
        <v>124</v>
      </c>
      <c r="E656" s="123">
        <v>0</v>
      </c>
      <c r="F656" s="326"/>
      <c r="G656" s="326"/>
      <c r="H656" s="326"/>
      <c r="I656" s="326"/>
      <c r="J656" s="659"/>
      <c r="K656" s="326"/>
      <c r="L656" s="326"/>
      <c r="M656" s="326"/>
      <c r="N656" s="322"/>
    </row>
    <row r="657" spans="1:14" hidden="1">
      <c r="A657" s="298"/>
      <c r="B657" s="298"/>
      <c r="C657" s="100" t="s">
        <v>1490</v>
      </c>
      <c r="D657" s="24" t="s">
        <v>112</v>
      </c>
      <c r="E657" s="123">
        <f>E646*0.36</f>
        <v>0</v>
      </c>
      <c r="F657" s="326"/>
      <c r="G657" s="326"/>
      <c r="H657" s="326"/>
      <c r="I657" s="326"/>
      <c r="J657" s="659"/>
      <c r="K657" s="326"/>
      <c r="L657" s="326"/>
      <c r="M657" s="326"/>
      <c r="N657" s="322"/>
    </row>
    <row r="658" spans="1:14" hidden="1">
      <c r="A658" s="298"/>
      <c r="B658" s="298"/>
      <c r="C658" s="100" t="s">
        <v>1491</v>
      </c>
      <c r="D658" s="24" t="s">
        <v>112</v>
      </c>
      <c r="E658" s="123">
        <f>E646*0.02</f>
        <v>0</v>
      </c>
      <c r="F658" s="326"/>
      <c r="G658" s="326"/>
      <c r="H658" s="326"/>
      <c r="I658" s="326"/>
      <c r="J658" s="659"/>
      <c r="K658" s="326"/>
      <c r="L658" s="326"/>
      <c r="M658" s="326"/>
      <c r="N658" s="322"/>
    </row>
    <row r="659" spans="1:14" ht="16.5" hidden="1" customHeight="1">
      <c r="A659" s="298"/>
      <c r="B659" s="298"/>
      <c r="C659" s="100" t="s">
        <v>1492</v>
      </c>
      <c r="D659" s="29" t="s">
        <v>124</v>
      </c>
      <c r="E659" s="123">
        <f>E646*19.5</f>
        <v>0</v>
      </c>
      <c r="F659" s="326"/>
      <c r="G659" s="326"/>
      <c r="H659" s="326"/>
      <c r="I659" s="326"/>
      <c r="J659" s="659"/>
      <c r="K659" s="326"/>
      <c r="L659" s="326"/>
      <c r="M659" s="326"/>
      <c r="N659" s="322"/>
    </row>
    <row r="660" spans="1:14" hidden="1">
      <c r="A660" s="298"/>
      <c r="B660" s="298"/>
      <c r="C660" s="260" t="s">
        <v>1574</v>
      </c>
      <c r="D660" s="27" t="s">
        <v>113</v>
      </c>
      <c r="E660" s="123">
        <f>E646*3</f>
        <v>0</v>
      </c>
      <c r="F660" s="326"/>
      <c r="G660" s="326"/>
      <c r="H660" s="326"/>
      <c r="I660" s="326"/>
      <c r="J660" s="659"/>
      <c r="K660" s="326"/>
      <c r="L660" s="326"/>
      <c r="M660" s="326"/>
      <c r="N660" s="322"/>
    </row>
    <row r="661" spans="1:14" hidden="1">
      <c r="A661" s="197"/>
      <c r="B661" s="197"/>
      <c r="C661" s="30" t="s">
        <v>110</v>
      </c>
      <c r="D661" s="24"/>
      <c r="E661" s="134"/>
      <c r="F661" s="326"/>
      <c r="G661" s="326"/>
      <c r="H661" s="326"/>
      <c r="I661" s="326"/>
      <c r="J661" s="659"/>
      <c r="K661" s="326"/>
      <c r="L661" s="326"/>
      <c r="M661" s="326"/>
      <c r="N661" s="322"/>
    </row>
    <row r="662" spans="1:14" hidden="1">
      <c r="A662" s="197"/>
      <c r="B662" s="197"/>
      <c r="C662" s="110" t="s">
        <v>679</v>
      </c>
      <c r="D662" s="24"/>
      <c r="E662" s="134"/>
      <c r="F662" s="326"/>
      <c r="G662" s="326"/>
      <c r="H662" s="326"/>
      <c r="I662" s="326"/>
      <c r="J662" s="659"/>
      <c r="K662" s="326"/>
      <c r="L662" s="326"/>
      <c r="M662" s="326"/>
      <c r="N662" s="322"/>
    </row>
    <row r="663" spans="1:14" hidden="1">
      <c r="A663" s="197"/>
      <c r="B663" s="197"/>
      <c r="C663" s="110" t="s">
        <v>616</v>
      </c>
      <c r="D663" s="24"/>
      <c r="E663" s="134"/>
      <c r="F663" s="326"/>
      <c r="G663" s="326"/>
      <c r="H663" s="326"/>
      <c r="I663" s="326"/>
      <c r="J663" s="659"/>
      <c r="K663" s="326"/>
      <c r="L663" s="326"/>
      <c r="M663" s="326"/>
      <c r="N663" s="322"/>
    </row>
    <row r="664" spans="1:14" hidden="1">
      <c r="A664" s="197"/>
      <c r="B664" s="197"/>
      <c r="C664" s="110" t="s">
        <v>680</v>
      </c>
      <c r="D664" s="320" t="s">
        <v>457</v>
      </c>
      <c r="E664" s="157">
        <v>10</v>
      </c>
      <c r="F664" s="326"/>
      <c r="G664" s="326"/>
      <c r="H664" s="326"/>
      <c r="I664" s="326"/>
      <c r="J664" s="659"/>
      <c r="K664" s="326"/>
      <c r="L664" s="326"/>
      <c r="M664" s="326"/>
      <c r="N664" s="322"/>
    </row>
    <row r="665" spans="1:14" ht="27" hidden="1">
      <c r="A665" s="197"/>
      <c r="B665" s="197"/>
      <c r="C665" s="110" t="s">
        <v>681</v>
      </c>
      <c r="D665" s="320" t="s">
        <v>457</v>
      </c>
      <c r="E665" s="157">
        <v>8</v>
      </c>
      <c r="F665" s="326"/>
      <c r="G665" s="326"/>
      <c r="H665" s="326"/>
      <c r="I665" s="326"/>
      <c r="J665" s="659"/>
      <c r="K665" s="326"/>
      <c r="L665" s="326"/>
      <c r="M665" s="326"/>
      <c r="N665" s="322"/>
    </row>
    <row r="666" spans="1:14" hidden="1">
      <c r="A666" s="197"/>
      <c r="B666" s="197"/>
      <c r="C666" s="30" t="s">
        <v>110</v>
      </c>
      <c r="D666" s="27"/>
      <c r="E666" s="134"/>
      <c r="F666" s="326"/>
      <c r="G666" s="326"/>
      <c r="H666" s="326"/>
      <c r="I666" s="326"/>
      <c r="J666" s="659"/>
      <c r="K666" s="326"/>
      <c r="L666" s="326"/>
      <c r="M666" s="326"/>
      <c r="N666" s="322"/>
    </row>
    <row r="667" spans="1:14" hidden="1">
      <c r="A667" s="197"/>
      <c r="B667" s="197"/>
      <c r="C667" s="33" t="s">
        <v>116</v>
      </c>
      <c r="D667" s="320" t="s">
        <v>457</v>
      </c>
      <c r="E667" s="157">
        <v>8</v>
      </c>
      <c r="F667" s="326"/>
      <c r="G667" s="326"/>
      <c r="H667" s="326"/>
      <c r="I667" s="326"/>
      <c r="J667" s="659"/>
      <c r="K667" s="326"/>
      <c r="L667" s="326"/>
      <c r="M667" s="326"/>
      <c r="N667" s="322"/>
    </row>
    <row r="668" spans="1:14" hidden="1">
      <c r="A668" s="197"/>
      <c r="B668" s="197"/>
      <c r="C668" s="30" t="s">
        <v>1436</v>
      </c>
      <c r="D668" s="320"/>
      <c r="E668" s="157"/>
      <c r="F668" s="326"/>
      <c r="G668" s="683"/>
      <c r="H668" s="683"/>
      <c r="I668" s="683"/>
      <c r="J668" s="684"/>
      <c r="K668" s="683"/>
      <c r="L668" s="683"/>
      <c r="M668" s="326"/>
      <c r="N668" s="322"/>
    </row>
    <row r="669" spans="1:14" hidden="1">
      <c r="A669" s="24"/>
      <c r="B669" s="24"/>
      <c r="C669" s="34" t="s">
        <v>1437</v>
      </c>
      <c r="D669" s="198"/>
      <c r="E669" s="135"/>
      <c r="F669" s="326"/>
      <c r="G669" s="326"/>
      <c r="H669" s="326"/>
      <c r="I669" s="326"/>
      <c r="J669" s="659"/>
      <c r="K669" s="326"/>
      <c r="L669" s="326"/>
      <c r="M669" s="326" t="s">
        <v>860</v>
      </c>
      <c r="N669" s="322"/>
    </row>
    <row r="670" spans="1:14" ht="27" hidden="1">
      <c r="A670" s="24">
        <v>1</v>
      </c>
      <c r="B670" s="24"/>
      <c r="C670" s="1089" t="s">
        <v>1737</v>
      </c>
      <c r="D670" s="27" t="s">
        <v>113</v>
      </c>
      <c r="E670" s="123"/>
      <c r="F670" s="326"/>
      <c r="G670" s="326"/>
      <c r="H670" s="326"/>
      <c r="I670" s="326"/>
      <c r="J670" s="659"/>
      <c r="K670" s="326"/>
      <c r="L670" s="326"/>
      <c r="M670" s="326"/>
      <c r="N670" s="322"/>
    </row>
    <row r="671" spans="1:14" ht="27" hidden="1">
      <c r="A671" s="24">
        <v>2</v>
      </c>
      <c r="B671" s="24"/>
      <c r="C671" s="260" t="s">
        <v>516</v>
      </c>
      <c r="D671" s="27" t="s">
        <v>113</v>
      </c>
      <c r="E671" s="123">
        <v>0</v>
      </c>
      <c r="F671" s="326"/>
      <c r="G671" s="326"/>
      <c r="H671" s="326"/>
      <c r="I671" s="326"/>
      <c r="J671" s="659"/>
      <c r="K671" s="326"/>
      <c r="L671" s="326"/>
      <c r="M671" s="326"/>
      <c r="N671" s="322"/>
    </row>
    <row r="672" spans="1:14" ht="27" hidden="1">
      <c r="A672" s="24">
        <v>3</v>
      </c>
      <c r="B672" s="24"/>
      <c r="C672" s="26" t="s">
        <v>466</v>
      </c>
      <c r="D672" s="27" t="s">
        <v>113</v>
      </c>
      <c r="E672" s="123"/>
      <c r="F672" s="326"/>
      <c r="G672" s="326"/>
      <c r="H672" s="326"/>
      <c r="I672" s="326"/>
      <c r="J672" s="659"/>
      <c r="K672" s="326"/>
      <c r="L672" s="326"/>
      <c r="M672" s="326"/>
      <c r="N672" s="322"/>
    </row>
    <row r="673" spans="1:14" hidden="1">
      <c r="A673" s="24">
        <v>4</v>
      </c>
      <c r="B673" s="24"/>
      <c r="C673" s="260" t="s">
        <v>517</v>
      </c>
      <c r="D673" s="27" t="s">
        <v>113</v>
      </c>
      <c r="E673" s="123"/>
      <c r="F673" s="326"/>
      <c r="G673" s="326"/>
      <c r="H673" s="326"/>
      <c r="I673" s="326"/>
      <c r="J673" s="659"/>
      <c r="K673" s="326"/>
      <c r="L673" s="326"/>
      <c r="M673" s="326"/>
      <c r="N673" s="322"/>
    </row>
    <row r="674" spans="1:14" ht="27" hidden="1">
      <c r="A674" s="24">
        <v>5</v>
      </c>
      <c r="B674" s="24"/>
      <c r="C674" s="26" t="s">
        <v>523</v>
      </c>
      <c r="D674" s="29" t="s">
        <v>124</v>
      </c>
      <c r="E674" s="123"/>
      <c r="F674" s="326"/>
      <c r="G674" s="326"/>
      <c r="H674" s="326"/>
      <c r="I674" s="326"/>
      <c r="J674" s="659"/>
      <c r="K674" s="326"/>
      <c r="L674" s="326"/>
      <c r="M674" s="326"/>
      <c r="N674" s="322"/>
    </row>
    <row r="675" spans="1:14" ht="27" hidden="1">
      <c r="A675" s="24">
        <v>6</v>
      </c>
      <c r="B675" s="24"/>
      <c r="C675" s="26" t="s">
        <v>524</v>
      </c>
      <c r="D675" s="29" t="s">
        <v>124</v>
      </c>
      <c r="E675" s="123"/>
      <c r="F675" s="326"/>
      <c r="G675" s="326"/>
      <c r="H675" s="326"/>
      <c r="I675" s="326"/>
      <c r="J675" s="659"/>
      <c r="K675" s="326"/>
      <c r="L675" s="326"/>
      <c r="M675" s="326"/>
      <c r="N675" s="322"/>
    </row>
    <row r="676" spans="1:14" hidden="1">
      <c r="A676" s="24">
        <v>7</v>
      </c>
      <c r="B676" s="24"/>
      <c r="C676" s="26" t="s">
        <v>1049</v>
      </c>
      <c r="D676" s="27" t="s">
        <v>113</v>
      </c>
      <c r="E676" s="123"/>
      <c r="F676" s="326"/>
      <c r="G676" s="326"/>
      <c r="H676" s="326"/>
      <c r="I676" s="326"/>
      <c r="J676" s="659"/>
      <c r="K676" s="326"/>
      <c r="L676" s="326"/>
      <c r="M676" s="326"/>
      <c r="N676" s="322"/>
    </row>
    <row r="677" spans="1:14" hidden="1">
      <c r="A677" s="197"/>
      <c r="B677" s="197"/>
      <c r="C677" s="113" t="s">
        <v>110</v>
      </c>
      <c r="D677" s="97"/>
      <c r="E677" s="134"/>
      <c r="F677" s="326"/>
      <c r="G677" s="326"/>
      <c r="H677" s="326"/>
      <c r="I677" s="326"/>
      <c r="J677" s="659"/>
      <c r="K677" s="326"/>
      <c r="L677" s="326"/>
      <c r="M677" s="326"/>
      <c r="N677" s="322"/>
    </row>
    <row r="678" spans="1:14" hidden="1">
      <c r="A678" s="197"/>
      <c r="B678" s="197"/>
      <c r="C678" s="109" t="s">
        <v>458</v>
      </c>
      <c r="D678" s="320" t="s">
        <v>457</v>
      </c>
      <c r="E678" s="157">
        <v>75</v>
      </c>
      <c r="F678" s="326"/>
      <c r="G678" s="326"/>
      <c r="H678" s="326"/>
      <c r="I678" s="326"/>
      <c r="J678" s="659"/>
      <c r="K678" s="326"/>
      <c r="L678" s="326"/>
      <c r="M678" s="326"/>
      <c r="N678" s="322"/>
    </row>
    <row r="679" spans="1:14" hidden="1">
      <c r="A679" s="197"/>
      <c r="B679" s="197"/>
      <c r="C679" s="30" t="s">
        <v>359</v>
      </c>
      <c r="D679" s="97"/>
      <c r="E679" s="134"/>
      <c r="F679" s="326"/>
      <c r="G679" s="326"/>
      <c r="H679" s="326"/>
      <c r="I679" s="326"/>
      <c r="J679" s="659"/>
      <c r="K679" s="326"/>
      <c r="L679" s="326"/>
      <c r="M679" s="326"/>
      <c r="N679" s="322"/>
    </row>
    <row r="680" spans="1:14" hidden="1">
      <c r="A680" s="197"/>
      <c r="B680" s="197"/>
      <c r="C680" s="110" t="s">
        <v>116</v>
      </c>
      <c r="D680" s="320" t="s">
        <v>457</v>
      </c>
      <c r="E680" s="157">
        <v>8</v>
      </c>
      <c r="F680" s="326"/>
      <c r="G680" s="326"/>
      <c r="H680" s="326"/>
      <c r="I680" s="326"/>
      <c r="J680" s="659"/>
      <c r="K680" s="326"/>
      <c r="L680" s="326"/>
      <c r="M680" s="326"/>
      <c r="N680" s="322"/>
    </row>
    <row r="681" spans="1:14" hidden="1">
      <c r="A681" s="197"/>
      <c r="B681" s="197"/>
      <c r="C681" s="170" t="s">
        <v>1429</v>
      </c>
      <c r="D681" s="24"/>
      <c r="E681" s="134"/>
      <c r="F681" s="326"/>
      <c r="G681" s="683"/>
      <c r="H681" s="683"/>
      <c r="I681" s="683"/>
      <c r="J681" s="684"/>
      <c r="K681" s="683"/>
      <c r="L681" s="683"/>
      <c r="M681" s="326"/>
      <c r="N681" s="322"/>
    </row>
    <row r="682" spans="1:14" hidden="1">
      <c r="A682" s="24"/>
      <c r="B682" s="24"/>
      <c r="C682" s="34" t="s">
        <v>1438</v>
      </c>
      <c r="D682" s="779"/>
      <c r="E682" s="135"/>
      <c r="F682" s="326"/>
      <c r="G682" s="326"/>
      <c r="H682" s="326"/>
      <c r="I682" s="326"/>
      <c r="J682" s="659"/>
      <c r="K682" s="326"/>
      <c r="L682" s="326"/>
      <c r="M682" s="326" t="s">
        <v>860</v>
      </c>
      <c r="N682" s="322"/>
    </row>
    <row r="683" spans="1:14" hidden="1">
      <c r="A683" s="24">
        <v>1</v>
      </c>
      <c r="B683" s="24"/>
      <c r="C683" s="260" t="s">
        <v>677</v>
      </c>
      <c r="D683" s="29" t="s">
        <v>124</v>
      </c>
      <c r="E683" s="123"/>
      <c r="F683" s="326"/>
      <c r="G683" s="326"/>
      <c r="H683" s="326"/>
      <c r="I683" s="326"/>
      <c r="J683" s="659"/>
      <c r="K683" s="326"/>
      <c r="L683" s="326"/>
      <c r="M683" s="326"/>
      <c r="N683" s="322"/>
    </row>
    <row r="684" spans="1:14" hidden="1">
      <c r="A684" s="24">
        <v>2</v>
      </c>
      <c r="B684" s="24"/>
      <c r="C684" s="260" t="s">
        <v>433</v>
      </c>
      <c r="D684" s="29" t="s">
        <v>124</v>
      </c>
      <c r="E684" s="123"/>
      <c r="F684" s="326"/>
      <c r="G684" s="326"/>
      <c r="H684" s="326"/>
      <c r="I684" s="326"/>
      <c r="J684" s="659"/>
      <c r="K684" s="326"/>
      <c r="L684" s="326"/>
      <c r="M684" s="326"/>
      <c r="N684" s="322"/>
    </row>
    <row r="685" spans="1:14" ht="27" hidden="1">
      <c r="A685" s="24">
        <v>3</v>
      </c>
      <c r="B685" s="24"/>
      <c r="C685" s="100" t="s">
        <v>936</v>
      </c>
      <c r="D685" s="29" t="s">
        <v>124</v>
      </c>
      <c r="E685" s="123"/>
      <c r="F685" s="326"/>
      <c r="G685" s="326"/>
      <c r="H685" s="326"/>
      <c r="I685" s="326"/>
      <c r="J685" s="659"/>
      <c r="K685" s="326"/>
      <c r="L685" s="326"/>
      <c r="M685" s="326"/>
      <c r="N685" s="322"/>
    </row>
    <row r="686" spans="1:14" ht="27" hidden="1">
      <c r="A686" s="24">
        <v>4</v>
      </c>
      <c r="B686" s="100"/>
      <c r="C686" s="100" t="s">
        <v>930</v>
      </c>
      <c r="D686" s="29" t="s">
        <v>124</v>
      </c>
      <c r="E686" s="123"/>
      <c r="F686" s="326"/>
      <c r="G686" s="326"/>
      <c r="H686" s="326"/>
      <c r="I686" s="326"/>
      <c r="J686" s="659"/>
      <c r="K686" s="326"/>
      <c r="L686" s="326"/>
      <c r="M686" s="326"/>
      <c r="N686" s="322"/>
    </row>
    <row r="687" spans="1:14" ht="27" hidden="1">
      <c r="A687" s="24">
        <v>5</v>
      </c>
      <c r="B687" s="100"/>
      <c r="C687" s="100" t="s">
        <v>518</v>
      </c>
      <c r="D687" s="29" t="s">
        <v>124</v>
      </c>
      <c r="E687" s="123">
        <v>0</v>
      </c>
      <c r="F687" s="326"/>
      <c r="G687" s="326"/>
      <c r="H687" s="326"/>
      <c r="I687" s="326"/>
      <c r="J687" s="659"/>
      <c r="K687" s="326"/>
      <c r="L687" s="326"/>
      <c r="M687" s="326"/>
      <c r="N687" s="322"/>
    </row>
    <row r="688" spans="1:14" ht="27" hidden="1">
      <c r="A688" s="24">
        <v>6</v>
      </c>
      <c r="B688" s="100"/>
      <c r="C688" s="100" t="s">
        <v>622</v>
      </c>
      <c r="D688" s="29" t="s">
        <v>124</v>
      </c>
      <c r="E688" s="123"/>
      <c r="F688" s="326"/>
      <c r="G688" s="326"/>
      <c r="H688" s="326"/>
      <c r="I688" s="326"/>
      <c r="J688" s="659"/>
      <c r="K688" s="326"/>
      <c r="L688" s="326"/>
      <c r="M688" s="326"/>
      <c r="N688" s="322"/>
    </row>
    <row r="689" spans="1:15" ht="27" hidden="1">
      <c r="A689" s="24">
        <v>7</v>
      </c>
      <c r="B689" s="24"/>
      <c r="C689" s="100" t="s">
        <v>931</v>
      </c>
      <c r="D689" s="29" t="s">
        <v>124</v>
      </c>
      <c r="E689" s="123"/>
      <c r="F689" s="326"/>
      <c r="G689" s="326"/>
      <c r="H689" s="326"/>
      <c r="I689" s="326"/>
      <c r="J689" s="659"/>
      <c r="K689" s="326"/>
      <c r="L689" s="326"/>
      <c r="M689" s="326"/>
      <c r="N689" s="322"/>
    </row>
    <row r="690" spans="1:15" ht="27" hidden="1">
      <c r="A690" s="24">
        <v>8</v>
      </c>
      <c r="B690" s="24"/>
      <c r="C690" s="100" t="s">
        <v>624</v>
      </c>
      <c r="D690" s="29" t="s">
        <v>124</v>
      </c>
      <c r="E690" s="123"/>
      <c r="F690" s="326"/>
      <c r="G690" s="326"/>
      <c r="H690" s="326"/>
      <c r="I690" s="326"/>
      <c r="J690" s="659"/>
      <c r="K690" s="326"/>
      <c r="L690" s="326"/>
      <c r="M690" s="326"/>
      <c r="N690" s="322"/>
    </row>
    <row r="691" spans="1:15" ht="27" hidden="1">
      <c r="A691" s="24">
        <v>9</v>
      </c>
      <c r="B691" s="24"/>
      <c r="C691" s="100" t="s">
        <v>625</v>
      </c>
      <c r="D691" s="29" t="s">
        <v>124</v>
      </c>
      <c r="E691" s="123"/>
      <c r="F691" s="326"/>
      <c r="G691" s="326"/>
      <c r="H691" s="326"/>
      <c r="I691" s="326"/>
      <c r="J691" s="659"/>
      <c r="K691" s="326"/>
      <c r="L691" s="326"/>
      <c r="M691" s="326"/>
      <c r="N691" s="322"/>
    </row>
    <row r="692" spans="1:15" ht="27" hidden="1">
      <c r="A692" s="24">
        <v>10</v>
      </c>
      <c r="B692" s="24"/>
      <c r="C692" s="100" t="s">
        <v>932</v>
      </c>
      <c r="D692" s="29" t="s">
        <v>124</v>
      </c>
      <c r="E692" s="123">
        <v>0</v>
      </c>
      <c r="F692" s="326"/>
      <c r="G692" s="326"/>
      <c r="H692" s="326"/>
      <c r="I692" s="326"/>
      <c r="J692" s="659"/>
      <c r="K692" s="326"/>
      <c r="L692" s="326"/>
      <c r="M692" s="326"/>
      <c r="N692" s="322"/>
    </row>
    <row r="693" spans="1:15" hidden="1">
      <c r="A693" s="24">
        <v>11</v>
      </c>
      <c r="B693" s="24"/>
      <c r="C693" s="100" t="s">
        <v>678</v>
      </c>
      <c r="D693" s="27" t="s">
        <v>113</v>
      </c>
      <c r="E693" s="123"/>
      <c r="F693" s="326"/>
      <c r="G693" s="326"/>
      <c r="H693" s="326"/>
      <c r="I693" s="326"/>
      <c r="J693" s="659"/>
      <c r="K693" s="326"/>
      <c r="L693" s="326"/>
      <c r="M693" s="326"/>
      <c r="N693" s="322"/>
    </row>
    <row r="694" spans="1:15" ht="27" hidden="1">
      <c r="A694" s="24">
        <v>12</v>
      </c>
      <c r="B694" s="24"/>
      <c r="C694" s="26" t="s">
        <v>1109</v>
      </c>
      <c r="D694" s="24" t="s">
        <v>437</v>
      </c>
      <c r="E694" s="123"/>
      <c r="F694" s="326"/>
      <c r="G694" s="326"/>
      <c r="H694" s="326"/>
      <c r="I694" s="326"/>
      <c r="J694" s="659"/>
      <c r="K694" s="326"/>
      <c r="L694" s="326"/>
      <c r="M694" s="326"/>
      <c r="N694" s="322"/>
    </row>
    <row r="695" spans="1:15" hidden="1">
      <c r="A695" s="197"/>
      <c r="B695" s="197"/>
      <c r="C695" s="30" t="s">
        <v>110</v>
      </c>
      <c r="D695" s="24"/>
      <c r="E695" s="134"/>
      <c r="F695" s="326"/>
      <c r="G695" s="326"/>
      <c r="H695" s="326"/>
      <c r="I695" s="326"/>
      <c r="J695" s="659"/>
      <c r="K695" s="326"/>
      <c r="L695" s="326"/>
      <c r="M695" s="326"/>
      <c r="N695" s="322"/>
    </row>
    <row r="696" spans="1:15" hidden="1">
      <c r="A696" s="197"/>
      <c r="B696" s="197"/>
      <c r="C696" s="32" t="s">
        <v>115</v>
      </c>
      <c r="D696" s="320" t="s">
        <v>457</v>
      </c>
      <c r="E696" s="157">
        <v>10</v>
      </c>
      <c r="F696" s="326"/>
      <c r="G696" s="674"/>
      <c r="H696" s="674"/>
      <c r="I696" s="674"/>
      <c r="J696" s="674"/>
      <c r="K696" s="674"/>
      <c r="L696" s="674"/>
      <c r="M696" s="326"/>
      <c r="N696" s="322"/>
    </row>
    <row r="697" spans="1:15" hidden="1">
      <c r="A697" s="197"/>
      <c r="B697" s="197"/>
      <c r="C697" s="30" t="s">
        <v>110</v>
      </c>
      <c r="D697" s="27"/>
      <c r="E697" s="134"/>
      <c r="F697" s="326"/>
      <c r="G697" s="674"/>
      <c r="H697" s="674"/>
      <c r="I697" s="674"/>
      <c r="J697" s="674"/>
      <c r="K697" s="674"/>
      <c r="L697" s="674"/>
      <c r="M697" s="326"/>
      <c r="N697" s="322"/>
    </row>
    <row r="698" spans="1:15" hidden="1">
      <c r="A698" s="197"/>
      <c r="B698" s="197"/>
      <c r="C698" s="33" t="s">
        <v>116</v>
      </c>
      <c r="D698" s="320" t="s">
        <v>457</v>
      </c>
      <c r="E698" s="157">
        <v>8</v>
      </c>
      <c r="F698" s="326"/>
      <c r="G698" s="674"/>
      <c r="H698" s="674"/>
      <c r="I698" s="674"/>
      <c r="J698" s="674"/>
      <c r="K698" s="674"/>
      <c r="L698" s="674"/>
      <c r="M698" s="326"/>
      <c r="N698" s="322"/>
    </row>
    <row r="699" spans="1:15" hidden="1">
      <c r="A699" s="197"/>
      <c r="B699" s="197"/>
      <c r="C699" s="30" t="s">
        <v>1439</v>
      </c>
      <c r="D699" s="320"/>
      <c r="E699" s="157"/>
      <c r="F699" s="326"/>
      <c r="G699" s="675"/>
      <c r="H699" s="675"/>
      <c r="I699" s="675"/>
      <c r="J699" s="675"/>
      <c r="K699" s="675"/>
      <c r="L699" s="675"/>
      <c r="M699" s="326"/>
      <c r="N699" s="322"/>
    </row>
    <row r="700" spans="1:15" hidden="1">
      <c r="A700" s="197"/>
      <c r="B700" s="197"/>
      <c r="C700" s="34" t="s">
        <v>1440</v>
      </c>
      <c r="D700" s="320"/>
      <c r="E700" s="157"/>
      <c r="F700" s="326"/>
      <c r="G700" s="326"/>
      <c r="H700" s="326"/>
      <c r="I700" s="326"/>
      <c r="J700" s="659"/>
      <c r="K700" s="326"/>
      <c r="L700" s="683"/>
      <c r="M700" s="326" t="s">
        <v>862</v>
      </c>
      <c r="N700" s="322"/>
    </row>
    <row r="701" spans="1:15" hidden="1">
      <c r="A701" s="197">
        <v>1</v>
      </c>
      <c r="B701" s="197"/>
      <c r="C701" s="28" t="s">
        <v>865</v>
      </c>
      <c r="D701" s="158" t="s">
        <v>4</v>
      </c>
      <c r="E701" s="891">
        <v>1</v>
      </c>
      <c r="F701" s="326"/>
      <c r="G701" s="326"/>
      <c r="H701" s="326"/>
      <c r="I701" s="326"/>
      <c r="J701" s="659"/>
      <c r="K701" s="326"/>
      <c r="L701" s="326"/>
      <c r="M701" s="326"/>
      <c r="N701" s="322"/>
    </row>
    <row r="702" spans="1:15" hidden="1">
      <c r="A702" s="197"/>
      <c r="B702" s="197"/>
      <c r="C702" s="26"/>
      <c r="D702" s="24"/>
      <c r="E702" s="134"/>
      <c r="F702" s="326"/>
      <c r="G702" s="326"/>
      <c r="H702" s="326"/>
      <c r="I702" s="326"/>
      <c r="J702" s="1130"/>
      <c r="K702" s="326"/>
      <c r="L702" s="326"/>
      <c r="M702" s="326"/>
      <c r="N702" s="322"/>
    </row>
    <row r="703" spans="1:15" s="690" customFormat="1">
      <c r="A703" s="1364"/>
      <c r="B703" s="1138"/>
      <c r="C703" s="759" t="s">
        <v>1883</v>
      </c>
      <c r="D703" s="1138"/>
      <c r="E703" s="1168"/>
      <c r="F703" s="1169"/>
      <c r="G703" s="1169"/>
      <c r="H703" s="1169"/>
      <c r="I703" s="1169"/>
      <c r="J703" s="1169"/>
      <c r="K703" s="1169"/>
      <c r="L703" s="1169"/>
      <c r="M703" s="1170"/>
      <c r="N703" s="1135"/>
      <c r="O703" s="1139"/>
    </row>
    <row r="704" spans="1:15" s="690" customFormat="1">
      <c r="A704" s="1365"/>
      <c r="B704" s="247"/>
      <c r="C704" s="759" t="s">
        <v>1828</v>
      </c>
      <c r="D704" s="247"/>
      <c r="E704" s="1381"/>
      <c r="F704" s="1171"/>
      <c r="G704" s="1171"/>
      <c r="H704" s="1171"/>
      <c r="I704" s="1171"/>
      <c r="J704" s="1171"/>
      <c r="K704" s="1171"/>
      <c r="L704" s="1171"/>
      <c r="M704" s="1172"/>
      <c r="N704" s="1172"/>
      <c r="O704" s="1139"/>
    </row>
    <row r="705" spans="1:15" s="692" customFormat="1">
      <c r="A705" s="1366"/>
      <c r="B705" s="96"/>
      <c r="C705" s="760" t="s">
        <v>1131</v>
      </c>
      <c r="D705" s="1145"/>
      <c r="E705" s="1382"/>
      <c r="F705" s="1173"/>
      <c r="G705" s="1174"/>
      <c r="H705" s="1175"/>
      <c r="I705" s="1174"/>
      <c r="J705" s="1174"/>
      <c r="K705" s="1174"/>
      <c r="L705" s="1174"/>
      <c r="M705" s="1172"/>
      <c r="N705" s="1172"/>
    </row>
    <row r="706" spans="1:15" s="694" customFormat="1" ht="27">
      <c r="A706" s="1364">
        <v>1</v>
      </c>
      <c r="B706" s="158"/>
      <c r="C706" s="26" t="s">
        <v>1257</v>
      </c>
      <c r="D706" s="24" t="s">
        <v>437</v>
      </c>
      <c r="E706" s="455">
        <f>73*E701</f>
        <v>73</v>
      </c>
      <c r="F706" s="669"/>
      <c r="G706" s="693"/>
      <c r="H706" s="678"/>
      <c r="I706" s="693"/>
      <c r="J706" s="693"/>
      <c r="K706" s="693"/>
      <c r="L706" s="693"/>
      <c r="M706" s="691"/>
      <c r="N706" s="691"/>
    </row>
    <row r="707" spans="1:15" s="694" customFormat="1">
      <c r="A707" s="1364">
        <v>2</v>
      </c>
      <c r="B707" s="158"/>
      <c r="C707" s="26" t="s">
        <v>895</v>
      </c>
      <c r="D707" s="24" t="s">
        <v>437</v>
      </c>
      <c r="E707" s="455">
        <f>73*E701</f>
        <v>73</v>
      </c>
      <c r="F707" s="669"/>
      <c r="G707" s="693"/>
      <c r="H707" s="693"/>
      <c r="I707" s="693"/>
      <c r="J707" s="693"/>
      <c r="K707" s="693"/>
      <c r="L707" s="693"/>
      <c r="M707" s="691"/>
      <c r="N707" s="691"/>
    </row>
    <row r="708" spans="1:15" s="694" customFormat="1">
      <c r="A708" s="1364">
        <v>3</v>
      </c>
      <c r="B708" s="158"/>
      <c r="C708" s="26" t="s">
        <v>1133</v>
      </c>
      <c r="D708" s="24" t="s">
        <v>437</v>
      </c>
      <c r="E708" s="455">
        <f>73*E701</f>
        <v>73</v>
      </c>
      <c r="F708" s="669"/>
      <c r="G708" s="693"/>
      <c r="H708" s="678"/>
      <c r="I708" s="693"/>
      <c r="J708" s="693"/>
      <c r="K708" s="693"/>
      <c r="L708" s="693"/>
      <c r="M708" s="691"/>
      <c r="N708" s="691"/>
    </row>
    <row r="709" spans="1:15" s="694" customFormat="1" ht="27">
      <c r="A709" s="1364">
        <v>4</v>
      </c>
      <c r="B709" s="158"/>
      <c r="C709" s="26" t="s">
        <v>1134</v>
      </c>
      <c r="D709" s="24" t="s">
        <v>437</v>
      </c>
      <c r="E709" s="455">
        <f>32*E701</f>
        <v>32</v>
      </c>
      <c r="F709" s="669"/>
      <c r="G709" s="693"/>
      <c r="H709" s="678"/>
      <c r="I709" s="693"/>
      <c r="J709" s="693"/>
      <c r="K709" s="693"/>
      <c r="L709" s="693"/>
      <c r="M709" s="691"/>
      <c r="N709" s="691"/>
    </row>
    <row r="710" spans="1:15" s="694" customFormat="1">
      <c r="A710" s="1364">
        <v>5</v>
      </c>
      <c r="B710" s="158"/>
      <c r="C710" s="26" t="s">
        <v>1135</v>
      </c>
      <c r="D710" s="24" t="s">
        <v>437</v>
      </c>
      <c r="E710" s="455">
        <f>3*E701</f>
        <v>3</v>
      </c>
      <c r="F710" s="669"/>
      <c r="G710" s="693"/>
      <c r="H710" s="678"/>
      <c r="I710" s="693"/>
      <c r="J710" s="693"/>
      <c r="K710" s="693"/>
      <c r="L710" s="693"/>
      <c r="M710" s="691"/>
      <c r="N710" s="691"/>
      <c r="O710" s="1140"/>
    </row>
    <row r="711" spans="1:15" s="695" customFormat="1">
      <c r="A711" s="1364">
        <v>6</v>
      </c>
      <c r="B711" s="158"/>
      <c r="C711" s="26" t="s">
        <v>1136</v>
      </c>
      <c r="D711" s="24" t="s">
        <v>437</v>
      </c>
      <c r="E711" s="455">
        <f>35*E701</f>
        <v>35</v>
      </c>
      <c r="F711" s="669"/>
      <c r="G711" s="693"/>
      <c r="H711" s="678"/>
      <c r="I711" s="693"/>
      <c r="J711" s="693"/>
      <c r="K711" s="693"/>
      <c r="L711" s="693"/>
      <c r="M711" s="691"/>
      <c r="N711" s="691"/>
      <c r="O711" s="1141"/>
    </row>
    <row r="712" spans="1:15" s="692" customFormat="1">
      <c r="A712" s="1364">
        <v>7</v>
      </c>
      <c r="B712" s="158"/>
      <c r="C712" s="26" t="s">
        <v>1137</v>
      </c>
      <c r="D712" s="24" t="s">
        <v>437</v>
      </c>
      <c r="E712" s="455">
        <f>35*E701</f>
        <v>35</v>
      </c>
      <c r="F712" s="669"/>
      <c r="G712" s="693"/>
      <c r="H712" s="678"/>
      <c r="I712" s="693"/>
      <c r="J712" s="693"/>
      <c r="K712" s="693"/>
      <c r="L712" s="693"/>
      <c r="M712" s="691"/>
      <c r="N712" s="691"/>
      <c r="O712" s="1142"/>
    </row>
    <row r="713" spans="1:15" s="694" customFormat="1">
      <c r="A713" s="1364">
        <v>8</v>
      </c>
      <c r="B713" s="158"/>
      <c r="C713" s="747" t="s">
        <v>1138</v>
      </c>
      <c r="D713" s="24" t="s">
        <v>437</v>
      </c>
      <c r="E713" s="455">
        <f>3*E701</f>
        <v>3</v>
      </c>
      <c r="F713" s="669"/>
      <c r="G713" s="693"/>
      <c r="H713" s="678"/>
      <c r="I713" s="693"/>
      <c r="J713" s="693"/>
      <c r="K713" s="693"/>
      <c r="L713" s="693"/>
      <c r="M713" s="691"/>
      <c r="N713" s="691"/>
      <c r="O713" s="1140"/>
    </row>
    <row r="714" spans="1:15" s="694" customFormat="1">
      <c r="A714" s="1367"/>
      <c r="B714" s="228"/>
      <c r="C714" s="761" t="s">
        <v>1815</v>
      </c>
      <c r="D714" s="228"/>
      <c r="E714" s="1383"/>
      <c r="F714" s="688"/>
      <c r="G714" s="697"/>
      <c r="H714" s="698"/>
      <c r="I714" s="697"/>
      <c r="J714" s="697"/>
      <c r="K714" s="697"/>
      <c r="L714" s="697"/>
      <c r="M714" s="691"/>
      <c r="N714" s="691"/>
    </row>
    <row r="715" spans="1:15" s="695" customFormat="1" ht="27">
      <c r="A715" s="1364">
        <v>1</v>
      </c>
      <c r="B715" s="158"/>
      <c r="C715" s="26" t="s">
        <v>1575</v>
      </c>
      <c r="D715" s="24" t="s">
        <v>437</v>
      </c>
      <c r="E715" s="455">
        <f>16.5*E701</f>
        <v>16.5</v>
      </c>
      <c r="F715" s="669"/>
      <c r="G715" s="693"/>
      <c r="H715" s="678"/>
      <c r="I715" s="693"/>
      <c r="J715" s="693"/>
      <c r="K715" s="693"/>
      <c r="L715" s="693"/>
      <c r="M715" s="691"/>
      <c r="N715" s="691"/>
    </row>
    <row r="716" spans="1:15" s="692" customFormat="1">
      <c r="A716" s="1364">
        <v>2</v>
      </c>
      <c r="B716" s="158"/>
      <c r="C716" s="260" t="s">
        <v>884</v>
      </c>
      <c r="D716" s="158" t="s">
        <v>206</v>
      </c>
      <c r="E716" s="455">
        <f>0.1*E701</f>
        <v>0.1</v>
      </c>
      <c r="F716" s="669"/>
      <c r="G716" s="693"/>
      <c r="H716" s="678"/>
      <c r="I716" s="693"/>
      <c r="J716" s="693"/>
      <c r="K716" s="693"/>
      <c r="L716" s="693"/>
      <c r="M716" s="691"/>
      <c r="N716" s="691"/>
    </row>
    <row r="717" spans="1:15" s="692" customFormat="1">
      <c r="A717" s="1364">
        <v>3</v>
      </c>
      <c r="B717" s="158"/>
      <c r="C717" s="260" t="s">
        <v>501</v>
      </c>
      <c r="D717" s="158" t="s">
        <v>206</v>
      </c>
      <c r="E717" s="455">
        <f>1.39*E701</f>
        <v>1.39</v>
      </c>
      <c r="F717" s="669"/>
      <c r="G717" s="693"/>
      <c r="H717" s="678"/>
      <c r="I717" s="693"/>
      <c r="J717" s="693"/>
      <c r="K717" s="693"/>
      <c r="L717" s="693"/>
      <c r="M717" s="691"/>
      <c r="N717" s="691"/>
    </row>
    <row r="718" spans="1:15" s="694" customFormat="1">
      <c r="A718" s="1364">
        <v>4</v>
      </c>
      <c r="B718" s="158"/>
      <c r="C718" s="26" t="s">
        <v>1256</v>
      </c>
      <c r="D718" s="24" t="s">
        <v>112</v>
      </c>
      <c r="E718" s="455">
        <f>6*E701</f>
        <v>6</v>
      </c>
      <c r="F718" s="669"/>
      <c r="G718" s="693"/>
      <c r="H718" s="678"/>
      <c r="I718" s="693"/>
      <c r="J718" s="693"/>
      <c r="K718" s="693"/>
      <c r="L718" s="693"/>
      <c r="M718" s="691"/>
      <c r="N718" s="691"/>
    </row>
    <row r="719" spans="1:15" s="699" customFormat="1" hidden="1">
      <c r="A719" s="1165"/>
      <c r="B719" s="158"/>
      <c r="C719" s="762" t="s">
        <v>1140</v>
      </c>
      <c r="D719" s="158"/>
      <c r="E719" s="169"/>
      <c r="F719" s="669"/>
      <c r="G719" s="693"/>
      <c r="H719" s="678"/>
      <c r="I719" s="693"/>
      <c r="J719" s="693"/>
      <c r="K719" s="693"/>
      <c r="L719" s="693"/>
      <c r="M719" s="691"/>
      <c r="N719" s="691"/>
    </row>
    <row r="720" spans="1:15" s="699" customFormat="1" ht="27" hidden="1">
      <c r="A720" s="1165">
        <v>1</v>
      </c>
      <c r="B720" s="158"/>
      <c r="C720" s="26" t="s">
        <v>1577</v>
      </c>
      <c r="D720" s="24" t="s">
        <v>437</v>
      </c>
      <c r="E720" s="123">
        <v>0</v>
      </c>
      <c r="F720" s="669"/>
      <c r="G720" s="693"/>
      <c r="H720" s="678"/>
      <c r="I720" s="693"/>
      <c r="J720" s="693"/>
      <c r="K720" s="693"/>
      <c r="L720" s="693"/>
      <c r="M720" s="691"/>
      <c r="N720" s="691"/>
    </row>
    <row r="721" spans="1:14" s="699" customFormat="1" hidden="1">
      <c r="A721" s="1165">
        <v>2</v>
      </c>
      <c r="B721" s="158"/>
      <c r="C721" s="260" t="s">
        <v>501</v>
      </c>
      <c r="D721" s="158" t="s">
        <v>206</v>
      </c>
      <c r="E721" s="123">
        <v>0</v>
      </c>
      <c r="F721" s="669"/>
      <c r="G721" s="693"/>
      <c r="H721" s="678"/>
      <c r="I721" s="693"/>
      <c r="J721" s="693"/>
      <c r="K721" s="693"/>
      <c r="L721" s="693"/>
      <c r="M721" s="691"/>
      <c r="N721" s="691"/>
    </row>
    <row r="722" spans="1:14" s="699" customFormat="1" hidden="1">
      <c r="A722" s="1165">
        <v>3</v>
      </c>
      <c r="B722" s="158"/>
      <c r="C722" s="260" t="s">
        <v>884</v>
      </c>
      <c r="D722" s="158" t="s">
        <v>206</v>
      </c>
      <c r="E722" s="123">
        <v>0</v>
      </c>
      <c r="F722" s="669"/>
      <c r="G722" s="693"/>
      <c r="H722" s="678"/>
      <c r="I722" s="693"/>
      <c r="J722" s="693"/>
      <c r="K722" s="693"/>
      <c r="L722" s="693"/>
      <c r="M722" s="691"/>
      <c r="N722" s="691"/>
    </row>
    <row r="723" spans="1:14" s="695" customFormat="1" ht="27">
      <c r="A723" s="1364">
        <v>5</v>
      </c>
      <c r="B723" s="158"/>
      <c r="C723" s="26" t="s">
        <v>1576</v>
      </c>
      <c r="D723" s="24" t="s">
        <v>437</v>
      </c>
      <c r="E723" s="455">
        <f>7*E701</f>
        <v>7</v>
      </c>
      <c r="F723" s="669"/>
      <c r="G723" s="693"/>
      <c r="H723" s="678"/>
      <c r="I723" s="693"/>
      <c r="J723" s="693"/>
      <c r="K723" s="693"/>
      <c r="L723" s="693"/>
      <c r="M723" s="691"/>
      <c r="N723" s="691"/>
    </row>
    <row r="724" spans="1:14" s="699" customFormat="1">
      <c r="A724" s="1364">
        <v>6</v>
      </c>
      <c r="B724" s="158"/>
      <c r="C724" s="260" t="s">
        <v>884</v>
      </c>
      <c r="D724" s="158" t="s">
        <v>206</v>
      </c>
      <c r="E724" s="455">
        <f>0.13*E701</f>
        <v>0.13</v>
      </c>
      <c r="F724" s="669"/>
      <c r="G724" s="693"/>
      <c r="H724" s="678"/>
      <c r="I724" s="693"/>
      <c r="J724" s="693"/>
      <c r="K724" s="693"/>
      <c r="L724" s="693"/>
      <c r="M724" s="691"/>
      <c r="N724" s="691"/>
    </row>
    <row r="725" spans="1:14" s="699" customFormat="1">
      <c r="A725" s="1364">
        <v>7</v>
      </c>
      <c r="B725" s="158"/>
      <c r="C725" s="260" t="s">
        <v>501</v>
      </c>
      <c r="D725" s="158" t="s">
        <v>206</v>
      </c>
      <c r="E725" s="455">
        <f>1.15*E701</f>
        <v>1.1499999999999999</v>
      </c>
      <c r="F725" s="669"/>
      <c r="G725" s="693"/>
      <c r="H725" s="678"/>
      <c r="I725" s="693"/>
      <c r="J725" s="693"/>
      <c r="K725" s="693"/>
      <c r="L725" s="693"/>
      <c r="M725" s="691"/>
      <c r="N725" s="691"/>
    </row>
    <row r="726" spans="1:14" s="699" customFormat="1" ht="27" hidden="1">
      <c r="A726" s="1096"/>
      <c r="B726" s="158"/>
      <c r="C726" s="100" t="s">
        <v>1779</v>
      </c>
      <c r="D726" s="158" t="s">
        <v>97</v>
      </c>
      <c r="E726" s="123">
        <v>0</v>
      </c>
      <c r="F726" s="669"/>
      <c r="G726" s="693"/>
      <c r="H726" s="678"/>
      <c r="I726" s="693"/>
      <c r="J726" s="693"/>
      <c r="K726" s="693"/>
      <c r="L726" s="693"/>
      <c r="M726" s="691"/>
      <c r="N726" s="691"/>
    </row>
    <row r="727" spans="1:14" s="694" customFormat="1" ht="27" hidden="1">
      <c r="A727" s="24">
        <v>7</v>
      </c>
      <c r="B727" s="158"/>
      <c r="C727" s="26" t="s">
        <v>1578</v>
      </c>
      <c r="D727" s="24" t="s">
        <v>437</v>
      </c>
      <c r="E727" s="123">
        <v>0</v>
      </c>
      <c r="F727" s="669"/>
      <c r="G727" s="693"/>
      <c r="H727" s="678"/>
      <c r="I727" s="693"/>
      <c r="J727" s="693"/>
      <c r="K727" s="693"/>
      <c r="L727" s="693"/>
      <c r="M727" s="691"/>
      <c r="N727" s="691"/>
    </row>
    <row r="728" spans="1:14" s="699" customFormat="1" hidden="1">
      <c r="A728" s="24">
        <v>8</v>
      </c>
      <c r="B728" s="158"/>
      <c r="C728" s="260" t="s">
        <v>884</v>
      </c>
      <c r="D728" s="158" t="s">
        <v>206</v>
      </c>
      <c r="E728" s="123">
        <v>0</v>
      </c>
      <c r="F728" s="669"/>
      <c r="G728" s="693"/>
      <c r="H728" s="678"/>
      <c r="I728" s="693"/>
      <c r="J728" s="693"/>
      <c r="K728" s="693"/>
      <c r="L728" s="693"/>
      <c r="M728" s="691"/>
      <c r="N728" s="691"/>
    </row>
    <row r="729" spans="1:14" s="699" customFormat="1" hidden="1">
      <c r="A729" s="24">
        <v>9</v>
      </c>
      <c r="B729" s="158"/>
      <c r="C729" s="260" t="s">
        <v>501</v>
      </c>
      <c r="D729" s="158" t="s">
        <v>206</v>
      </c>
      <c r="E729" s="123">
        <v>0</v>
      </c>
      <c r="F729" s="669"/>
      <c r="G729" s="693"/>
      <c r="H729" s="678"/>
      <c r="I729" s="693"/>
      <c r="J729" s="693"/>
      <c r="K729" s="693"/>
      <c r="L729" s="693"/>
      <c r="M729" s="691"/>
      <c r="N729" s="691"/>
    </row>
    <row r="730" spans="1:14" s="695" customFormat="1" ht="27" hidden="1">
      <c r="A730" s="1096">
        <v>19</v>
      </c>
      <c r="B730" s="158"/>
      <c r="C730" s="26" t="s">
        <v>1780</v>
      </c>
      <c r="D730" s="24" t="s">
        <v>437</v>
      </c>
      <c r="E730" s="123">
        <v>0</v>
      </c>
      <c r="F730" s="669"/>
      <c r="G730" s="693"/>
      <c r="H730" s="678"/>
      <c r="I730" s="693"/>
      <c r="J730" s="693"/>
      <c r="K730" s="693"/>
      <c r="L730" s="693"/>
      <c r="M730" s="691"/>
      <c r="N730" s="691"/>
    </row>
    <row r="731" spans="1:14" s="695" customFormat="1" hidden="1">
      <c r="A731" s="1096"/>
      <c r="B731" s="158"/>
      <c r="C731" s="26" t="s">
        <v>1784</v>
      </c>
      <c r="D731" s="24" t="s">
        <v>114</v>
      </c>
      <c r="E731" s="884">
        <v>0</v>
      </c>
      <c r="F731" s="669"/>
      <c r="G731" s="693"/>
      <c r="H731" s="678"/>
      <c r="I731" s="693"/>
      <c r="J731" s="693"/>
      <c r="K731" s="693"/>
      <c r="L731" s="693"/>
      <c r="M731" s="691"/>
      <c r="N731" s="691"/>
    </row>
    <row r="732" spans="1:14" s="695" customFormat="1" ht="27" hidden="1">
      <c r="A732" s="1096">
        <v>20</v>
      </c>
      <c r="B732" s="158"/>
      <c r="C732" s="766" t="s">
        <v>1781</v>
      </c>
      <c r="D732" s="24" t="s">
        <v>112</v>
      </c>
      <c r="E732" s="123">
        <v>0</v>
      </c>
      <c r="F732" s="669"/>
      <c r="G732" s="693"/>
      <c r="H732" s="678"/>
      <c r="I732" s="693"/>
      <c r="J732" s="693"/>
      <c r="K732" s="693"/>
      <c r="L732" s="693"/>
      <c r="M732" s="691"/>
      <c r="N732" s="691"/>
    </row>
    <row r="733" spans="1:14" s="695" customFormat="1">
      <c r="A733" s="1367">
        <v>8</v>
      </c>
      <c r="B733" s="228"/>
      <c r="C733" s="1102" t="s">
        <v>1782</v>
      </c>
      <c r="D733" s="140" t="s">
        <v>122</v>
      </c>
      <c r="E733" s="1378">
        <f>0.25*E701</f>
        <v>0.25</v>
      </c>
      <c r="F733" s="688"/>
      <c r="G733" s="697"/>
      <c r="H733" s="698"/>
      <c r="I733" s="697"/>
      <c r="J733" s="697"/>
      <c r="K733" s="697"/>
      <c r="L733" s="697"/>
      <c r="M733" s="691"/>
      <c r="N733" s="691"/>
    </row>
    <row r="734" spans="1:14" s="695" customFormat="1" ht="27" hidden="1">
      <c r="A734" s="1101">
        <v>22</v>
      </c>
      <c r="B734" s="228"/>
      <c r="C734" s="1102" t="s">
        <v>1783</v>
      </c>
      <c r="D734" s="140" t="s">
        <v>122</v>
      </c>
      <c r="E734" s="1137">
        <v>0</v>
      </c>
      <c r="F734" s="688"/>
      <c r="G734" s="697"/>
      <c r="H734" s="698"/>
      <c r="I734" s="134"/>
      <c r="J734" s="697"/>
      <c r="K734" s="697"/>
      <c r="L734" s="697"/>
      <c r="M734" s="691"/>
      <c r="N734" s="691"/>
    </row>
    <row r="735" spans="1:14" s="695" customFormat="1" ht="27">
      <c r="A735" s="1367">
        <v>9</v>
      </c>
      <c r="B735" s="228"/>
      <c r="C735" s="26" t="s">
        <v>1841</v>
      </c>
      <c r="D735" s="1205" t="s">
        <v>122</v>
      </c>
      <c r="E735" s="1378">
        <f>E701*2</f>
        <v>2</v>
      </c>
      <c r="F735" s="688"/>
      <c r="G735" s="697"/>
      <c r="H735" s="698"/>
      <c r="I735" s="697"/>
      <c r="J735" s="697"/>
      <c r="K735" s="697"/>
      <c r="L735" s="697"/>
      <c r="M735" s="691"/>
      <c r="N735" s="691"/>
    </row>
    <row r="736" spans="1:14" s="695" customFormat="1" ht="27">
      <c r="A736" s="1367">
        <v>10</v>
      </c>
      <c r="B736" s="228"/>
      <c r="C736" s="1102" t="s">
        <v>1824</v>
      </c>
      <c r="D736" s="140" t="s">
        <v>113</v>
      </c>
      <c r="E736" s="1378">
        <f>2*E701</f>
        <v>2</v>
      </c>
      <c r="F736" s="688"/>
      <c r="G736" s="697"/>
      <c r="H736" s="698"/>
      <c r="I736" s="697"/>
      <c r="J736" s="697"/>
      <c r="K736" s="697"/>
      <c r="L736" s="697"/>
      <c r="M736" s="691"/>
      <c r="N736" s="691"/>
    </row>
    <row r="737" spans="1:14" s="695" customFormat="1" ht="27" hidden="1">
      <c r="A737" s="24">
        <v>10</v>
      </c>
      <c r="B737" s="158"/>
      <c r="C737" s="26" t="s">
        <v>1500</v>
      </c>
      <c r="D737" s="24" t="s">
        <v>437</v>
      </c>
      <c r="E737" s="892">
        <v>0</v>
      </c>
      <c r="F737" s="669"/>
      <c r="G737" s="693"/>
      <c r="H737" s="678"/>
      <c r="I737" s="693"/>
      <c r="J737" s="693"/>
      <c r="K737" s="693"/>
      <c r="L737" s="693"/>
      <c r="M737" s="691"/>
      <c r="N737" s="691"/>
    </row>
    <row r="738" spans="1:14" s="695" customFormat="1" hidden="1">
      <c r="A738" s="24">
        <v>11</v>
      </c>
      <c r="B738" s="158"/>
      <c r="C738" s="26" t="s">
        <v>1550</v>
      </c>
      <c r="D738" s="24" t="s">
        <v>437</v>
      </c>
      <c r="E738" s="123">
        <v>0</v>
      </c>
      <c r="F738" s="669"/>
      <c r="G738" s="693"/>
      <c r="H738" s="678"/>
      <c r="I738" s="693"/>
      <c r="J738" s="693"/>
      <c r="K738" s="693"/>
      <c r="L738" s="693"/>
      <c r="M738" s="691"/>
      <c r="N738" s="691"/>
    </row>
    <row r="739" spans="1:14" s="695" customFormat="1" ht="27" hidden="1">
      <c r="A739" s="24">
        <v>12</v>
      </c>
      <c r="B739" s="158"/>
      <c r="C739" s="26" t="s">
        <v>1501</v>
      </c>
      <c r="D739" s="24" t="s">
        <v>112</v>
      </c>
      <c r="E739" s="892">
        <v>0</v>
      </c>
      <c r="F739" s="669"/>
      <c r="G739" s="693"/>
      <c r="H739" s="678"/>
      <c r="I739" s="693"/>
      <c r="J739" s="693"/>
      <c r="K739" s="693"/>
      <c r="L739" s="693"/>
      <c r="M739" s="691"/>
      <c r="N739" s="691"/>
    </row>
    <row r="740" spans="1:14" s="699" customFormat="1" hidden="1">
      <c r="A740" s="140"/>
      <c r="B740" s="228"/>
      <c r="C740" s="761" t="s">
        <v>1141</v>
      </c>
      <c r="D740" s="228"/>
      <c r="E740" s="696"/>
      <c r="F740" s="688"/>
      <c r="G740" s="697"/>
      <c r="H740" s="698"/>
      <c r="I740" s="697"/>
      <c r="J740" s="697"/>
      <c r="K740" s="697"/>
      <c r="L740" s="697"/>
      <c r="M740" s="691"/>
      <c r="N740" s="691"/>
    </row>
    <row r="741" spans="1:14" s="699" customFormat="1" hidden="1">
      <c r="A741" s="24">
        <v>1</v>
      </c>
      <c r="B741" s="158"/>
      <c r="C741" s="754" t="s">
        <v>263</v>
      </c>
      <c r="D741" s="24" t="s">
        <v>437</v>
      </c>
      <c r="E741" s="123">
        <v>0</v>
      </c>
      <c r="F741" s="669"/>
      <c r="G741" s="693"/>
      <c r="H741" s="678"/>
      <c r="I741" s="693"/>
      <c r="J741" s="693"/>
      <c r="K741" s="693"/>
      <c r="L741" s="693"/>
      <c r="M741" s="691"/>
      <c r="N741" s="691"/>
    </row>
    <row r="742" spans="1:14" s="699" customFormat="1" hidden="1">
      <c r="A742" s="24">
        <v>2</v>
      </c>
      <c r="B742" s="158"/>
      <c r="C742" s="26" t="s">
        <v>380</v>
      </c>
      <c r="D742" s="24" t="s">
        <v>437</v>
      </c>
      <c r="E742" s="123">
        <v>0</v>
      </c>
      <c r="F742" s="669"/>
      <c r="G742" s="693"/>
      <c r="H742" s="678"/>
      <c r="I742" s="693"/>
      <c r="J742" s="693"/>
      <c r="K742" s="693"/>
      <c r="L742" s="693"/>
      <c r="M742" s="691"/>
      <c r="N742" s="691"/>
    </row>
    <row r="743" spans="1:14" s="672" customFormat="1" hidden="1">
      <c r="A743" s="24">
        <v>3</v>
      </c>
      <c r="B743" s="24"/>
      <c r="C743" s="754" t="s">
        <v>1804</v>
      </c>
      <c r="D743" s="24" t="s">
        <v>112</v>
      </c>
      <c r="E743" s="123">
        <v>0</v>
      </c>
      <c r="F743" s="326"/>
      <c r="G743" s="326"/>
      <c r="H743" s="326"/>
      <c r="I743" s="326"/>
      <c r="J743" s="659"/>
      <c r="K743" s="326"/>
      <c r="L743" s="326"/>
      <c r="M743" s="326"/>
      <c r="N743" s="323"/>
    </row>
    <row r="744" spans="1:14" s="699" customFormat="1" ht="27" hidden="1">
      <c r="A744" s="24">
        <v>4</v>
      </c>
      <c r="B744" s="158"/>
      <c r="C744" s="754" t="s">
        <v>1778</v>
      </c>
      <c r="D744" s="24" t="s">
        <v>112</v>
      </c>
      <c r="E744" s="123">
        <v>0</v>
      </c>
      <c r="F744" s="669"/>
      <c r="G744" s="693"/>
      <c r="H744" s="678"/>
      <c r="I744" s="693"/>
      <c r="J744" s="693"/>
      <c r="K744" s="693"/>
      <c r="L744" s="693"/>
      <c r="M744" s="691"/>
      <c r="N744" s="691"/>
    </row>
    <row r="745" spans="1:14" s="699" customFormat="1" hidden="1">
      <c r="A745" s="140">
        <v>5</v>
      </c>
      <c r="B745" s="228"/>
      <c r="C745" s="26" t="s">
        <v>1585</v>
      </c>
      <c r="D745" s="24" t="s">
        <v>112</v>
      </c>
      <c r="E745" s="123">
        <v>0</v>
      </c>
      <c r="F745" s="688"/>
      <c r="G745" s="697"/>
      <c r="H745" s="698"/>
      <c r="I745" s="697"/>
      <c r="J745" s="697"/>
      <c r="K745" s="697"/>
      <c r="L745" s="697"/>
      <c r="M745" s="691"/>
      <c r="N745" s="691"/>
    </row>
    <row r="746" spans="1:14" s="699" customFormat="1" hidden="1">
      <c r="A746" s="140">
        <v>6</v>
      </c>
      <c r="B746" s="228"/>
      <c r="C746" s="84" t="s">
        <v>896</v>
      </c>
      <c r="D746" s="24" t="s">
        <v>112</v>
      </c>
      <c r="E746" s="123">
        <v>0</v>
      </c>
      <c r="F746" s="688"/>
      <c r="G746" s="697"/>
      <c r="H746" s="698"/>
      <c r="I746" s="697"/>
      <c r="J746" s="697"/>
      <c r="K746" s="697"/>
      <c r="L746" s="697"/>
      <c r="M746" s="691"/>
      <c r="N746" s="691"/>
    </row>
    <row r="747" spans="1:14" s="699" customFormat="1" hidden="1">
      <c r="A747" s="140"/>
      <c r="B747" s="228"/>
      <c r="C747" s="761" t="s">
        <v>1142</v>
      </c>
      <c r="D747" s="228"/>
      <c r="E747" s="696"/>
      <c r="F747" s="688"/>
      <c r="G747" s="697"/>
      <c r="H747" s="697"/>
      <c r="I747" s="697"/>
      <c r="J747" s="697"/>
      <c r="K747" s="697"/>
      <c r="L747" s="697"/>
      <c r="M747" s="691"/>
      <c r="N747" s="691"/>
    </row>
    <row r="748" spans="1:14" s="694" customFormat="1" hidden="1">
      <c r="A748" s="24">
        <v>1</v>
      </c>
      <c r="B748" s="158"/>
      <c r="C748" s="28" t="s">
        <v>1254</v>
      </c>
      <c r="D748" s="24" t="s">
        <v>112</v>
      </c>
      <c r="E748" s="123">
        <v>0</v>
      </c>
      <c r="F748" s="669"/>
      <c r="G748" s="693"/>
      <c r="H748" s="678"/>
      <c r="I748" s="693"/>
      <c r="J748" s="693"/>
      <c r="K748" s="693"/>
      <c r="L748" s="693"/>
      <c r="M748" s="691"/>
      <c r="N748" s="691"/>
    </row>
    <row r="749" spans="1:14" s="694" customFormat="1" hidden="1">
      <c r="A749" s="24">
        <v>2</v>
      </c>
      <c r="B749" s="158"/>
      <c r="C749" s="28" t="s">
        <v>1756</v>
      </c>
      <c r="D749" s="24" t="s">
        <v>112</v>
      </c>
      <c r="E749" s="123">
        <v>0</v>
      </c>
      <c r="F749" s="669"/>
      <c r="G749" s="693"/>
      <c r="H749" s="678"/>
      <c r="I749" s="693"/>
      <c r="J749" s="693"/>
      <c r="K749" s="693"/>
      <c r="L749" s="693"/>
      <c r="M749" s="691"/>
      <c r="N749" s="691"/>
    </row>
    <row r="750" spans="1:14" s="694" customFormat="1" hidden="1">
      <c r="A750" s="24"/>
      <c r="B750" s="158"/>
      <c r="C750" s="223" t="s">
        <v>185</v>
      </c>
      <c r="D750" s="211" t="s">
        <v>821</v>
      </c>
      <c r="E750" s="123">
        <v>0</v>
      </c>
      <c r="F750" s="669"/>
      <c r="G750" s="693"/>
      <c r="H750" s="678"/>
      <c r="I750" s="693"/>
      <c r="J750" s="693"/>
      <c r="K750" s="693"/>
      <c r="L750" s="693"/>
      <c r="M750" s="691"/>
      <c r="N750" s="691"/>
    </row>
    <row r="751" spans="1:14" s="694" customFormat="1" hidden="1">
      <c r="A751" s="24">
        <v>3</v>
      </c>
      <c r="B751" s="158"/>
      <c r="C751" s="26" t="s">
        <v>1255</v>
      </c>
      <c r="D751" s="24" t="s">
        <v>112</v>
      </c>
      <c r="E751" s="123">
        <v>0</v>
      </c>
      <c r="F751" s="669"/>
      <c r="G751" s="693"/>
      <c r="H751" s="678"/>
      <c r="I751" s="693"/>
      <c r="J751" s="693"/>
      <c r="K751" s="693"/>
      <c r="L751" s="693"/>
      <c r="M751" s="691"/>
      <c r="N751" s="691"/>
    </row>
    <row r="752" spans="1:14" s="694" customFormat="1" hidden="1">
      <c r="A752" s="140"/>
      <c r="B752" s="228"/>
      <c r="C752" s="26" t="s">
        <v>1775</v>
      </c>
      <c r="D752" s="24" t="s">
        <v>112</v>
      </c>
      <c r="E752" s="123">
        <v>0</v>
      </c>
      <c r="F752" s="688"/>
      <c r="G752" s="697"/>
      <c r="H752" s="698"/>
      <c r="I752" s="697"/>
      <c r="J752" s="697"/>
      <c r="K752" s="697"/>
      <c r="L752" s="697"/>
      <c r="M752" s="691"/>
      <c r="N752" s="691"/>
    </row>
    <row r="753" spans="1:17" s="694" customFormat="1" ht="27" hidden="1">
      <c r="A753" s="140">
        <v>4</v>
      </c>
      <c r="B753" s="228"/>
      <c r="C753" s="26" t="s">
        <v>1294</v>
      </c>
      <c r="D753" s="24" t="s">
        <v>112</v>
      </c>
      <c r="E753" s="123">
        <v>0</v>
      </c>
      <c r="F753" s="688"/>
      <c r="G753" s="697"/>
      <c r="H753" s="698"/>
      <c r="I753" s="697"/>
      <c r="J753" s="697"/>
      <c r="K753" s="697"/>
      <c r="L753" s="697"/>
      <c r="M753" s="691"/>
      <c r="N753" s="691"/>
    </row>
    <row r="754" spans="1:17" s="699" customFormat="1" hidden="1">
      <c r="A754" s="763"/>
      <c r="B754" s="764"/>
      <c r="C754" s="762" t="s">
        <v>1145</v>
      </c>
      <c r="D754" s="764"/>
      <c r="E754" s="701"/>
      <c r="F754" s="700"/>
      <c r="G754" s="702"/>
      <c r="H754" s="702"/>
      <c r="I754" s="702"/>
      <c r="J754" s="702"/>
      <c r="K754" s="702"/>
      <c r="L754" s="702"/>
      <c r="M754" s="691"/>
      <c r="N754" s="691"/>
    </row>
    <row r="755" spans="1:17" s="699" customFormat="1" hidden="1">
      <c r="A755" s="24">
        <v>1</v>
      </c>
      <c r="B755" s="158"/>
      <c r="C755" s="26" t="s">
        <v>1146</v>
      </c>
      <c r="D755" s="24" t="s">
        <v>112</v>
      </c>
      <c r="E755" s="123">
        <v>0</v>
      </c>
      <c r="F755" s="669"/>
      <c r="G755" s="693"/>
      <c r="H755" s="678"/>
      <c r="I755" s="693"/>
      <c r="J755" s="693"/>
      <c r="K755" s="693"/>
      <c r="L755" s="693"/>
      <c r="M755" s="691"/>
      <c r="N755" s="691"/>
    </row>
    <row r="756" spans="1:17" s="699" customFormat="1" hidden="1">
      <c r="A756" s="140">
        <v>2</v>
      </c>
      <c r="B756" s="228"/>
      <c r="C756" s="84" t="s">
        <v>1553</v>
      </c>
      <c r="D756" s="24" t="s">
        <v>112</v>
      </c>
      <c r="E756" s="123">
        <v>0</v>
      </c>
      <c r="F756" s="688"/>
      <c r="G756" s="697"/>
      <c r="H756" s="698"/>
      <c r="I756" s="697"/>
      <c r="J756" s="697"/>
      <c r="K756" s="697"/>
      <c r="L756" s="697"/>
      <c r="M756" s="691"/>
      <c r="N756" s="691"/>
    </row>
    <row r="757" spans="1:17" s="699" customFormat="1" hidden="1">
      <c r="A757" s="1096">
        <v>33</v>
      </c>
      <c r="B757" s="158"/>
      <c r="C757" s="26" t="s">
        <v>1805</v>
      </c>
      <c r="D757" s="24" t="s">
        <v>112</v>
      </c>
      <c r="E757" s="123">
        <v>0</v>
      </c>
      <c r="F757" s="669"/>
      <c r="G757" s="693"/>
      <c r="H757" s="678"/>
      <c r="I757" s="693"/>
      <c r="J757" s="693"/>
      <c r="K757" s="693"/>
      <c r="L757" s="693"/>
      <c r="M757" s="691"/>
      <c r="N757" s="691"/>
    </row>
    <row r="758" spans="1:17" s="699" customFormat="1" hidden="1">
      <c r="A758" s="1101">
        <v>34</v>
      </c>
      <c r="B758" s="228"/>
      <c r="C758" s="26" t="s">
        <v>1771</v>
      </c>
      <c r="D758" s="24" t="s">
        <v>112</v>
      </c>
      <c r="E758" s="123">
        <v>0</v>
      </c>
      <c r="F758" s="688"/>
      <c r="G758" s="697"/>
      <c r="H758" s="698"/>
      <c r="I758" s="697"/>
      <c r="J758" s="697"/>
      <c r="K758" s="697"/>
      <c r="L758" s="697"/>
      <c r="M758" s="691"/>
      <c r="N758" s="691"/>
    </row>
    <row r="759" spans="1:17" s="699" customFormat="1" hidden="1">
      <c r="A759" s="1101">
        <v>35</v>
      </c>
      <c r="B759" s="228"/>
      <c r="C759" s="26" t="s">
        <v>1772</v>
      </c>
      <c r="D759" s="24" t="s">
        <v>122</v>
      </c>
      <c r="E759" s="123">
        <v>0</v>
      </c>
      <c r="F759" s="688"/>
      <c r="G759" s="697"/>
      <c r="H759" s="698"/>
      <c r="I759" s="697"/>
      <c r="J759" s="697"/>
      <c r="K759" s="697"/>
      <c r="L759" s="697"/>
      <c r="M759" s="691"/>
      <c r="N759" s="691"/>
    </row>
    <row r="760" spans="1:17" s="699" customFormat="1" hidden="1">
      <c r="A760" s="763"/>
      <c r="B760" s="764"/>
      <c r="C760" s="761" t="s">
        <v>1147</v>
      </c>
      <c r="D760" s="764"/>
      <c r="E760" s="701"/>
      <c r="F760" s="700"/>
      <c r="G760" s="702"/>
      <c r="H760" s="702"/>
      <c r="I760" s="702"/>
      <c r="J760" s="702"/>
      <c r="K760" s="702"/>
      <c r="L760" s="702"/>
      <c r="M760" s="691"/>
      <c r="N760" s="691"/>
    </row>
    <row r="761" spans="1:17" s="694" customFormat="1" hidden="1">
      <c r="A761" s="24">
        <v>1</v>
      </c>
      <c r="B761" s="158"/>
      <c r="C761" s="26" t="s">
        <v>215</v>
      </c>
      <c r="D761" s="24" t="s">
        <v>112</v>
      </c>
      <c r="E761" s="123">
        <v>0</v>
      </c>
      <c r="F761" s="669"/>
      <c r="G761" s="693"/>
      <c r="H761" s="678"/>
      <c r="I761" s="693"/>
      <c r="J761" s="693"/>
      <c r="K761" s="693"/>
      <c r="L761" s="693"/>
      <c r="M761" s="691"/>
      <c r="N761" s="691"/>
    </row>
    <row r="762" spans="1:17" s="699" customFormat="1" ht="27" hidden="1">
      <c r="A762" s="24">
        <v>2</v>
      </c>
      <c r="B762" s="158"/>
      <c r="C762" s="26" t="s">
        <v>1767</v>
      </c>
      <c r="D762" s="24" t="s">
        <v>112</v>
      </c>
      <c r="E762" s="123">
        <v>0</v>
      </c>
      <c r="F762" s="669"/>
      <c r="G762" s="693"/>
      <c r="H762" s="678"/>
      <c r="I762" s="693"/>
      <c r="J762" s="693"/>
      <c r="K762" s="693"/>
      <c r="L762" s="693"/>
      <c r="M762" s="691"/>
      <c r="N762" s="691"/>
    </row>
    <row r="763" spans="1:17" s="672" customFormat="1" ht="27" hidden="1">
      <c r="A763" s="1098">
        <v>39</v>
      </c>
      <c r="B763" s="198"/>
      <c r="C763" s="26" t="s">
        <v>1766</v>
      </c>
      <c r="D763" s="24" t="s">
        <v>112</v>
      </c>
      <c r="E763" s="123">
        <v>0</v>
      </c>
      <c r="F763" s="326"/>
      <c r="G763" s="326"/>
      <c r="H763" s="670"/>
      <c r="I763" s="326"/>
      <c r="J763" s="659"/>
      <c r="K763" s="326"/>
      <c r="L763" s="326"/>
      <c r="M763" s="326"/>
      <c r="N763" s="323"/>
      <c r="Q763" s="1099"/>
    </row>
    <row r="764" spans="1:17" s="699" customFormat="1" hidden="1">
      <c r="A764" s="24">
        <v>3</v>
      </c>
      <c r="B764" s="158"/>
      <c r="C764" s="26" t="s">
        <v>1149</v>
      </c>
      <c r="D764" s="24" t="s">
        <v>112</v>
      </c>
      <c r="E764" s="123">
        <v>0</v>
      </c>
      <c r="F764" s="669"/>
      <c r="G764" s="693"/>
      <c r="H764" s="678"/>
      <c r="I764" s="693"/>
      <c r="J764" s="693"/>
      <c r="K764" s="693"/>
      <c r="L764" s="693"/>
      <c r="M764" s="691"/>
      <c r="N764" s="691"/>
    </row>
    <row r="765" spans="1:17" s="699" customFormat="1" hidden="1">
      <c r="A765" s="24">
        <v>4</v>
      </c>
      <c r="B765" s="158"/>
      <c r="C765" s="26" t="s">
        <v>1581</v>
      </c>
      <c r="D765" s="24" t="s">
        <v>112</v>
      </c>
      <c r="E765" s="123">
        <v>0</v>
      </c>
      <c r="F765" s="669"/>
      <c r="G765" s="693"/>
      <c r="H765" s="678"/>
      <c r="I765" s="693"/>
      <c r="J765" s="693"/>
      <c r="K765" s="693"/>
      <c r="L765" s="693"/>
      <c r="M765" s="691"/>
      <c r="N765" s="691"/>
    </row>
    <row r="766" spans="1:17" s="699" customFormat="1" hidden="1">
      <c r="A766" s="277"/>
      <c r="B766" s="274"/>
      <c r="C766" s="762" t="s">
        <v>1150</v>
      </c>
      <c r="D766" s="274"/>
      <c r="E766" s="704"/>
      <c r="F766" s="703"/>
      <c r="G766" s="705"/>
      <c r="H766" s="705"/>
      <c r="I766" s="705"/>
      <c r="J766" s="705"/>
      <c r="K766" s="705"/>
      <c r="L766" s="705"/>
      <c r="M766" s="691"/>
      <c r="N766" s="691"/>
    </row>
    <row r="767" spans="1:17" s="699" customFormat="1" hidden="1">
      <c r="A767" s="24">
        <v>1</v>
      </c>
      <c r="B767" s="158"/>
      <c r="C767" s="765" t="s">
        <v>1151</v>
      </c>
      <c r="D767" s="24" t="s">
        <v>112</v>
      </c>
      <c r="E767" s="123">
        <v>0</v>
      </c>
      <c r="F767" s="669"/>
      <c r="G767" s="693"/>
      <c r="H767" s="678"/>
      <c r="I767" s="693"/>
      <c r="J767" s="693"/>
      <c r="K767" s="693"/>
      <c r="L767" s="693"/>
      <c r="M767" s="691"/>
      <c r="N767" s="691"/>
    </row>
    <row r="768" spans="1:17" s="699" customFormat="1" ht="27" hidden="1">
      <c r="A768" s="1096">
        <v>42</v>
      </c>
      <c r="B768" s="158"/>
      <c r="C768" s="765" t="s">
        <v>1768</v>
      </c>
      <c r="D768" s="24" t="s">
        <v>112</v>
      </c>
      <c r="E768" s="123">
        <v>0</v>
      </c>
      <c r="F768" s="669"/>
      <c r="G768" s="693"/>
      <c r="H768" s="678"/>
      <c r="I768" s="693"/>
      <c r="J768" s="693"/>
      <c r="K768" s="693"/>
      <c r="L768" s="693"/>
      <c r="M768" s="691"/>
      <c r="N768" s="691"/>
    </row>
    <row r="769" spans="1:14" s="699" customFormat="1" ht="27" hidden="1">
      <c r="A769" s="1096">
        <v>43</v>
      </c>
      <c r="B769" s="158"/>
      <c r="C769" s="765" t="s">
        <v>1769</v>
      </c>
      <c r="D769" s="24" t="s">
        <v>112</v>
      </c>
      <c r="E769" s="123">
        <v>0</v>
      </c>
      <c r="F769" s="669"/>
      <c r="G769" s="693"/>
      <c r="H769" s="678"/>
      <c r="I769" s="693"/>
      <c r="J769" s="693"/>
      <c r="K769" s="693"/>
      <c r="L769" s="693"/>
      <c r="M769" s="691"/>
      <c r="N769" s="691"/>
    </row>
    <row r="770" spans="1:14" s="699" customFormat="1" ht="27" hidden="1">
      <c r="A770" s="1096">
        <v>44</v>
      </c>
      <c r="B770" s="158"/>
      <c r="C770" s="765" t="s">
        <v>1770</v>
      </c>
      <c r="D770" s="24" t="s">
        <v>112</v>
      </c>
      <c r="E770" s="123">
        <v>0</v>
      </c>
      <c r="F770" s="669"/>
      <c r="G770" s="693"/>
      <c r="H770" s="678"/>
      <c r="I770" s="693"/>
      <c r="J770" s="693"/>
      <c r="K770" s="693"/>
      <c r="L770" s="693"/>
      <c r="M770" s="691"/>
      <c r="N770" s="691"/>
    </row>
    <row r="771" spans="1:14" s="699" customFormat="1" ht="27" hidden="1">
      <c r="A771" s="24">
        <v>2</v>
      </c>
      <c r="B771" s="158"/>
      <c r="C771" s="765" t="s">
        <v>1589</v>
      </c>
      <c r="D771" s="24" t="s">
        <v>112</v>
      </c>
      <c r="E771" s="123">
        <v>0</v>
      </c>
      <c r="F771" s="669"/>
      <c r="G771" s="693"/>
      <c r="H771" s="678"/>
      <c r="I771" s="693"/>
      <c r="J771" s="693"/>
      <c r="K771" s="693"/>
      <c r="L771" s="693"/>
      <c r="M771" s="691"/>
      <c r="N771" s="691"/>
    </row>
    <row r="772" spans="1:14" s="699" customFormat="1" hidden="1">
      <c r="A772" s="325"/>
      <c r="B772" s="197"/>
      <c r="C772" s="762" t="s">
        <v>1152</v>
      </c>
      <c r="D772" s="24"/>
      <c r="E772" s="134"/>
      <c r="F772" s="683"/>
      <c r="G772" s="326"/>
      <c r="H772" s="326"/>
      <c r="I772" s="326"/>
      <c r="J772" s="684"/>
      <c r="K772" s="683"/>
      <c r="L772" s="326"/>
      <c r="M772" s="326"/>
      <c r="N772" s="691"/>
    </row>
    <row r="773" spans="1:14" s="692" customFormat="1" hidden="1">
      <c r="A773" s="325">
        <v>1</v>
      </c>
      <c r="B773" s="198"/>
      <c r="C773" s="26" t="s">
        <v>891</v>
      </c>
      <c r="D773" s="24" t="s">
        <v>437</v>
      </c>
      <c r="E773" s="123">
        <v>0</v>
      </c>
      <c r="F773" s="670"/>
      <c r="G773" s="670"/>
      <c r="H773" s="670"/>
      <c r="I773" s="670"/>
      <c r="J773" s="679"/>
      <c r="K773" s="670"/>
      <c r="L773" s="670"/>
      <c r="M773" s="326"/>
      <c r="N773" s="691"/>
    </row>
    <row r="774" spans="1:14" s="699" customFormat="1" ht="27" hidden="1">
      <c r="A774" s="325">
        <v>2</v>
      </c>
      <c r="B774" s="198"/>
      <c r="C774" s="100" t="s">
        <v>1117</v>
      </c>
      <c r="D774" s="24" t="s">
        <v>437</v>
      </c>
      <c r="E774" s="123">
        <v>0</v>
      </c>
      <c r="F774" s="670"/>
      <c r="G774" s="670"/>
      <c r="H774" s="670"/>
      <c r="I774" s="670"/>
      <c r="J774" s="679"/>
      <c r="K774" s="670"/>
      <c r="L774" s="670"/>
      <c r="M774" s="326"/>
      <c r="N774" s="691"/>
    </row>
    <row r="775" spans="1:14" s="699" customFormat="1" hidden="1">
      <c r="A775" s="325">
        <v>3</v>
      </c>
      <c r="B775" s="198"/>
      <c r="C775" s="26" t="s">
        <v>895</v>
      </c>
      <c r="D775" s="24" t="s">
        <v>437</v>
      </c>
      <c r="E775" s="123">
        <v>0</v>
      </c>
      <c r="F775" s="670"/>
      <c r="G775" s="670"/>
      <c r="H775" s="670"/>
      <c r="I775" s="670"/>
      <c r="J775" s="679"/>
      <c r="K775" s="670"/>
      <c r="L775" s="670"/>
      <c r="M775" s="326"/>
      <c r="N775" s="691"/>
    </row>
    <row r="776" spans="1:14" s="706" customFormat="1" hidden="1">
      <c r="A776" s="325">
        <v>4</v>
      </c>
      <c r="B776" s="198"/>
      <c r="C776" s="26" t="s">
        <v>293</v>
      </c>
      <c r="D776" s="24" t="s">
        <v>437</v>
      </c>
      <c r="E776" s="123">
        <v>0</v>
      </c>
      <c r="F776" s="326"/>
      <c r="G776" s="326"/>
      <c r="H776" s="326"/>
      <c r="I776" s="326"/>
      <c r="J776" s="659"/>
      <c r="K776" s="326"/>
      <c r="L776" s="326"/>
      <c r="M776" s="326"/>
      <c r="N776" s="691"/>
    </row>
    <row r="777" spans="1:14" s="706" customFormat="1" hidden="1">
      <c r="A777" s="325">
        <v>5</v>
      </c>
      <c r="B777" s="198"/>
      <c r="C777" s="766" t="s">
        <v>1018</v>
      </c>
      <c r="D777" s="24" t="s">
        <v>437</v>
      </c>
      <c r="E777" s="123">
        <v>0</v>
      </c>
      <c r="F777" s="326"/>
      <c r="G777" s="326"/>
      <c r="H777" s="326"/>
      <c r="I777" s="326"/>
      <c r="J777" s="659"/>
      <c r="K777" s="326"/>
      <c r="L777" s="326"/>
      <c r="M777" s="326"/>
      <c r="N777" s="691"/>
    </row>
    <row r="778" spans="1:14" s="706" customFormat="1" hidden="1">
      <c r="A778" s="325">
        <v>6</v>
      </c>
      <c r="B778" s="198"/>
      <c r="C778" s="26" t="s">
        <v>1253</v>
      </c>
      <c r="D778" s="370" t="s">
        <v>122</v>
      </c>
      <c r="E778" s="123">
        <v>0</v>
      </c>
      <c r="F778" s="326"/>
      <c r="G778" s="326"/>
      <c r="H778" s="326"/>
      <c r="I778" s="326"/>
      <c r="J778" s="659"/>
      <c r="K778" s="326"/>
      <c r="L778" s="326"/>
      <c r="M778" s="326"/>
      <c r="N778" s="691"/>
    </row>
    <row r="779" spans="1:14" s="706" customFormat="1" hidden="1">
      <c r="A779" s="325"/>
      <c r="B779" s="198"/>
      <c r="C779" s="762" t="s">
        <v>1761</v>
      </c>
      <c r="D779" s="24"/>
      <c r="E779" s="169"/>
      <c r="F779" s="326"/>
      <c r="G779" s="326"/>
      <c r="H779" s="326"/>
      <c r="I779" s="326"/>
      <c r="J779" s="659"/>
      <c r="K779" s="326"/>
      <c r="L779" s="326"/>
      <c r="M779" s="326"/>
      <c r="N779" s="691"/>
    </row>
    <row r="780" spans="1:14" s="706" customFormat="1" hidden="1">
      <c r="A780" s="325">
        <v>1</v>
      </c>
      <c r="B780" s="198"/>
      <c r="C780" s="26" t="s">
        <v>1154</v>
      </c>
      <c r="D780" s="24" t="s">
        <v>206</v>
      </c>
      <c r="E780" s="123">
        <v>0</v>
      </c>
      <c r="F780" s="326"/>
      <c r="G780" s="326"/>
      <c r="H780" s="326"/>
      <c r="I780" s="326"/>
      <c r="J780" s="659"/>
      <c r="K780" s="326"/>
      <c r="L780" s="326"/>
      <c r="M780" s="326"/>
      <c r="N780" s="691"/>
    </row>
    <row r="781" spans="1:14" s="706" customFormat="1" hidden="1">
      <c r="A781" s="325">
        <v>2</v>
      </c>
      <c r="B781" s="198"/>
      <c r="C781" s="26" t="s">
        <v>1155</v>
      </c>
      <c r="D781" s="24" t="s">
        <v>206</v>
      </c>
      <c r="E781" s="123">
        <v>0</v>
      </c>
      <c r="F781" s="326"/>
      <c r="G781" s="326"/>
      <c r="H781" s="326"/>
      <c r="I781" s="326"/>
      <c r="J781" s="659"/>
      <c r="K781" s="326"/>
      <c r="L781" s="326"/>
      <c r="M781" s="326"/>
      <c r="N781" s="691"/>
    </row>
    <row r="782" spans="1:14" s="706" customFormat="1" ht="27" hidden="1">
      <c r="A782" s="325">
        <v>3</v>
      </c>
      <c r="B782" s="198"/>
      <c r="C782" s="754" t="s">
        <v>1762</v>
      </c>
      <c r="D782" s="158" t="s">
        <v>4</v>
      </c>
      <c r="E782" s="123">
        <v>0</v>
      </c>
      <c r="F782" s="326"/>
      <c r="G782" s="326"/>
      <c r="H782" s="326"/>
      <c r="I782" s="326"/>
      <c r="J782" s="659"/>
      <c r="K782" s="326"/>
      <c r="L782" s="326"/>
      <c r="M782" s="326"/>
      <c r="N782" s="691"/>
    </row>
    <row r="783" spans="1:14" s="706" customFormat="1" ht="27" hidden="1">
      <c r="A783" s="325">
        <v>4</v>
      </c>
      <c r="B783" s="198"/>
      <c r="C783" s="754" t="s">
        <v>1030</v>
      </c>
      <c r="D783" s="24" t="s">
        <v>437</v>
      </c>
      <c r="E783" s="123">
        <v>0</v>
      </c>
      <c r="F783" s="326"/>
      <c r="G783" s="326"/>
      <c r="H783" s="326"/>
      <c r="I783" s="326"/>
      <c r="J783" s="659"/>
      <c r="K783" s="326"/>
      <c r="L783" s="326"/>
      <c r="M783" s="326"/>
      <c r="N783" s="691"/>
    </row>
    <row r="784" spans="1:14" s="706" customFormat="1" hidden="1">
      <c r="A784" s="1166"/>
      <c r="B784" s="198"/>
      <c r="C784" s="912" t="s">
        <v>695</v>
      </c>
      <c r="D784" s="24"/>
      <c r="E784" s="134"/>
      <c r="F784" s="326"/>
      <c r="G784" s="326"/>
      <c r="H784" s="326"/>
      <c r="I784" s="326"/>
      <c r="J784" s="659"/>
      <c r="K784" s="326"/>
      <c r="L784" s="326"/>
      <c r="M784" s="326"/>
      <c r="N784" s="691"/>
    </row>
    <row r="785" spans="1:14" s="706" customFormat="1">
      <c r="A785" s="1368"/>
      <c r="B785" s="274"/>
      <c r="C785" s="170" t="s">
        <v>1886</v>
      </c>
      <c r="D785" s="277"/>
      <c r="E785" s="724"/>
      <c r="F785" s="703"/>
      <c r="G785" s="707"/>
      <c r="H785" s="707"/>
      <c r="I785" s="707"/>
      <c r="J785" s="707"/>
      <c r="K785" s="707"/>
      <c r="L785" s="707"/>
      <c r="M785" s="691"/>
      <c r="N785" s="691"/>
    </row>
    <row r="786" spans="1:14" s="706" customFormat="1">
      <c r="A786" s="1372"/>
      <c r="B786" s="768"/>
      <c r="C786" s="110" t="s">
        <v>1156</v>
      </c>
      <c r="D786" s="281" t="s">
        <v>457</v>
      </c>
      <c r="E786" s="724">
        <v>10</v>
      </c>
      <c r="F786" s="707"/>
      <c r="G786" s="707"/>
      <c r="H786" s="707"/>
      <c r="I786" s="707"/>
      <c r="J786" s="707"/>
      <c r="K786" s="707"/>
      <c r="L786" s="707"/>
      <c r="M786" s="691"/>
      <c r="N786" s="691"/>
    </row>
    <row r="787" spans="1:14" s="706" customFormat="1">
      <c r="A787" s="1372"/>
      <c r="B787" s="768"/>
      <c r="C787" s="170" t="s">
        <v>110</v>
      </c>
      <c r="D787" s="780"/>
      <c r="E787" s="1384"/>
      <c r="F787" s="708"/>
      <c r="G787" s="709"/>
      <c r="H787" s="709"/>
      <c r="I787" s="709"/>
      <c r="J787" s="709"/>
      <c r="K787" s="709"/>
      <c r="L787" s="709"/>
      <c r="M787" s="691"/>
      <c r="N787" s="691"/>
    </row>
    <row r="788" spans="1:14" s="710" customFormat="1">
      <c r="A788" s="1372"/>
      <c r="B788" s="768"/>
      <c r="C788" s="110" t="s">
        <v>1157</v>
      </c>
      <c r="D788" s="300" t="s">
        <v>457</v>
      </c>
      <c r="E788" s="685">
        <v>8</v>
      </c>
      <c r="F788" s="708"/>
      <c r="G788" s="709"/>
      <c r="H788" s="709"/>
      <c r="I788" s="709"/>
      <c r="J788" s="709"/>
      <c r="K788" s="709"/>
      <c r="L788" s="709"/>
      <c r="M788" s="691"/>
      <c r="N788" s="691"/>
    </row>
    <row r="789" spans="1:14" s="706" customFormat="1">
      <c r="A789" s="1372"/>
      <c r="B789" s="768"/>
      <c r="C789" s="170" t="s">
        <v>1884</v>
      </c>
      <c r="D789" s="780"/>
      <c r="E789" s="1384"/>
      <c r="F789" s="708"/>
      <c r="G789" s="709"/>
      <c r="H789" s="709"/>
      <c r="I789" s="709"/>
      <c r="J789" s="709"/>
      <c r="K789" s="709"/>
      <c r="L789" s="709"/>
      <c r="M789" s="691"/>
      <c r="N789" s="691"/>
    </row>
    <row r="790" spans="1:14" s="706" customFormat="1" hidden="1">
      <c r="A790" s="641"/>
      <c r="B790" s="769"/>
      <c r="C790" s="761" t="s">
        <v>1610</v>
      </c>
      <c r="D790" s="781"/>
      <c r="E790" s="1049"/>
      <c r="F790" s="712"/>
      <c r="G790" s="713"/>
      <c r="H790" s="712"/>
      <c r="I790" s="713"/>
      <c r="J790" s="713"/>
      <c r="K790" s="713"/>
      <c r="L790" s="711"/>
      <c r="M790" s="691"/>
      <c r="N790" s="691"/>
    </row>
    <row r="791" spans="1:14" s="692" customFormat="1" hidden="1">
      <c r="A791" s="24">
        <v>1</v>
      </c>
      <c r="B791" s="158"/>
      <c r="C791" s="26" t="s">
        <v>1158</v>
      </c>
      <c r="D791" s="158" t="s">
        <v>122</v>
      </c>
      <c r="E791" s="123"/>
      <c r="F791" s="668"/>
      <c r="G791" s="714"/>
      <c r="H791" s="678"/>
      <c r="I791" s="693"/>
      <c r="J791" s="693"/>
      <c r="K791" s="693"/>
      <c r="L791" s="693"/>
      <c r="M791" s="691"/>
      <c r="N791" s="691"/>
    </row>
    <row r="792" spans="1:14" s="706" customFormat="1" hidden="1">
      <c r="A792" s="24">
        <v>1</v>
      </c>
      <c r="B792" s="158"/>
      <c r="C792" s="26" t="s">
        <v>1159</v>
      </c>
      <c r="D792" s="158" t="s">
        <v>122</v>
      </c>
      <c r="E792" s="123">
        <v>0</v>
      </c>
      <c r="F792" s="668"/>
      <c r="G792" s="714"/>
      <c r="H792" s="678"/>
      <c r="I792" s="693"/>
      <c r="J792" s="693"/>
      <c r="K792" s="693"/>
      <c r="L792" s="693"/>
      <c r="M792" s="691"/>
      <c r="N792" s="691"/>
    </row>
    <row r="793" spans="1:14" s="699" customFormat="1" hidden="1">
      <c r="A793" s="24">
        <v>3</v>
      </c>
      <c r="B793" s="158"/>
      <c r="C793" s="26" t="s">
        <v>1160</v>
      </c>
      <c r="D793" s="158" t="s">
        <v>122</v>
      </c>
      <c r="E793" s="123"/>
      <c r="F793" s="668"/>
      <c r="G793" s="714"/>
      <c r="H793" s="678"/>
      <c r="I793" s="693"/>
      <c r="J793" s="693"/>
      <c r="K793" s="693"/>
      <c r="L793" s="693"/>
      <c r="M793" s="691"/>
      <c r="N793" s="691"/>
    </row>
    <row r="794" spans="1:14" s="699" customFormat="1" hidden="1">
      <c r="A794" s="24">
        <v>4</v>
      </c>
      <c r="B794" s="158"/>
      <c r="C794" s="110" t="s">
        <v>1161</v>
      </c>
      <c r="D794" s="158"/>
      <c r="E794" s="123"/>
      <c r="F794" s="668"/>
      <c r="G794" s="714"/>
      <c r="H794" s="678"/>
      <c r="I794" s="693"/>
      <c r="J794" s="693"/>
      <c r="K794" s="693"/>
      <c r="L794" s="693"/>
      <c r="M794" s="691"/>
      <c r="N794" s="691"/>
    </row>
    <row r="795" spans="1:14" s="699" customFormat="1" hidden="1">
      <c r="A795" s="24">
        <v>2</v>
      </c>
      <c r="B795" s="158"/>
      <c r="C795" s="260" t="s">
        <v>333</v>
      </c>
      <c r="D795" s="158" t="s">
        <v>113</v>
      </c>
      <c r="E795" s="123">
        <v>0</v>
      </c>
      <c r="F795" s="669"/>
      <c r="G795" s="693"/>
      <c r="H795" s="678"/>
      <c r="I795" s="693"/>
      <c r="J795" s="693"/>
      <c r="K795" s="693"/>
      <c r="L795" s="693"/>
      <c r="M795" s="691"/>
      <c r="N795" s="691"/>
    </row>
    <row r="796" spans="1:14" s="699" customFormat="1" hidden="1">
      <c r="A796" s="24"/>
      <c r="B796" s="158"/>
      <c r="C796" s="260" t="s">
        <v>1163</v>
      </c>
      <c r="D796" s="158" t="s">
        <v>113</v>
      </c>
      <c r="E796" s="123"/>
      <c r="F796" s="669"/>
      <c r="G796" s="693"/>
      <c r="H796" s="678"/>
      <c r="I796" s="693"/>
      <c r="J796" s="693"/>
      <c r="K796" s="693"/>
      <c r="L796" s="693"/>
      <c r="M796" s="691"/>
      <c r="N796" s="691"/>
    </row>
    <row r="797" spans="1:14" s="699" customFormat="1" hidden="1">
      <c r="A797" s="24">
        <v>5</v>
      </c>
      <c r="B797" s="158"/>
      <c r="C797" s="260" t="s">
        <v>1164</v>
      </c>
      <c r="D797" s="158" t="s">
        <v>113</v>
      </c>
      <c r="E797" s="123"/>
      <c r="F797" s="669"/>
      <c r="G797" s="693"/>
      <c r="H797" s="678"/>
      <c r="I797" s="693"/>
      <c r="J797" s="693"/>
      <c r="K797" s="693"/>
      <c r="L797" s="693"/>
      <c r="M797" s="691"/>
      <c r="N797" s="691"/>
    </row>
    <row r="798" spans="1:14" s="699" customFormat="1" hidden="1">
      <c r="A798" s="24">
        <v>3</v>
      </c>
      <c r="B798" s="158"/>
      <c r="C798" s="913" t="s">
        <v>1546</v>
      </c>
      <c r="D798" s="158" t="s">
        <v>113</v>
      </c>
      <c r="E798" s="123">
        <v>0</v>
      </c>
      <c r="F798" s="669"/>
      <c r="G798" s="693"/>
      <c r="H798" s="678"/>
      <c r="I798" s="693"/>
      <c r="J798" s="693"/>
      <c r="K798" s="693"/>
      <c r="L798" s="693"/>
      <c r="M798" s="691"/>
      <c r="N798" s="691"/>
    </row>
    <row r="799" spans="1:14" s="699" customFormat="1" hidden="1">
      <c r="A799" s="24">
        <v>6</v>
      </c>
      <c r="B799" s="158"/>
      <c r="C799" s="260" t="s">
        <v>1165</v>
      </c>
      <c r="D799" s="158" t="s">
        <v>113</v>
      </c>
      <c r="E799" s="123"/>
      <c r="F799" s="669"/>
      <c r="G799" s="693"/>
      <c r="H799" s="678"/>
      <c r="I799" s="693"/>
      <c r="J799" s="693"/>
      <c r="K799" s="693"/>
      <c r="L799" s="693"/>
      <c r="M799" s="691"/>
      <c r="N799" s="691"/>
    </row>
    <row r="800" spans="1:14" s="699" customFormat="1" hidden="1">
      <c r="A800" s="24">
        <v>4</v>
      </c>
      <c r="B800" s="158"/>
      <c r="C800" s="260" t="s">
        <v>1547</v>
      </c>
      <c r="D800" s="158" t="s">
        <v>113</v>
      </c>
      <c r="E800" s="123">
        <v>0</v>
      </c>
      <c r="F800" s="669"/>
      <c r="G800" s="693"/>
      <c r="H800" s="678"/>
      <c r="I800" s="693"/>
      <c r="J800" s="693"/>
      <c r="K800" s="693"/>
      <c r="L800" s="693"/>
      <c r="M800" s="691"/>
      <c r="N800" s="691"/>
    </row>
    <row r="801" spans="1:14" s="699" customFormat="1" hidden="1">
      <c r="A801" s="1096">
        <v>4</v>
      </c>
      <c r="B801" s="1096"/>
      <c r="C801" s="1097" t="s">
        <v>1757</v>
      </c>
      <c r="D801" s="1096" t="s">
        <v>113</v>
      </c>
      <c r="E801" s="123">
        <v>0</v>
      </c>
      <c r="F801" s="669"/>
      <c r="G801" s="693"/>
      <c r="H801" s="678"/>
      <c r="I801" s="693"/>
      <c r="J801" s="693"/>
      <c r="K801" s="693"/>
      <c r="L801" s="693"/>
      <c r="M801" s="691"/>
      <c r="N801" s="691"/>
    </row>
    <row r="802" spans="1:14" s="699" customFormat="1" hidden="1">
      <c r="A802" s="1096">
        <v>4</v>
      </c>
      <c r="B802" s="1096"/>
      <c r="C802" s="1097" t="s">
        <v>1759</v>
      </c>
      <c r="D802" s="1096" t="s">
        <v>113</v>
      </c>
      <c r="E802" s="123">
        <f>0*E701</f>
        <v>0</v>
      </c>
      <c r="F802" s="669"/>
      <c r="G802" s="693"/>
      <c r="H802" s="678"/>
      <c r="I802" s="693"/>
      <c r="J802" s="693"/>
      <c r="K802" s="693"/>
      <c r="L802" s="693"/>
      <c r="M802" s="691"/>
      <c r="N802" s="691"/>
    </row>
    <row r="803" spans="1:14" s="699" customFormat="1" hidden="1">
      <c r="A803" s="24">
        <v>5</v>
      </c>
      <c r="B803" s="158"/>
      <c r="C803" s="226" t="s">
        <v>1167</v>
      </c>
      <c r="D803" s="158" t="s">
        <v>113</v>
      </c>
      <c r="E803" s="123">
        <v>0</v>
      </c>
      <c r="F803" s="669"/>
      <c r="G803" s="693"/>
      <c r="H803" s="678"/>
      <c r="I803" s="693"/>
      <c r="J803" s="693"/>
      <c r="K803" s="693"/>
      <c r="L803" s="693"/>
      <c r="M803" s="691"/>
      <c r="N803" s="691"/>
    </row>
    <row r="804" spans="1:14" s="699" customFormat="1" hidden="1">
      <c r="A804" s="24">
        <v>6</v>
      </c>
      <c r="B804" s="158"/>
      <c r="C804" s="260" t="s">
        <v>1168</v>
      </c>
      <c r="D804" s="158" t="s">
        <v>113</v>
      </c>
      <c r="E804" s="123">
        <v>0</v>
      </c>
      <c r="F804" s="669"/>
      <c r="G804" s="693"/>
      <c r="H804" s="678"/>
      <c r="I804" s="693"/>
      <c r="J804" s="693"/>
      <c r="K804" s="693"/>
      <c r="L804" s="693"/>
      <c r="M804" s="691"/>
      <c r="N804" s="691"/>
    </row>
    <row r="805" spans="1:14" s="699" customFormat="1" hidden="1">
      <c r="A805" s="289"/>
      <c r="B805" s="770"/>
      <c r="C805" s="771" t="s">
        <v>110</v>
      </c>
      <c r="D805" s="289"/>
      <c r="E805" s="716"/>
      <c r="F805" s="715"/>
      <c r="G805" s="717"/>
      <c r="H805" s="717"/>
      <c r="I805" s="717"/>
      <c r="J805" s="717"/>
      <c r="K805" s="717"/>
      <c r="L805" s="717"/>
      <c r="M805" s="691"/>
      <c r="N805" s="691"/>
    </row>
    <row r="806" spans="1:14" s="699" customFormat="1" hidden="1">
      <c r="A806" s="772"/>
      <c r="B806" s="773"/>
      <c r="C806" s="110" t="s">
        <v>1169</v>
      </c>
      <c r="D806" s="281" t="s">
        <v>457</v>
      </c>
      <c r="E806" s="704">
        <v>12</v>
      </c>
      <c r="F806" s="703"/>
      <c r="G806" s="707"/>
      <c r="H806" s="707"/>
      <c r="I806" s="707"/>
      <c r="J806" s="707"/>
      <c r="K806" s="707"/>
      <c r="L806" s="707"/>
      <c r="M806" s="691"/>
      <c r="N806" s="691"/>
    </row>
    <row r="807" spans="1:14" s="699" customFormat="1" hidden="1">
      <c r="A807" s="772"/>
      <c r="B807" s="773"/>
      <c r="C807" s="170" t="s">
        <v>110</v>
      </c>
      <c r="D807" s="277"/>
      <c r="E807" s="704"/>
      <c r="F807" s="703"/>
      <c r="G807" s="707"/>
      <c r="H807" s="707"/>
      <c r="I807" s="707"/>
      <c r="J807" s="707"/>
      <c r="K807" s="707"/>
      <c r="L807" s="707"/>
      <c r="M807" s="691"/>
      <c r="N807" s="691"/>
    </row>
    <row r="808" spans="1:14" s="699" customFormat="1" hidden="1">
      <c r="A808" s="767"/>
      <c r="B808" s="768"/>
      <c r="C808" s="110" t="s">
        <v>1170</v>
      </c>
      <c r="D808" s="300" t="s">
        <v>457</v>
      </c>
      <c r="E808" s="1048">
        <v>8</v>
      </c>
      <c r="F808" s="708"/>
      <c r="G808" s="709"/>
      <c r="H808" s="709"/>
      <c r="I808" s="709"/>
      <c r="J808" s="709"/>
      <c r="K808" s="709"/>
      <c r="L808" s="709"/>
      <c r="M808" s="691"/>
      <c r="N808" s="691"/>
    </row>
    <row r="809" spans="1:14" s="699" customFormat="1" hidden="1">
      <c r="A809" s="277"/>
      <c r="B809" s="274"/>
      <c r="C809" s="170" t="s">
        <v>1611</v>
      </c>
      <c r="D809" s="277"/>
      <c r="E809" s="704"/>
      <c r="F809" s="703"/>
      <c r="G809" s="707"/>
      <c r="H809" s="707"/>
      <c r="I809" s="707"/>
      <c r="J809" s="707"/>
      <c r="K809" s="707"/>
      <c r="L809" s="707"/>
      <c r="M809" s="691"/>
      <c r="N809" s="691"/>
    </row>
    <row r="810" spans="1:14" s="699" customFormat="1" hidden="1">
      <c r="A810" s="641"/>
      <c r="B810" s="769"/>
      <c r="C810" s="761" t="s">
        <v>1612</v>
      </c>
      <c r="D810" s="782"/>
      <c r="E810" s="1049"/>
      <c r="F810" s="712"/>
      <c r="G810" s="713"/>
      <c r="H810" s="712"/>
      <c r="I810" s="713"/>
      <c r="J810" s="713"/>
      <c r="K810" s="713"/>
      <c r="L810" s="711"/>
      <c r="M810" s="691"/>
      <c r="N810" s="691"/>
    </row>
    <row r="811" spans="1:14" s="699" customFormat="1" hidden="1">
      <c r="A811" s="24">
        <v>1</v>
      </c>
      <c r="B811" s="158"/>
      <c r="C811" s="260" t="s">
        <v>247</v>
      </c>
      <c r="D811" s="158" t="s">
        <v>122</v>
      </c>
      <c r="E811" s="123">
        <v>0</v>
      </c>
      <c r="F811" s="669"/>
      <c r="G811" s="693"/>
      <c r="H811" s="678"/>
      <c r="I811" s="693"/>
      <c r="J811" s="693"/>
      <c r="K811" s="693"/>
      <c r="L811" s="719"/>
      <c r="M811" s="691"/>
      <c r="N811" s="691"/>
    </row>
    <row r="812" spans="1:14" s="699" customFormat="1" hidden="1">
      <c r="A812" s="24">
        <v>2</v>
      </c>
      <c r="B812" s="158"/>
      <c r="C812" s="260" t="s">
        <v>1171</v>
      </c>
      <c r="D812" s="158" t="s">
        <v>122</v>
      </c>
      <c r="E812" s="123">
        <v>0</v>
      </c>
      <c r="F812" s="669"/>
      <c r="G812" s="693"/>
      <c r="H812" s="678"/>
      <c r="I812" s="693"/>
      <c r="J812" s="693"/>
      <c r="K812" s="693"/>
      <c r="L812" s="719"/>
      <c r="M812" s="691"/>
      <c r="N812" s="691"/>
    </row>
    <row r="813" spans="1:14" s="699" customFormat="1" hidden="1">
      <c r="A813" s="24">
        <v>3</v>
      </c>
      <c r="B813" s="158"/>
      <c r="C813" s="260" t="s">
        <v>1548</v>
      </c>
      <c r="D813" s="158" t="s">
        <v>113</v>
      </c>
      <c r="E813" s="123">
        <v>0</v>
      </c>
      <c r="F813" s="669"/>
      <c r="G813" s="693"/>
      <c r="H813" s="678"/>
      <c r="I813" s="693"/>
      <c r="J813" s="693"/>
      <c r="K813" s="693"/>
      <c r="L813" s="719"/>
      <c r="M813" s="691"/>
      <c r="N813" s="691"/>
    </row>
    <row r="814" spans="1:14" s="699" customFormat="1" hidden="1">
      <c r="A814" s="24">
        <v>4</v>
      </c>
      <c r="B814" s="158"/>
      <c r="C814" s="260" t="s">
        <v>1549</v>
      </c>
      <c r="D814" s="158" t="s">
        <v>113</v>
      </c>
      <c r="E814" s="123">
        <v>0</v>
      </c>
      <c r="F814" s="669"/>
      <c r="G814" s="693"/>
      <c r="H814" s="678"/>
      <c r="I814" s="693"/>
      <c r="J814" s="693"/>
      <c r="K814" s="693"/>
      <c r="L814" s="719"/>
      <c r="M814" s="691"/>
      <c r="N814" s="691"/>
    </row>
    <row r="815" spans="1:14" s="699" customFormat="1" hidden="1">
      <c r="A815" s="24">
        <v>5</v>
      </c>
      <c r="B815" s="158"/>
      <c r="C815" s="260" t="s">
        <v>1172</v>
      </c>
      <c r="D815" s="158" t="s">
        <v>816</v>
      </c>
      <c r="E815" s="123"/>
      <c r="F815" s="669"/>
      <c r="G815" s="693"/>
      <c r="H815" s="678"/>
      <c r="I815" s="693"/>
      <c r="J815" s="693"/>
      <c r="K815" s="693"/>
      <c r="L815" s="693"/>
      <c r="M815" s="691"/>
      <c r="N815" s="691"/>
    </row>
    <row r="816" spans="1:14" s="699" customFormat="1" hidden="1">
      <c r="A816" s="24">
        <v>6</v>
      </c>
      <c r="B816" s="158"/>
      <c r="C816" s="260" t="s">
        <v>1173</v>
      </c>
      <c r="D816" s="158" t="s">
        <v>816</v>
      </c>
      <c r="E816" s="123"/>
      <c r="F816" s="669"/>
      <c r="G816" s="693"/>
      <c r="H816" s="678"/>
      <c r="I816" s="693"/>
      <c r="J816" s="693"/>
      <c r="K816" s="693"/>
      <c r="L816" s="693"/>
      <c r="M816" s="691"/>
      <c r="N816" s="691"/>
    </row>
    <row r="817" spans="1:14" s="699" customFormat="1" hidden="1">
      <c r="A817" s="24">
        <v>7</v>
      </c>
      <c r="B817" s="158"/>
      <c r="C817" s="260" t="s">
        <v>1174</v>
      </c>
      <c r="D817" s="158" t="s">
        <v>816</v>
      </c>
      <c r="E817" s="123"/>
      <c r="F817" s="669"/>
      <c r="G817" s="693"/>
      <c r="H817" s="678"/>
      <c r="I817" s="693"/>
      <c r="J817" s="693"/>
      <c r="K817" s="693"/>
      <c r="L817" s="693"/>
      <c r="M817" s="691"/>
      <c r="N817" s="691"/>
    </row>
    <row r="818" spans="1:14" s="699" customFormat="1" hidden="1">
      <c r="A818" s="24">
        <v>5</v>
      </c>
      <c r="B818" s="158"/>
      <c r="C818" s="260" t="s">
        <v>1175</v>
      </c>
      <c r="D818" s="158" t="s">
        <v>113</v>
      </c>
      <c r="E818" s="123">
        <v>0</v>
      </c>
      <c r="F818" s="669"/>
      <c r="G818" s="693"/>
      <c r="H818" s="678"/>
      <c r="I818" s="693"/>
      <c r="J818" s="693"/>
      <c r="K818" s="693"/>
      <c r="L818" s="693"/>
      <c r="M818" s="691"/>
      <c r="N818" s="691"/>
    </row>
    <row r="819" spans="1:14" s="699" customFormat="1" hidden="1">
      <c r="A819" s="24">
        <v>9</v>
      </c>
      <c r="B819" s="158"/>
      <c r="C819" s="260" t="s">
        <v>1176</v>
      </c>
      <c r="D819" s="158" t="s">
        <v>816</v>
      </c>
      <c r="E819" s="123"/>
      <c r="F819" s="669"/>
      <c r="G819" s="693"/>
      <c r="H819" s="678"/>
      <c r="I819" s="693"/>
      <c r="J819" s="693"/>
      <c r="K819" s="693"/>
      <c r="L819" s="693"/>
      <c r="M819" s="691"/>
      <c r="N819" s="691"/>
    </row>
    <row r="820" spans="1:14" s="699" customFormat="1" hidden="1">
      <c r="A820" s="24">
        <v>6</v>
      </c>
      <c r="B820" s="158"/>
      <c r="C820" s="260" t="s">
        <v>231</v>
      </c>
      <c r="D820" s="24" t="s">
        <v>113</v>
      </c>
      <c r="E820" s="123">
        <v>0</v>
      </c>
      <c r="F820" s="669"/>
      <c r="G820" s="693"/>
      <c r="H820" s="678"/>
      <c r="I820" s="693"/>
      <c r="J820" s="693"/>
      <c r="K820" s="693"/>
      <c r="L820" s="719"/>
      <c r="M820" s="691"/>
      <c r="N820" s="691"/>
    </row>
    <row r="821" spans="1:14" s="699" customFormat="1" ht="27" hidden="1">
      <c r="A821" s="24">
        <v>7</v>
      </c>
      <c r="B821" s="158"/>
      <c r="C821" s="489" t="s">
        <v>225</v>
      </c>
      <c r="D821" s="158" t="s">
        <v>4</v>
      </c>
      <c r="E821" s="123">
        <v>0</v>
      </c>
      <c r="F821" s="669"/>
      <c r="G821" s="693"/>
      <c r="H821" s="678"/>
      <c r="I821" s="693"/>
      <c r="J821" s="693"/>
      <c r="K821" s="693"/>
      <c r="L821" s="719"/>
      <c r="M821" s="691"/>
      <c r="N821" s="691"/>
    </row>
    <row r="822" spans="1:14" s="699" customFormat="1" ht="27" hidden="1">
      <c r="A822" s="24">
        <v>8</v>
      </c>
      <c r="B822" s="158"/>
      <c r="C822" s="68" t="s">
        <v>228</v>
      </c>
      <c r="D822" s="24" t="s">
        <v>4</v>
      </c>
      <c r="E822" s="123">
        <v>0</v>
      </c>
      <c r="F822" s="669"/>
      <c r="G822" s="693"/>
      <c r="H822" s="678"/>
      <c r="I822" s="693"/>
      <c r="J822" s="693"/>
      <c r="K822" s="693"/>
      <c r="L822" s="719"/>
      <c r="M822" s="691"/>
      <c r="N822" s="691"/>
    </row>
    <row r="823" spans="1:14" s="699" customFormat="1" hidden="1">
      <c r="A823" s="24">
        <v>9</v>
      </c>
      <c r="B823" s="158"/>
      <c r="C823" s="68" t="s">
        <v>235</v>
      </c>
      <c r="D823" s="24" t="s">
        <v>113</v>
      </c>
      <c r="E823" s="123">
        <v>0</v>
      </c>
      <c r="F823" s="669"/>
      <c r="G823" s="693"/>
      <c r="H823" s="678"/>
      <c r="I823" s="693"/>
      <c r="J823" s="693"/>
      <c r="K823" s="693"/>
      <c r="L823" s="719"/>
      <c r="M823" s="691"/>
      <c r="N823" s="691"/>
    </row>
    <row r="824" spans="1:14" s="699" customFormat="1" hidden="1">
      <c r="A824" s="24">
        <v>9</v>
      </c>
      <c r="B824" s="158"/>
      <c r="C824" s="68" t="s">
        <v>362</v>
      </c>
      <c r="D824" s="24" t="s">
        <v>113</v>
      </c>
      <c r="E824" s="123">
        <f>0*E701</f>
        <v>0</v>
      </c>
      <c r="F824" s="669"/>
      <c r="G824" s="693"/>
      <c r="H824" s="678"/>
      <c r="I824" s="693"/>
      <c r="J824" s="693"/>
      <c r="K824" s="693"/>
      <c r="L824" s="719"/>
      <c r="M824" s="691"/>
      <c r="N824" s="691"/>
    </row>
    <row r="825" spans="1:14" s="699" customFormat="1" hidden="1">
      <c r="A825" s="277"/>
      <c r="B825" s="274"/>
      <c r="C825" s="170" t="s">
        <v>359</v>
      </c>
      <c r="D825" s="277"/>
      <c r="E825" s="704"/>
      <c r="F825" s="703"/>
      <c r="G825" s="707"/>
      <c r="H825" s="707"/>
      <c r="I825" s="707"/>
      <c r="J825" s="707"/>
      <c r="K825" s="707"/>
      <c r="L825" s="707"/>
      <c r="M825" s="691"/>
      <c r="N825" s="691"/>
    </row>
    <row r="826" spans="1:14" s="699" customFormat="1" hidden="1">
      <c r="A826" s="772"/>
      <c r="B826" s="773"/>
      <c r="C826" s="110" t="s">
        <v>1177</v>
      </c>
      <c r="D826" s="281" t="s">
        <v>457</v>
      </c>
      <c r="E826" s="704">
        <v>12</v>
      </c>
      <c r="F826" s="703"/>
      <c r="G826" s="707"/>
      <c r="H826" s="707"/>
      <c r="I826" s="707"/>
      <c r="J826" s="707"/>
      <c r="K826" s="707"/>
      <c r="L826" s="707"/>
      <c r="M826" s="691"/>
      <c r="N826" s="691"/>
    </row>
    <row r="827" spans="1:14" s="699" customFormat="1" hidden="1">
      <c r="A827" s="772"/>
      <c r="B827" s="773"/>
      <c r="C827" s="170" t="s">
        <v>110</v>
      </c>
      <c r="D827" s="277"/>
      <c r="E827" s="704"/>
      <c r="F827" s="703"/>
      <c r="G827" s="707"/>
      <c r="H827" s="707"/>
      <c r="I827" s="707"/>
      <c r="J827" s="707"/>
      <c r="K827" s="707"/>
      <c r="L827" s="707"/>
      <c r="M827" s="691"/>
      <c r="N827" s="691"/>
    </row>
    <row r="828" spans="1:14" s="699" customFormat="1" hidden="1">
      <c r="A828" s="767"/>
      <c r="B828" s="768"/>
      <c r="C828" s="110" t="s">
        <v>1178</v>
      </c>
      <c r="D828" s="300" t="s">
        <v>457</v>
      </c>
      <c r="E828" s="1050">
        <v>8</v>
      </c>
      <c r="F828" s="708"/>
      <c r="G828" s="709"/>
      <c r="H828" s="709"/>
      <c r="I828" s="709"/>
      <c r="J828" s="709"/>
      <c r="K828" s="709"/>
      <c r="L828" s="709"/>
      <c r="M828" s="691"/>
      <c r="N828" s="691"/>
    </row>
    <row r="829" spans="1:14" s="699" customFormat="1" hidden="1">
      <c r="A829" s="277"/>
      <c r="B829" s="274"/>
      <c r="C829" s="170" t="s">
        <v>1613</v>
      </c>
      <c r="D829" s="277"/>
      <c r="E829" s="704"/>
      <c r="F829" s="703"/>
      <c r="G829" s="707"/>
      <c r="H829" s="707"/>
      <c r="I829" s="707"/>
      <c r="J829" s="707"/>
      <c r="K829" s="707"/>
      <c r="L829" s="707"/>
      <c r="M829" s="691"/>
      <c r="N829" s="691"/>
    </row>
    <row r="830" spans="1:14" s="699" customFormat="1" hidden="1">
      <c r="A830" s="272"/>
      <c r="B830" s="774"/>
      <c r="C830" s="762" t="s">
        <v>1614</v>
      </c>
      <c r="D830" s="782"/>
      <c r="E830" s="1051"/>
      <c r="F830" s="718"/>
      <c r="G830" s="721"/>
      <c r="H830" s="718"/>
      <c r="I830" s="721"/>
      <c r="J830" s="721"/>
      <c r="K830" s="721"/>
      <c r="L830" s="720"/>
      <c r="M830" s="691"/>
      <c r="N830" s="691"/>
    </row>
    <row r="831" spans="1:14" s="699" customFormat="1" hidden="1">
      <c r="A831" s="24">
        <v>1</v>
      </c>
      <c r="B831" s="158"/>
      <c r="C831" s="26" t="s">
        <v>1179</v>
      </c>
      <c r="D831" s="779" t="s">
        <v>816</v>
      </c>
      <c r="E831" s="123">
        <v>0</v>
      </c>
      <c r="F831" s="678"/>
      <c r="G831" s="693"/>
      <c r="H831" s="669"/>
      <c r="I831" s="693"/>
      <c r="J831" s="693"/>
      <c r="K831" s="693"/>
      <c r="L831" s="693"/>
      <c r="M831" s="691"/>
      <c r="N831" s="691"/>
    </row>
    <row r="832" spans="1:14" s="699" customFormat="1" hidden="1">
      <c r="A832" s="24">
        <v>2</v>
      </c>
      <c r="B832" s="158"/>
      <c r="C832" s="260" t="s">
        <v>1180</v>
      </c>
      <c r="D832" s="158" t="s">
        <v>816</v>
      </c>
      <c r="E832" s="123">
        <v>0</v>
      </c>
      <c r="F832" s="669"/>
      <c r="G832" s="693"/>
      <c r="H832" s="678"/>
      <c r="I832" s="693"/>
      <c r="J832" s="693"/>
      <c r="K832" s="693"/>
      <c r="L832" s="693"/>
      <c r="M832" s="691"/>
      <c r="N832" s="691"/>
    </row>
    <row r="833" spans="1:14" s="699" customFormat="1" hidden="1">
      <c r="A833" s="24">
        <v>3</v>
      </c>
      <c r="B833" s="158"/>
      <c r="C833" s="268" t="s">
        <v>1181</v>
      </c>
      <c r="D833" s="779" t="s">
        <v>816</v>
      </c>
      <c r="E833" s="123">
        <v>0</v>
      </c>
      <c r="F833" s="669"/>
      <c r="G833" s="693"/>
      <c r="H833" s="678"/>
      <c r="I833" s="693"/>
      <c r="J833" s="693"/>
      <c r="K833" s="693"/>
      <c r="L833" s="693"/>
      <c r="M833" s="691"/>
      <c r="N833" s="691"/>
    </row>
    <row r="834" spans="1:14" s="699" customFormat="1" hidden="1">
      <c r="A834" s="24">
        <v>4</v>
      </c>
      <c r="B834" s="158"/>
      <c r="C834" s="266" t="s">
        <v>731</v>
      </c>
      <c r="D834" s="140" t="s">
        <v>113</v>
      </c>
      <c r="E834" s="123">
        <v>0</v>
      </c>
      <c r="F834" s="669"/>
      <c r="G834" s="693"/>
      <c r="H834" s="678"/>
      <c r="I834" s="693"/>
      <c r="J834" s="693"/>
      <c r="K834" s="693"/>
      <c r="L834" s="693"/>
      <c r="M834" s="691"/>
      <c r="N834" s="691"/>
    </row>
    <row r="835" spans="1:14" s="699" customFormat="1" hidden="1">
      <c r="A835" s="24">
        <v>5</v>
      </c>
      <c r="B835" s="158"/>
      <c r="C835" s="266" t="s">
        <v>1551</v>
      </c>
      <c r="D835" s="140" t="s">
        <v>113</v>
      </c>
      <c r="E835" s="123">
        <v>0</v>
      </c>
      <c r="F835" s="669"/>
      <c r="G835" s="693"/>
      <c r="H835" s="678"/>
      <c r="I835" s="693"/>
      <c r="J835" s="693"/>
      <c r="K835" s="693"/>
      <c r="L835" s="693"/>
      <c r="M835" s="691"/>
      <c r="N835" s="691"/>
    </row>
    <row r="836" spans="1:14" s="699" customFormat="1" ht="27" hidden="1">
      <c r="A836" s="24">
        <v>6</v>
      </c>
      <c r="B836" s="158"/>
      <c r="C836" s="26" t="s">
        <v>466</v>
      </c>
      <c r="D836" s="779" t="s">
        <v>816</v>
      </c>
      <c r="E836" s="123">
        <v>0</v>
      </c>
      <c r="F836" s="678"/>
      <c r="G836" s="693"/>
      <c r="H836" s="669"/>
      <c r="I836" s="693"/>
      <c r="J836" s="693"/>
      <c r="K836" s="693"/>
      <c r="L836" s="693"/>
      <c r="M836" s="691"/>
      <c r="N836" s="691"/>
    </row>
    <row r="837" spans="1:14" s="699" customFormat="1" ht="27" hidden="1">
      <c r="A837" s="24">
        <v>7</v>
      </c>
      <c r="B837" s="158"/>
      <c r="C837" s="26" t="s">
        <v>1182</v>
      </c>
      <c r="D837" s="158" t="s">
        <v>122</v>
      </c>
      <c r="E837" s="123">
        <v>0</v>
      </c>
      <c r="F837" s="678"/>
      <c r="G837" s="693"/>
      <c r="H837" s="669"/>
      <c r="I837" s="693"/>
      <c r="J837" s="693"/>
      <c r="K837" s="693"/>
      <c r="L837" s="693"/>
      <c r="M837" s="691"/>
      <c r="N837" s="691"/>
    </row>
    <row r="838" spans="1:14" s="722" customFormat="1" hidden="1">
      <c r="A838" s="24">
        <v>8</v>
      </c>
      <c r="B838" s="158"/>
      <c r="C838" s="26" t="s">
        <v>1183</v>
      </c>
      <c r="D838" s="158" t="s">
        <v>876</v>
      </c>
      <c r="E838" s="123">
        <v>0</v>
      </c>
      <c r="F838" s="669"/>
      <c r="G838" s="693"/>
      <c r="H838" s="678"/>
      <c r="I838" s="693"/>
      <c r="J838" s="693"/>
      <c r="K838" s="693"/>
      <c r="L838" s="693"/>
      <c r="M838" s="691"/>
      <c r="N838" s="691"/>
    </row>
    <row r="839" spans="1:14" s="722" customFormat="1" hidden="1">
      <c r="A839" s="775"/>
      <c r="B839" s="776"/>
      <c r="C839" s="30" t="s">
        <v>359</v>
      </c>
      <c r="D839" s="274"/>
      <c r="E839" s="704"/>
      <c r="F839" s="707"/>
      <c r="G839" s="707"/>
      <c r="H839" s="703"/>
      <c r="I839" s="707"/>
      <c r="J839" s="707"/>
      <c r="K839" s="707"/>
      <c r="L839" s="707"/>
      <c r="M839" s="691"/>
      <c r="N839" s="691"/>
    </row>
    <row r="840" spans="1:14" s="699" customFormat="1" hidden="1">
      <c r="A840" s="277"/>
      <c r="B840" s="274"/>
      <c r="C840" s="109" t="s">
        <v>1184</v>
      </c>
      <c r="D840" s="303" t="s">
        <v>457</v>
      </c>
      <c r="E840" s="704">
        <v>75</v>
      </c>
      <c r="F840" s="723"/>
      <c r="G840" s="705"/>
      <c r="H840" s="703"/>
      <c r="I840" s="705"/>
      <c r="J840" s="705"/>
      <c r="K840" s="705"/>
      <c r="L840" s="707"/>
      <c r="M840" s="691"/>
      <c r="N840" s="691"/>
    </row>
    <row r="841" spans="1:14" s="699" customFormat="1" hidden="1">
      <c r="A841" s="277"/>
      <c r="B841" s="274"/>
      <c r="C841" s="30" t="s">
        <v>359</v>
      </c>
      <c r="D841" s="274"/>
      <c r="E841" s="704"/>
      <c r="F841" s="723"/>
      <c r="G841" s="707"/>
      <c r="H841" s="707"/>
      <c r="I841" s="707"/>
      <c r="J841" s="707"/>
      <c r="K841" s="707"/>
      <c r="L841" s="707"/>
      <c r="M841" s="691"/>
      <c r="N841" s="691"/>
    </row>
    <row r="842" spans="1:14" s="699" customFormat="1" hidden="1">
      <c r="A842" s="277"/>
      <c r="B842" s="274"/>
      <c r="C842" s="110" t="s">
        <v>1157</v>
      </c>
      <c r="D842" s="281" t="s">
        <v>457</v>
      </c>
      <c r="E842" s="1050">
        <v>8</v>
      </c>
      <c r="F842" s="723"/>
      <c r="G842" s="707"/>
      <c r="H842" s="707"/>
      <c r="I842" s="707"/>
      <c r="J842" s="707"/>
      <c r="K842" s="707"/>
      <c r="L842" s="707"/>
      <c r="M842" s="691"/>
      <c r="N842" s="691"/>
    </row>
    <row r="843" spans="1:14" s="699" customFormat="1" hidden="1">
      <c r="A843" s="277"/>
      <c r="B843" s="274"/>
      <c r="C843" s="170" t="s">
        <v>1615</v>
      </c>
      <c r="D843" s="277"/>
      <c r="E843" s="724"/>
      <c r="F843" s="723"/>
      <c r="G843" s="707"/>
      <c r="H843" s="707"/>
      <c r="I843" s="707"/>
      <c r="J843" s="707"/>
      <c r="K843" s="707"/>
      <c r="L843" s="707"/>
      <c r="M843" s="691"/>
      <c r="N843" s="691"/>
    </row>
    <row r="844" spans="1:14" s="699" customFormat="1" hidden="1">
      <c r="A844" s="277"/>
      <c r="B844" s="274"/>
      <c r="C844" s="39" t="s">
        <v>1827</v>
      </c>
      <c r="D844" s="277"/>
      <c r="E844" s="724"/>
      <c r="F844" s="723"/>
      <c r="G844" s="707"/>
      <c r="H844" s="707"/>
      <c r="I844" s="707"/>
      <c r="J844" s="707"/>
      <c r="K844" s="707"/>
      <c r="L844" s="707"/>
      <c r="M844" s="691"/>
      <c r="N844" s="691"/>
    </row>
    <row r="845" spans="1:14" s="699" customFormat="1" hidden="1">
      <c r="A845" s="277"/>
      <c r="B845" s="274"/>
      <c r="C845" s="948" t="s">
        <v>1722</v>
      </c>
      <c r="D845" s="931"/>
      <c r="E845" s="1054" t="s">
        <v>1728</v>
      </c>
      <c r="F845" s="723"/>
      <c r="G845" s="707"/>
      <c r="H845" s="707"/>
      <c r="I845" s="707"/>
      <c r="J845" s="707"/>
      <c r="K845" s="707"/>
      <c r="L845" s="707"/>
      <c r="M845" s="691"/>
      <c r="N845" s="691"/>
    </row>
    <row r="846" spans="1:14" s="699" customFormat="1" ht="27" hidden="1">
      <c r="A846" s="24">
        <v>1</v>
      </c>
      <c r="B846" s="274"/>
      <c r="C846" s="932" t="s">
        <v>1132</v>
      </c>
      <c r="D846" s="933" t="s">
        <v>437</v>
      </c>
      <c r="E846" s="327">
        <f>261*E845</f>
        <v>0</v>
      </c>
      <c r="F846" s="723"/>
      <c r="G846" s="707"/>
      <c r="H846" s="707"/>
      <c r="I846" s="707"/>
      <c r="J846" s="707"/>
      <c r="K846" s="707"/>
      <c r="L846" s="707"/>
      <c r="M846" s="691"/>
      <c r="N846" s="691"/>
    </row>
    <row r="847" spans="1:14" s="699" customFormat="1" hidden="1">
      <c r="A847" s="24">
        <v>2</v>
      </c>
      <c r="B847" s="274"/>
      <c r="C847" s="937" t="s">
        <v>1616</v>
      </c>
      <c r="D847" s="935" t="s">
        <v>114</v>
      </c>
      <c r="E847" s="327">
        <f>495.9*E845</f>
        <v>0</v>
      </c>
      <c r="F847" s="723"/>
      <c r="G847" s="707"/>
      <c r="H847" s="707"/>
      <c r="I847" s="707"/>
      <c r="J847" s="707"/>
      <c r="K847" s="707"/>
      <c r="L847" s="707"/>
      <c r="M847" s="691"/>
      <c r="N847" s="691"/>
    </row>
    <row r="848" spans="1:14" s="699" customFormat="1" hidden="1">
      <c r="A848" s="24">
        <v>3</v>
      </c>
      <c r="B848" s="274"/>
      <c r="C848" s="937" t="s">
        <v>1133</v>
      </c>
      <c r="D848" s="933" t="s">
        <v>437</v>
      </c>
      <c r="E848" s="327">
        <f>261*E845</f>
        <v>0</v>
      </c>
      <c r="F848" s="723"/>
      <c r="G848" s="707"/>
      <c r="H848" s="707"/>
      <c r="I848" s="707"/>
      <c r="J848" s="707"/>
      <c r="K848" s="707"/>
      <c r="L848" s="707"/>
      <c r="M848" s="691"/>
      <c r="N848" s="691"/>
    </row>
    <row r="849" spans="1:14" s="699" customFormat="1" hidden="1">
      <c r="A849" s="24">
        <v>4</v>
      </c>
      <c r="B849" s="274"/>
      <c r="C849" s="937" t="s">
        <v>1701</v>
      </c>
      <c r="D849" s="933" t="s">
        <v>112</v>
      </c>
      <c r="E849" s="327">
        <f>450*E845</f>
        <v>0</v>
      </c>
      <c r="F849" s="723"/>
      <c r="G849" s="707"/>
      <c r="H849" s="707"/>
      <c r="I849" s="707"/>
      <c r="J849" s="707"/>
      <c r="K849" s="707"/>
      <c r="L849" s="707"/>
      <c r="M849" s="691"/>
      <c r="N849" s="691"/>
    </row>
    <row r="850" spans="1:14" s="699" customFormat="1" hidden="1">
      <c r="A850" s="24">
        <v>5</v>
      </c>
      <c r="B850" s="274"/>
      <c r="C850" s="1046" t="s">
        <v>1702</v>
      </c>
      <c r="D850" s="933" t="s">
        <v>437</v>
      </c>
      <c r="E850" s="327">
        <f>112.5*E845</f>
        <v>0</v>
      </c>
      <c r="F850" s="723"/>
      <c r="G850" s="707"/>
      <c r="H850" s="707"/>
      <c r="I850" s="707"/>
      <c r="J850" s="707"/>
      <c r="K850" s="707"/>
      <c r="L850" s="707"/>
      <c r="M850" s="691"/>
      <c r="N850" s="691"/>
    </row>
    <row r="851" spans="1:14" s="699" customFormat="1" ht="27" hidden="1">
      <c r="A851" s="24">
        <v>6</v>
      </c>
      <c r="B851" s="274"/>
      <c r="C851" s="1047" t="s">
        <v>1703</v>
      </c>
      <c r="D851" s="933" t="s">
        <v>112</v>
      </c>
      <c r="E851" s="134">
        <f>450*E845</f>
        <v>0</v>
      </c>
      <c r="F851" s="723"/>
      <c r="G851" s="707"/>
      <c r="H851" s="707"/>
      <c r="I851" s="707"/>
      <c r="J851" s="707"/>
      <c r="K851" s="707"/>
      <c r="L851" s="707"/>
      <c r="M851" s="691"/>
      <c r="N851" s="691"/>
    </row>
    <row r="852" spans="1:14" s="699" customFormat="1" ht="15.75" hidden="1">
      <c r="A852" s="24">
        <v>7</v>
      </c>
      <c r="B852" s="274"/>
      <c r="C852" s="936" t="s">
        <v>1742</v>
      </c>
      <c r="D852" s="933" t="s">
        <v>437</v>
      </c>
      <c r="E852" s="1068">
        <f>21.9*E845</f>
        <v>0</v>
      </c>
      <c r="F852" s="723"/>
      <c r="G852" s="707"/>
      <c r="H852" s="707"/>
      <c r="I852" s="707"/>
      <c r="J852" s="707"/>
      <c r="K852" s="707"/>
      <c r="L852" s="707"/>
      <c r="M852" s="691"/>
      <c r="N852" s="691"/>
    </row>
    <row r="853" spans="1:14" s="699" customFormat="1" hidden="1">
      <c r="A853" s="24"/>
      <c r="B853" s="274"/>
      <c r="C853" s="938" t="s">
        <v>1618</v>
      </c>
      <c r="D853" s="935" t="s">
        <v>114</v>
      </c>
      <c r="E853" s="134">
        <f>0.336*E845</f>
        <v>0</v>
      </c>
      <c r="F853" s="723"/>
      <c r="G853" s="707"/>
      <c r="H853" s="707"/>
      <c r="I853" s="707"/>
      <c r="J853" s="707"/>
      <c r="K853" s="707"/>
      <c r="L853" s="707"/>
      <c r="M853" s="691"/>
      <c r="N853" s="691"/>
    </row>
    <row r="854" spans="1:14" s="699" customFormat="1" ht="40.5" hidden="1">
      <c r="A854" s="24">
        <v>8</v>
      </c>
      <c r="B854" s="274"/>
      <c r="C854" s="936" t="s">
        <v>1745</v>
      </c>
      <c r="D854" s="933" t="s">
        <v>112</v>
      </c>
      <c r="E854" s="327">
        <f>450*E845</f>
        <v>0</v>
      </c>
      <c r="F854" s="723"/>
      <c r="G854" s="707"/>
      <c r="H854" s="707"/>
      <c r="I854" s="707"/>
      <c r="J854" s="707"/>
      <c r="K854" s="707"/>
      <c r="L854" s="707"/>
      <c r="M854" s="691"/>
      <c r="N854" s="691"/>
    </row>
    <row r="855" spans="1:14" s="699" customFormat="1" ht="94.5" hidden="1">
      <c r="A855" s="24">
        <v>9</v>
      </c>
      <c r="B855" s="274"/>
      <c r="C855" s="936" t="s">
        <v>1746</v>
      </c>
      <c r="D855" s="933" t="s">
        <v>114</v>
      </c>
      <c r="E855" s="1091">
        <f>1.784*E845</f>
        <v>0</v>
      </c>
      <c r="F855" s="723"/>
      <c r="G855" s="707"/>
      <c r="H855" s="707"/>
      <c r="I855" s="707"/>
      <c r="J855" s="707"/>
      <c r="K855" s="707"/>
      <c r="L855" s="707"/>
      <c r="M855" s="691"/>
      <c r="N855" s="691"/>
    </row>
    <row r="856" spans="1:14" s="699" customFormat="1" hidden="1">
      <c r="A856" s="24">
        <v>10</v>
      </c>
      <c r="B856" s="274"/>
      <c r="C856" s="937" t="s">
        <v>1617</v>
      </c>
      <c r="D856" s="935" t="s">
        <v>114</v>
      </c>
      <c r="E856" s="134">
        <f>0.06*E845</f>
        <v>0</v>
      </c>
      <c r="F856" s="723"/>
      <c r="G856" s="707"/>
      <c r="H856" s="707"/>
      <c r="I856" s="707"/>
      <c r="J856" s="707"/>
      <c r="K856" s="707"/>
      <c r="L856" s="707"/>
      <c r="M856" s="691"/>
      <c r="N856" s="691"/>
    </row>
    <row r="857" spans="1:14" s="699" customFormat="1" ht="40.5" hidden="1">
      <c r="A857" s="24"/>
      <c r="B857" s="274"/>
      <c r="C857" s="1094" t="s">
        <v>1744</v>
      </c>
      <c r="D857" s="933"/>
      <c r="E857" s="327"/>
      <c r="F857" s="723"/>
      <c r="G857" s="707"/>
      <c r="H857" s="707"/>
      <c r="I857" s="707"/>
      <c r="J857" s="707"/>
      <c r="K857" s="707"/>
      <c r="L857" s="707"/>
      <c r="M857" s="691"/>
      <c r="N857" s="691"/>
    </row>
    <row r="858" spans="1:14" s="699" customFormat="1" ht="40.5" hidden="1">
      <c r="A858" s="24">
        <v>11</v>
      </c>
      <c r="B858" s="274"/>
      <c r="C858" s="1093" t="s">
        <v>1748</v>
      </c>
      <c r="D858" s="933" t="s">
        <v>112</v>
      </c>
      <c r="E858" s="1092">
        <f>385*E845</f>
        <v>0</v>
      </c>
      <c r="F858" s="723"/>
      <c r="G858" s="707"/>
      <c r="H858" s="707"/>
      <c r="I858" s="707"/>
      <c r="J858" s="707"/>
      <c r="K858" s="707"/>
      <c r="L858" s="707"/>
      <c r="M858" s="691"/>
      <c r="N858" s="691"/>
    </row>
    <row r="859" spans="1:14" s="699" customFormat="1" ht="27" hidden="1">
      <c r="A859" s="24">
        <v>12</v>
      </c>
      <c r="B859" s="274"/>
      <c r="C859" s="1093" t="s">
        <v>1743</v>
      </c>
      <c r="D859" s="933" t="s">
        <v>122</v>
      </c>
      <c r="E859" s="1092">
        <f>450*E845</f>
        <v>0</v>
      </c>
      <c r="F859" s="723"/>
      <c r="G859" s="707"/>
      <c r="H859" s="707"/>
      <c r="I859" s="707"/>
      <c r="J859" s="707"/>
      <c r="K859" s="707"/>
      <c r="L859" s="707"/>
      <c r="M859" s="691"/>
      <c r="N859" s="691"/>
    </row>
    <row r="860" spans="1:14" s="699" customFormat="1" hidden="1">
      <c r="A860" s="24">
        <v>13</v>
      </c>
      <c r="B860" s="274"/>
      <c r="C860" s="990" t="s">
        <v>1723</v>
      </c>
      <c r="D860" s="933" t="s">
        <v>122</v>
      </c>
      <c r="E860" s="327">
        <f>180*E845</f>
        <v>0</v>
      </c>
      <c r="F860" s="723"/>
      <c r="G860" s="707"/>
      <c r="H860" s="707"/>
      <c r="I860" s="707"/>
      <c r="J860" s="707"/>
      <c r="K860" s="707"/>
      <c r="L860" s="707"/>
      <c r="M860" s="691"/>
      <c r="N860" s="691"/>
    </row>
    <row r="861" spans="1:14" s="699" customFormat="1" ht="27" hidden="1">
      <c r="A861" s="24">
        <v>14</v>
      </c>
      <c r="B861" s="274"/>
      <c r="C861" s="936" t="s">
        <v>1619</v>
      </c>
      <c r="D861" s="933" t="s">
        <v>112</v>
      </c>
      <c r="E861" s="327">
        <f>450*E845</f>
        <v>0</v>
      </c>
      <c r="F861" s="723"/>
      <c r="G861" s="707"/>
      <c r="H861" s="707"/>
      <c r="I861" s="707"/>
      <c r="J861" s="707"/>
      <c r="K861" s="707"/>
      <c r="L861" s="707"/>
      <c r="M861" s="691"/>
      <c r="N861" s="691"/>
    </row>
    <row r="862" spans="1:14" s="699" customFormat="1" ht="27" hidden="1">
      <c r="A862" s="24">
        <v>15</v>
      </c>
      <c r="B862" s="274"/>
      <c r="C862" s="936" t="s">
        <v>1620</v>
      </c>
      <c r="D862" s="933" t="s">
        <v>112</v>
      </c>
      <c r="E862" s="327">
        <f>126*E845</f>
        <v>0</v>
      </c>
      <c r="F862" s="723"/>
      <c r="G862" s="707"/>
      <c r="H862" s="707"/>
      <c r="I862" s="707"/>
      <c r="J862" s="707"/>
      <c r="K862" s="707"/>
      <c r="L862" s="707"/>
      <c r="M862" s="691"/>
      <c r="N862" s="691"/>
    </row>
    <row r="863" spans="1:14" s="699" customFormat="1" hidden="1">
      <c r="A863" s="24">
        <v>16</v>
      </c>
      <c r="B863" s="274"/>
      <c r="C863" s="934" t="s">
        <v>1621</v>
      </c>
      <c r="D863" s="935" t="s">
        <v>437</v>
      </c>
      <c r="E863" s="134">
        <f>6.75*E845</f>
        <v>0</v>
      </c>
      <c r="F863" s="723"/>
      <c r="G863" s="707"/>
      <c r="H863" s="707"/>
      <c r="I863" s="707"/>
      <c r="J863" s="707"/>
      <c r="K863" s="707"/>
      <c r="L863" s="707"/>
      <c r="M863" s="691"/>
      <c r="N863" s="691"/>
    </row>
    <row r="864" spans="1:14" s="699" customFormat="1" hidden="1">
      <c r="A864" s="24">
        <v>17</v>
      </c>
      <c r="B864" s="274"/>
      <c r="C864" s="936" t="s">
        <v>1626</v>
      </c>
      <c r="D864" s="933" t="s">
        <v>113</v>
      </c>
      <c r="E864" s="134">
        <f>2*E845</f>
        <v>0</v>
      </c>
      <c r="F864" s="723"/>
      <c r="G864" s="707"/>
      <c r="H864" s="707"/>
      <c r="I864" s="707"/>
      <c r="J864" s="707"/>
      <c r="K864" s="707"/>
      <c r="L864" s="707"/>
      <c r="M864" s="691"/>
      <c r="N864" s="691"/>
    </row>
    <row r="865" spans="1:14" s="699" customFormat="1" hidden="1">
      <c r="A865" s="24">
        <v>18</v>
      </c>
      <c r="B865" s="274"/>
      <c r="C865" s="936" t="s">
        <v>1622</v>
      </c>
      <c r="D865" s="933" t="s">
        <v>113</v>
      </c>
      <c r="E865" s="134">
        <f>2*E845</f>
        <v>0</v>
      </c>
      <c r="F865" s="723"/>
      <c r="G865" s="707"/>
      <c r="H865" s="707"/>
      <c r="I865" s="707"/>
      <c r="J865" s="707"/>
      <c r="K865" s="707"/>
      <c r="L865" s="707"/>
      <c r="M865" s="691"/>
      <c r="N865" s="691"/>
    </row>
    <row r="866" spans="1:14" s="699" customFormat="1" hidden="1">
      <c r="A866" s="24"/>
      <c r="B866" s="274"/>
      <c r="C866" s="940" t="s">
        <v>110</v>
      </c>
      <c r="D866" s="941"/>
      <c r="E866" s="1052"/>
      <c r="F866" s="723"/>
      <c r="G866" s="707"/>
      <c r="H866" s="707"/>
      <c r="I866" s="707"/>
      <c r="J866" s="707"/>
      <c r="K866" s="707"/>
      <c r="L866" s="707"/>
      <c r="M866" s="691"/>
      <c r="N866" s="691"/>
    </row>
    <row r="867" spans="1:14" s="699" customFormat="1" hidden="1">
      <c r="A867" s="24"/>
      <c r="B867" s="274"/>
      <c r="C867" s="942" t="s">
        <v>554</v>
      </c>
      <c r="D867" s="943">
        <v>0.1</v>
      </c>
      <c r="E867" s="1053"/>
      <c r="F867" s="723"/>
      <c r="G867" s="707"/>
      <c r="H867" s="707"/>
      <c r="I867" s="707"/>
      <c r="J867" s="707"/>
      <c r="K867" s="707"/>
      <c r="L867" s="707"/>
      <c r="M867" s="691"/>
      <c r="N867" s="691"/>
    </row>
    <row r="868" spans="1:14" s="699" customFormat="1" hidden="1">
      <c r="A868" s="24"/>
      <c r="B868" s="274"/>
      <c r="C868" s="940" t="s">
        <v>110</v>
      </c>
      <c r="D868" s="944"/>
      <c r="E868" s="1052"/>
      <c r="F868" s="723"/>
      <c r="G868" s="707"/>
      <c r="H868" s="707"/>
      <c r="I868" s="707"/>
      <c r="J868" s="707"/>
      <c r="K868" s="707"/>
      <c r="L868" s="707"/>
      <c r="M868" s="691"/>
      <c r="N868" s="691"/>
    </row>
    <row r="869" spans="1:14" s="699" customFormat="1" hidden="1">
      <c r="A869" s="24"/>
      <c r="B869" s="274"/>
      <c r="C869" s="945" t="s">
        <v>1623</v>
      </c>
      <c r="D869" s="946">
        <v>0.08</v>
      </c>
      <c r="E869" s="1052"/>
      <c r="F869" s="723"/>
      <c r="G869" s="707"/>
      <c r="H869" s="707"/>
      <c r="I869" s="707"/>
      <c r="J869" s="707"/>
      <c r="K869" s="707"/>
      <c r="L869" s="707"/>
      <c r="M869" s="691"/>
      <c r="N869" s="691"/>
    </row>
    <row r="870" spans="1:14" s="699" customFormat="1" hidden="1">
      <c r="A870" s="24"/>
      <c r="B870" s="274"/>
      <c r="C870" s="940" t="s">
        <v>1625</v>
      </c>
      <c r="D870" s="941"/>
      <c r="E870" s="1052"/>
      <c r="F870" s="723"/>
      <c r="G870" s="707"/>
      <c r="H870" s="707"/>
      <c r="I870" s="707"/>
      <c r="J870" s="707"/>
      <c r="K870" s="707"/>
      <c r="L870" s="707"/>
      <c r="M870" s="691"/>
      <c r="N870" s="691"/>
    </row>
    <row r="871" spans="1:14" s="699" customFormat="1" hidden="1">
      <c r="A871" s="277"/>
      <c r="B871" s="274"/>
      <c r="C871" s="948" t="s">
        <v>1755</v>
      </c>
      <c r="D871" s="931"/>
      <c r="E871" s="1054"/>
      <c r="F871" s="723"/>
      <c r="G871" s="707"/>
      <c r="H871" s="707"/>
      <c r="I871" s="707"/>
      <c r="J871" s="707"/>
      <c r="K871" s="707"/>
      <c r="L871" s="707"/>
      <c r="M871" s="691"/>
      <c r="N871" s="691"/>
    </row>
    <row r="872" spans="1:14" s="699" customFormat="1" ht="27" hidden="1">
      <c r="A872" s="24">
        <v>1</v>
      </c>
      <c r="B872" s="274"/>
      <c r="C872" s="932" t="s">
        <v>1132</v>
      </c>
      <c r="D872" s="933" t="s">
        <v>437</v>
      </c>
      <c r="E872" s="327">
        <f>154*E871</f>
        <v>0</v>
      </c>
      <c r="F872" s="723"/>
      <c r="G872" s="707"/>
      <c r="H872" s="707"/>
      <c r="I872" s="707"/>
      <c r="J872" s="707"/>
      <c r="K872" s="707"/>
      <c r="L872" s="707"/>
      <c r="M872" s="691"/>
      <c r="N872" s="691"/>
    </row>
    <row r="873" spans="1:14" s="699" customFormat="1" hidden="1">
      <c r="A873" s="24">
        <v>2</v>
      </c>
      <c r="B873" s="274"/>
      <c r="C873" s="937" t="s">
        <v>1616</v>
      </c>
      <c r="D873" s="935" t="s">
        <v>114</v>
      </c>
      <c r="E873" s="327">
        <f>292.6*E871</f>
        <v>0</v>
      </c>
      <c r="F873" s="723"/>
      <c r="G873" s="707"/>
      <c r="H873" s="707"/>
      <c r="I873" s="707"/>
      <c r="J873" s="707"/>
      <c r="K873" s="707"/>
      <c r="L873" s="707"/>
      <c r="M873" s="691"/>
      <c r="N873" s="691"/>
    </row>
    <row r="874" spans="1:14" s="699" customFormat="1" hidden="1">
      <c r="A874" s="24">
        <v>3</v>
      </c>
      <c r="B874" s="274"/>
      <c r="C874" s="937" t="s">
        <v>1133</v>
      </c>
      <c r="D874" s="933" t="s">
        <v>437</v>
      </c>
      <c r="E874" s="327">
        <f>154*E871</f>
        <v>0</v>
      </c>
      <c r="F874" s="723"/>
      <c r="G874" s="707"/>
      <c r="H874" s="707"/>
      <c r="I874" s="707"/>
      <c r="J874" s="707"/>
      <c r="K874" s="707"/>
      <c r="L874" s="707"/>
      <c r="M874" s="691"/>
      <c r="N874" s="691"/>
    </row>
    <row r="875" spans="1:14" s="699" customFormat="1" hidden="1">
      <c r="A875" s="24">
        <v>4</v>
      </c>
      <c r="B875" s="274"/>
      <c r="C875" s="937" t="s">
        <v>1701</v>
      </c>
      <c r="D875" s="933" t="s">
        <v>112</v>
      </c>
      <c r="E875" s="327">
        <f>288*E871</f>
        <v>0</v>
      </c>
      <c r="F875" s="723"/>
      <c r="G875" s="707"/>
      <c r="H875" s="707"/>
      <c r="I875" s="707"/>
      <c r="J875" s="707"/>
      <c r="K875" s="707"/>
      <c r="L875" s="707"/>
      <c r="M875" s="691"/>
      <c r="N875" s="691"/>
    </row>
    <row r="876" spans="1:14" s="699" customFormat="1" hidden="1">
      <c r="A876" s="24">
        <v>5</v>
      </c>
      <c r="B876" s="274"/>
      <c r="C876" s="1046" t="s">
        <v>1702</v>
      </c>
      <c r="D876" s="933" t="s">
        <v>437</v>
      </c>
      <c r="E876" s="327">
        <f>72*E871</f>
        <v>0</v>
      </c>
      <c r="F876" s="723"/>
      <c r="G876" s="707"/>
      <c r="H876" s="707"/>
      <c r="I876" s="707"/>
      <c r="J876" s="707"/>
      <c r="K876" s="707"/>
      <c r="L876" s="707"/>
      <c r="M876" s="691"/>
      <c r="N876" s="691"/>
    </row>
    <row r="877" spans="1:14" s="699" customFormat="1" ht="27" hidden="1">
      <c r="A877" s="24">
        <v>6</v>
      </c>
      <c r="B877" s="274"/>
      <c r="C877" s="1047" t="s">
        <v>1703</v>
      </c>
      <c r="D877" s="933" t="s">
        <v>112</v>
      </c>
      <c r="E877" s="134">
        <f>43.2/0.15*E871</f>
        <v>0</v>
      </c>
      <c r="F877" s="723"/>
      <c r="G877" s="707"/>
      <c r="H877" s="707"/>
      <c r="I877" s="707"/>
      <c r="J877" s="707"/>
      <c r="K877" s="707"/>
      <c r="L877" s="707"/>
      <c r="M877" s="691"/>
      <c r="N877" s="691"/>
    </row>
    <row r="878" spans="1:14" s="699" customFormat="1" hidden="1">
      <c r="A878" s="24">
        <v>7</v>
      </c>
      <c r="B878" s="274"/>
      <c r="C878" s="936" t="s">
        <v>1749</v>
      </c>
      <c r="D878" s="933" t="s">
        <v>437</v>
      </c>
      <c r="E878" s="327">
        <f>16.3*E871</f>
        <v>0</v>
      </c>
      <c r="F878" s="723"/>
      <c r="G878" s="707"/>
      <c r="H878" s="707"/>
      <c r="I878" s="707"/>
      <c r="J878" s="707"/>
      <c r="K878" s="707"/>
      <c r="L878" s="707"/>
      <c r="M878" s="691"/>
      <c r="N878" s="691"/>
    </row>
    <row r="879" spans="1:14" s="699" customFormat="1" hidden="1">
      <c r="A879" s="24"/>
      <c r="B879" s="274"/>
      <c r="C879" s="938" t="s">
        <v>1618</v>
      </c>
      <c r="D879" s="935" t="s">
        <v>114</v>
      </c>
      <c r="E879" s="134">
        <f>0.266*E871</f>
        <v>0</v>
      </c>
      <c r="F879" s="723"/>
      <c r="G879" s="707"/>
      <c r="H879" s="707"/>
      <c r="I879" s="707"/>
      <c r="J879" s="707"/>
      <c r="K879" s="707"/>
      <c r="L879" s="707"/>
      <c r="M879" s="691"/>
      <c r="N879" s="691"/>
    </row>
    <row r="880" spans="1:14" s="699" customFormat="1" ht="40.5" hidden="1">
      <c r="A880" s="24">
        <v>8</v>
      </c>
      <c r="B880" s="274"/>
      <c r="C880" s="936" t="s">
        <v>1750</v>
      </c>
      <c r="D880" s="933" t="s">
        <v>112</v>
      </c>
      <c r="E880" s="327">
        <f>288*E871</f>
        <v>0</v>
      </c>
      <c r="F880" s="723"/>
      <c r="G880" s="707"/>
      <c r="H880" s="707"/>
      <c r="I880" s="707"/>
      <c r="J880" s="707"/>
      <c r="K880" s="707"/>
      <c r="L880" s="707"/>
      <c r="M880" s="691"/>
      <c r="N880" s="691"/>
    </row>
    <row r="881" spans="1:14" s="699" customFormat="1" ht="94.5" hidden="1">
      <c r="A881" s="24">
        <v>9</v>
      </c>
      <c r="B881" s="274"/>
      <c r="C881" s="936" t="s">
        <v>1752</v>
      </c>
      <c r="D881" s="933" t="s">
        <v>114</v>
      </c>
      <c r="E881" s="1091">
        <f>1.519*E871</f>
        <v>0</v>
      </c>
      <c r="F881" s="723"/>
      <c r="G881" s="707"/>
      <c r="H881" s="707"/>
      <c r="I881" s="707"/>
      <c r="J881" s="707"/>
      <c r="K881" s="707"/>
      <c r="L881" s="707"/>
      <c r="M881" s="691"/>
      <c r="N881" s="691"/>
    </row>
    <row r="882" spans="1:14" s="699" customFormat="1" hidden="1">
      <c r="A882" s="24">
        <v>10</v>
      </c>
      <c r="B882" s="274"/>
      <c r="C882" s="937" t="s">
        <v>1617</v>
      </c>
      <c r="D882" s="935" t="s">
        <v>114</v>
      </c>
      <c r="E882" s="134">
        <f>0.06*E871</f>
        <v>0</v>
      </c>
      <c r="F882" s="723"/>
      <c r="G882" s="707"/>
      <c r="H882" s="707"/>
      <c r="I882" s="707"/>
      <c r="J882" s="707"/>
      <c r="K882" s="707"/>
      <c r="L882" s="707"/>
      <c r="M882" s="691"/>
      <c r="N882" s="691"/>
    </row>
    <row r="883" spans="1:14" s="699" customFormat="1" ht="40.5" hidden="1">
      <c r="A883" s="24"/>
      <c r="B883" s="274"/>
      <c r="C883" s="1094" t="s">
        <v>1744</v>
      </c>
      <c r="D883" s="933"/>
      <c r="E883" s="327"/>
      <c r="F883" s="723"/>
      <c r="G883" s="707"/>
      <c r="H883" s="707"/>
      <c r="I883" s="707"/>
      <c r="J883" s="707"/>
      <c r="K883" s="707"/>
      <c r="L883" s="707"/>
      <c r="M883" s="691"/>
      <c r="N883" s="691"/>
    </row>
    <row r="884" spans="1:14" s="699" customFormat="1" ht="40.5" hidden="1">
      <c r="A884" s="24">
        <v>11</v>
      </c>
      <c r="B884" s="274"/>
      <c r="C884" s="1093" t="s">
        <v>1748</v>
      </c>
      <c r="D884" s="933" t="s">
        <v>112</v>
      </c>
      <c r="E884" s="327">
        <f>290*E871</f>
        <v>0</v>
      </c>
      <c r="F884" s="723"/>
      <c r="G884" s="707"/>
      <c r="H884" s="707"/>
      <c r="I884" s="707"/>
      <c r="J884" s="707"/>
      <c r="K884" s="707"/>
      <c r="L884" s="707"/>
      <c r="M884" s="691"/>
      <c r="N884" s="691"/>
    </row>
    <row r="885" spans="1:14" s="699" customFormat="1" ht="27" hidden="1">
      <c r="A885" s="24">
        <v>12</v>
      </c>
      <c r="B885" s="274"/>
      <c r="C885" s="1093" t="s">
        <v>1743</v>
      </c>
      <c r="D885" s="933" t="s">
        <v>122</v>
      </c>
      <c r="E885" s="327">
        <f>360*E871</f>
        <v>0</v>
      </c>
      <c r="F885" s="723"/>
      <c r="G885" s="707"/>
      <c r="H885" s="707"/>
      <c r="I885" s="707"/>
      <c r="J885" s="707"/>
      <c r="K885" s="707"/>
      <c r="L885" s="707"/>
      <c r="M885" s="691"/>
      <c r="N885" s="691"/>
    </row>
    <row r="886" spans="1:14" s="699" customFormat="1" hidden="1">
      <c r="A886" s="24">
        <v>13</v>
      </c>
      <c r="B886" s="274"/>
      <c r="C886" s="990" t="s">
        <v>1751</v>
      </c>
      <c r="D886" s="933" t="s">
        <v>122</v>
      </c>
      <c r="E886" s="327">
        <f>144*E871</f>
        <v>0</v>
      </c>
      <c r="F886" s="723"/>
      <c r="G886" s="707"/>
      <c r="H886" s="707"/>
      <c r="I886" s="707"/>
      <c r="J886" s="707"/>
      <c r="K886" s="707"/>
      <c r="L886" s="707"/>
      <c r="M886" s="691"/>
      <c r="N886" s="691"/>
    </row>
    <row r="887" spans="1:14" s="699" customFormat="1" ht="27" hidden="1">
      <c r="A887" s="24">
        <v>14</v>
      </c>
      <c r="B887" s="274"/>
      <c r="C887" s="936" t="s">
        <v>1619</v>
      </c>
      <c r="D887" s="933" t="s">
        <v>112</v>
      </c>
      <c r="E887" s="327">
        <f>288*E871</f>
        <v>0</v>
      </c>
      <c r="F887" s="723"/>
      <c r="G887" s="707"/>
      <c r="H887" s="707"/>
      <c r="I887" s="707"/>
      <c r="J887" s="707"/>
      <c r="K887" s="707"/>
      <c r="L887" s="707"/>
      <c r="M887" s="691"/>
      <c r="N887" s="691"/>
    </row>
    <row r="888" spans="1:14" s="699" customFormat="1" ht="27" hidden="1">
      <c r="A888" s="24">
        <v>15</v>
      </c>
      <c r="B888" s="274"/>
      <c r="C888" s="936" t="s">
        <v>1620</v>
      </c>
      <c r="D888" s="933" t="s">
        <v>112</v>
      </c>
      <c r="E888" s="327">
        <f>100*E871</f>
        <v>0</v>
      </c>
      <c r="F888" s="723"/>
      <c r="G888" s="707"/>
      <c r="H888" s="707"/>
      <c r="I888" s="707"/>
      <c r="J888" s="707"/>
      <c r="K888" s="707"/>
      <c r="L888" s="707"/>
      <c r="M888" s="691"/>
      <c r="N888" s="691"/>
    </row>
    <row r="889" spans="1:14" s="699" customFormat="1" hidden="1">
      <c r="A889" s="24">
        <v>16</v>
      </c>
      <c r="B889" s="274"/>
      <c r="C889" s="934" t="s">
        <v>1621</v>
      </c>
      <c r="D889" s="935" t="s">
        <v>437</v>
      </c>
      <c r="E889" s="134">
        <f>4.35*E871</f>
        <v>0</v>
      </c>
      <c r="F889" s="723"/>
      <c r="G889" s="707"/>
      <c r="H889" s="707"/>
      <c r="I889" s="707"/>
      <c r="J889" s="707"/>
      <c r="K889" s="707"/>
      <c r="L889" s="707"/>
      <c r="M889" s="691"/>
      <c r="N889" s="691"/>
    </row>
    <row r="890" spans="1:14" s="699" customFormat="1" hidden="1">
      <c r="A890" s="24">
        <v>17</v>
      </c>
      <c r="B890" s="274"/>
      <c r="C890" s="936" t="s">
        <v>1626</v>
      </c>
      <c r="D890" s="933" t="s">
        <v>113</v>
      </c>
      <c r="E890" s="134">
        <f>2*E871</f>
        <v>0</v>
      </c>
      <c r="F890" s="723"/>
      <c r="G890" s="707"/>
      <c r="H890" s="707"/>
      <c r="I890" s="707"/>
      <c r="J890" s="707"/>
      <c r="K890" s="707"/>
      <c r="L890" s="707"/>
      <c r="M890" s="691"/>
      <c r="N890" s="691"/>
    </row>
    <row r="891" spans="1:14" s="699" customFormat="1" hidden="1">
      <c r="A891" s="24">
        <v>18</v>
      </c>
      <c r="B891" s="274"/>
      <c r="C891" s="936" t="s">
        <v>1622</v>
      </c>
      <c r="D891" s="933" t="s">
        <v>113</v>
      </c>
      <c r="E891" s="134">
        <f>2*E871</f>
        <v>0</v>
      </c>
      <c r="F891" s="723"/>
      <c r="G891" s="707"/>
      <c r="H891" s="707"/>
      <c r="I891" s="707"/>
      <c r="J891" s="707"/>
      <c r="K891" s="707"/>
      <c r="L891" s="707"/>
      <c r="M891" s="691"/>
      <c r="N891" s="691"/>
    </row>
    <row r="892" spans="1:14" s="699" customFormat="1" hidden="1">
      <c r="A892" s="24"/>
      <c r="B892" s="274"/>
      <c r="C892" s="940" t="s">
        <v>110</v>
      </c>
      <c r="D892" s="941"/>
      <c r="E892" s="1052"/>
      <c r="F892" s="723"/>
      <c r="G892" s="707"/>
      <c r="H892" s="707"/>
      <c r="I892" s="707"/>
      <c r="J892" s="707"/>
      <c r="K892" s="707"/>
      <c r="L892" s="707"/>
      <c r="M892" s="691"/>
      <c r="N892" s="691"/>
    </row>
    <row r="893" spans="1:14" s="699" customFormat="1" hidden="1">
      <c r="A893" s="24"/>
      <c r="B893" s="274"/>
      <c r="C893" s="942" t="s">
        <v>554</v>
      </c>
      <c r="D893" s="943">
        <v>0.1</v>
      </c>
      <c r="E893" s="1053"/>
      <c r="F893" s="723"/>
      <c r="G893" s="707"/>
      <c r="H893" s="707"/>
      <c r="I893" s="707"/>
      <c r="J893" s="707"/>
      <c r="K893" s="707"/>
      <c r="L893" s="707"/>
      <c r="M893" s="691"/>
      <c r="N893" s="691"/>
    </row>
    <row r="894" spans="1:14" s="699" customFormat="1" hidden="1">
      <c r="A894" s="24"/>
      <c r="B894" s="274"/>
      <c r="C894" s="940" t="s">
        <v>110</v>
      </c>
      <c r="D894" s="944"/>
      <c r="E894" s="1052"/>
      <c r="F894" s="723"/>
      <c r="G894" s="707"/>
      <c r="H894" s="707"/>
      <c r="I894" s="707"/>
      <c r="J894" s="707"/>
      <c r="K894" s="707"/>
      <c r="L894" s="707"/>
      <c r="M894" s="691"/>
      <c r="N894" s="691"/>
    </row>
    <row r="895" spans="1:14" s="699" customFormat="1" hidden="1">
      <c r="A895" s="24"/>
      <c r="B895" s="274"/>
      <c r="C895" s="945" t="s">
        <v>1623</v>
      </c>
      <c r="D895" s="946">
        <v>0.08</v>
      </c>
      <c r="E895" s="1052"/>
      <c r="F895" s="723"/>
      <c r="G895" s="707"/>
      <c r="H895" s="707"/>
      <c r="I895" s="707"/>
      <c r="J895" s="707"/>
      <c r="K895" s="707"/>
      <c r="L895" s="707"/>
      <c r="M895" s="691"/>
      <c r="N895" s="691"/>
    </row>
    <row r="896" spans="1:14" s="699" customFormat="1" hidden="1">
      <c r="A896" s="24"/>
      <c r="B896" s="274"/>
      <c r="C896" s="940" t="s">
        <v>1754</v>
      </c>
      <c r="D896" s="941"/>
      <c r="E896" s="1052"/>
      <c r="F896" s="723"/>
      <c r="G896" s="707"/>
      <c r="H896" s="707"/>
      <c r="I896" s="707"/>
      <c r="J896" s="707"/>
      <c r="K896" s="707"/>
      <c r="L896" s="707"/>
      <c r="M896" s="691"/>
      <c r="N896" s="691"/>
    </row>
    <row r="897" spans="1:14" hidden="1">
      <c r="A897" s="197"/>
      <c r="B897" s="495"/>
      <c r="C897" s="586"/>
      <c r="D897" s="590"/>
      <c r="E897" s="157"/>
      <c r="F897" s="496"/>
      <c r="G897" s="496"/>
      <c r="H897" s="496"/>
      <c r="I897" s="496"/>
      <c r="J897" s="689"/>
      <c r="K897" s="496"/>
      <c r="L897" s="725"/>
      <c r="M897" s="496"/>
      <c r="N897" s="591"/>
    </row>
    <row r="898" spans="1:14">
      <c r="A898" s="1360"/>
      <c r="B898" s="321"/>
      <c r="C898" s="39" t="s">
        <v>1885</v>
      </c>
      <c r="D898" s="103"/>
      <c r="E898" s="685"/>
      <c r="F898" s="683"/>
      <c r="G898" s="683"/>
      <c r="H898" s="683"/>
      <c r="I898" s="683"/>
      <c r="J898" s="684"/>
      <c r="K898" s="683"/>
      <c r="L898" s="683"/>
      <c r="M898" s="326"/>
      <c r="N898" s="322"/>
    </row>
    <row r="899" spans="1:14">
      <c r="A899" s="1360"/>
      <c r="B899" s="321"/>
      <c r="C899" s="72" t="s">
        <v>428</v>
      </c>
      <c r="D899" s="320" t="s">
        <v>457</v>
      </c>
      <c r="E899" s="685">
        <v>5</v>
      </c>
      <c r="F899" s="683"/>
      <c r="G899" s="326"/>
      <c r="H899" s="326"/>
      <c r="I899" s="326"/>
      <c r="J899" s="659"/>
      <c r="K899" s="326"/>
      <c r="L899" s="326"/>
      <c r="M899" s="326"/>
      <c r="N899" s="322"/>
    </row>
    <row r="900" spans="1:14">
      <c r="A900" s="1360"/>
      <c r="B900" s="321"/>
      <c r="C900" s="170" t="s">
        <v>359</v>
      </c>
      <c r="D900" s="103"/>
      <c r="E900" s="685"/>
      <c r="F900" s="683"/>
      <c r="G900" s="326"/>
      <c r="H900" s="326"/>
      <c r="I900" s="326"/>
      <c r="J900" s="659"/>
      <c r="K900" s="326"/>
      <c r="L900" s="326"/>
      <c r="M900" s="326"/>
      <c r="N900" s="322"/>
    </row>
    <row r="901" spans="1:14">
      <c r="A901" s="1360"/>
      <c r="B901" s="321"/>
      <c r="C901" s="192" t="s">
        <v>7</v>
      </c>
      <c r="D901" s="320" t="s">
        <v>457</v>
      </c>
      <c r="E901" s="685">
        <v>5</v>
      </c>
      <c r="F901" s="683"/>
      <c r="G901" s="326"/>
      <c r="H901" s="326"/>
      <c r="I901" s="326"/>
      <c r="J901" s="659"/>
      <c r="K901" s="326"/>
      <c r="L901" s="326"/>
      <c r="M901" s="326"/>
      <c r="N901" s="322"/>
    </row>
    <row r="902" spans="1:14">
      <c r="A902" s="1360"/>
      <c r="B902" s="321"/>
      <c r="C902" s="170" t="s">
        <v>359</v>
      </c>
      <c r="D902" s="103"/>
      <c r="E902" s="1385"/>
      <c r="F902" s="683"/>
      <c r="G902" s="326"/>
      <c r="H902" s="326"/>
      <c r="I902" s="326"/>
      <c r="J902" s="659"/>
      <c r="K902" s="326"/>
      <c r="L902" s="326"/>
      <c r="M902" s="326"/>
      <c r="N902" s="322"/>
    </row>
    <row r="903" spans="1:14" ht="27" hidden="1">
      <c r="A903" s="325">
        <v>19</v>
      </c>
      <c r="B903" s="321"/>
      <c r="C903" s="936" t="s">
        <v>1664</v>
      </c>
      <c r="D903" s="933" t="s">
        <v>113</v>
      </c>
      <c r="E903" s="135">
        <f>2*E871</f>
        <v>0</v>
      </c>
      <c r="F903" s="683"/>
      <c r="G903" s="326"/>
      <c r="H903" s="326"/>
      <c r="I903" s="326"/>
      <c r="J903" s="659"/>
      <c r="K903" s="326"/>
      <c r="L903" s="326"/>
      <c r="M903" s="326" t="s">
        <v>862</v>
      </c>
      <c r="N903" s="322"/>
    </row>
    <row r="904" spans="1:14" hidden="1">
      <c r="A904" s="325">
        <v>20</v>
      </c>
      <c r="B904" s="321"/>
      <c r="C904" s="936" t="s">
        <v>1665</v>
      </c>
      <c r="D904" s="933" t="s">
        <v>113</v>
      </c>
      <c r="E904" s="135">
        <f>2*E871</f>
        <v>0</v>
      </c>
      <c r="F904" s="683"/>
      <c r="G904" s="326"/>
      <c r="H904" s="326"/>
      <c r="I904" s="326"/>
      <c r="J904" s="659"/>
      <c r="K904" s="326"/>
      <c r="L904" s="326"/>
      <c r="M904" s="326"/>
      <c r="N904" s="322"/>
    </row>
    <row r="905" spans="1:14" hidden="1">
      <c r="A905" s="321"/>
      <c r="B905" s="321"/>
      <c r="C905" s="193" t="s">
        <v>110</v>
      </c>
      <c r="D905" s="103"/>
      <c r="E905" s="157"/>
      <c r="F905" s="683"/>
      <c r="G905" s="326"/>
      <c r="H905" s="326"/>
      <c r="I905" s="326"/>
      <c r="J905" s="659"/>
      <c r="K905" s="326"/>
      <c r="L905" s="326"/>
      <c r="M905" s="326"/>
      <c r="N905" s="322"/>
    </row>
    <row r="906" spans="1:14">
      <c r="A906" s="1369"/>
      <c r="B906" s="321"/>
      <c r="C906" s="192" t="s">
        <v>8</v>
      </c>
      <c r="D906" s="320" t="s">
        <v>457</v>
      </c>
      <c r="E906" s="685">
        <v>18</v>
      </c>
      <c r="F906" s="683"/>
      <c r="G906" s="326"/>
      <c r="H906" s="326"/>
      <c r="I906" s="326"/>
      <c r="J906" s="659"/>
      <c r="K906" s="326"/>
      <c r="L906" s="326"/>
      <c r="M906" s="326"/>
      <c r="N906" s="322"/>
    </row>
    <row r="907" spans="1:14">
      <c r="A907" s="1369"/>
      <c r="B907" s="321"/>
      <c r="C907" s="193" t="s">
        <v>110</v>
      </c>
      <c r="D907" s="103"/>
      <c r="E907" s="685"/>
      <c r="F907" s="683"/>
      <c r="G907" s="326"/>
      <c r="H907" s="326"/>
      <c r="I907" s="326"/>
      <c r="J907" s="659"/>
      <c r="K907" s="326"/>
      <c r="L907" s="326"/>
      <c r="M907" s="326"/>
      <c r="N907" s="322"/>
    </row>
    <row r="908" spans="1:14">
      <c r="A908" s="1370"/>
      <c r="B908" s="1082"/>
      <c r="C908" s="726"/>
      <c r="D908" s="354"/>
      <c r="E908" s="1386"/>
      <c r="F908" s="727"/>
      <c r="G908" s="728"/>
      <c r="H908" s="728"/>
      <c r="I908" s="728"/>
      <c r="J908" s="729"/>
      <c r="K908" s="728"/>
      <c r="L908" s="728"/>
      <c r="M908" s="728"/>
      <c r="N908" s="322"/>
    </row>
    <row r="909" spans="1:14" ht="48" hidden="1" customHeight="1">
      <c r="A909" s="1167"/>
      <c r="B909" s="730"/>
      <c r="C909" s="731" t="s">
        <v>42</v>
      </c>
      <c r="D909" s="1402" t="s">
        <v>1557</v>
      </c>
      <c r="E909" s="1402"/>
      <c r="F909" s="1402"/>
      <c r="G909" s="1402"/>
      <c r="H909" s="1402"/>
      <c r="I909" s="1402"/>
      <c r="J909" s="1402"/>
      <c r="K909" s="1402"/>
      <c r="L909" s="1402"/>
      <c r="M909" s="1402"/>
      <c r="N909" s="322"/>
    </row>
    <row r="910" spans="1:14" ht="15.75" hidden="1">
      <c r="A910" s="1167"/>
      <c r="B910" s="730"/>
      <c r="C910" s="732"/>
      <c r="D910" s="733"/>
      <c r="E910" s="733"/>
      <c r="F910" s="733"/>
      <c r="G910" s="733"/>
      <c r="H910" s="733"/>
      <c r="I910" s="733"/>
      <c r="J910" s="733"/>
      <c r="K910" s="733"/>
      <c r="L910" s="733"/>
      <c r="M910" s="355"/>
      <c r="N910" s="355"/>
    </row>
    <row r="911" spans="1:14" ht="27" hidden="1">
      <c r="A911" s="1167"/>
      <c r="B911" s="734"/>
      <c r="C911" s="686" t="s">
        <v>1558</v>
      </c>
      <c r="D911" s="735" t="s">
        <v>457</v>
      </c>
      <c r="E911" s="736"/>
      <c r="F911" s="737"/>
      <c r="G911" s="738"/>
      <c r="H911" s="738"/>
      <c r="I911" s="738"/>
      <c r="J911" s="738"/>
      <c r="K911" s="738"/>
      <c r="L911" s="739"/>
      <c r="M911" s="739"/>
      <c r="N911" s="356"/>
    </row>
    <row r="912" spans="1:14" hidden="1">
      <c r="A912" s="1167"/>
      <c r="B912" s="734"/>
      <c r="C912" s="740" t="s">
        <v>111</v>
      </c>
      <c r="D912" s="741"/>
      <c r="E912" s="742"/>
      <c r="F912" s="743"/>
      <c r="G912" s="744"/>
      <c r="H912" s="744"/>
      <c r="I912" s="744"/>
      <c r="J912" s="745"/>
      <c r="K912" s="744"/>
      <c r="L912" s="323"/>
      <c r="M912" s="323"/>
      <c r="N912" s="323"/>
    </row>
  </sheetData>
  <sheetProtection selectLockedCells="1"/>
  <autoFilter ref="A7:M701">
    <filterColumn colId="0">
      <colorFilter dxfId="1"/>
    </filterColumn>
  </autoFilter>
  <mergeCells count="17">
    <mergeCell ref="C5:C6"/>
    <mergeCell ref="A149:A150"/>
    <mergeCell ref="H5:I5"/>
    <mergeCell ref="B5:B6"/>
    <mergeCell ref="A267:A269"/>
    <mergeCell ref="A151:A152"/>
    <mergeCell ref="A5:A6"/>
    <mergeCell ref="D5:D6"/>
    <mergeCell ref="F5:G5"/>
    <mergeCell ref="D1:M1"/>
    <mergeCell ref="M5:M6"/>
    <mergeCell ref="E5:E6"/>
    <mergeCell ref="G3:K3"/>
    <mergeCell ref="L5:L6"/>
    <mergeCell ref="D909:M909"/>
    <mergeCell ref="G4:K4"/>
    <mergeCell ref="J5:K5"/>
  </mergeCells>
  <phoneticPr fontId="36" type="noConversion"/>
  <printOptions horizontalCentered="1"/>
  <pageMargins left="0.196850393700787" right="0" top="0.39370078740157499" bottom="0.39370078740157499" header="0.118110236220472" footer="0.118110236220472"/>
  <pageSetup paperSize="9" scale="90" orientation="landscape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&amp;Lდეფექტური აქტი&amp;R&amp;P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3"/>
  <sheetViews>
    <sheetView zoomScaleNormal="100" zoomScaleSheetLayoutView="100" workbookViewId="0">
      <pane ySplit="7" topLeftCell="A8" activePane="bottomLeft" state="frozen"/>
      <selection pane="bottomLeft" activeCell="B68" sqref="B68"/>
    </sheetView>
  </sheetViews>
  <sheetFormatPr defaultColWidth="8.85546875" defaultRowHeight="13.5"/>
  <cols>
    <col min="1" max="1" width="8" style="95" bestFit="1" customWidth="1"/>
    <col min="2" max="2" width="90.28515625" style="95" bestFit="1" customWidth="1"/>
    <col min="3" max="3" width="8" style="95" bestFit="1" customWidth="1"/>
    <col min="4" max="4" width="14.28515625" style="95" bestFit="1" customWidth="1"/>
    <col min="5" max="5" width="17.140625" style="95" bestFit="1" customWidth="1"/>
    <col min="6" max="6" width="15.85546875" style="95" customWidth="1"/>
    <col min="7" max="16384" width="8.85546875" style="95"/>
  </cols>
  <sheetData>
    <row r="1" spans="1:6">
      <c r="B1" s="171" t="s">
        <v>11</v>
      </c>
      <c r="C1" s="1419" t="str">
        <f>'დეფექტური აქტი'!D1</f>
        <v>qvemo natanebis sajaro skola</v>
      </c>
      <c r="D1" s="1419"/>
      <c r="E1" s="1419"/>
    </row>
    <row r="2" spans="1:6">
      <c r="B2" s="16" t="s">
        <v>54</v>
      </c>
      <c r="C2" s="17"/>
      <c r="D2" s="2"/>
      <c r="E2" s="2"/>
    </row>
    <row r="3" spans="1:6">
      <c r="B3" s="3" t="s">
        <v>10</v>
      </c>
      <c r="C3" s="18"/>
      <c r="D3" s="19"/>
      <c r="E3" s="19"/>
    </row>
    <row r="4" spans="1:6">
      <c r="B4" s="3" t="s">
        <v>710</v>
      </c>
      <c r="C4" s="18"/>
      <c r="D4" s="20"/>
      <c r="E4" s="20"/>
      <c r="F4" s="210" t="e">
        <f>ხარჯთაღრიცხვა!#REF!</f>
        <v>#REF!</v>
      </c>
    </row>
    <row r="5" spans="1:6">
      <c r="A5" s="1420" t="s">
        <v>106</v>
      </c>
      <c r="B5" s="1422" t="s">
        <v>711</v>
      </c>
      <c r="C5" s="1423" t="s">
        <v>107</v>
      </c>
      <c r="D5" s="1425" t="s">
        <v>726</v>
      </c>
      <c r="E5" s="1425" t="s">
        <v>727</v>
      </c>
    </row>
    <row r="6" spans="1:6">
      <c r="A6" s="1421"/>
      <c r="B6" s="1422"/>
      <c r="C6" s="1424"/>
      <c r="D6" s="1426"/>
      <c r="E6" s="1426"/>
    </row>
    <row r="7" spans="1:6">
      <c r="A7" s="121">
        <v>1</v>
      </c>
      <c r="B7" s="21">
        <v>2</v>
      </c>
      <c r="C7" s="22">
        <v>3</v>
      </c>
      <c r="D7" s="21">
        <v>4</v>
      </c>
      <c r="E7" s="21">
        <v>5</v>
      </c>
    </row>
    <row r="8" spans="1:6" s="108" customFormat="1">
      <c r="A8" s="119"/>
      <c r="B8" s="118" t="s">
        <v>459</v>
      </c>
      <c r="C8" s="208" t="s">
        <v>78</v>
      </c>
      <c r="D8" s="137">
        <v>100</v>
      </c>
      <c r="E8" s="316">
        <v>0</v>
      </c>
    </row>
    <row r="9" spans="1:6" ht="40.5">
      <c r="A9" s="119">
        <v>1</v>
      </c>
      <c r="B9" s="260" t="s">
        <v>477</v>
      </c>
      <c r="C9" s="158" t="s">
        <v>113</v>
      </c>
      <c r="D9" s="318">
        <v>0.183</v>
      </c>
      <c r="E9" s="136">
        <f>D9*E8</f>
        <v>0</v>
      </c>
    </row>
    <row r="10" spans="1:6" ht="27">
      <c r="A10" s="119">
        <v>2</v>
      </c>
      <c r="B10" s="260" t="s">
        <v>460</v>
      </c>
      <c r="C10" s="158" t="s">
        <v>113</v>
      </c>
      <c r="D10" s="318">
        <v>0.36599999999999999</v>
      </c>
      <c r="E10" s="136">
        <f>D10*E8</f>
        <v>0</v>
      </c>
    </row>
    <row r="11" spans="1:6">
      <c r="A11" s="119">
        <v>3</v>
      </c>
      <c r="B11" s="26" t="s">
        <v>461</v>
      </c>
      <c r="C11" s="158" t="s">
        <v>113</v>
      </c>
      <c r="D11" s="318">
        <v>0.183</v>
      </c>
      <c r="E11" s="136">
        <f>D11*E8</f>
        <v>0</v>
      </c>
    </row>
    <row r="12" spans="1:6">
      <c r="A12" s="119">
        <v>4</v>
      </c>
      <c r="B12" s="260" t="s">
        <v>462</v>
      </c>
      <c r="C12" s="158" t="s">
        <v>113</v>
      </c>
      <c r="D12" s="318">
        <v>2.2000000000000002</v>
      </c>
      <c r="E12" s="136">
        <f>D12*E8</f>
        <v>0</v>
      </c>
    </row>
    <row r="13" spans="1:6">
      <c r="A13" s="119">
        <v>5</v>
      </c>
      <c r="B13" s="260" t="s">
        <v>463</v>
      </c>
      <c r="C13" s="158" t="s">
        <v>113</v>
      </c>
      <c r="D13" s="318">
        <v>19</v>
      </c>
      <c r="E13" s="136">
        <f>D13*E8</f>
        <v>0</v>
      </c>
    </row>
    <row r="14" spans="1:6">
      <c r="A14" s="119">
        <v>6</v>
      </c>
      <c r="B14" s="260" t="s">
        <v>464</v>
      </c>
      <c r="C14" s="158" t="s">
        <v>113</v>
      </c>
      <c r="D14" s="318">
        <v>0.73299999999999998</v>
      </c>
      <c r="E14" s="136">
        <f>D14*E8</f>
        <v>0</v>
      </c>
    </row>
    <row r="15" spans="1:6">
      <c r="A15" s="119">
        <v>7</v>
      </c>
      <c r="B15" s="26" t="s">
        <v>465</v>
      </c>
      <c r="C15" s="158" t="s">
        <v>113</v>
      </c>
      <c r="D15" s="318">
        <v>4.76</v>
      </c>
      <c r="E15" s="136">
        <f>D15*E8</f>
        <v>0</v>
      </c>
    </row>
    <row r="16" spans="1:6">
      <c r="A16" s="119">
        <v>8</v>
      </c>
      <c r="B16" s="26" t="s">
        <v>466</v>
      </c>
      <c r="C16" s="158" t="s">
        <v>113</v>
      </c>
      <c r="D16" s="318">
        <v>1.099</v>
      </c>
      <c r="E16" s="136">
        <f>D16*E8</f>
        <v>0</v>
      </c>
    </row>
    <row r="17" spans="1:5">
      <c r="A17" s="119">
        <v>9</v>
      </c>
      <c r="B17" s="26" t="s">
        <v>467</v>
      </c>
      <c r="C17" s="158" t="s">
        <v>113</v>
      </c>
      <c r="D17" s="318">
        <v>1.831</v>
      </c>
      <c r="E17" s="136">
        <f>D17*E8</f>
        <v>0</v>
      </c>
    </row>
    <row r="18" spans="1:5">
      <c r="A18" s="119">
        <v>10</v>
      </c>
      <c r="B18" s="260" t="s">
        <v>468</v>
      </c>
      <c r="C18" s="158" t="s">
        <v>113</v>
      </c>
      <c r="D18" s="318">
        <v>40.292999999999999</v>
      </c>
      <c r="E18" s="136">
        <f>D18*E8</f>
        <v>0</v>
      </c>
    </row>
    <row r="19" spans="1:5">
      <c r="A19" s="119">
        <v>11</v>
      </c>
      <c r="B19" s="260" t="s">
        <v>469</v>
      </c>
      <c r="C19" s="158" t="s">
        <v>113</v>
      </c>
      <c r="D19" s="318">
        <v>1.4650000000000001</v>
      </c>
      <c r="E19" s="136">
        <f>D19*E8</f>
        <v>0</v>
      </c>
    </row>
    <row r="20" spans="1:5" s="108" customFormat="1">
      <c r="A20" s="119">
        <v>12</v>
      </c>
      <c r="B20" s="26" t="s">
        <v>470</v>
      </c>
      <c r="C20" s="158" t="s">
        <v>122</v>
      </c>
      <c r="D20" s="318">
        <v>49.45</v>
      </c>
      <c r="E20" s="136">
        <f>D20*E8</f>
        <v>0</v>
      </c>
    </row>
    <row r="21" spans="1:5" s="108" customFormat="1">
      <c r="A21" s="119">
        <v>13</v>
      </c>
      <c r="B21" s="26" t="s">
        <v>471</v>
      </c>
      <c r="C21" s="158" t="s">
        <v>122</v>
      </c>
      <c r="D21" s="318">
        <v>47.62</v>
      </c>
      <c r="E21" s="136">
        <f>D21*E8</f>
        <v>0</v>
      </c>
    </row>
    <row r="22" spans="1:5" s="108" customFormat="1">
      <c r="A22" s="119">
        <v>14</v>
      </c>
      <c r="B22" s="26" t="s">
        <v>472</v>
      </c>
      <c r="C22" s="158" t="s">
        <v>122</v>
      </c>
      <c r="D22" s="318">
        <v>2.7469999999999999</v>
      </c>
      <c r="E22" s="136">
        <f>D22*E8</f>
        <v>0</v>
      </c>
    </row>
    <row r="23" spans="1:5" s="108" customFormat="1">
      <c r="A23" s="119">
        <v>15</v>
      </c>
      <c r="B23" s="26" t="s">
        <v>473</v>
      </c>
      <c r="C23" s="158" t="s">
        <v>122</v>
      </c>
      <c r="D23" s="318">
        <v>2.7469999999999999</v>
      </c>
      <c r="E23" s="136">
        <f>D23*E8</f>
        <v>0</v>
      </c>
    </row>
    <row r="24" spans="1:5" s="108" customFormat="1">
      <c r="A24" s="119">
        <v>16</v>
      </c>
      <c r="B24" s="26" t="s">
        <v>478</v>
      </c>
      <c r="C24" s="158" t="s">
        <v>122</v>
      </c>
      <c r="D24" s="318">
        <v>1.923</v>
      </c>
      <c r="E24" s="136">
        <f>D24*E8</f>
        <v>0</v>
      </c>
    </row>
    <row r="25" spans="1:5" s="108" customFormat="1">
      <c r="A25" s="119">
        <v>17</v>
      </c>
      <c r="B25" s="26" t="s">
        <v>475</v>
      </c>
      <c r="C25" s="158" t="s">
        <v>122</v>
      </c>
      <c r="D25" s="318">
        <v>4.3959999999999999</v>
      </c>
      <c r="E25" s="136">
        <f>D25*E8</f>
        <v>0</v>
      </c>
    </row>
    <row r="26" spans="1:5" s="108" customFormat="1">
      <c r="A26" s="119">
        <v>18</v>
      </c>
      <c r="B26" s="100" t="s">
        <v>476</v>
      </c>
      <c r="C26" s="158" t="s">
        <v>122</v>
      </c>
      <c r="D26" s="318">
        <v>14.286</v>
      </c>
      <c r="E26" s="136">
        <f>D26*E8</f>
        <v>0</v>
      </c>
    </row>
    <row r="27" spans="1:5">
      <c r="A27" s="122"/>
      <c r="B27" s="118" t="s">
        <v>487</v>
      </c>
      <c r="C27" s="274" t="s">
        <v>113</v>
      </c>
      <c r="D27" s="207">
        <v>1</v>
      </c>
      <c r="E27" s="317"/>
    </row>
    <row r="28" spans="1:5">
      <c r="A28" s="165">
        <v>1</v>
      </c>
      <c r="B28" s="36" t="s">
        <v>52</v>
      </c>
      <c r="C28" s="158" t="s">
        <v>122</v>
      </c>
      <c r="D28" s="25">
        <v>6</v>
      </c>
      <c r="E28" s="136">
        <f>D28*E27</f>
        <v>0</v>
      </c>
    </row>
    <row r="29" spans="1:5">
      <c r="A29" s="165">
        <v>2</v>
      </c>
      <c r="B29" s="36" t="s">
        <v>53</v>
      </c>
      <c r="C29" s="158" t="s">
        <v>113</v>
      </c>
      <c r="D29" s="25">
        <v>1</v>
      </c>
      <c r="E29" s="136">
        <f>D29*E27</f>
        <v>0</v>
      </c>
    </row>
    <row r="30" spans="1:5">
      <c r="A30" s="165">
        <v>3</v>
      </c>
      <c r="B30" s="36" t="s">
        <v>55</v>
      </c>
      <c r="C30" s="158" t="s">
        <v>122</v>
      </c>
      <c r="D30" s="25">
        <v>6</v>
      </c>
      <c r="E30" s="136">
        <f>D30*E27</f>
        <v>0</v>
      </c>
    </row>
    <row r="31" spans="1:5">
      <c r="A31" s="165">
        <v>4</v>
      </c>
      <c r="B31" s="36" t="s">
        <v>56</v>
      </c>
      <c r="C31" s="158" t="s">
        <v>122</v>
      </c>
      <c r="D31" s="25">
        <v>10</v>
      </c>
      <c r="E31" s="136">
        <f>D31*E27</f>
        <v>0</v>
      </c>
    </row>
    <row r="32" spans="1:5">
      <c r="A32" s="165">
        <v>5</v>
      </c>
      <c r="B32" s="36" t="s">
        <v>125</v>
      </c>
      <c r="C32" s="158" t="s">
        <v>113</v>
      </c>
      <c r="D32" s="25">
        <v>5</v>
      </c>
      <c r="E32" s="136">
        <f>D32*E27</f>
        <v>0</v>
      </c>
    </row>
    <row r="33" spans="1:5">
      <c r="A33" s="165">
        <v>6</v>
      </c>
      <c r="B33" s="28" t="s">
        <v>1</v>
      </c>
      <c r="C33" s="29" t="s">
        <v>4</v>
      </c>
      <c r="D33" s="25">
        <v>2</v>
      </c>
      <c r="E33" s="136">
        <f>D33*E27</f>
        <v>0</v>
      </c>
    </row>
    <row r="34" spans="1:5">
      <c r="A34" s="165">
        <v>7</v>
      </c>
      <c r="B34" s="159" t="s">
        <v>225</v>
      </c>
      <c r="C34" s="29" t="s">
        <v>4</v>
      </c>
      <c r="D34" s="25">
        <v>1</v>
      </c>
      <c r="E34" s="136">
        <f>D34*E27</f>
        <v>0</v>
      </c>
    </row>
    <row r="35" spans="1:5">
      <c r="A35" s="165">
        <v>8</v>
      </c>
      <c r="B35" s="36" t="s">
        <v>2</v>
      </c>
      <c r="C35" s="158" t="s">
        <v>113</v>
      </c>
      <c r="D35" s="25">
        <v>2</v>
      </c>
      <c r="E35" s="136">
        <f>D35*E27</f>
        <v>0</v>
      </c>
    </row>
    <row r="36" spans="1:5">
      <c r="A36" s="165">
        <v>9</v>
      </c>
      <c r="B36" s="28" t="s">
        <v>5</v>
      </c>
      <c r="C36" s="29" t="s">
        <v>4</v>
      </c>
      <c r="D36" s="25">
        <v>4</v>
      </c>
      <c r="E36" s="136">
        <f>D36*E27</f>
        <v>0</v>
      </c>
    </row>
    <row r="37" spans="1:5">
      <c r="A37" s="165">
        <v>10</v>
      </c>
      <c r="B37" s="28" t="s">
        <v>3</v>
      </c>
      <c r="C37" s="29" t="s">
        <v>4</v>
      </c>
      <c r="D37" s="25">
        <v>1</v>
      </c>
      <c r="E37" s="136">
        <f>D37*E27</f>
        <v>0</v>
      </c>
    </row>
    <row r="38" spans="1:5">
      <c r="A38" s="165">
        <v>11</v>
      </c>
      <c r="B38" s="36" t="s">
        <v>434</v>
      </c>
      <c r="C38" s="158" t="s">
        <v>113</v>
      </c>
      <c r="D38" s="25">
        <v>1</v>
      </c>
      <c r="E38" s="136">
        <f>D38*E27</f>
        <v>0</v>
      </c>
    </row>
    <row r="39" spans="1:5">
      <c r="A39" s="122"/>
      <c r="B39" s="118" t="s">
        <v>491</v>
      </c>
      <c r="C39" s="274" t="s">
        <v>113</v>
      </c>
      <c r="D39" s="207">
        <v>1</v>
      </c>
      <c r="E39" s="317"/>
    </row>
    <row r="40" spans="1:5">
      <c r="A40" s="165">
        <v>1</v>
      </c>
      <c r="B40" s="36" t="s">
        <v>52</v>
      </c>
      <c r="C40" s="158" t="s">
        <v>122</v>
      </c>
      <c r="D40" s="25">
        <v>6</v>
      </c>
      <c r="E40" s="136">
        <f>D40*E39</f>
        <v>0</v>
      </c>
    </row>
    <row r="41" spans="1:5">
      <c r="A41" s="165">
        <v>2</v>
      </c>
      <c r="B41" s="36" t="s">
        <v>53</v>
      </c>
      <c r="C41" s="158" t="s">
        <v>113</v>
      </c>
      <c r="D41" s="25">
        <v>1</v>
      </c>
      <c r="E41" s="136">
        <f>D41*E39</f>
        <v>0</v>
      </c>
    </row>
    <row r="42" spans="1:5">
      <c r="A42" s="165">
        <v>3</v>
      </c>
      <c r="B42" s="36" t="s">
        <v>55</v>
      </c>
      <c r="C42" s="158" t="s">
        <v>122</v>
      </c>
      <c r="D42" s="25">
        <v>6</v>
      </c>
      <c r="E42" s="136">
        <f>D42*E39</f>
        <v>0</v>
      </c>
    </row>
    <row r="43" spans="1:5">
      <c r="A43" s="165">
        <v>4</v>
      </c>
      <c r="B43" s="36" t="s">
        <v>56</v>
      </c>
      <c r="C43" s="158" t="s">
        <v>122</v>
      </c>
      <c r="D43" s="25">
        <v>10</v>
      </c>
      <c r="E43" s="136">
        <f>D43*E39</f>
        <v>0</v>
      </c>
    </row>
    <row r="44" spans="1:5">
      <c r="A44" s="165">
        <v>5</v>
      </c>
      <c r="B44" s="36" t="s">
        <v>125</v>
      </c>
      <c r="C44" s="158" t="s">
        <v>113</v>
      </c>
      <c r="D44" s="25">
        <v>5</v>
      </c>
      <c r="E44" s="136">
        <f>D44*E39</f>
        <v>0</v>
      </c>
    </row>
    <row r="45" spans="1:5">
      <c r="A45" s="165">
        <v>6</v>
      </c>
      <c r="B45" s="28" t="s">
        <v>1</v>
      </c>
      <c r="C45" s="29" t="s">
        <v>4</v>
      </c>
      <c r="D45" s="25">
        <v>2</v>
      </c>
      <c r="E45" s="136">
        <f>D45*E39</f>
        <v>0</v>
      </c>
    </row>
    <row r="46" spans="1:5">
      <c r="A46" s="165">
        <v>7</v>
      </c>
      <c r="B46" s="36" t="s">
        <v>2</v>
      </c>
      <c r="C46" s="158" t="s">
        <v>113</v>
      </c>
      <c r="D46" s="25">
        <v>2</v>
      </c>
      <c r="E46" s="136">
        <f>D46*E39</f>
        <v>0</v>
      </c>
    </row>
    <row r="47" spans="1:5">
      <c r="A47" s="165">
        <v>8</v>
      </c>
      <c r="B47" s="28" t="s">
        <v>5</v>
      </c>
      <c r="C47" s="29" t="s">
        <v>4</v>
      </c>
      <c r="D47" s="25">
        <v>4</v>
      </c>
      <c r="E47" s="136">
        <f>D47*E39</f>
        <v>0</v>
      </c>
    </row>
    <row r="48" spans="1:5">
      <c r="A48" s="129">
        <v>9</v>
      </c>
      <c r="B48" s="28" t="s">
        <v>3</v>
      </c>
      <c r="C48" s="29" t="s">
        <v>4</v>
      </c>
      <c r="D48" s="25">
        <v>1</v>
      </c>
      <c r="E48" s="136">
        <f>D48*E39</f>
        <v>0</v>
      </c>
    </row>
    <row r="49" spans="1:5">
      <c r="A49" s="129">
        <v>10</v>
      </c>
      <c r="B49" s="28" t="s">
        <v>488</v>
      </c>
      <c r="C49" s="29" t="s">
        <v>4</v>
      </c>
      <c r="D49" s="25">
        <v>3</v>
      </c>
      <c r="E49" s="136">
        <f>D49*E39</f>
        <v>0</v>
      </c>
    </row>
    <row r="50" spans="1:5">
      <c r="A50" s="129">
        <v>11</v>
      </c>
      <c r="B50" s="36" t="s">
        <v>434</v>
      </c>
      <c r="C50" s="158" t="s">
        <v>113</v>
      </c>
      <c r="D50" s="25">
        <v>1</v>
      </c>
      <c r="E50" s="136">
        <f>D50*E39</f>
        <v>0</v>
      </c>
    </row>
    <row r="51" spans="1:5">
      <c r="A51" s="120"/>
      <c r="B51" s="34" t="s">
        <v>682</v>
      </c>
      <c r="C51" s="209" t="s">
        <v>78</v>
      </c>
      <c r="D51" s="31">
        <v>100</v>
      </c>
      <c r="E51" s="316"/>
    </row>
    <row r="52" spans="1:5">
      <c r="A52" s="158">
        <v>1</v>
      </c>
      <c r="B52" s="26" t="s">
        <v>585</v>
      </c>
      <c r="C52" s="158" t="s">
        <v>113</v>
      </c>
      <c r="D52" s="172">
        <v>5.8990000000000001E-2</v>
      </c>
      <c r="E52" s="25">
        <f>D52*E51</f>
        <v>0</v>
      </c>
    </row>
    <row r="53" spans="1:5" ht="27">
      <c r="A53" s="158">
        <v>2</v>
      </c>
      <c r="B53" s="260" t="s">
        <v>586</v>
      </c>
      <c r="C53" s="158" t="s">
        <v>113</v>
      </c>
      <c r="D53" s="172">
        <v>5.8990000000000001E-2</v>
      </c>
      <c r="E53" s="25">
        <f>D53*E51</f>
        <v>0</v>
      </c>
    </row>
    <row r="54" spans="1:5">
      <c r="A54" s="158">
        <v>3</v>
      </c>
      <c r="B54" s="26" t="s">
        <v>587</v>
      </c>
      <c r="C54" s="158" t="s">
        <v>113</v>
      </c>
      <c r="D54" s="24">
        <v>3.7168000000000001</v>
      </c>
      <c r="E54" s="25">
        <f>D54*E51</f>
        <v>0</v>
      </c>
    </row>
    <row r="55" spans="1:5">
      <c r="A55" s="158">
        <v>4</v>
      </c>
      <c r="B55" s="26" t="s">
        <v>588</v>
      </c>
      <c r="C55" s="158" t="s">
        <v>113</v>
      </c>
      <c r="D55" s="24">
        <v>1.7109000000000001</v>
      </c>
      <c r="E55" s="25">
        <f>D55*E51</f>
        <v>0</v>
      </c>
    </row>
    <row r="56" spans="1:5">
      <c r="A56" s="158">
        <v>5</v>
      </c>
      <c r="B56" s="26" t="s">
        <v>589</v>
      </c>
      <c r="C56" s="158" t="s">
        <v>113</v>
      </c>
      <c r="D56" s="24">
        <v>5.4277300000000004</v>
      </c>
      <c r="E56" s="25">
        <f>D56*E51</f>
        <v>0</v>
      </c>
    </row>
    <row r="57" spans="1:5">
      <c r="A57" s="158">
        <v>6</v>
      </c>
      <c r="B57" s="260" t="s">
        <v>590</v>
      </c>
      <c r="C57" s="158" t="s">
        <v>113</v>
      </c>
      <c r="D57" s="24">
        <v>2.9498000000000002</v>
      </c>
      <c r="E57" s="25">
        <f>D57*E51</f>
        <v>0</v>
      </c>
    </row>
    <row r="58" spans="1:5">
      <c r="A58" s="158">
        <v>7</v>
      </c>
      <c r="B58" s="26" t="s">
        <v>591</v>
      </c>
      <c r="C58" s="158" t="s">
        <v>122</v>
      </c>
      <c r="D58" s="24">
        <v>41.298000000000002</v>
      </c>
      <c r="E58" s="25">
        <f>D58*E51</f>
        <v>0</v>
      </c>
    </row>
    <row r="59" spans="1:5">
      <c r="A59" s="158">
        <v>8</v>
      </c>
      <c r="B59" s="26" t="s">
        <v>592</v>
      </c>
      <c r="C59" s="158" t="s">
        <v>122</v>
      </c>
      <c r="D59" s="319">
        <v>42.477800000000002</v>
      </c>
      <c r="E59" s="25">
        <f>D59*E51</f>
        <v>0</v>
      </c>
    </row>
    <row r="60" spans="1:5">
      <c r="A60" s="158">
        <v>9</v>
      </c>
      <c r="B60" s="26" t="s">
        <v>330</v>
      </c>
      <c r="C60" s="158" t="s">
        <v>122</v>
      </c>
      <c r="D60" s="198">
        <v>39.646000000000001</v>
      </c>
      <c r="E60" s="25">
        <f>D60*E51</f>
        <v>0</v>
      </c>
    </row>
    <row r="61" spans="1:5">
      <c r="A61" s="158">
        <v>10</v>
      </c>
      <c r="B61" s="26" t="s">
        <v>593</v>
      </c>
      <c r="C61" s="158" t="s">
        <v>122</v>
      </c>
      <c r="D61" s="24">
        <v>41.297899999999998</v>
      </c>
      <c r="E61" s="25">
        <f>D61*E51</f>
        <v>0</v>
      </c>
    </row>
    <row r="62" spans="1:5">
      <c r="A62" s="158">
        <v>11</v>
      </c>
      <c r="B62" s="26" t="s">
        <v>683</v>
      </c>
      <c r="C62" s="24" t="s">
        <v>594</v>
      </c>
      <c r="D62" s="24">
        <v>2.9499999999999999E-3</v>
      </c>
      <c r="E62" s="25">
        <f>D62*E51</f>
        <v>0</v>
      </c>
    </row>
    <row r="63" spans="1:5">
      <c r="A63" s="158">
        <v>12</v>
      </c>
      <c r="B63" s="260" t="s">
        <v>595</v>
      </c>
      <c r="C63" s="158" t="s">
        <v>113</v>
      </c>
      <c r="D63" s="24">
        <v>3.1858</v>
      </c>
      <c r="E63" s="25">
        <f>D63*E51</f>
        <v>0</v>
      </c>
    </row>
  </sheetData>
  <sheetProtection password="CC11" sheet="1"/>
  <autoFilter ref="A7:E63"/>
  <mergeCells count="6">
    <mergeCell ref="C1:E1"/>
    <mergeCell ref="A5:A6"/>
    <mergeCell ref="B5:B6"/>
    <mergeCell ref="C5:C6"/>
    <mergeCell ref="D5:D6"/>
    <mergeCell ref="E5:E6"/>
  </mergeCells>
  <phoneticPr fontId="47" type="noConversion"/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IU3568"/>
  <sheetViews>
    <sheetView showZeros="0" view="pageBreakPreview" zoomScaleNormal="100" zoomScaleSheetLayoutView="100" workbookViewId="0">
      <pane ySplit="6" topLeftCell="A7" activePane="bottomLeft" state="frozen"/>
      <selection pane="bottomLeft" activeCell="E31" sqref="E31"/>
    </sheetView>
  </sheetViews>
  <sheetFormatPr defaultColWidth="11.42578125" defaultRowHeight="13.5"/>
  <cols>
    <col min="1" max="1" width="3.85546875" style="17" customWidth="1"/>
    <col min="2" max="2" width="7.5703125" style="2" customWidth="1"/>
    <col min="3" max="3" width="41.42578125" style="2" customWidth="1"/>
    <col min="4" max="4" width="7.42578125" style="2" customWidth="1"/>
    <col min="5" max="5" width="8.85546875" style="2" bestFit="1" customWidth="1"/>
    <col min="6" max="6" width="10.7109375" style="381" bestFit="1" customWidth="1"/>
    <col min="7" max="7" width="11.85546875" style="381" bestFit="1" customWidth="1"/>
    <col min="8" max="8" width="14.7109375" style="381" bestFit="1" customWidth="1"/>
    <col min="9" max="9" width="9.5703125" style="381" bestFit="1" customWidth="1"/>
    <col min="10" max="10" width="13.85546875" style="381" bestFit="1" customWidth="1"/>
    <col min="11" max="11" width="9.7109375" style="381" bestFit="1" customWidth="1"/>
    <col min="12" max="12" width="12.7109375" style="381" bestFit="1" customWidth="1"/>
    <col min="13" max="13" width="14.85546875" style="381" bestFit="1" customWidth="1"/>
    <col min="14" max="14" width="14.28515625" style="2" bestFit="1" customWidth="1"/>
    <col min="15" max="15" width="12" style="2" bestFit="1" customWidth="1"/>
    <col min="16" max="16384" width="11.42578125" style="2"/>
  </cols>
  <sheetData>
    <row r="1" spans="1:16" ht="15.75" customHeight="1">
      <c r="A1" s="164"/>
      <c r="B1" s="1"/>
      <c r="C1" s="1346" t="s">
        <v>54</v>
      </c>
      <c r="D1" s="74"/>
      <c r="E1" s="163"/>
      <c r="F1" s="380"/>
      <c r="G1" s="592"/>
      <c r="H1" s="592"/>
      <c r="I1" s="593"/>
      <c r="J1" s="593"/>
      <c r="K1" s="593"/>
      <c r="L1" s="593"/>
      <c r="M1" s="593"/>
    </row>
    <row r="2" spans="1:16">
      <c r="A2" s="1484" t="s">
        <v>106</v>
      </c>
      <c r="B2" s="1487" t="s">
        <v>58</v>
      </c>
      <c r="C2" s="200"/>
      <c r="D2" s="1490" t="s">
        <v>107</v>
      </c>
      <c r="E2" s="1472" t="s">
        <v>59</v>
      </c>
      <c r="F2" s="1473"/>
      <c r="G2" s="1476" t="s">
        <v>109</v>
      </c>
      <c r="H2" s="1477"/>
      <c r="I2" s="1476" t="s">
        <v>108</v>
      </c>
      <c r="J2" s="1477"/>
      <c r="K2" s="1480" t="s">
        <v>1667</v>
      </c>
      <c r="L2" s="1473"/>
      <c r="M2" s="1481" t="s">
        <v>110</v>
      </c>
      <c r="N2" s="1464"/>
      <c r="O2" s="1464"/>
      <c r="P2" s="1464"/>
    </row>
    <row r="3" spans="1:16" ht="16.5" customHeight="1">
      <c r="A3" s="1485"/>
      <c r="B3" s="1488"/>
      <c r="C3" s="201" t="s">
        <v>712</v>
      </c>
      <c r="D3" s="1491"/>
      <c r="E3" s="1465" t="s">
        <v>60</v>
      </c>
      <c r="F3" s="1466"/>
      <c r="G3" s="1478"/>
      <c r="H3" s="1479"/>
      <c r="I3" s="1478"/>
      <c r="J3" s="1479"/>
      <c r="K3" s="1467" t="s">
        <v>61</v>
      </c>
      <c r="L3" s="1466"/>
      <c r="M3" s="1482"/>
    </row>
    <row r="4" spans="1:16">
      <c r="A4" s="1485"/>
      <c r="B4" s="1488"/>
      <c r="C4" s="202" t="s">
        <v>713</v>
      </c>
      <c r="D4" s="1491"/>
      <c r="E4" s="1468" t="s">
        <v>714</v>
      </c>
      <c r="F4" s="1470" t="s">
        <v>111</v>
      </c>
      <c r="G4" s="642" t="s">
        <v>62</v>
      </c>
      <c r="H4" s="1470" t="s">
        <v>111</v>
      </c>
      <c r="I4" s="642" t="s">
        <v>62</v>
      </c>
      <c r="J4" s="1470" t="s">
        <v>111</v>
      </c>
      <c r="K4" s="642" t="s">
        <v>62</v>
      </c>
      <c r="L4" s="1470" t="s">
        <v>111</v>
      </c>
      <c r="M4" s="1482"/>
    </row>
    <row r="5" spans="1:16">
      <c r="A5" s="1486"/>
      <c r="B5" s="1489"/>
      <c r="C5" s="203"/>
      <c r="D5" s="1492"/>
      <c r="E5" s="1469"/>
      <c r="F5" s="1471"/>
      <c r="G5" s="643" t="s">
        <v>63</v>
      </c>
      <c r="H5" s="1471"/>
      <c r="I5" s="643" t="s">
        <v>63</v>
      </c>
      <c r="J5" s="1471"/>
      <c r="K5" s="643" t="s">
        <v>63</v>
      </c>
      <c r="L5" s="1471"/>
      <c r="M5" s="1483"/>
    </row>
    <row r="6" spans="1:16">
      <c r="A6" s="75">
        <v>1</v>
      </c>
      <c r="B6" s="75" t="s">
        <v>64</v>
      </c>
      <c r="C6" s="65" t="s">
        <v>65</v>
      </c>
      <c r="D6" s="7" t="s">
        <v>66</v>
      </c>
      <c r="E6" s="8" t="s">
        <v>67</v>
      </c>
      <c r="F6" s="160" t="s">
        <v>68</v>
      </c>
      <c r="G6" s="644" t="s">
        <v>69</v>
      </c>
      <c r="H6" s="645" t="s">
        <v>70</v>
      </c>
      <c r="I6" s="62" t="s">
        <v>71</v>
      </c>
      <c r="J6" s="644" t="s">
        <v>72</v>
      </c>
      <c r="K6" s="62" t="s">
        <v>73</v>
      </c>
      <c r="L6" s="645" t="s">
        <v>74</v>
      </c>
      <c r="M6" s="62" t="s">
        <v>75</v>
      </c>
    </row>
    <row r="7" spans="1:16">
      <c r="A7" s="1190"/>
      <c r="B7" s="145"/>
      <c r="C7" s="177" t="s">
        <v>76</v>
      </c>
      <c r="D7" s="145"/>
      <c r="E7" s="146"/>
      <c r="F7" s="383"/>
      <c r="G7" s="595"/>
      <c r="H7" s="596"/>
      <c r="I7" s="595"/>
      <c r="J7" s="596"/>
      <c r="K7" s="595"/>
      <c r="L7" s="596"/>
      <c r="M7" s="595"/>
    </row>
    <row r="8" spans="1:16" s="85" customFormat="1" hidden="1">
      <c r="A8" s="140">
        <v>1</v>
      </c>
      <c r="B8" s="1431" t="s">
        <v>251</v>
      </c>
      <c r="C8" s="151" t="s">
        <v>252</v>
      </c>
      <c r="D8" s="140" t="s">
        <v>78</v>
      </c>
      <c r="E8" s="140"/>
      <c r="F8" s="384">
        <f>'დეფექტური აქტი'!E9</f>
        <v>0</v>
      </c>
      <c r="G8" s="385"/>
      <c r="H8" s="385"/>
      <c r="I8" s="385"/>
      <c r="J8" s="385"/>
      <c r="K8" s="385"/>
      <c r="L8" s="385"/>
      <c r="M8" s="385"/>
    </row>
    <row r="9" spans="1:16" s="85" customFormat="1" hidden="1">
      <c r="A9" s="83"/>
      <c r="B9" s="1432"/>
      <c r="C9" s="84" t="s">
        <v>79</v>
      </c>
      <c r="D9" s="83" t="s">
        <v>80</v>
      </c>
      <c r="E9" s="83">
        <v>8.2000000000000003E-2</v>
      </c>
      <c r="F9" s="386">
        <f>F8*E9</f>
        <v>0</v>
      </c>
      <c r="G9" s="386"/>
      <c r="H9" s="386"/>
      <c r="I9" s="386">
        <v>4.5999999999999996</v>
      </c>
      <c r="J9" s="386">
        <f>F9*I9</f>
        <v>0</v>
      </c>
      <c r="K9" s="386"/>
      <c r="L9" s="386"/>
      <c r="M9" s="386">
        <f>H9+J9+L9</f>
        <v>0</v>
      </c>
    </row>
    <row r="10" spans="1:16" s="85" customFormat="1" hidden="1">
      <c r="A10" s="83"/>
      <c r="B10" s="1432"/>
      <c r="C10" s="84" t="s">
        <v>81</v>
      </c>
      <c r="D10" s="86" t="s">
        <v>57</v>
      </c>
      <c r="E10" s="83">
        <v>5.0000000000000001E-3</v>
      </c>
      <c r="F10" s="386">
        <f>F8*E10</f>
        <v>0</v>
      </c>
      <c r="G10" s="386"/>
      <c r="H10" s="386"/>
      <c r="I10" s="386"/>
      <c r="J10" s="386"/>
      <c r="K10" s="386">
        <v>3.2</v>
      </c>
      <c r="L10" s="386">
        <f>F10*K10</f>
        <v>0</v>
      </c>
      <c r="M10" s="386">
        <f>H10+J10+L10</f>
        <v>0</v>
      </c>
    </row>
    <row r="11" spans="1:16" s="85" customFormat="1" hidden="1">
      <c r="A11" s="140">
        <v>2</v>
      </c>
      <c r="B11" s="1431" t="s">
        <v>253</v>
      </c>
      <c r="C11" s="151" t="s">
        <v>436</v>
      </c>
      <c r="D11" s="140" t="s">
        <v>78</v>
      </c>
      <c r="E11" s="140"/>
      <c r="F11" s="384">
        <f>'დეფექტური აქტი'!E10</f>
        <v>0</v>
      </c>
      <c r="G11" s="385"/>
      <c r="H11" s="385"/>
      <c r="I11" s="385"/>
      <c r="J11" s="385"/>
      <c r="K11" s="385"/>
      <c r="L11" s="385"/>
      <c r="M11" s="385"/>
    </row>
    <row r="12" spans="1:16" s="85" customFormat="1" hidden="1">
      <c r="A12" s="83"/>
      <c r="B12" s="1432"/>
      <c r="C12" s="84" t="s">
        <v>79</v>
      </c>
      <c r="D12" s="83" t="s">
        <v>80</v>
      </c>
      <c r="E12" s="83">
        <v>0.13200000000000001</v>
      </c>
      <c r="F12" s="386">
        <f>F11*E12</f>
        <v>0</v>
      </c>
      <c r="G12" s="386"/>
      <c r="H12" s="386"/>
      <c r="I12" s="386">
        <v>4.5999999999999996</v>
      </c>
      <c r="J12" s="386">
        <f>F12*I12</f>
        <v>0</v>
      </c>
      <c r="K12" s="386"/>
      <c r="L12" s="386"/>
      <c r="M12" s="386">
        <f>H12+J12+L12</f>
        <v>0</v>
      </c>
    </row>
    <row r="13" spans="1:16" s="85" customFormat="1" hidden="1">
      <c r="A13" s="83"/>
      <c r="B13" s="1432"/>
      <c r="C13" s="84" t="s">
        <v>81</v>
      </c>
      <c r="D13" s="86" t="s">
        <v>57</v>
      </c>
      <c r="E13" s="83">
        <v>1.9E-2</v>
      </c>
      <c r="F13" s="386">
        <f>F11*E13</f>
        <v>0</v>
      </c>
      <c r="G13" s="386"/>
      <c r="H13" s="386"/>
      <c r="I13" s="386"/>
      <c r="J13" s="386"/>
      <c r="K13" s="386">
        <v>3.2</v>
      </c>
      <c r="L13" s="386">
        <f>F13*K13</f>
        <v>0</v>
      </c>
      <c r="M13" s="386">
        <f>H13+J13+L13</f>
        <v>0</v>
      </c>
    </row>
    <row r="14" spans="1:16" s="42" customFormat="1" hidden="1">
      <c r="A14" s="47">
        <v>3</v>
      </c>
      <c r="B14" s="1433" t="s">
        <v>84</v>
      </c>
      <c r="C14" s="46" t="s">
        <v>85</v>
      </c>
      <c r="D14" s="140" t="s">
        <v>78</v>
      </c>
      <c r="E14" s="47"/>
      <c r="F14" s="384">
        <f>'დეფექტური აქტი'!E10</f>
        <v>0</v>
      </c>
      <c r="G14" s="385"/>
      <c r="H14" s="385"/>
      <c r="I14" s="385"/>
      <c r="J14" s="385"/>
      <c r="K14" s="385"/>
      <c r="L14" s="385"/>
      <c r="M14" s="385"/>
    </row>
    <row r="15" spans="1:16" s="42" customFormat="1" hidden="1">
      <c r="A15" s="41"/>
      <c r="B15" s="1434"/>
      <c r="C15" s="15" t="s">
        <v>79</v>
      </c>
      <c r="D15" s="83" t="s">
        <v>80</v>
      </c>
      <c r="E15" s="41">
        <v>0.23799999999999999</v>
      </c>
      <c r="F15" s="386">
        <f>F14*E15</f>
        <v>0</v>
      </c>
      <c r="G15" s="386"/>
      <c r="H15" s="386"/>
      <c r="I15" s="386">
        <v>4.5999999999999996</v>
      </c>
      <c r="J15" s="386">
        <f>F15*I15</f>
        <v>0</v>
      </c>
      <c r="K15" s="386"/>
      <c r="L15" s="386"/>
      <c r="M15" s="386">
        <f>H15+J15+L15</f>
        <v>0</v>
      </c>
    </row>
    <row r="16" spans="1:16" s="42" customFormat="1" hidden="1">
      <c r="A16" s="41"/>
      <c r="B16" s="1434"/>
      <c r="C16" s="15" t="s">
        <v>81</v>
      </c>
      <c r="D16" s="86" t="s">
        <v>57</v>
      </c>
      <c r="E16" s="41">
        <v>3.9199999999999999E-2</v>
      </c>
      <c r="F16" s="386">
        <f>F14*E16</f>
        <v>0</v>
      </c>
      <c r="G16" s="386"/>
      <c r="H16" s="386"/>
      <c r="I16" s="386"/>
      <c r="J16" s="386"/>
      <c r="K16" s="386">
        <v>3.2</v>
      </c>
      <c r="L16" s="386">
        <f>F16*K16</f>
        <v>0</v>
      </c>
      <c r="M16" s="386">
        <f>H16+J16+L16</f>
        <v>0</v>
      </c>
    </row>
    <row r="17" spans="1:15" s="45" customFormat="1" hidden="1">
      <c r="A17" s="47">
        <v>4</v>
      </c>
      <c r="B17" s="1433" t="s">
        <v>86</v>
      </c>
      <c r="C17" s="46" t="s">
        <v>87</v>
      </c>
      <c r="D17" s="140" t="s">
        <v>88</v>
      </c>
      <c r="E17" s="47"/>
      <c r="F17" s="385">
        <f>F14*0.1</f>
        <v>0</v>
      </c>
      <c r="G17" s="385"/>
      <c r="H17" s="385"/>
      <c r="I17" s="385"/>
      <c r="J17" s="385"/>
      <c r="K17" s="385"/>
      <c r="L17" s="385"/>
      <c r="M17" s="385"/>
    </row>
    <row r="18" spans="1:15" s="45" customFormat="1" hidden="1">
      <c r="A18" s="41"/>
      <c r="B18" s="1434"/>
      <c r="C18" s="15" t="s">
        <v>89</v>
      </c>
      <c r="D18" s="83" t="s">
        <v>80</v>
      </c>
      <c r="E18" s="41">
        <v>1.4319999999999999</v>
      </c>
      <c r="F18" s="386">
        <f>F17*E18</f>
        <v>0</v>
      </c>
      <c r="G18" s="386"/>
      <c r="H18" s="386"/>
      <c r="I18" s="386">
        <v>4.5999999999999996</v>
      </c>
      <c r="J18" s="386">
        <f>F18*I18</f>
        <v>0</v>
      </c>
      <c r="K18" s="386"/>
      <c r="L18" s="386"/>
      <c r="M18" s="386">
        <f>H18+J18+L18</f>
        <v>0</v>
      </c>
    </row>
    <row r="19" spans="1:15" s="45" customFormat="1" hidden="1">
      <c r="A19" s="41"/>
      <c r="B19" s="1434"/>
      <c r="C19" s="15" t="s">
        <v>90</v>
      </c>
      <c r="D19" s="86" t="s">
        <v>57</v>
      </c>
      <c r="E19" s="41">
        <v>0.432</v>
      </c>
      <c r="F19" s="386">
        <f>F17*E19</f>
        <v>0</v>
      </c>
      <c r="G19" s="386"/>
      <c r="H19" s="386"/>
      <c r="I19" s="386"/>
      <c r="J19" s="386"/>
      <c r="K19" s="386">
        <v>3.2</v>
      </c>
      <c r="L19" s="386">
        <f>F19*K19</f>
        <v>0</v>
      </c>
      <c r="M19" s="386">
        <f>H19+J19+L19</f>
        <v>0</v>
      </c>
    </row>
    <row r="20" spans="1:15" s="85" customFormat="1" hidden="1">
      <c r="A20" s="140">
        <v>5</v>
      </c>
      <c r="B20" s="1446" t="s">
        <v>631</v>
      </c>
      <c r="C20" s="151" t="s">
        <v>995</v>
      </c>
      <c r="D20" s="140" t="s">
        <v>78</v>
      </c>
      <c r="E20" s="140"/>
      <c r="F20" s="384">
        <f>'დეფექტური აქტი'!E11</f>
        <v>0</v>
      </c>
      <c r="G20" s="385"/>
      <c r="H20" s="385"/>
      <c r="I20" s="385"/>
      <c r="J20" s="385"/>
      <c r="K20" s="385"/>
      <c r="L20" s="385"/>
      <c r="M20" s="385"/>
    </row>
    <row r="21" spans="1:15" s="85" customFormat="1" hidden="1">
      <c r="A21" s="83"/>
      <c r="B21" s="1432"/>
      <c r="C21" s="84" t="s">
        <v>79</v>
      </c>
      <c r="D21" s="83" t="s">
        <v>80</v>
      </c>
      <c r="E21" s="83">
        <v>0.159</v>
      </c>
      <c r="F21" s="386">
        <f>F20*E21</f>
        <v>0</v>
      </c>
      <c r="G21" s="386"/>
      <c r="H21" s="386"/>
      <c r="I21" s="386">
        <v>4.5999999999999996</v>
      </c>
      <c r="J21" s="386">
        <f>F21*I21</f>
        <v>0</v>
      </c>
      <c r="K21" s="386"/>
      <c r="L21" s="386"/>
      <c r="M21" s="386">
        <f>H21+J21+L21</f>
        <v>0</v>
      </c>
    </row>
    <row r="22" spans="1:15" s="85" customFormat="1" hidden="1">
      <c r="A22" s="83"/>
      <c r="B22" s="1437"/>
      <c r="C22" s="84" t="s">
        <v>81</v>
      </c>
      <c r="D22" s="86" t="s">
        <v>57</v>
      </c>
      <c r="E22" s="83">
        <v>1.7000000000000001E-2</v>
      </c>
      <c r="F22" s="386">
        <f>F20*E22</f>
        <v>0</v>
      </c>
      <c r="G22" s="386"/>
      <c r="H22" s="386"/>
      <c r="I22" s="386"/>
      <c r="J22" s="386"/>
      <c r="K22" s="386">
        <v>3.2</v>
      </c>
      <c r="L22" s="386">
        <f>F22*K22</f>
        <v>0</v>
      </c>
      <c r="M22" s="386">
        <f>H22+J22+L22</f>
        <v>0</v>
      </c>
    </row>
    <row r="23" spans="1:15" s="85" customFormat="1" ht="13.5" hidden="1" customHeight="1">
      <c r="A23" s="140">
        <v>6</v>
      </c>
      <c r="B23" s="1493" t="s">
        <v>439</v>
      </c>
      <c r="C23" s="151" t="s">
        <v>254</v>
      </c>
      <c r="D23" s="140" t="s">
        <v>88</v>
      </c>
      <c r="E23" s="140"/>
      <c r="F23" s="384">
        <f>'დეფექტური აქტი'!E12</f>
        <v>0</v>
      </c>
      <c r="G23" s="385"/>
      <c r="H23" s="385"/>
      <c r="I23" s="385"/>
      <c r="J23" s="385"/>
      <c r="K23" s="385"/>
      <c r="L23" s="385"/>
      <c r="M23" s="385"/>
    </row>
    <row r="24" spans="1:15" s="85" customFormat="1" hidden="1">
      <c r="A24" s="83"/>
      <c r="B24" s="1475"/>
      <c r="C24" s="84" t="s">
        <v>79</v>
      </c>
      <c r="D24" s="83" t="s">
        <v>80</v>
      </c>
      <c r="E24" s="83">
        <v>10.199999999999999</v>
      </c>
      <c r="F24" s="386">
        <f>F23*E24</f>
        <v>0</v>
      </c>
      <c r="G24" s="386"/>
      <c r="H24" s="386"/>
      <c r="I24" s="386">
        <v>4.5999999999999996</v>
      </c>
      <c r="J24" s="386">
        <f>F24*I24</f>
        <v>0</v>
      </c>
      <c r="K24" s="386"/>
      <c r="L24" s="386"/>
      <c r="M24" s="386">
        <f>H24+J24+L24</f>
        <v>0</v>
      </c>
    </row>
    <row r="25" spans="1:15" s="85" customFormat="1" hidden="1">
      <c r="A25" s="83"/>
      <c r="B25" s="1494"/>
      <c r="C25" s="84" t="s">
        <v>81</v>
      </c>
      <c r="D25" s="86" t="s">
        <v>57</v>
      </c>
      <c r="E25" s="83">
        <v>0.23</v>
      </c>
      <c r="F25" s="386">
        <f>F23*E25</f>
        <v>0</v>
      </c>
      <c r="G25" s="386"/>
      <c r="H25" s="386"/>
      <c r="I25" s="386"/>
      <c r="J25" s="386"/>
      <c r="K25" s="386">
        <v>3.2</v>
      </c>
      <c r="L25" s="386">
        <f>F25*K25</f>
        <v>0</v>
      </c>
      <c r="M25" s="386">
        <f>H25+J25+L25</f>
        <v>0</v>
      </c>
    </row>
    <row r="26" spans="1:15" s="42" customFormat="1" hidden="1">
      <c r="A26" s="47">
        <v>7</v>
      </c>
      <c r="B26" s="1433" t="s">
        <v>77</v>
      </c>
      <c r="C26" s="46" t="s">
        <v>1106</v>
      </c>
      <c r="D26" s="140" t="s">
        <v>78</v>
      </c>
      <c r="E26" s="47"/>
      <c r="F26" s="384">
        <f>'დეფექტური აქტი'!E13</f>
        <v>0</v>
      </c>
      <c r="G26" s="385"/>
      <c r="H26" s="385"/>
      <c r="I26" s="385"/>
      <c r="J26" s="385"/>
      <c r="K26" s="385"/>
      <c r="L26" s="385"/>
      <c r="M26" s="385"/>
    </row>
    <row r="27" spans="1:15" s="42" customFormat="1" hidden="1">
      <c r="A27" s="41"/>
      <c r="B27" s="1434"/>
      <c r="C27" s="15" t="s">
        <v>79</v>
      </c>
      <c r="D27" s="83" t="s">
        <v>80</v>
      </c>
      <c r="E27" s="41">
        <v>0.65800000000000003</v>
      </c>
      <c r="F27" s="386">
        <f>F26*E27</f>
        <v>0</v>
      </c>
      <c r="G27" s="386"/>
      <c r="H27" s="386"/>
      <c r="I27" s="386">
        <v>4.5999999999999996</v>
      </c>
      <c r="J27" s="386">
        <f>F27*I27</f>
        <v>0</v>
      </c>
      <c r="K27" s="386"/>
      <c r="L27" s="386"/>
      <c r="M27" s="386">
        <f>H27+J27+L27</f>
        <v>0</v>
      </c>
    </row>
    <row r="28" spans="1:15" s="42" customFormat="1" hidden="1">
      <c r="A28" s="41"/>
      <c r="B28" s="1434"/>
      <c r="C28" s="15" t="s">
        <v>81</v>
      </c>
      <c r="D28" s="86" t="s">
        <v>57</v>
      </c>
      <c r="E28" s="41">
        <v>4.9700000000000001E-2</v>
      </c>
      <c r="F28" s="386">
        <f>F26*E28</f>
        <v>0</v>
      </c>
      <c r="G28" s="386"/>
      <c r="H28" s="386"/>
      <c r="I28" s="386"/>
      <c r="J28" s="386"/>
      <c r="K28" s="386">
        <v>3.2</v>
      </c>
      <c r="L28" s="386">
        <f>F28*K28</f>
        <v>0</v>
      </c>
      <c r="M28" s="386">
        <f>H28+J28+L28</f>
        <v>0</v>
      </c>
    </row>
    <row r="29" spans="1:15" s="42" customFormat="1">
      <c r="A29" s="1178">
        <v>8</v>
      </c>
      <c r="B29" s="1433" t="s">
        <v>413</v>
      </c>
      <c r="C29" s="46" t="s">
        <v>806</v>
      </c>
      <c r="D29" s="140" t="s">
        <v>78</v>
      </c>
      <c r="E29" s="47"/>
      <c r="F29" s="384">
        <f>'დეფექტური აქტი'!E14</f>
        <v>64.47</v>
      </c>
      <c r="G29" s="385"/>
      <c r="H29" s="385"/>
      <c r="I29" s="385"/>
      <c r="J29" s="385"/>
      <c r="K29" s="385"/>
      <c r="L29" s="385"/>
      <c r="M29" s="385"/>
    </row>
    <row r="30" spans="1:15" s="42" customFormat="1">
      <c r="A30" s="412"/>
      <c r="B30" s="1434"/>
      <c r="C30" s="15" t="s">
        <v>79</v>
      </c>
      <c r="D30" s="83" t="s">
        <v>80</v>
      </c>
      <c r="E30" s="41">
        <v>0.8125</v>
      </c>
      <c r="F30" s="386">
        <f>F29*E30</f>
        <v>52.381875000000001</v>
      </c>
      <c r="G30" s="386"/>
      <c r="H30" s="386"/>
      <c r="I30" s="386"/>
      <c r="J30" s="386"/>
      <c r="K30" s="386"/>
      <c r="L30" s="386"/>
      <c r="M30" s="386"/>
    </row>
    <row r="31" spans="1:15" s="42" customFormat="1">
      <c r="A31" s="412"/>
      <c r="B31" s="1434"/>
      <c r="C31" s="15" t="s">
        <v>81</v>
      </c>
      <c r="D31" s="86" t="s">
        <v>57</v>
      </c>
      <c r="E31" s="41">
        <v>0.22500000000000001</v>
      </c>
      <c r="F31" s="386">
        <f>F29*E31</f>
        <v>14.505750000000001</v>
      </c>
      <c r="G31" s="386"/>
      <c r="H31" s="386"/>
      <c r="I31" s="386"/>
      <c r="J31" s="386"/>
      <c r="K31" s="386"/>
      <c r="L31" s="386"/>
      <c r="M31" s="386"/>
      <c r="O31" s="1345"/>
    </row>
    <row r="32" spans="1:15" s="42" customFormat="1" hidden="1">
      <c r="A32" s="47">
        <v>9</v>
      </c>
      <c r="B32" s="1433" t="s">
        <v>871</v>
      </c>
      <c r="C32" s="46" t="s">
        <v>904</v>
      </c>
      <c r="D32" s="140" t="s">
        <v>78</v>
      </c>
      <c r="E32" s="47"/>
      <c r="F32" s="384">
        <f>'დეფექტური აქტი'!E15</f>
        <v>0</v>
      </c>
      <c r="G32" s="385"/>
      <c r="H32" s="385"/>
      <c r="I32" s="385"/>
      <c r="J32" s="385"/>
      <c r="K32" s="385"/>
      <c r="L32" s="385"/>
      <c r="M32" s="385"/>
    </row>
    <row r="33" spans="1:14" s="42" customFormat="1" hidden="1">
      <c r="A33" s="41"/>
      <c r="B33" s="1434"/>
      <c r="C33" s="15" t="s">
        <v>79</v>
      </c>
      <c r="D33" s="83" t="s">
        <v>80</v>
      </c>
      <c r="E33" s="41">
        <v>0.45900000000000002</v>
      </c>
      <c r="F33" s="386">
        <f>F32*E33</f>
        <v>0</v>
      </c>
      <c r="G33" s="386"/>
      <c r="H33" s="386"/>
      <c r="I33" s="386">
        <v>4.5999999999999996</v>
      </c>
      <c r="J33" s="386">
        <f>F33*I33</f>
        <v>0</v>
      </c>
      <c r="K33" s="386"/>
      <c r="L33" s="386"/>
      <c r="M33" s="386">
        <f>H33+J33+L33</f>
        <v>0</v>
      </c>
    </row>
    <row r="34" spans="1:14" s="42" customFormat="1" hidden="1">
      <c r="A34" s="43"/>
      <c r="B34" s="1463"/>
      <c r="C34" s="56" t="s">
        <v>81</v>
      </c>
      <c r="D34" s="86" t="s">
        <v>57</v>
      </c>
      <c r="E34" s="43">
        <v>5.1400000000000001E-2</v>
      </c>
      <c r="F34" s="387">
        <f>F32*E34</f>
        <v>0</v>
      </c>
      <c r="G34" s="387"/>
      <c r="H34" s="387"/>
      <c r="I34" s="387"/>
      <c r="J34" s="387"/>
      <c r="K34" s="387">
        <v>3.2</v>
      </c>
      <c r="L34" s="387">
        <f>F34*K34</f>
        <v>0</v>
      </c>
      <c r="M34" s="387">
        <f>H34+J34+L34</f>
        <v>0</v>
      </c>
    </row>
    <row r="35" spans="1:14" s="349" customFormat="1" ht="18" hidden="1" customHeight="1">
      <c r="A35" s="330">
        <v>10</v>
      </c>
      <c r="B35" s="328" t="s">
        <v>905</v>
      </c>
      <c r="C35" s="329" t="s">
        <v>903</v>
      </c>
      <c r="D35" s="330" t="s">
        <v>78</v>
      </c>
      <c r="E35" s="330"/>
      <c r="F35" s="388">
        <f>'დეფექტური აქტი'!E16</f>
        <v>0</v>
      </c>
      <c r="G35" s="389"/>
      <c r="H35" s="389"/>
      <c r="I35" s="389"/>
      <c r="J35" s="389"/>
      <c r="K35" s="389"/>
      <c r="L35" s="389"/>
      <c r="M35" s="389"/>
      <c r="N35" s="348"/>
    </row>
    <row r="36" spans="1:14" s="349" customFormat="1" ht="14.25" hidden="1" customHeight="1">
      <c r="A36" s="330"/>
      <c r="B36" s="328"/>
      <c r="C36" s="341" t="s">
        <v>906</v>
      </c>
      <c r="D36" s="336" t="s">
        <v>80</v>
      </c>
      <c r="E36" s="336">
        <v>0.5</v>
      </c>
      <c r="F36" s="389">
        <f>F35*E36</f>
        <v>0</v>
      </c>
      <c r="G36" s="389"/>
      <c r="H36" s="389"/>
      <c r="I36" s="386">
        <v>4.5999999999999996</v>
      </c>
      <c r="J36" s="389">
        <f>F36*I36</f>
        <v>0</v>
      </c>
      <c r="K36" s="389"/>
      <c r="L36" s="389"/>
      <c r="M36" s="389">
        <f>H36+J36+L36</f>
        <v>0</v>
      </c>
      <c r="N36" s="348"/>
    </row>
    <row r="37" spans="1:14" s="349" customFormat="1" hidden="1">
      <c r="A37" s="330"/>
      <c r="B37" s="328"/>
      <c r="C37" s="341" t="s">
        <v>907</v>
      </c>
      <c r="D37" s="336" t="s">
        <v>57</v>
      </c>
      <c r="E37" s="336">
        <v>2.7E-2</v>
      </c>
      <c r="F37" s="389">
        <f>F35*E37</f>
        <v>0</v>
      </c>
      <c r="G37" s="389"/>
      <c r="H37" s="389"/>
      <c r="I37" s="389"/>
      <c r="J37" s="389"/>
      <c r="K37" s="387">
        <v>3.2</v>
      </c>
      <c r="L37" s="389">
        <f>F37*K37</f>
        <v>0</v>
      </c>
      <c r="M37" s="389">
        <f>H37+J37+L37</f>
        <v>0</v>
      </c>
      <c r="N37" s="348"/>
    </row>
    <row r="38" spans="1:14" s="85" customFormat="1" hidden="1">
      <c r="A38" s="140">
        <v>11</v>
      </c>
      <c r="B38" s="1431" t="s">
        <v>413</v>
      </c>
      <c r="C38" s="151" t="s">
        <v>414</v>
      </c>
      <c r="D38" s="140" t="s">
        <v>88</v>
      </c>
      <c r="E38" s="140"/>
      <c r="F38" s="384">
        <f>'დეფექტური აქტი'!E17</f>
        <v>0</v>
      </c>
      <c r="G38" s="422"/>
      <c r="H38" s="422"/>
      <c r="I38" s="422"/>
      <c r="J38" s="422"/>
      <c r="K38" s="422"/>
      <c r="L38" s="422"/>
      <c r="M38" s="422"/>
    </row>
    <row r="39" spans="1:14" s="85" customFormat="1" hidden="1">
      <c r="A39" s="83"/>
      <c r="B39" s="1432"/>
      <c r="C39" s="223" t="s">
        <v>209</v>
      </c>
      <c r="D39" s="83" t="s">
        <v>80</v>
      </c>
      <c r="E39" s="211">
        <v>6.5</v>
      </c>
      <c r="F39" s="386">
        <f>F38*E39</f>
        <v>0</v>
      </c>
      <c r="G39" s="225"/>
      <c r="H39" s="225"/>
      <c r="I39" s="386">
        <v>4.5999999999999996</v>
      </c>
      <c r="J39" s="225">
        <f>F39*I39</f>
        <v>0</v>
      </c>
      <c r="K39" s="225"/>
      <c r="L39" s="225"/>
      <c r="M39" s="225">
        <f>H39+J39+L39</f>
        <v>0</v>
      </c>
    </row>
    <row r="40" spans="1:14" s="85" customFormat="1" hidden="1">
      <c r="A40" s="83"/>
      <c r="B40" s="1432"/>
      <c r="C40" s="223" t="s">
        <v>133</v>
      </c>
      <c r="D40" s="86" t="s">
        <v>57</v>
      </c>
      <c r="E40" s="211">
        <v>1.8</v>
      </c>
      <c r="F40" s="386">
        <f>F38*E40</f>
        <v>0</v>
      </c>
      <c r="G40" s="225"/>
      <c r="H40" s="225"/>
      <c r="I40" s="225"/>
      <c r="J40" s="225"/>
      <c r="K40" s="225">
        <v>3.2</v>
      </c>
      <c r="L40" s="225">
        <f>F40*K40</f>
        <v>0</v>
      </c>
      <c r="M40" s="225">
        <f>H40+J40+L40</f>
        <v>0</v>
      </c>
    </row>
    <row r="41" spans="1:14" s="85" customFormat="1">
      <c r="A41" s="1100">
        <v>12</v>
      </c>
      <c r="B41" s="1431" t="s">
        <v>1473</v>
      </c>
      <c r="C41" s="151" t="s">
        <v>1475</v>
      </c>
      <c r="D41" s="140" t="s">
        <v>88</v>
      </c>
      <c r="E41" s="140">
        <f>'დეფექტური აქტი'!E18</f>
        <v>2.15</v>
      </c>
      <c r="F41" s="384">
        <f>'დეფექტური აქტი'!E18</f>
        <v>2.15</v>
      </c>
      <c r="G41" s="422"/>
      <c r="H41" s="422"/>
      <c r="I41" s="422"/>
      <c r="J41" s="422"/>
      <c r="K41" s="422"/>
      <c r="L41" s="422"/>
      <c r="M41" s="422"/>
    </row>
    <row r="42" spans="1:14" s="85" customFormat="1">
      <c r="A42" s="438"/>
      <c r="B42" s="1432"/>
      <c r="C42" s="223" t="s">
        <v>209</v>
      </c>
      <c r="D42" s="83" t="s">
        <v>80</v>
      </c>
      <c r="E42" s="211">
        <v>8.89</v>
      </c>
      <c r="F42" s="386">
        <f>F41*E42</f>
        <v>19.113500000000002</v>
      </c>
      <c r="G42" s="225"/>
      <c r="H42" s="225"/>
      <c r="I42" s="386"/>
      <c r="J42" s="225"/>
      <c r="K42" s="225"/>
      <c r="L42" s="225"/>
      <c r="M42" s="225"/>
    </row>
    <row r="43" spans="1:14" s="85" customFormat="1">
      <c r="A43" s="438"/>
      <c r="B43" s="1432"/>
      <c r="C43" s="223" t="s">
        <v>133</v>
      </c>
      <c r="D43" s="86" t="s">
        <v>57</v>
      </c>
      <c r="E43" s="211">
        <v>3.35</v>
      </c>
      <c r="F43" s="386">
        <f>F41*E43</f>
        <v>7.2024999999999997</v>
      </c>
      <c r="G43" s="225"/>
      <c r="H43" s="225"/>
      <c r="I43" s="225"/>
      <c r="J43" s="225"/>
      <c r="K43" s="225"/>
      <c r="L43" s="225"/>
      <c r="M43" s="225"/>
    </row>
    <row r="44" spans="1:14" s="85" customFormat="1" hidden="1">
      <c r="A44" s="140">
        <v>13</v>
      </c>
      <c r="B44" s="1431" t="s">
        <v>413</v>
      </c>
      <c r="C44" s="151" t="s">
        <v>1474</v>
      </c>
      <c r="D44" s="140" t="s">
        <v>88</v>
      </c>
      <c r="E44" s="140">
        <f>'დეფექტური აქტი'!E19</f>
        <v>0</v>
      </c>
      <c r="F44" s="384">
        <f>'დეფექტური აქტი'!E19</f>
        <v>0</v>
      </c>
      <c r="G44" s="422"/>
      <c r="H44" s="422"/>
      <c r="I44" s="422"/>
      <c r="J44" s="422"/>
      <c r="K44" s="422"/>
      <c r="L44" s="422"/>
      <c r="M44" s="422"/>
    </row>
    <row r="45" spans="1:14" s="85" customFormat="1" hidden="1">
      <c r="A45" s="83"/>
      <c r="B45" s="1432"/>
      <c r="C45" s="223" t="s">
        <v>209</v>
      </c>
      <c r="D45" s="83" t="s">
        <v>80</v>
      </c>
      <c r="E45" s="211">
        <v>21.1</v>
      </c>
      <c r="F45" s="386">
        <f>F44*E45</f>
        <v>0</v>
      </c>
      <c r="G45" s="225"/>
      <c r="H45" s="225"/>
      <c r="I45" s="386">
        <v>4.5999999999999996</v>
      </c>
      <c r="J45" s="225">
        <f>F45*I45</f>
        <v>0</v>
      </c>
      <c r="K45" s="225"/>
      <c r="L45" s="225"/>
      <c r="M45" s="225">
        <f>H45+J45+L45</f>
        <v>0</v>
      </c>
    </row>
    <row r="46" spans="1:14" s="85" customFormat="1" hidden="1">
      <c r="A46" s="83"/>
      <c r="B46" s="1432"/>
      <c r="C46" s="223" t="s">
        <v>133</v>
      </c>
      <c r="D46" s="86" t="s">
        <v>57</v>
      </c>
      <c r="E46" s="211">
        <v>14.7</v>
      </c>
      <c r="F46" s="386">
        <f>F44*E46</f>
        <v>0</v>
      </c>
      <c r="G46" s="225"/>
      <c r="H46" s="225"/>
      <c r="I46" s="225"/>
      <c r="J46" s="225"/>
      <c r="K46" s="225">
        <v>3.2</v>
      </c>
      <c r="L46" s="225">
        <f>F46*K46</f>
        <v>0</v>
      </c>
      <c r="M46" s="225">
        <f>H46+J46+L46</f>
        <v>0</v>
      </c>
    </row>
    <row r="47" spans="1:14" s="42" customFormat="1" hidden="1">
      <c r="A47" s="47">
        <v>14</v>
      </c>
      <c r="B47" s="1433" t="s">
        <v>872</v>
      </c>
      <c r="C47" s="46" t="s">
        <v>873</v>
      </c>
      <c r="D47" s="140" t="s">
        <v>88</v>
      </c>
      <c r="E47" s="47"/>
      <c r="F47" s="384">
        <f>'დეფექტური აქტი'!E20</f>
        <v>0</v>
      </c>
      <c r="G47" s="385"/>
      <c r="H47" s="385"/>
      <c r="I47" s="385"/>
      <c r="J47" s="385"/>
      <c r="K47" s="385"/>
      <c r="L47" s="385"/>
      <c r="M47" s="385"/>
    </row>
    <row r="48" spans="1:14" s="42" customFormat="1" hidden="1">
      <c r="A48" s="41"/>
      <c r="B48" s="1434"/>
      <c r="C48" s="15" t="s">
        <v>79</v>
      </c>
      <c r="D48" s="83" t="s">
        <v>80</v>
      </c>
      <c r="E48" s="41">
        <v>4.8</v>
      </c>
      <c r="F48" s="386">
        <f>F47*E48</f>
        <v>0</v>
      </c>
      <c r="G48" s="386"/>
      <c r="H48" s="386"/>
      <c r="I48" s="386">
        <v>4.5999999999999996</v>
      </c>
      <c r="J48" s="386">
        <f>F48*I48</f>
        <v>0</v>
      </c>
      <c r="K48" s="386"/>
      <c r="L48" s="386"/>
      <c r="M48" s="386">
        <f>H48+J48+L48</f>
        <v>0</v>
      </c>
    </row>
    <row r="49" spans="1:13" s="42" customFormat="1" hidden="1">
      <c r="A49" s="41"/>
      <c r="B49" s="1434"/>
      <c r="C49" s="15" t="s">
        <v>81</v>
      </c>
      <c r="D49" s="86" t="s">
        <v>57</v>
      </c>
      <c r="E49" s="41">
        <v>1.1000000000000001</v>
      </c>
      <c r="F49" s="386">
        <f>F47*E49</f>
        <v>0</v>
      </c>
      <c r="G49" s="386"/>
      <c r="H49" s="386"/>
      <c r="I49" s="386"/>
      <c r="J49" s="386"/>
      <c r="K49" s="386">
        <v>3.2</v>
      </c>
      <c r="L49" s="386">
        <f>F49*K49</f>
        <v>0</v>
      </c>
      <c r="M49" s="386">
        <f>H49+J49+L49</f>
        <v>0</v>
      </c>
    </row>
    <row r="50" spans="1:13" s="42" customFormat="1">
      <c r="A50" s="1178">
        <v>15</v>
      </c>
      <c r="B50" s="1435" t="s">
        <v>440</v>
      </c>
      <c r="C50" s="46" t="s">
        <v>14</v>
      </c>
      <c r="D50" s="47" t="s">
        <v>78</v>
      </c>
      <c r="E50" s="47"/>
      <c r="F50" s="384">
        <f>'დეფექტური აქტი'!E21</f>
        <v>81</v>
      </c>
      <c r="G50" s="385"/>
      <c r="H50" s="385"/>
      <c r="I50" s="385"/>
      <c r="J50" s="385"/>
      <c r="K50" s="385"/>
      <c r="L50" s="385"/>
      <c r="M50" s="385"/>
    </row>
    <row r="51" spans="1:13" s="42" customFormat="1">
      <c r="A51" s="1228"/>
      <c r="B51" s="1436"/>
      <c r="C51" s="15" t="s">
        <v>79</v>
      </c>
      <c r="D51" s="43" t="s">
        <v>80</v>
      </c>
      <c r="E51" s="41">
        <v>0.16</v>
      </c>
      <c r="F51" s="386">
        <f>F50*E51</f>
        <v>12.96</v>
      </c>
      <c r="G51" s="386"/>
      <c r="H51" s="386"/>
      <c r="I51" s="386"/>
      <c r="J51" s="386"/>
      <c r="K51" s="386"/>
      <c r="L51" s="386"/>
      <c r="M51" s="386"/>
    </row>
    <row r="52" spans="1:13" s="42" customFormat="1" ht="27" hidden="1">
      <c r="A52" s="47">
        <v>16</v>
      </c>
      <c r="B52" s="1435" t="s">
        <v>441</v>
      </c>
      <c r="C52" s="46" t="s">
        <v>16</v>
      </c>
      <c r="D52" s="47" t="s">
        <v>78</v>
      </c>
      <c r="E52" s="47"/>
      <c r="F52" s="384">
        <f>'დეფექტური აქტი'!E22</f>
        <v>0</v>
      </c>
      <c r="G52" s="385"/>
      <c r="H52" s="385"/>
      <c r="I52" s="385"/>
      <c r="J52" s="385"/>
      <c r="K52" s="385"/>
      <c r="L52" s="385"/>
      <c r="M52" s="385"/>
    </row>
    <row r="53" spans="1:13" s="42" customFormat="1" hidden="1">
      <c r="A53" s="41"/>
      <c r="B53" s="1436"/>
      <c r="C53" s="15" t="s">
        <v>79</v>
      </c>
      <c r="D53" s="43" t="s">
        <v>80</v>
      </c>
      <c r="E53" s="41">
        <v>0.56000000000000005</v>
      </c>
      <c r="F53" s="386">
        <f>F52*E53</f>
        <v>0</v>
      </c>
      <c r="G53" s="386"/>
      <c r="H53" s="386"/>
      <c r="I53" s="386">
        <v>4.5999999999999996</v>
      </c>
      <c r="J53" s="386">
        <f>F53*I53</f>
        <v>0</v>
      </c>
      <c r="K53" s="386"/>
      <c r="L53" s="386"/>
      <c r="M53" s="386">
        <f>H53+J53+L53</f>
        <v>0</v>
      </c>
    </row>
    <row r="54" spans="1:13" s="42" customFormat="1" ht="27" hidden="1">
      <c r="A54" s="47">
        <v>17</v>
      </c>
      <c r="B54" s="1433" t="s">
        <v>340</v>
      </c>
      <c r="C54" s="46" t="s">
        <v>22</v>
      </c>
      <c r="D54" s="140" t="s">
        <v>78</v>
      </c>
      <c r="E54" s="47"/>
      <c r="F54" s="384">
        <f>'დეფექტური აქტი'!E23</f>
        <v>0</v>
      </c>
      <c r="G54" s="385"/>
      <c r="H54" s="385"/>
      <c r="I54" s="385"/>
      <c r="J54" s="385"/>
      <c r="K54" s="385"/>
      <c r="L54" s="385"/>
      <c r="M54" s="385"/>
    </row>
    <row r="55" spans="1:13" s="42" customFormat="1" hidden="1">
      <c r="A55" s="41"/>
      <c r="B55" s="1434"/>
      <c r="C55" s="15" t="s">
        <v>341</v>
      </c>
      <c r="D55" s="83" t="s">
        <v>80</v>
      </c>
      <c r="E55" s="41">
        <v>0.34</v>
      </c>
      <c r="F55" s="386">
        <f>F54*E55</f>
        <v>0</v>
      </c>
      <c r="G55" s="386"/>
      <c r="H55" s="386"/>
      <c r="I55" s="386">
        <v>4.5999999999999996</v>
      </c>
      <c r="J55" s="386">
        <f>F55*I55</f>
        <v>0</v>
      </c>
      <c r="K55" s="386"/>
      <c r="L55" s="386"/>
      <c r="M55" s="386">
        <f>H55+J55+L55</f>
        <v>0</v>
      </c>
    </row>
    <row r="56" spans="1:13" s="42" customFormat="1" hidden="1">
      <c r="A56" s="41"/>
      <c r="B56" s="1434"/>
      <c r="C56" s="15" t="s">
        <v>342</v>
      </c>
      <c r="D56" s="86" t="s">
        <v>57</v>
      </c>
      <c r="E56" s="41">
        <v>7.0000000000000001E-3</v>
      </c>
      <c r="F56" s="386">
        <f>F54*E56</f>
        <v>0</v>
      </c>
      <c r="G56" s="386"/>
      <c r="H56" s="386"/>
      <c r="I56" s="386"/>
      <c r="J56" s="386"/>
      <c r="K56" s="386">
        <v>3.2</v>
      </c>
      <c r="L56" s="386">
        <f>F56*K56</f>
        <v>0</v>
      </c>
      <c r="M56" s="386">
        <f>H56+J56+L56</f>
        <v>0</v>
      </c>
    </row>
    <row r="57" spans="1:13" s="42" customFormat="1">
      <c r="A57" s="1178">
        <v>18</v>
      </c>
      <c r="B57" s="1433" t="s">
        <v>82</v>
      </c>
      <c r="C57" s="46" t="s">
        <v>17</v>
      </c>
      <c r="D57" s="140" t="s">
        <v>78</v>
      </c>
      <c r="E57" s="47"/>
      <c r="F57" s="384">
        <f>'დეფექტური აქტი'!E24</f>
        <v>81</v>
      </c>
      <c r="G57" s="385"/>
      <c r="H57" s="385"/>
      <c r="I57" s="385"/>
      <c r="J57" s="385"/>
      <c r="K57" s="385"/>
      <c r="L57" s="385"/>
      <c r="M57" s="385"/>
    </row>
    <row r="58" spans="1:13" s="42" customFormat="1">
      <c r="A58" s="412"/>
      <c r="B58" s="1434"/>
      <c r="C58" s="15" t="s">
        <v>79</v>
      </c>
      <c r="D58" s="83" t="s">
        <v>80</v>
      </c>
      <c r="E58" s="41">
        <v>0.186</v>
      </c>
      <c r="F58" s="386">
        <f>F57*E58</f>
        <v>15.066000000000001</v>
      </c>
      <c r="G58" s="386"/>
      <c r="H58" s="386"/>
      <c r="I58" s="386"/>
      <c r="J58" s="386"/>
      <c r="K58" s="386"/>
      <c r="L58" s="386"/>
      <c r="M58" s="386"/>
    </row>
    <row r="59" spans="1:13" s="42" customFormat="1">
      <c r="A59" s="412"/>
      <c r="B59" s="1434"/>
      <c r="C59" s="15" t="s">
        <v>81</v>
      </c>
      <c r="D59" s="86" t="s">
        <v>57</v>
      </c>
      <c r="E59" s="41">
        <v>1.6000000000000001E-3</v>
      </c>
      <c r="F59" s="386">
        <f>F57*E59</f>
        <v>0.12959999999999999</v>
      </c>
      <c r="G59" s="386"/>
      <c r="H59" s="386"/>
      <c r="I59" s="386"/>
      <c r="J59" s="386"/>
      <c r="K59" s="386"/>
      <c r="L59" s="386"/>
      <c r="M59" s="386"/>
    </row>
    <row r="60" spans="1:13" s="88" customFormat="1" hidden="1">
      <c r="A60" s="140">
        <v>19</v>
      </c>
      <c r="B60" s="1474" t="s">
        <v>415</v>
      </c>
      <c r="C60" s="23" t="s">
        <v>1477</v>
      </c>
      <c r="D60" s="140" t="s">
        <v>88</v>
      </c>
      <c r="E60" s="140"/>
      <c r="F60" s="384">
        <f>'დეფექტური აქტი'!E25</f>
        <v>0</v>
      </c>
      <c r="G60" s="422"/>
      <c r="H60" s="422"/>
      <c r="I60" s="422"/>
      <c r="J60" s="422"/>
      <c r="K60" s="422"/>
      <c r="L60" s="422"/>
      <c r="M60" s="422"/>
    </row>
    <row r="61" spans="1:13" s="88" customFormat="1" hidden="1">
      <c r="A61" s="83"/>
      <c r="B61" s="1475"/>
      <c r="C61" s="226" t="s">
        <v>209</v>
      </c>
      <c r="D61" s="83" t="s">
        <v>80</v>
      </c>
      <c r="E61" s="211">
        <v>22</v>
      </c>
      <c r="F61" s="386">
        <f>F60*E61</f>
        <v>0</v>
      </c>
      <c r="G61" s="225"/>
      <c r="H61" s="225"/>
      <c r="I61" s="386">
        <v>4.5999999999999996</v>
      </c>
      <c r="J61" s="225">
        <f>F61*I61</f>
        <v>0</v>
      </c>
      <c r="K61" s="225"/>
      <c r="L61" s="225"/>
      <c r="M61" s="225">
        <f>H61+J61+L61</f>
        <v>0</v>
      </c>
    </row>
    <row r="62" spans="1:13" s="88" customFormat="1" hidden="1">
      <c r="A62" s="83"/>
      <c r="B62" s="1475"/>
      <c r="C62" s="223" t="s">
        <v>81</v>
      </c>
      <c r="D62" s="86" t="s">
        <v>57</v>
      </c>
      <c r="E62" s="211">
        <v>16.8</v>
      </c>
      <c r="F62" s="386">
        <f>F60*E62</f>
        <v>0</v>
      </c>
      <c r="G62" s="225"/>
      <c r="H62" s="225"/>
      <c r="I62" s="225"/>
      <c r="J62" s="225"/>
      <c r="K62" s="225">
        <v>3.2</v>
      </c>
      <c r="L62" s="225">
        <f>F62*K62</f>
        <v>0</v>
      </c>
      <c r="M62" s="225">
        <f>H62+J62+L62</f>
        <v>0</v>
      </c>
    </row>
    <row r="63" spans="1:13" s="88" customFormat="1" hidden="1">
      <c r="A63" s="140">
        <v>20</v>
      </c>
      <c r="B63" s="1474" t="s">
        <v>1478</v>
      </c>
      <c r="C63" s="23" t="s">
        <v>1479</v>
      </c>
      <c r="D63" s="140" t="s">
        <v>88</v>
      </c>
      <c r="E63" s="140"/>
      <c r="F63" s="384">
        <f>'დეფექტური აქტი'!E26</f>
        <v>0</v>
      </c>
      <c r="G63" s="422"/>
      <c r="H63" s="422"/>
      <c r="I63" s="422"/>
      <c r="J63" s="422"/>
      <c r="K63" s="422"/>
      <c r="L63" s="422"/>
      <c r="M63" s="422"/>
    </row>
    <row r="64" spans="1:13" s="88" customFormat="1" hidden="1">
      <c r="A64" s="83"/>
      <c r="B64" s="1475"/>
      <c r="C64" s="226" t="s">
        <v>209</v>
      </c>
      <c r="D64" s="83" t="s">
        <v>80</v>
      </c>
      <c r="E64" s="211">
        <v>13.2</v>
      </c>
      <c r="F64" s="386">
        <f>F63*E64</f>
        <v>0</v>
      </c>
      <c r="G64" s="225"/>
      <c r="H64" s="225"/>
      <c r="I64" s="386">
        <v>4.5999999999999996</v>
      </c>
      <c r="J64" s="225">
        <f>F64*I64</f>
        <v>0</v>
      </c>
      <c r="K64" s="225"/>
      <c r="L64" s="225"/>
      <c r="M64" s="225">
        <f>H64+J64+L64</f>
        <v>0</v>
      </c>
    </row>
    <row r="65" spans="1:13" s="88" customFormat="1" hidden="1">
      <c r="A65" s="83"/>
      <c r="B65" s="1475"/>
      <c r="C65" s="223" t="s">
        <v>81</v>
      </c>
      <c r="D65" s="86" t="s">
        <v>57</v>
      </c>
      <c r="E65" s="211">
        <v>9.6300000000000008</v>
      </c>
      <c r="F65" s="386">
        <f>F63*E65</f>
        <v>0</v>
      </c>
      <c r="G65" s="225"/>
      <c r="H65" s="225"/>
      <c r="I65" s="225"/>
      <c r="J65" s="225"/>
      <c r="K65" s="225">
        <v>3.2</v>
      </c>
      <c r="L65" s="225">
        <f>F65*K65</f>
        <v>0</v>
      </c>
      <c r="M65" s="225">
        <f>H65+J65+L65</f>
        <v>0</v>
      </c>
    </row>
    <row r="66" spans="1:13" s="88" customFormat="1" hidden="1">
      <c r="A66" s="140">
        <v>21</v>
      </c>
      <c r="B66" s="1474" t="s">
        <v>1482</v>
      </c>
      <c r="C66" s="23" t="s">
        <v>1480</v>
      </c>
      <c r="D66" s="140" t="s">
        <v>88</v>
      </c>
      <c r="E66" s="140"/>
      <c r="F66" s="384">
        <f>'დეფექტური აქტი'!E27</f>
        <v>0</v>
      </c>
      <c r="G66" s="422"/>
      <c r="H66" s="422"/>
      <c r="I66" s="422"/>
      <c r="J66" s="422"/>
      <c r="K66" s="422"/>
      <c r="L66" s="422"/>
      <c r="M66" s="422"/>
    </row>
    <row r="67" spans="1:13" s="88" customFormat="1" hidden="1">
      <c r="A67" s="83"/>
      <c r="B67" s="1475"/>
      <c r="C67" s="226" t="s">
        <v>209</v>
      </c>
      <c r="D67" s="83" t="s">
        <v>80</v>
      </c>
      <c r="E67" s="211">
        <v>7.8</v>
      </c>
      <c r="F67" s="386">
        <f>F66*E67</f>
        <v>0</v>
      </c>
      <c r="G67" s="225"/>
      <c r="H67" s="225"/>
      <c r="I67" s="386">
        <v>4.5999999999999996</v>
      </c>
      <c r="J67" s="225">
        <f>F67*I67</f>
        <v>0</v>
      </c>
      <c r="K67" s="225"/>
      <c r="L67" s="225"/>
      <c r="M67" s="225">
        <f>H67+J67+L67</f>
        <v>0</v>
      </c>
    </row>
    <row r="68" spans="1:13" s="88" customFormat="1" hidden="1">
      <c r="A68" s="83"/>
      <c r="B68" s="1475"/>
      <c r="C68" s="223" t="s">
        <v>81</v>
      </c>
      <c r="D68" s="86" t="s">
        <v>57</v>
      </c>
      <c r="E68" s="211">
        <v>4.0999999999999996</v>
      </c>
      <c r="F68" s="386">
        <f>F66*E68</f>
        <v>0</v>
      </c>
      <c r="G68" s="225"/>
      <c r="H68" s="225"/>
      <c r="I68" s="225"/>
      <c r="J68" s="225"/>
      <c r="K68" s="225">
        <v>3.2</v>
      </c>
      <c r="L68" s="225">
        <f>F68*K68</f>
        <v>0</v>
      </c>
      <c r="M68" s="225">
        <f>H68+J68+L68</f>
        <v>0</v>
      </c>
    </row>
    <row r="69" spans="1:13" s="88" customFormat="1">
      <c r="A69" s="1100">
        <v>22</v>
      </c>
      <c r="B69" s="1474" t="s">
        <v>1483</v>
      </c>
      <c r="C69" s="23" t="s">
        <v>1481</v>
      </c>
      <c r="D69" s="140" t="s">
        <v>88</v>
      </c>
      <c r="E69" s="140"/>
      <c r="F69" s="384">
        <f>'დეფექტური აქტი'!E28</f>
        <v>5.7</v>
      </c>
      <c r="G69" s="422"/>
      <c r="H69" s="422"/>
      <c r="I69" s="422"/>
      <c r="J69" s="422"/>
      <c r="K69" s="422"/>
      <c r="L69" s="422"/>
      <c r="M69" s="422"/>
    </row>
    <row r="70" spans="1:13" s="88" customFormat="1">
      <c r="A70" s="438"/>
      <c r="B70" s="1475"/>
      <c r="C70" s="226" t="s">
        <v>209</v>
      </c>
      <c r="D70" s="83" t="s">
        <v>80</v>
      </c>
      <c r="E70" s="211">
        <v>8.8000000000000007</v>
      </c>
      <c r="F70" s="386">
        <f>F69*E70</f>
        <v>50.160000000000004</v>
      </c>
      <c r="G70" s="225"/>
      <c r="H70" s="225"/>
      <c r="I70" s="386"/>
      <c r="J70" s="225"/>
      <c r="K70" s="225"/>
      <c r="L70" s="225"/>
      <c r="M70" s="225"/>
    </row>
    <row r="71" spans="1:13" s="88" customFormat="1">
      <c r="A71" s="438"/>
      <c r="B71" s="1475"/>
      <c r="C71" s="223" t="s">
        <v>81</v>
      </c>
      <c r="D71" s="86" t="s">
        <v>57</v>
      </c>
      <c r="E71" s="211">
        <v>4.8</v>
      </c>
      <c r="F71" s="386">
        <f>F69*E71</f>
        <v>27.36</v>
      </c>
      <c r="G71" s="225"/>
      <c r="H71" s="225"/>
      <c r="I71" s="225"/>
      <c r="J71" s="225"/>
      <c r="K71" s="225"/>
      <c r="L71" s="225"/>
      <c r="M71" s="225"/>
    </row>
    <row r="72" spans="1:13" s="88" customFormat="1" hidden="1">
      <c r="A72" s="140">
        <v>23</v>
      </c>
      <c r="B72" s="1474" t="s">
        <v>1486</v>
      </c>
      <c r="C72" s="23" t="s">
        <v>1484</v>
      </c>
      <c r="D72" s="140" t="s">
        <v>88</v>
      </c>
      <c r="E72" s="140"/>
      <c r="F72" s="384">
        <f>'დეფექტური აქტი'!E29</f>
        <v>0</v>
      </c>
      <c r="G72" s="422"/>
      <c r="H72" s="422"/>
      <c r="I72" s="422"/>
      <c r="J72" s="422"/>
      <c r="K72" s="422"/>
      <c r="L72" s="422"/>
      <c r="M72" s="422"/>
    </row>
    <row r="73" spans="1:13" s="88" customFormat="1" hidden="1">
      <c r="A73" s="83"/>
      <c r="B73" s="1475"/>
      <c r="C73" s="226" t="s">
        <v>209</v>
      </c>
      <c r="D73" s="83" t="s">
        <v>80</v>
      </c>
      <c r="E73" s="211">
        <v>7.3</v>
      </c>
      <c r="F73" s="386">
        <f>F72*E73</f>
        <v>0</v>
      </c>
      <c r="G73" s="225"/>
      <c r="H73" s="225"/>
      <c r="I73" s="386">
        <v>4.5999999999999996</v>
      </c>
      <c r="J73" s="225">
        <f>F73*I73</f>
        <v>0</v>
      </c>
      <c r="K73" s="225"/>
      <c r="L73" s="225"/>
      <c r="M73" s="225">
        <f>H73+J73+L73</f>
        <v>0</v>
      </c>
    </row>
    <row r="74" spans="1:13" s="88" customFormat="1" hidden="1">
      <c r="A74" s="83"/>
      <c r="B74" s="1475"/>
      <c r="C74" s="223" t="s">
        <v>81</v>
      </c>
      <c r="D74" s="86" t="s">
        <v>57</v>
      </c>
      <c r="E74" s="211">
        <v>3.7</v>
      </c>
      <c r="F74" s="386">
        <f>F72*E74</f>
        <v>0</v>
      </c>
      <c r="G74" s="225"/>
      <c r="H74" s="225"/>
      <c r="I74" s="225"/>
      <c r="J74" s="225"/>
      <c r="K74" s="225">
        <v>3.2</v>
      </c>
      <c r="L74" s="225">
        <f>F74*K74</f>
        <v>0</v>
      </c>
      <c r="M74" s="225">
        <f>H74+J74+L74</f>
        <v>0</v>
      </c>
    </row>
    <row r="75" spans="1:13" s="88" customFormat="1" hidden="1">
      <c r="A75" s="140">
        <v>24</v>
      </c>
      <c r="B75" s="1474" t="s">
        <v>1487</v>
      </c>
      <c r="C75" s="23" t="s">
        <v>1485</v>
      </c>
      <c r="D75" s="140" t="s">
        <v>88</v>
      </c>
      <c r="E75" s="140"/>
      <c r="F75" s="384">
        <f>'დეფექტური აქტი'!E30</f>
        <v>0</v>
      </c>
      <c r="G75" s="422"/>
      <c r="H75" s="422"/>
      <c r="I75" s="422"/>
      <c r="J75" s="422"/>
      <c r="K75" s="422"/>
      <c r="L75" s="422"/>
      <c r="M75" s="422"/>
    </row>
    <row r="76" spans="1:13" s="88" customFormat="1" hidden="1">
      <c r="A76" s="83"/>
      <c r="B76" s="1475"/>
      <c r="C76" s="226" t="s">
        <v>209</v>
      </c>
      <c r="D76" s="83" t="s">
        <v>80</v>
      </c>
      <c r="E76" s="211">
        <v>7.9</v>
      </c>
      <c r="F76" s="386">
        <f>F75*E76</f>
        <v>0</v>
      </c>
      <c r="G76" s="225"/>
      <c r="H76" s="225"/>
      <c r="I76" s="386">
        <v>4.5999999999999996</v>
      </c>
      <c r="J76" s="225">
        <f>F76*I76</f>
        <v>0</v>
      </c>
      <c r="K76" s="225"/>
      <c r="L76" s="225"/>
      <c r="M76" s="225">
        <f>H76+J76+L76</f>
        <v>0</v>
      </c>
    </row>
    <row r="77" spans="1:13" s="88" customFormat="1" hidden="1">
      <c r="A77" s="83"/>
      <c r="B77" s="1475"/>
      <c r="C77" s="223" t="s">
        <v>81</v>
      </c>
      <c r="D77" s="86" t="s">
        <v>57</v>
      </c>
      <c r="E77" s="211">
        <v>4.3</v>
      </c>
      <c r="F77" s="386">
        <f>F75*E77</f>
        <v>0</v>
      </c>
      <c r="G77" s="225"/>
      <c r="H77" s="225"/>
      <c r="I77" s="225"/>
      <c r="J77" s="225"/>
      <c r="K77" s="225">
        <v>3.2</v>
      </c>
      <c r="L77" s="225">
        <f>F77*K77</f>
        <v>0</v>
      </c>
      <c r="M77" s="225">
        <f>H77+J77+L77</f>
        <v>0</v>
      </c>
    </row>
    <row r="78" spans="1:13" s="88" customFormat="1" hidden="1">
      <c r="A78" s="140">
        <v>25</v>
      </c>
      <c r="B78" s="1474" t="s">
        <v>1498</v>
      </c>
      <c r="C78" s="23" t="s">
        <v>1488</v>
      </c>
      <c r="D78" s="140" t="s">
        <v>88</v>
      </c>
      <c r="E78" s="140"/>
      <c r="F78" s="384">
        <f>'დეფექტური აქტი'!E31</f>
        <v>0</v>
      </c>
      <c r="G78" s="422"/>
      <c r="H78" s="422"/>
      <c r="I78" s="422"/>
      <c r="J78" s="422"/>
      <c r="K78" s="422"/>
      <c r="L78" s="422"/>
      <c r="M78" s="422"/>
    </row>
    <row r="79" spans="1:13" s="88" customFormat="1" hidden="1">
      <c r="A79" s="83"/>
      <c r="B79" s="1475"/>
      <c r="C79" s="226" t="s">
        <v>209</v>
      </c>
      <c r="D79" s="83" t="s">
        <v>80</v>
      </c>
      <c r="E79" s="211">
        <v>7.3</v>
      </c>
      <c r="F79" s="386">
        <f>F78*E79</f>
        <v>0</v>
      </c>
      <c r="G79" s="225"/>
      <c r="H79" s="225"/>
      <c r="I79" s="386">
        <v>4.5999999999999996</v>
      </c>
      <c r="J79" s="225">
        <f>F79*I79</f>
        <v>0</v>
      </c>
      <c r="K79" s="225"/>
      <c r="L79" s="225"/>
      <c r="M79" s="225">
        <f>H79+J79+L79</f>
        <v>0</v>
      </c>
    </row>
    <row r="80" spans="1:13" s="88" customFormat="1" hidden="1">
      <c r="A80" s="83"/>
      <c r="B80" s="1475"/>
      <c r="C80" s="223" t="s">
        <v>81</v>
      </c>
      <c r="D80" s="86" t="s">
        <v>57</v>
      </c>
      <c r="E80" s="211">
        <v>2.9</v>
      </c>
      <c r="F80" s="386">
        <f>F78*E80</f>
        <v>0</v>
      </c>
      <c r="G80" s="225"/>
      <c r="H80" s="225"/>
      <c r="I80" s="225"/>
      <c r="J80" s="225"/>
      <c r="K80" s="225">
        <v>3.2</v>
      </c>
      <c r="L80" s="225">
        <f>F80*K80</f>
        <v>0</v>
      </c>
      <c r="M80" s="225">
        <f>H80+J80+L80</f>
        <v>0</v>
      </c>
    </row>
    <row r="81" spans="1:14" s="42" customFormat="1" hidden="1">
      <c r="A81" s="47">
        <v>26</v>
      </c>
      <c r="B81" s="1433" t="s">
        <v>416</v>
      </c>
      <c r="C81" s="46" t="s">
        <v>997</v>
      </c>
      <c r="D81" s="140" t="s">
        <v>78</v>
      </c>
      <c r="E81" s="47"/>
      <c r="F81" s="384">
        <f>'დეფექტური აქტი'!E32</f>
        <v>0</v>
      </c>
      <c r="G81" s="385"/>
      <c r="H81" s="385"/>
      <c r="I81" s="385"/>
      <c r="J81" s="385"/>
      <c r="K81" s="385"/>
      <c r="L81" s="385"/>
      <c r="M81" s="385"/>
    </row>
    <row r="82" spans="1:14" s="42" customFormat="1" hidden="1">
      <c r="A82" s="41"/>
      <c r="B82" s="1434"/>
      <c r="C82" s="15" t="s">
        <v>79</v>
      </c>
      <c r="D82" s="83" t="s">
        <v>80</v>
      </c>
      <c r="E82" s="41">
        <v>0.20499999999999999</v>
      </c>
      <c r="F82" s="386">
        <f>F81*E82</f>
        <v>0</v>
      </c>
      <c r="G82" s="386"/>
      <c r="H82" s="386"/>
      <c r="I82" s="386">
        <v>4.5999999999999996</v>
      </c>
      <c r="J82" s="386">
        <f>F82*I82</f>
        <v>0</v>
      </c>
      <c r="K82" s="386"/>
      <c r="L82" s="386"/>
      <c r="M82" s="386">
        <f>H82+J82+L82</f>
        <v>0</v>
      </c>
    </row>
    <row r="83" spans="1:14" s="42" customFormat="1" hidden="1">
      <c r="A83" s="43"/>
      <c r="B83" s="1463"/>
      <c r="C83" s="56" t="s">
        <v>81</v>
      </c>
      <c r="D83" s="86" t="s">
        <v>57</v>
      </c>
      <c r="E83" s="43">
        <v>7.8E-2</v>
      </c>
      <c r="F83" s="387">
        <f>F81*E83</f>
        <v>0</v>
      </c>
      <c r="G83" s="387"/>
      <c r="H83" s="387"/>
      <c r="I83" s="387"/>
      <c r="J83" s="387"/>
      <c r="K83" s="387">
        <v>3.2</v>
      </c>
      <c r="L83" s="387">
        <f>F83*K83</f>
        <v>0</v>
      </c>
      <c r="M83" s="387">
        <f>H83+J83+L83</f>
        <v>0</v>
      </c>
    </row>
    <row r="84" spans="1:14" s="333" customFormat="1" hidden="1">
      <c r="A84" s="783">
        <v>27</v>
      </c>
      <c r="B84" s="328" t="s">
        <v>874</v>
      </c>
      <c r="C84" s="329" t="s">
        <v>875</v>
      </c>
      <c r="D84" s="330" t="s">
        <v>876</v>
      </c>
      <c r="E84" s="330"/>
      <c r="F84" s="388">
        <f>'დეფექტური აქტი'!E33</f>
        <v>0</v>
      </c>
      <c r="G84" s="389"/>
      <c r="H84" s="389"/>
      <c r="I84" s="389"/>
      <c r="J84" s="389"/>
      <c r="K84" s="389"/>
      <c r="L84" s="389"/>
      <c r="M84" s="389"/>
      <c r="N84" s="332"/>
    </row>
    <row r="85" spans="1:14" s="333" customFormat="1" hidden="1">
      <c r="A85" s="783"/>
      <c r="B85" s="334"/>
      <c r="C85" s="335" t="s">
        <v>209</v>
      </c>
      <c r="D85" s="336" t="s">
        <v>80</v>
      </c>
      <c r="E85" s="336">
        <v>0.78500000000000003</v>
      </c>
      <c r="F85" s="389">
        <f>F84*E85</f>
        <v>0</v>
      </c>
      <c r="G85" s="389"/>
      <c r="H85" s="389"/>
      <c r="I85" s="389">
        <v>4.5999999999999996</v>
      </c>
      <c r="J85" s="389">
        <f>F85*I85</f>
        <v>0</v>
      </c>
      <c r="K85" s="389"/>
      <c r="L85" s="389"/>
      <c r="M85" s="389">
        <f>H85+J85+L85</f>
        <v>0</v>
      </c>
      <c r="N85" s="332"/>
    </row>
    <row r="86" spans="1:14" s="42" customFormat="1" hidden="1">
      <c r="A86" s="47">
        <v>28</v>
      </c>
      <c r="B86" s="1433" t="s">
        <v>877</v>
      </c>
      <c r="C86" s="46" t="s">
        <v>868</v>
      </c>
      <c r="D86" s="140" t="s">
        <v>78</v>
      </c>
      <c r="E86" s="47"/>
      <c r="F86" s="384">
        <f>'დეფექტური აქტი'!E34</f>
        <v>0</v>
      </c>
      <c r="G86" s="385"/>
      <c r="H86" s="385"/>
      <c r="I86" s="385"/>
      <c r="J86" s="385"/>
      <c r="K86" s="385"/>
      <c r="L86" s="385"/>
      <c r="M86" s="385"/>
    </row>
    <row r="87" spans="1:14" s="42" customFormat="1" hidden="1">
      <c r="A87" s="41"/>
      <c r="B87" s="1434"/>
      <c r="C87" s="15" t="s">
        <v>79</v>
      </c>
      <c r="D87" s="83" t="s">
        <v>80</v>
      </c>
      <c r="E87" s="41">
        <v>0.32300000000000001</v>
      </c>
      <c r="F87" s="386">
        <f>F86*E87</f>
        <v>0</v>
      </c>
      <c r="G87" s="386"/>
      <c r="H87" s="386"/>
      <c r="I87" s="386">
        <v>4.5999999999999996</v>
      </c>
      <c r="J87" s="386">
        <f>F87*I87</f>
        <v>0</v>
      </c>
      <c r="K87" s="386"/>
      <c r="L87" s="386"/>
      <c r="M87" s="386">
        <f>H87+J87+L87</f>
        <v>0</v>
      </c>
    </row>
    <row r="88" spans="1:14" s="42" customFormat="1" hidden="1">
      <c r="A88" s="41"/>
      <c r="B88" s="1434"/>
      <c r="C88" s="15" t="s">
        <v>81</v>
      </c>
      <c r="D88" s="86" t="s">
        <v>57</v>
      </c>
      <c r="E88" s="41">
        <v>2.1499999999999998E-2</v>
      </c>
      <c r="F88" s="386">
        <f>F86*E88</f>
        <v>0</v>
      </c>
      <c r="G88" s="386"/>
      <c r="H88" s="386"/>
      <c r="I88" s="386"/>
      <c r="J88" s="386"/>
      <c r="K88" s="386">
        <v>3.2</v>
      </c>
      <c r="L88" s="386">
        <f>F88*K88</f>
        <v>0</v>
      </c>
      <c r="M88" s="386">
        <f>H88+J88+L88</f>
        <v>0</v>
      </c>
    </row>
    <row r="89" spans="1:14" s="42" customFormat="1" hidden="1">
      <c r="A89" s="47">
        <v>29</v>
      </c>
      <c r="B89" s="1433" t="s">
        <v>877</v>
      </c>
      <c r="C89" s="46" t="s">
        <v>869</v>
      </c>
      <c r="D89" s="140" t="s">
        <v>78</v>
      </c>
      <c r="E89" s="47"/>
      <c r="F89" s="384">
        <f>'დეფექტური აქტი'!E35</f>
        <v>0</v>
      </c>
      <c r="G89" s="385"/>
      <c r="H89" s="385"/>
      <c r="I89" s="385"/>
      <c r="J89" s="385"/>
      <c r="K89" s="385"/>
      <c r="L89" s="385"/>
      <c r="M89" s="385"/>
    </row>
    <row r="90" spans="1:14" s="42" customFormat="1" hidden="1">
      <c r="A90" s="41"/>
      <c r="B90" s="1434"/>
      <c r="C90" s="15" t="s">
        <v>79</v>
      </c>
      <c r="D90" s="83" t="s">
        <v>80</v>
      </c>
      <c r="E90" s="41">
        <v>0.32300000000000001</v>
      </c>
      <c r="F90" s="386">
        <f>F89*E90</f>
        <v>0</v>
      </c>
      <c r="G90" s="386"/>
      <c r="H90" s="386"/>
      <c r="I90" s="386">
        <v>4.5999999999999996</v>
      </c>
      <c r="J90" s="386">
        <f>F90*I90</f>
        <v>0</v>
      </c>
      <c r="K90" s="386"/>
      <c r="L90" s="386"/>
      <c r="M90" s="386">
        <f>H90+J90+L90</f>
        <v>0</v>
      </c>
    </row>
    <row r="91" spans="1:14" s="42" customFormat="1" hidden="1">
      <c r="A91" s="41"/>
      <c r="B91" s="1434"/>
      <c r="C91" s="15" t="s">
        <v>81</v>
      </c>
      <c r="D91" s="86" t="s">
        <v>57</v>
      </c>
      <c r="E91" s="41">
        <v>2.1499999999999998E-2</v>
      </c>
      <c r="F91" s="386">
        <f>F89*E91</f>
        <v>0</v>
      </c>
      <c r="G91" s="386"/>
      <c r="H91" s="386"/>
      <c r="I91" s="386"/>
      <c r="J91" s="386"/>
      <c r="K91" s="386">
        <v>3.2</v>
      </c>
      <c r="L91" s="386">
        <f>F91*K91</f>
        <v>0</v>
      </c>
      <c r="M91" s="386">
        <f>H91+J91+L91</f>
        <v>0</v>
      </c>
    </row>
    <row r="92" spans="1:14" s="42" customFormat="1" hidden="1">
      <c r="A92" s="47">
        <v>30</v>
      </c>
      <c r="B92" s="1433" t="s">
        <v>878</v>
      </c>
      <c r="C92" s="46" t="s">
        <v>804</v>
      </c>
      <c r="D92" s="140" t="s">
        <v>78</v>
      </c>
      <c r="E92" s="47"/>
      <c r="F92" s="384">
        <f>'დეფექტური აქტი'!E36</f>
        <v>0</v>
      </c>
      <c r="G92" s="385"/>
      <c r="H92" s="385"/>
      <c r="I92" s="385"/>
      <c r="J92" s="385"/>
      <c r="K92" s="385"/>
      <c r="L92" s="385"/>
      <c r="M92" s="385"/>
    </row>
    <row r="93" spans="1:14" s="42" customFormat="1" hidden="1">
      <c r="A93" s="41"/>
      <c r="B93" s="1434"/>
      <c r="C93" s="15" t="s">
        <v>79</v>
      </c>
      <c r="D93" s="83" t="s">
        <v>80</v>
      </c>
      <c r="E93" s="41">
        <v>0.28899999999999998</v>
      </c>
      <c r="F93" s="386">
        <f>F92*E93</f>
        <v>0</v>
      </c>
      <c r="G93" s="386"/>
      <c r="H93" s="386"/>
      <c r="I93" s="386">
        <v>4.5999999999999996</v>
      </c>
      <c r="J93" s="386">
        <f>F93*I93</f>
        <v>0</v>
      </c>
      <c r="K93" s="386"/>
      <c r="L93" s="386"/>
      <c r="M93" s="386">
        <f>H93+J93+L93</f>
        <v>0</v>
      </c>
    </row>
    <row r="94" spans="1:14" s="42" customFormat="1" hidden="1">
      <c r="A94" s="41"/>
      <c r="B94" s="1434"/>
      <c r="C94" s="15" t="s">
        <v>81</v>
      </c>
      <c r="D94" s="86" t="s">
        <v>57</v>
      </c>
      <c r="E94" s="41">
        <v>6.2799999999999995E-2</v>
      </c>
      <c r="F94" s="386">
        <f>F92*E94</f>
        <v>0</v>
      </c>
      <c r="G94" s="386"/>
      <c r="H94" s="386"/>
      <c r="I94" s="386"/>
      <c r="J94" s="386"/>
      <c r="K94" s="386">
        <v>3.2</v>
      </c>
      <c r="L94" s="386">
        <f>F94*K94</f>
        <v>0</v>
      </c>
      <c r="M94" s="386">
        <f>H94+J94+L94</f>
        <v>0</v>
      </c>
    </row>
    <row r="95" spans="1:14" s="42" customFormat="1" hidden="1">
      <c r="A95" s="47">
        <v>31</v>
      </c>
      <c r="B95" s="1433" t="s">
        <v>84</v>
      </c>
      <c r="C95" s="46" t="s">
        <v>881</v>
      </c>
      <c r="D95" s="140" t="s">
        <v>78</v>
      </c>
      <c r="E95" s="47"/>
      <c r="F95" s="384">
        <f>'დეფექტური აქტი'!E37</f>
        <v>0</v>
      </c>
      <c r="G95" s="385"/>
      <c r="H95" s="385"/>
      <c r="I95" s="385"/>
      <c r="J95" s="385"/>
      <c r="K95" s="385"/>
      <c r="L95" s="385"/>
      <c r="M95" s="385"/>
    </row>
    <row r="96" spans="1:14" s="42" customFormat="1" hidden="1">
      <c r="A96" s="41"/>
      <c r="B96" s="1434"/>
      <c r="C96" s="15" t="s">
        <v>79</v>
      </c>
      <c r="D96" s="83" t="s">
        <v>80</v>
      </c>
      <c r="E96" s="41">
        <v>0.12</v>
      </c>
      <c r="F96" s="386">
        <f>F95*E96</f>
        <v>0</v>
      </c>
      <c r="G96" s="386"/>
      <c r="H96" s="386"/>
      <c r="I96" s="386">
        <v>4.5999999999999996</v>
      </c>
      <c r="J96" s="386">
        <f>F96*I96</f>
        <v>0</v>
      </c>
      <c r="K96" s="386"/>
      <c r="L96" s="386"/>
      <c r="M96" s="386">
        <f>H96+J96+L96</f>
        <v>0</v>
      </c>
    </row>
    <row r="97" spans="1:13" s="42" customFormat="1">
      <c r="A97" s="1178">
        <v>32</v>
      </c>
      <c r="B97" s="1433" t="s">
        <v>83</v>
      </c>
      <c r="C97" s="46" t="s">
        <v>879</v>
      </c>
      <c r="D97" s="140" t="s">
        <v>78</v>
      </c>
      <c r="E97" s="47"/>
      <c r="F97" s="384">
        <f>'დეფექტური აქტი'!E38</f>
        <v>37.24</v>
      </c>
      <c r="G97" s="385"/>
      <c r="H97" s="385"/>
      <c r="I97" s="385"/>
      <c r="J97" s="385"/>
      <c r="K97" s="385"/>
      <c r="L97" s="385"/>
      <c r="M97" s="385"/>
    </row>
    <row r="98" spans="1:13" s="42" customFormat="1">
      <c r="A98" s="412"/>
      <c r="B98" s="1434"/>
      <c r="C98" s="15" t="s">
        <v>79</v>
      </c>
      <c r="D98" s="83" t="s">
        <v>80</v>
      </c>
      <c r="E98" s="41">
        <v>0.47199999999999998</v>
      </c>
      <c r="F98" s="386">
        <f>F97*E98</f>
        <v>17.577279999999998</v>
      </c>
      <c r="G98" s="386"/>
      <c r="H98" s="386"/>
      <c r="I98" s="386"/>
      <c r="J98" s="386"/>
      <c r="K98" s="386"/>
      <c r="L98" s="386"/>
      <c r="M98" s="386"/>
    </row>
    <row r="99" spans="1:13" s="42" customFormat="1">
      <c r="A99" s="412"/>
      <c r="B99" s="1434"/>
      <c r="C99" s="15" t="s">
        <v>81</v>
      </c>
      <c r="D99" s="86" t="s">
        <v>57</v>
      </c>
      <c r="E99" s="41">
        <v>3.0099999999999998E-2</v>
      </c>
      <c r="F99" s="386">
        <f>F97*E99</f>
        <v>1.120924</v>
      </c>
      <c r="G99" s="386"/>
      <c r="H99" s="386"/>
      <c r="I99" s="386"/>
      <c r="J99" s="386"/>
      <c r="K99" s="386"/>
      <c r="L99" s="386"/>
      <c r="M99" s="386"/>
    </row>
    <row r="100" spans="1:13" s="42" customFormat="1">
      <c r="A100" s="1178">
        <v>33</v>
      </c>
      <c r="B100" s="1433" t="s">
        <v>84</v>
      </c>
      <c r="C100" s="46" t="s">
        <v>85</v>
      </c>
      <c r="D100" s="140" t="s">
        <v>78</v>
      </c>
      <c r="E100" s="47"/>
      <c r="F100" s="384">
        <f>'დეფექტური აქტი'!E38</f>
        <v>37.24</v>
      </c>
      <c r="G100" s="385"/>
      <c r="H100" s="385"/>
      <c r="I100" s="385"/>
      <c r="J100" s="385"/>
      <c r="K100" s="385"/>
      <c r="L100" s="385"/>
      <c r="M100" s="385"/>
    </row>
    <row r="101" spans="1:13" s="42" customFormat="1">
      <c r="A101" s="412"/>
      <c r="B101" s="1434"/>
      <c r="C101" s="15" t="s">
        <v>79</v>
      </c>
      <c r="D101" s="83" t="s">
        <v>80</v>
      </c>
      <c r="E101" s="41">
        <v>0.23799999999999999</v>
      </c>
      <c r="F101" s="386">
        <f>F100*E101</f>
        <v>8.8631200000000003</v>
      </c>
      <c r="G101" s="386"/>
      <c r="H101" s="386"/>
      <c r="I101" s="386"/>
      <c r="J101" s="386"/>
      <c r="K101" s="386"/>
      <c r="L101" s="386"/>
      <c r="M101" s="386"/>
    </row>
    <row r="102" spans="1:13" s="42" customFormat="1">
      <c r="A102" s="412"/>
      <c r="B102" s="1434"/>
      <c r="C102" s="15" t="s">
        <v>81</v>
      </c>
      <c r="D102" s="86" t="s">
        <v>57</v>
      </c>
      <c r="E102" s="41">
        <v>3.9199999999999999E-2</v>
      </c>
      <c r="F102" s="386">
        <f>F100*E102</f>
        <v>1.459808</v>
      </c>
      <c r="G102" s="386"/>
      <c r="H102" s="386"/>
      <c r="I102" s="386"/>
      <c r="J102" s="386"/>
      <c r="K102" s="386"/>
      <c r="L102" s="386"/>
      <c r="M102" s="386"/>
    </row>
    <row r="103" spans="1:13" s="45" customFormat="1">
      <c r="A103" s="1178">
        <v>34</v>
      </c>
      <c r="B103" s="1433" t="s">
        <v>86</v>
      </c>
      <c r="C103" s="46" t="s">
        <v>87</v>
      </c>
      <c r="D103" s="140" t="s">
        <v>88</v>
      </c>
      <c r="E103" s="47"/>
      <c r="F103" s="384">
        <f>'დეფექტური აქტი'!E38*0.04</f>
        <v>1.4896</v>
      </c>
      <c r="G103" s="385"/>
      <c r="H103" s="385"/>
      <c r="I103" s="385"/>
      <c r="J103" s="385"/>
      <c r="K103" s="385"/>
      <c r="L103" s="385"/>
      <c r="M103" s="385"/>
    </row>
    <row r="104" spans="1:13" s="45" customFormat="1">
      <c r="A104" s="412"/>
      <c r="B104" s="1434"/>
      <c r="C104" s="15" t="s">
        <v>89</v>
      </c>
      <c r="D104" s="83" t="s">
        <v>80</v>
      </c>
      <c r="E104" s="41">
        <v>1.4319999999999999</v>
      </c>
      <c r="F104" s="386">
        <f>F103*E104</f>
        <v>2.1331072</v>
      </c>
      <c r="G104" s="386"/>
      <c r="H104" s="386"/>
      <c r="I104" s="386"/>
      <c r="J104" s="386"/>
      <c r="K104" s="386"/>
      <c r="L104" s="386"/>
      <c r="M104" s="386"/>
    </row>
    <row r="105" spans="1:13" s="45" customFormat="1">
      <c r="A105" s="412"/>
      <c r="B105" s="1434"/>
      <c r="C105" s="15" t="s">
        <v>90</v>
      </c>
      <c r="D105" s="86" t="s">
        <v>57</v>
      </c>
      <c r="E105" s="41">
        <v>0.432</v>
      </c>
      <c r="F105" s="386">
        <f>F103*E105</f>
        <v>0.64350720000000006</v>
      </c>
      <c r="G105" s="386"/>
      <c r="H105" s="386"/>
      <c r="I105" s="386"/>
      <c r="J105" s="386"/>
      <c r="K105" s="386"/>
      <c r="L105" s="386"/>
      <c r="M105" s="386"/>
    </row>
    <row r="106" spans="1:13" s="42" customFormat="1" hidden="1">
      <c r="A106" s="47">
        <v>35</v>
      </c>
      <c r="B106" s="1433" t="s">
        <v>1455</v>
      </c>
      <c r="C106" s="46" t="s">
        <v>20</v>
      </c>
      <c r="D106" s="140" t="s">
        <v>78</v>
      </c>
      <c r="E106" s="47"/>
      <c r="F106" s="384">
        <f>'დეფექტური აქტი'!E39</f>
        <v>0</v>
      </c>
      <c r="G106" s="385"/>
      <c r="H106" s="385"/>
      <c r="I106" s="385"/>
      <c r="J106" s="385"/>
      <c r="K106" s="385"/>
      <c r="L106" s="385"/>
      <c r="M106" s="385"/>
    </row>
    <row r="107" spans="1:13" s="42" customFormat="1" hidden="1">
      <c r="A107" s="41"/>
      <c r="B107" s="1434"/>
      <c r="C107" s="15" t="s">
        <v>79</v>
      </c>
      <c r="D107" s="83" t="s">
        <v>80</v>
      </c>
      <c r="E107" s="41">
        <v>0.57999999999999996</v>
      </c>
      <c r="F107" s="386">
        <f>F106*E107</f>
        <v>0</v>
      </c>
      <c r="G107" s="386"/>
      <c r="H107" s="386"/>
      <c r="I107" s="386">
        <v>4.5999999999999996</v>
      </c>
      <c r="J107" s="386">
        <f>F107*I107</f>
        <v>0</v>
      </c>
      <c r="K107" s="386"/>
      <c r="L107" s="386"/>
      <c r="M107" s="386">
        <f>H107+J107+L107</f>
        <v>0</v>
      </c>
    </row>
    <row r="108" spans="1:13" s="42" customFormat="1" hidden="1">
      <c r="A108" s="41"/>
      <c r="B108" s="1434"/>
      <c r="C108" s="15" t="s">
        <v>81</v>
      </c>
      <c r="D108" s="86" t="s">
        <v>57</v>
      </c>
      <c r="E108" s="41">
        <v>9.8500000000000004E-2</v>
      </c>
      <c r="F108" s="386">
        <f>F106*E108</f>
        <v>0</v>
      </c>
      <c r="G108" s="386"/>
      <c r="H108" s="386"/>
      <c r="I108" s="386"/>
      <c r="J108" s="386"/>
      <c r="K108" s="386">
        <v>3.2</v>
      </c>
      <c r="L108" s="386">
        <f>F108*K108</f>
        <v>0</v>
      </c>
      <c r="M108" s="386">
        <f>H108+J108+L108</f>
        <v>0</v>
      </c>
    </row>
    <row r="109" spans="1:13" s="42" customFormat="1" hidden="1">
      <c r="A109" s="47">
        <v>36</v>
      </c>
      <c r="B109" s="1435" t="s">
        <v>442</v>
      </c>
      <c r="C109" s="46" t="s">
        <v>15</v>
      </c>
      <c r="D109" s="47" t="s">
        <v>78</v>
      </c>
      <c r="E109" s="47"/>
      <c r="F109" s="384">
        <f>'დეფექტური აქტი'!E40</f>
        <v>0</v>
      </c>
      <c r="G109" s="385"/>
      <c r="H109" s="385"/>
      <c r="I109" s="385"/>
      <c r="J109" s="385"/>
      <c r="K109" s="385"/>
      <c r="L109" s="385"/>
      <c r="M109" s="385"/>
    </row>
    <row r="110" spans="1:13" s="42" customFormat="1" hidden="1">
      <c r="A110" s="41"/>
      <c r="B110" s="1436"/>
      <c r="C110" s="15" t="s">
        <v>79</v>
      </c>
      <c r="D110" s="43" t="s">
        <v>80</v>
      </c>
      <c r="E110" s="41">
        <v>0.16</v>
      </c>
      <c r="F110" s="386">
        <f>F109*E110</f>
        <v>0</v>
      </c>
      <c r="G110" s="386"/>
      <c r="H110" s="386"/>
      <c r="I110" s="386">
        <v>4.5999999999999996</v>
      </c>
      <c r="J110" s="386">
        <f>F110*I110</f>
        <v>0</v>
      </c>
      <c r="K110" s="386"/>
      <c r="L110" s="386"/>
      <c r="M110" s="386">
        <f>H110+J110+L110</f>
        <v>0</v>
      </c>
    </row>
    <row r="111" spans="1:13" s="42" customFormat="1" hidden="1">
      <c r="A111" s="47">
        <v>37</v>
      </c>
      <c r="B111" s="1433" t="s">
        <v>82</v>
      </c>
      <c r="C111" s="46" t="s">
        <v>18</v>
      </c>
      <c r="D111" s="140" t="s">
        <v>78</v>
      </c>
      <c r="E111" s="47"/>
      <c r="F111" s="384">
        <f>'დეფექტური აქტი'!E41</f>
        <v>0</v>
      </c>
      <c r="G111" s="385"/>
      <c r="H111" s="385"/>
      <c r="I111" s="385"/>
      <c r="J111" s="385"/>
      <c r="K111" s="385"/>
      <c r="L111" s="385"/>
      <c r="M111" s="385"/>
    </row>
    <row r="112" spans="1:13" s="42" customFormat="1" hidden="1">
      <c r="A112" s="41"/>
      <c r="B112" s="1434"/>
      <c r="C112" s="15" t="s">
        <v>79</v>
      </c>
      <c r="D112" s="83" t="s">
        <v>80</v>
      </c>
      <c r="E112" s="41">
        <v>0.186</v>
      </c>
      <c r="F112" s="386">
        <f>F111*E112</f>
        <v>0</v>
      </c>
      <c r="G112" s="386"/>
      <c r="H112" s="386"/>
      <c r="I112" s="386">
        <v>4.5999999999999996</v>
      </c>
      <c r="J112" s="386">
        <f>F112*I112</f>
        <v>0</v>
      </c>
      <c r="K112" s="386"/>
      <c r="L112" s="386"/>
      <c r="M112" s="386">
        <f>H112+J112+L112</f>
        <v>0</v>
      </c>
    </row>
    <row r="113" spans="1:14" s="42" customFormat="1" hidden="1">
      <c r="A113" s="41"/>
      <c r="B113" s="1434"/>
      <c r="C113" s="15" t="s">
        <v>81</v>
      </c>
      <c r="D113" s="86" t="s">
        <v>57</v>
      </c>
      <c r="E113" s="41">
        <v>1.6000000000000001E-3</v>
      </c>
      <c r="F113" s="386">
        <f>F111*E113</f>
        <v>0</v>
      </c>
      <c r="G113" s="386"/>
      <c r="H113" s="386"/>
      <c r="I113" s="386"/>
      <c r="J113" s="386"/>
      <c r="K113" s="386">
        <v>3.2</v>
      </c>
      <c r="L113" s="386">
        <f>F113*K113</f>
        <v>0</v>
      </c>
      <c r="M113" s="386">
        <f>H113+J113+L113</f>
        <v>0</v>
      </c>
    </row>
    <row r="114" spans="1:14" s="42" customFormat="1">
      <c r="A114" s="1178">
        <v>38</v>
      </c>
      <c r="B114" s="1433" t="s">
        <v>91</v>
      </c>
      <c r="C114" s="46" t="s">
        <v>12</v>
      </c>
      <c r="D114" s="140" t="s">
        <v>78</v>
      </c>
      <c r="E114" s="47"/>
      <c r="F114" s="384">
        <f>'დეფექტური აქტი'!E42</f>
        <v>10.8</v>
      </c>
      <c r="G114" s="385"/>
      <c r="H114" s="385"/>
      <c r="I114" s="385"/>
      <c r="J114" s="385"/>
      <c r="K114" s="385"/>
      <c r="L114" s="385"/>
      <c r="M114" s="385"/>
    </row>
    <row r="115" spans="1:14" s="42" customFormat="1">
      <c r="A115" s="412"/>
      <c r="B115" s="1434"/>
      <c r="C115" s="15" t="s">
        <v>79</v>
      </c>
      <c r="D115" s="83" t="s">
        <v>80</v>
      </c>
      <c r="E115" s="41">
        <v>0.88700000000000001</v>
      </c>
      <c r="F115" s="386">
        <f>F114*E115</f>
        <v>9.579600000000001</v>
      </c>
      <c r="G115" s="386"/>
      <c r="H115" s="386"/>
      <c r="I115" s="386"/>
      <c r="J115" s="386"/>
      <c r="K115" s="386"/>
      <c r="L115" s="386"/>
      <c r="M115" s="386"/>
    </row>
    <row r="116" spans="1:14" s="42" customFormat="1">
      <c r="A116" s="412"/>
      <c r="B116" s="1434"/>
      <c r="C116" s="15" t="s">
        <v>81</v>
      </c>
      <c r="D116" s="86" t="s">
        <v>57</v>
      </c>
      <c r="E116" s="41">
        <v>9.8400000000000001E-2</v>
      </c>
      <c r="F116" s="386">
        <f>F114*E116</f>
        <v>1.0627200000000001</v>
      </c>
      <c r="G116" s="386"/>
      <c r="H116" s="386"/>
      <c r="I116" s="386"/>
      <c r="J116" s="386"/>
      <c r="K116" s="386"/>
      <c r="L116" s="386"/>
      <c r="M116" s="386"/>
    </row>
    <row r="117" spans="1:14" s="63" customFormat="1" hidden="1">
      <c r="A117" s="47">
        <v>39</v>
      </c>
      <c r="B117" s="1433" t="s">
        <v>92</v>
      </c>
      <c r="C117" s="46" t="s">
        <v>93</v>
      </c>
      <c r="D117" s="47" t="s">
        <v>78</v>
      </c>
      <c r="E117" s="47"/>
      <c r="F117" s="384">
        <f>'დეფექტური აქტი'!E43</f>
        <v>0</v>
      </c>
      <c r="G117" s="385"/>
      <c r="H117" s="385"/>
      <c r="I117" s="385"/>
      <c r="J117" s="385"/>
      <c r="K117" s="385"/>
      <c r="L117" s="385"/>
      <c r="M117" s="385"/>
    </row>
    <row r="118" spans="1:14" s="63" customFormat="1" hidden="1">
      <c r="A118" s="77"/>
      <c r="B118" s="1434"/>
      <c r="C118" s="66" t="s">
        <v>94</v>
      </c>
      <c r="D118" s="41" t="s">
        <v>80</v>
      </c>
      <c r="E118" s="41">
        <v>0.66600000000000004</v>
      </c>
      <c r="F118" s="386">
        <f>F117*E118</f>
        <v>0</v>
      </c>
      <c r="G118" s="386"/>
      <c r="H118" s="386"/>
      <c r="I118" s="386">
        <v>4.5999999999999996</v>
      </c>
      <c r="J118" s="386">
        <f>F118*I118</f>
        <v>0</v>
      </c>
      <c r="K118" s="386"/>
      <c r="L118" s="386"/>
      <c r="M118" s="386">
        <f>H118+J118+L118</f>
        <v>0</v>
      </c>
    </row>
    <row r="119" spans="1:14" s="63" customFormat="1" hidden="1">
      <c r="A119" s="77"/>
      <c r="B119" s="1434"/>
      <c r="C119" s="66" t="s">
        <v>95</v>
      </c>
      <c r="D119" s="83" t="s">
        <v>57</v>
      </c>
      <c r="E119" s="41">
        <v>1.0920000000000001</v>
      </c>
      <c r="F119" s="386">
        <f>F117*E119</f>
        <v>0</v>
      </c>
      <c r="G119" s="386"/>
      <c r="H119" s="386"/>
      <c r="I119" s="386"/>
      <c r="J119" s="386"/>
      <c r="K119" s="386">
        <v>3.2</v>
      </c>
      <c r="L119" s="386">
        <f>F119*K119</f>
        <v>0</v>
      </c>
      <c r="M119" s="386">
        <f>H119+J119+L119</f>
        <v>0</v>
      </c>
    </row>
    <row r="120" spans="1:14" s="63" customFormat="1" hidden="1">
      <c r="A120" s="77"/>
      <c r="B120" s="1434"/>
      <c r="C120" s="66" t="s">
        <v>96</v>
      </c>
      <c r="D120" s="41" t="s">
        <v>97</v>
      </c>
      <c r="E120" s="41">
        <v>2.4E-2</v>
      </c>
      <c r="F120" s="386">
        <f>F117*E120</f>
        <v>0</v>
      </c>
      <c r="G120" s="386">
        <v>3.75</v>
      </c>
      <c r="H120" s="386">
        <f>F120*G120</f>
        <v>0</v>
      </c>
      <c r="I120" s="386"/>
      <c r="J120" s="386"/>
      <c r="K120" s="386"/>
      <c r="L120" s="386"/>
      <c r="M120" s="386">
        <f>H120+J120+L120</f>
        <v>0</v>
      </c>
    </row>
    <row r="121" spans="1:14" s="63" customFormat="1" hidden="1">
      <c r="A121" s="43"/>
      <c r="B121" s="1463"/>
      <c r="C121" s="67" t="s">
        <v>98</v>
      </c>
      <c r="D121" s="86" t="s">
        <v>57</v>
      </c>
      <c r="E121" s="43">
        <v>2.7E-2</v>
      </c>
      <c r="F121" s="387">
        <f>F117*E121</f>
        <v>0</v>
      </c>
      <c r="G121" s="387">
        <v>3.2</v>
      </c>
      <c r="H121" s="387">
        <f>F121*G121</f>
        <v>0</v>
      </c>
      <c r="I121" s="387"/>
      <c r="J121" s="387"/>
      <c r="K121" s="387"/>
      <c r="L121" s="387"/>
      <c r="M121" s="387">
        <f>H121+J121+L121</f>
        <v>0</v>
      </c>
    </row>
    <row r="122" spans="1:14" customFormat="1" ht="28.5" hidden="1" customHeight="1">
      <c r="A122" s="371">
        <v>40</v>
      </c>
      <c r="B122" s="328" t="s">
        <v>1494</v>
      </c>
      <c r="C122" s="329" t="s">
        <v>1493</v>
      </c>
      <c r="D122" s="330" t="s">
        <v>816</v>
      </c>
      <c r="E122" s="330"/>
      <c r="F122" s="384">
        <f>'დეფექტური აქტი'!E44</f>
        <v>0</v>
      </c>
      <c r="G122" s="330"/>
      <c r="H122" s="331"/>
      <c r="I122" s="414"/>
      <c r="J122" s="331"/>
      <c r="K122" s="414"/>
      <c r="L122" s="331"/>
      <c r="M122" s="331"/>
      <c r="N122" s="358"/>
    </row>
    <row r="123" spans="1:14" customFormat="1" ht="15.75" hidden="1" customHeight="1">
      <c r="A123" s="416"/>
      <c r="B123" s="328"/>
      <c r="C123" s="335" t="s">
        <v>1495</v>
      </c>
      <c r="D123" s="336" t="s">
        <v>80</v>
      </c>
      <c r="E123" s="336">
        <v>2.04</v>
      </c>
      <c r="F123" s="331">
        <f>F122*E123</f>
        <v>0</v>
      </c>
      <c r="G123" s="330"/>
      <c r="H123" s="331"/>
      <c r="I123" s="414">
        <v>4.5999999999999996</v>
      </c>
      <c r="J123" s="331">
        <f>F123*I123</f>
        <v>0</v>
      </c>
      <c r="K123" s="414"/>
      <c r="L123" s="331"/>
      <c r="M123" s="331">
        <f>H123+J123+L123</f>
        <v>0</v>
      </c>
      <c r="N123" s="358"/>
    </row>
    <row r="124" spans="1:14" customFormat="1" ht="15.75" hidden="1" customHeight="1">
      <c r="A124" s="416"/>
      <c r="B124" s="328"/>
      <c r="C124" s="335" t="s">
        <v>1496</v>
      </c>
      <c r="D124" s="336" t="s">
        <v>217</v>
      </c>
      <c r="E124" s="336">
        <v>0.158</v>
      </c>
      <c r="F124" s="331">
        <f>F122*E124</f>
        <v>0</v>
      </c>
      <c r="G124" s="330"/>
      <c r="H124" s="331"/>
      <c r="I124" s="414"/>
      <c r="J124" s="331"/>
      <c r="K124" s="414">
        <v>13.18</v>
      </c>
      <c r="L124" s="331">
        <f>F124*K124</f>
        <v>0</v>
      </c>
      <c r="M124" s="331">
        <f>H124+J124+L124</f>
        <v>0</v>
      </c>
      <c r="N124" s="358"/>
    </row>
    <row r="125" spans="1:14" customFormat="1" ht="13.5" hidden="1" customHeight="1">
      <c r="A125" s="894"/>
      <c r="B125" s="417"/>
      <c r="C125" s="551" t="s">
        <v>1497</v>
      </c>
      <c r="D125" s="342" t="s">
        <v>57</v>
      </c>
      <c r="E125" s="342">
        <v>0.64400000000000002</v>
      </c>
      <c r="F125" s="418">
        <f>F122*E125</f>
        <v>0</v>
      </c>
      <c r="G125" s="419"/>
      <c r="H125" s="418"/>
      <c r="I125" s="895"/>
      <c r="J125" s="418"/>
      <c r="K125" s="895">
        <v>3.2</v>
      </c>
      <c r="L125" s="418">
        <f>F125*K125</f>
        <v>0</v>
      </c>
      <c r="M125" s="418">
        <f>H125+J125+L125</f>
        <v>0</v>
      </c>
      <c r="N125" s="358"/>
    </row>
    <row r="126" spans="1:14" s="57" customFormat="1" hidden="1">
      <c r="A126" s="47">
        <v>41</v>
      </c>
      <c r="B126" s="1431" t="s">
        <v>1238</v>
      </c>
      <c r="C126" s="46" t="s">
        <v>364</v>
      </c>
      <c r="D126" s="47" t="s">
        <v>122</v>
      </c>
      <c r="E126" s="47"/>
      <c r="F126" s="384">
        <f>'დეფექტური აქტი'!E45</f>
        <v>0</v>
      </c>
      <c r="G126" s="385"/>
      <c r="H126" s="385"/>
      <c r="I126" s="385"/>
      <c r="J126" s="385"/>
      <c r="K126" s="385"/>
      <c r="L126" s="385"/>
      <c r="M126" s="385"/>
    </row>
    <row r="127" spans="1:14" s="57" customFormat="1" hidden="1">
      <c r="A127" s="80"/>
      <c r="B127" s="1432"/>
      <c r="C127" s="226" t="s">
        <v>209</v>
      </c>
      <c r="D127" s="211" t="s">
        <v>80</v>
      </c>
      <c r="E127" s="211">
        <f>1.38*0.8</f>
        <v>1.1039999999999999</v>
      </c>
      <c r="F127" s="386">
        <f>F126*E127</f>
        <v>0</v>
      </c>
      <c r="G127" s="386"/>
      <c r="H127" s="386"/>
      <c r="I127" s="386">
        <v>4.5999999999999996</v>
      </c>
      <c r="J127" s="386">
        <f>F127*I127</f>
        <v>0</v>
      </c>
      <c r="K127" s="386"/>
      <c r="L127" s="386"/>
      <c r="M127" s="386">
        <f>H127+J127+L127</f>
        <v>0</v>
      </c>
    </row>
    <row r="128" spans="1:14" s="57" customFormat="1" hidden="1">
      <c r="A128" s="80"/>
      <c r="B128" s="1432"/>
      <c r="C128" s="226" t="s">
        <v>81</v>
      </c>
      <c r="D128" s="83" t="s">
        <v>57</v>
      </c>
      <c r="E128" s="211">
        <f>0.059*0.8</f>
        <v>4.7199999999999999E-2</v>
      </c>
      <c r="F128" s="386">
        <f>F126*E128</f>
        <v>0</v>
      </c>
      <c r="G128" s="386"/>
      <c r="H128" s="386"/>
      <c r="I128" s="386"/>
      <c r="J128" s="386"/>
      <c r="K128" s="386">
        <v>3.2</v>
      </c>
      <c r="L128" s="386">
        <f>F128*K128</f>
        <v>0</v>
      </c>
      <c r="M128" s="386">
        <f>H128+J128+L128</f>
        <v>0</v>
      </c>
    </row>
    <row r="129" spans="1:13" s="42" customFormat="1" hidden="1">
      <c r="A129" s="47">
        <v>42</v>
      </c>
      <c r="B129" s="1497" t="s">
        <v>99</v>
      </c>
      <c r="C129" s="46" t="s">
        <v>21</v>
      </c>
      <c r="D129" s="47" t="s">
        <v>122</v>
      </c>
      <c r="E129" s="47"/>
      <c r="F129" s="384">
        <f>'დეფექტური აქტი'!E46</f>
        <v>0</v>
      </c>
      <c r="G129" s="385"/>
      <c r="H129" s="385"/>
      <c r="I129" s="385"/>
      <c r="J129" s="385"/>
      <c r="K129" s="385"/>
      <c r="L129" s="385"/>
      <c r="M129" s="385"/>
    </row>
    <row r="130" spans="1:13" s="42" customFormat="1" hidden="1">
      <c r="A130" s="41"/>
      <c r="B130" s="1501"/>
      <c r="C130" s="15" t="s">
        <v>79</v>
      </c>
      <c r="D130" s="43" t="s">
        <v>122</v>
      </c>
      <c r="E130" s="41">
        <v>1</v>
      </c>
      <c r="F130" s="386">
        <f>F129*E130</f>
        <v>0</v>
      </c>
      <c r="G130" s="386"/>
      <c r="H130" s="386"/>
      <c r="I130" s="386">
        <v>1</v>
      </c>
      <c r="J130" s="386">
        <f>F130*I130</f>
        <v>0</v>
      </c>
      <c r="K130" s="386"/>
      <c r="L130" s="386"/>
      <c r="M130" s="386">
        <f>H130+J130+L130</f>
        <v>0</v>
      </c>
    </row>
    <row r="131" spans="1:13" s="42" customFormat="1">
      <c r="A131" s="1178">
        <v>43</v>
      </c>
      <c r="B131" s="1433" t="s">
        <v>100</v>
      </c>
      <c r="C131" s="46" t="s">
        <v>101</v>
      </c>
      <c r="D131" s="47" t="s">
        <v>78</v>
      </c>
      <c r="E131" s="47"/>
      <c r="F131" s="384">
        <f>'დეფექტური აქტი'!E47</f>
        <v>22.1</v>
      </c>
      <c r="G131" s="385"/>
      <c r="H131" s="385"/>
      <c r="I131" s="385"/>
      <c r="J131" s="385"/>
      <c r="K131" s="385"/>
      <c r="L131" s="385"/>
      <c r="M131" s="385"/>
    </row>
    <row r="132" spans="1:13" s="42" customFormat="1">
      <c r="A132" s="412"/>
      <c r="B132" s="1434"/>
      <c r="C132" s="15" t="s">
        <v>79</v>
      </c>
      <c r="D132" s="41" t="s">
        <v>80</v>
      </c>
      <c r="E132" s="41">
        <v>1.56</v>
      </c>
      <c r="F132" s="386">
        <f>F131*E132</f>
        <v>34.476000000000006</v>
      </c>
      <c r="G132" s="386"/>
      <c r="H132" s="386"/>
      <c r="I132" s="386"/>
      <c r="J132" s="386"/>
      <c r="K132" s="386"/>
      <c r="L132" s="386"/>
      <c r="M132" s="386"/>
    </row>
    <row r="133" spans="1:13" s="42" customFormat="1">
      <c r="A133" s="412"/>
      <c r="B133" s="1434"/>
      <c r="C133" s="15" t="s">
        <v>81</v>
      </c>
      <c r="D133" s="86" t="s">
        <v>57</v>
      </c>
      <c r="E133" s="41">
        <v>9.8400000000000001E-2</v>
      </c>
      <c r="F133" s="386">
        <f>F131*E133</f>
        <v>2.1746400000000001</v>
      </c>
      <c r="G133" s="386"/>
      <c r="H133" s="386"/>
      <c r="I133" s="386"/>
      <c r="J133" s="386"/>
      <c r="K133" s="386"/>
      <c r="L133" s="386"/>
      <c r="M133" s="386"/>
    </row>
    <row r="134" spans="1:13" s="42" customFormat="1" hidden="1">
      <c r="A134" s="47">
        <v>44</v>
      </c>
      <c r="B134" s="1435" t="s">
        <v>102</v>
      </c>
      <c r="C134" s="46" t="s">
        <v>25</v>
      </c>
      <c r="D134" s="140" t="s">
        <v>113</v>
      </c>
      <c r="E134" s="47"/>
      <c r="F134" s="384">
        <f>'დეფექტური აქტი'!E48</f>
        <v>0</v>
      </c>
      <c r="G134" s="385"/>
      <c r="H134" s="385"/>
      <c r="I134" s="385"/>
      <c r="J134" s="385"/>
      <c r="K134" s="385"/>
      <c r="L134" s="385"/>
      <c r="M134" s="385"/>
    </row>
    <row r="135" spans="1:13" s="42" customFormat="1" hidden="1">
      <c r="A135" s="41"/>
      <c r="B135" s="1436"/>
      <c r="C135" s="15" t="s">
        <v>79</v>
      </c>
      <c r="D135" s="43" t="s">
        <v>80</v>
      </c>
      <c r="E135" s="41">
        <v>0.56000000000000005</v>
      </c>
      <c r="F135" s="386">
        <f>F134*E135</f>
        <v>0</v>
      </c>
      <c r="G135" s="386"/>
      <c r="H135" s="386"/>
      <c r="I135" s="386">
        <v>4.5999999999999996</v>
      </c>
      <c r="J135" s="386">
        <f>F135*I135</f>
        <v>0</v>
      </c>
      <c r="K135" s="386"/>
      <c r="L135" s="386"/>
      <c r="M135" s="386">
        <f>H135+J135+L135</f>
        <v>0</v>
      </c>
    </row>
    <row r="136" spans="1:13" s="42" customFormat="1">
      <c r="A136" s="1178">
        <v>45</v>
      </c>
      <c r="B136" s="1435" t="s">
        <v>103</v>
      </c>
      <c r="C136" s="46" t="s">
        <v>26</v>
      </c>
      <c r="D136" s="140" t="s">
        <v>113</v>
      </c>
      <c r="E136" s="47"/>
      <c r="F136" s="384">
        <f>'დეფექტური აქტი'!E49</f>
        <v>4</v>
      </c>
      <c r="G136" s="385"/>
      <c r="H136" s="385"/>
      <c r="I136" s="385"/>
      <c r="J136" s="385"/>
      <c r="K136" s="385"/>
      <c r="L136" s="385"/>
      <c r="M136" s="385"/>
    </row>
    <row r="137" spans="1:13" s="42" customFormat="1">
      <c r="A137" s="412"/>
      <c r="B137" s="1436"/>
      <c r="C137" s="15" t="s">
        <v>79</v>
      </c>
      <c r="D137" s="43" t="s">
        <v>80</v>
      </c>
      <c r="E137" s="41">
        <v>0.45</v>
      </c>
      <c r="F137" s="386">
        <f>F136*E137</f>
        <v>1.8</v>
      </c>
      <c r="G137" s="386"/>
      <c r="H137" s="386"/>
      <c r="I137" s="386"/>
      <c r="J137" s="386"/>
      <c r="K137" s="386"/>
      <c r="L137" s="386"/>
      <c r="M137" s="386"/>
    </row>
    <row r="138" spans="1:13" s="42" customFormat="1">
      <c r="A138" s="1178">
        <v>46</v>
      </c>
      <c r="B138" s="1435" t="s">
        <v>102</v>
      </c>
      <c r="C138" s="46" t="s">
        <v>27</v>
      </c>
      <c r="D138" s="140" t="s">
        <v>113</v>
      </c>
      <c r="E138" s="47"/>
      <c r="F138" s="384">
        <f>'დეფექტური აქტი'!E50</f>
        <v>4</v>
      </c>
      <c r="G138" s="385"/>
      <c r="H138" s="385"/>
      <c r="I138" s="385"/>
      <c r="J138" s="385"/>
      <c r="K138" s="385"/>
      <c r="L138" s="385"/>
      <c r="M138" s="385"/>
    </row>
    <row r="139" spans="1:13" s="42" customFormat="1">
      <c r="A139" s="412"/>
      <c r="B139" s="1436"/>
      <c r="C139" s="15" t="s">
        <v>79</v>
      </c>
      <c r="D139" s="43" t="s">
        <v>80</v>
      </c>
      <c r="E139" s="41">
        <v>0.56000000000000005</v>
      </c>
      <c r="F139" s="386">
        <f>F138*E139</f>
        <v>2.2400000000000002</v>
      </c>
      <c r="G139" s="386"/>
      <c r="H139" s="386"/>
      <c r="I139" s="386"/>
      <c r="J139" s="386"/>
      <c r="K139" s="386"/>
      <c r="L139" s="386"/>
      <c r="M139" s="386"/>
    </row>
    <row r="140" spans="1:13" s="42" customFormat="1">
      <c r="A140" s="1178">
        <v>47</v>
      </c>
      <c r="B140" s="1497" t="s">
        <v>99</v>
      </c>
      <c r="C140" s="46" t="s">
        <v>24</v>
      </c>
      <c r="D140" s="47" t="s">
        <v>78</v>
      </c>
      <c r="E140" s="47"/>
      <c r="F140" s="384">
        <f>'დეფექტური აქტი'!E51</f>
        <v>74.48</v>
      </c>
      <c r="G140" s="385"/>
      <c r="H140" s="385"/>
      <c r="I140" s="385"/>
      <c r="J140" s="385"/>
      <c r="K140" s="385"/>
      <c r="L140" s="385"/>
      <c r="M140" s="385"/>
    </row>
    <row r="141" spans="1:13" s="42" customFormat="1">
      <c r="A141" s="412"/>
      <c r="B141" s="1501"/>
      <c r="C141" s="15" t="s">
        <v>79</v>
      </c>
      <c r="D141" s="43" t="s">
        <v>78</v>
      </c>
      <c r="E141" s="41">
        <v>1</v>
      </c>
      <c r="F141" s="386">
        <f>F140*E141</f>
        <v>74.48</v>
      </c>
      <c r="G141" s="386"/>
      <c r="H141" s="386"/>
      <c r="I141" s="386"/>
      <c r="J141" s="386"/>
      <c r="K141" s="386"/>
      <c r="L141" s="386"/>
      <c r="M141" s="386"/>
    </row>
    <row r="142" spans="1:13" s="42" customFormat="1" ht="15.75" customHeight="1">
      <c r="A142" s="1178">
        <v>48</v>
      </c>
      <c r="B142" s="1497" t="s">
        <v>99</v>
      </c>
      <c r="C142" s="46" t="s">
        <v>28</v>
      </c>
      <c r="D142" s="47" t="s">
        <v>78</v>
      </c>
      <c r="E142" s="47"/>
      <c r="F142" s="384">
        <f>'დეფექტური აქტი'!E52</f>
        <v>74.48</v>
      </c>
      <c r="G142" s="385"/>
      <c r="H142" s="385"/>
      <c r="I142" s="385"/>
      <c r="J142" s="385"/>
      <c r="K142" s="385"/>
      <c r="L142" s="385"/>
      <c r="M142" s="385"/>
    </row>
    <row r="143" spans="1:13" s="42" customFormat="1">
      <c r="A143" s="412"/>
      <c r="B143" s="1501"/>
      <c r="C143" s="15" t="s">
        <v>79</v>
      </c>
      <c r="D143" s="43" t="s">
        <v>78</v>
      </c>
      <c r="E143" s="41">
        <v>1</v>
      </c>
      <c r="F143" s="386">
        <f>F142*E143</f>
        <v>74.48</v>
      </c>
      <c r="G143" s="386"/>
      <c r="H143" s="386"/>
      <c r="I143" s="386"/>
      <c r="J143" s="386"/>
      <c r="K143" s="386"/>
      <c r="L143" s="386"/>
      <c r="M143" s="386"/>
    </row>
    <row r="144" spans="1:13" s="42" customFormat="1" hidden="1">
      <c r="A144" s="47">
        <v>49</v>
      </c>
      <c r="B144" s="1497" t="s">
        <v>99</v>
      </c>
      <c r="C144" s="46" t="s">
        <v>373</v>
      </c>
      <c r="D144" s="140" t="s">
        <v>113</v>
      </c>
      <c r="E144" s="47"/>
      <c r="F144" s="384">
        <f>'დეფექტური აქტი'!E53</f>
        <v>0</v>
      </c>
      <c r="G144" s="385"/>
      <c r="H144" s="385"/>
      <c r="I144" s="385"/>
      <c r="J144" s="385"/>
      <c r="K144" s="385"/>
      <c r="L144" s="385"/>
      <c r="M144" s="385"/>
    </row>
    <row r="145" spans="1:13" s="42" customFormat="1" hidden="1">
      <c r="A145" s="43"/>
      <c r="B145" s="1498"/>
      <c r="C145" s="56" t="s">
        <v>79</v>
      </c>
      <c r="D145" s="86" t="s">
        <v>113</v>
      </c>
      <c r="E145" s="43">
        <v>1</v>
      </c>
      <c r="F145" s="387">
        <f>F144*E145</f>
        <v>0</v>
      </c>
      <c r="G145" s="387"/>
      <c r="H145" s="387"/>
      <c r="I145" s="387">
        <v>3</v>
      </c>
      <c r="J145" s="387">
        <f>F145*I145</f>
        <v>0</v>
      </c>
      <c r="K145" s="387"/>
      <c r="L145" s="387"/>
      <c r="M145" s="387">
        <f>H145+J145+L145</f>
        <v>0</v>
      </c>
    </row>
    <row r="146" spans="1:13" s="92" customFormat="1" hidden="1">
      <c r="A146" s="83">
        <v>11</v>
      </c>
      <c r="B146" s="1041"/>
      <c r="C146" s="84" t="s">
        <v>1683</v>
      </c>
      <c r="D146" s="83" t="s">
        <v>206</v>
      </c>
      <c r="E146" s="83"/>
      <c r="F146" s="388">
        <f>'დეფექტური აქტი'!E54*0.85/1000</f>
        <v>0</v>
      </c>
      <c r="G146" s="225"/>
      <c r="H146" s="600"/>
      <c r="I146" s="225"/>
      <c r="J146" s="225"/>
      <c r="K146" s="225"/>
      <c r="L146" s="225"/>
      <c r="M146" s="225"/>
    </row>
    <row r="147" spans="1:13" s="92" customFormat="1" hidden="1">
      <c r="A147" s="83"/>
      <c r="B147" s="1041"/>
      <c r="C147" s="223" t="s">
        <v>209</v>
      </c>
      <c r="D147" s="211" t="s">
        <v>80</v>
      </c>
      <c r="E147" s="211">
        <v>53.8</v>
      </c>
      <c r="F147" s="386">
        <f>F146*E147</f>
        <v>0</v>
      </c>
      <c r="G147" s="225"/>
      <c r="H147" s="225"/>
      <c r="I147" s="386">
        <v>6</v>
      </c>
      <c r="J147" s="225">
        <f>F147*I147</f>
        <v>0</v>
      </c>
      <c r="K147" s="225"/>
      <c r="L147" s="225"/>
      <c r="M147" s="225">
        <f>H147+J147+L147</f>
        <v>0</v>
      </c>
    </row>
    <row r="148" spans="1:13" s="92" customFormat="1" hidden="1">
      <c r="A148" s="83"/>
      <c r="B148" s="1041"/>
      <c r="C148" s="223" t="s">
        <v>81</v>
      </c>
      <c r="D148" s="83" t="s">
        <v>57</v>
      </c>
      <c r="E148" s="211">
        <v>20</v>
      </c>
      <c r="F148" s="386">
        <f>F146*E148</f>
        <v>0</v>
      </c>
      <c r="G148" s="225"/>
      <c r="H148" s="225"/>
      <c r="I148" s="225"/>
      <c r="J148" s="225"/>
      <c r="K148" s="225">
        <v>3.2</v>
      </c>
      <c r="L148" s="225">
        <f>F148*K148</f>
        <v>0</v>
      </c>
      <c r="M148" s="225">
        <f>H148+J148+L148</f>
        <v>0</v>
      </c>
    </row>
    <row r="149" spans="1:13" s="92" customFormat="1" hidden="1">
      <c r="A149" s="83"/>
      <c r="B149" s="1041"/>
      <c r="C149" s="223" t="s">
        <v>307</v>
      </c>
      <c r="D149" s="211" t="s">
        <v>97</v>
      </c>
      <c r="E149" s="211">
        <v>24.4</v>
      </c>
      <c r="F149" s="386">
        <f>F146*E149</f>
        <v>0</v>
      </c>
      <c r="G149" s="225">
        <v>3.75</v>
      </c>
      <c r="H149" s="225">
        <f>F149*G149</f>
        <v>0</v>
      </c>
      <c r="I149" s="225"/>
      <c r="J149" s="225"/>
      <c r="K149" s="225"/>
      <c r="L149" s="225"/>
      <c r="M149" s="225">
        <f>H149+J149+L149</f>
        <v>0</v>
      </c>
    </row>
    <row r="150" spans="1:13" s="92" customFormat="1" hidden="1">
      <c r="A150" s="86"/>
      <c r="B150" s="1041"/>
      <c r="C150" s="232" t="s">
        <v>214</v>
      </c>
      <c r="D150" s="86" t="s">
        <v>57</v>
      </c>
      <c r="E150" s="230">
        <v>2.78</v>
      </c>
      <c r="F150" s="387">
        <f>F146*E150</f>
        <v>0</v>
      </c>
      <c r="G150" s="393">
        <v>3.2</v>
      </c>
      <c r="H150" s="393">
        <f>F150*G150</f>
        <v>0</v>
      </c>
      <c r="I150" s="393"/>
      <c r="J150" s="393"/>
      <c r="K150" s="393"/>
      <c r="L150" s="393"/>
      <c r="M150" s="393">
        <f>H150+J150+L150</f>
        <v>0</v>
      </c>
    </row>
    <row r="151" spans="1:13" s="42" customFormat="1">
      <c r="A151" s="1178">
        <v>50</v>
      </c>
      <c r="B151" s="1497" t="s">
        <v>99</v>
      </c>
      <c r="C151" s="46" t="s">
        <v>23</v>
      </c>
      <c r="D151" s="47" t="s">
        <v>78</v>
      </c>
      <c r="E151" s="47"/>
      <c r="F151" s="384">
        <f>'დეფექტური აქტი'!E55</f>
        <v>74.48</v>
      </c>
      <c r="G151" s="385"/>
      <c r="H151" s="385"/>
      <c r="I151" s="385"/>
      <c r="J151" s="385"/>
      <c r="K151" s="385"/>
      <c r="L151" s="385"/>
      <c r="M151" s="385"/>
    </row>
    <row r="152" spans="1:13" s="42" customFormat="1">
      <c r="A152" s="412"/>
      <c r="B152" s="1501"/>
      <c r="C152" s="15" t="s">
        <v>79</v>
      </c>
      <c r="D152" s="43" t="s">
        <v>78</v>
      </c>
      <c r="E152" s="41">
        <v>1</v>
      </c>
      <c r="F152" s="386">
        <f>F151*E152</f>
        <v>74.48</v>
      </c>
      <c r="G152" s="386"/>
      <c r="H152" s="386"/>
      <c r="I152" s="386"/>
      <c r="J152" s="386"/>
      <c r="K152" s="386"/>
      <c r="L152" s="386"/>
      <c r="M152" s="386"/>
    </row>
    <row r="153" spans="1:13" s="42" customFormat="1" ht="27">
      <c r="A153" s="1178">
        <v>51</v>
      </c>
      <c r="B153" s="1435" t="s">
        <v>205</v>
      </c>
      <c r="C153" s="46" t="s">
        <v>29</v>
      </c>
      <c r="D153" s="47" t="s">
        <v>206</v>
      </c>
      <c r="E153" s="47"/>
      <c r="F153" s="385">
        <f>'დეფექტური აქტი'!E56</f>
        <v>44.315080000000002</v>
      </c>
      <c r="G153" s="385"/>
      <c r="H153" s="385"/>
      <c r="I153" s="385"/>
      <c r="J153" s="385"/>
      <c r="K153" s="385"/>
      <c r="L153" s="385"/>
      <c r="M153" s="385"/>
    </row>
    <row r="154" spans="1:13" s="42" customFormat="1">
      <c r="A154" s="412"/>
      <c r="B154" s="1436"/>
      <c r="C154" s="15" t="s">
        <v>209</v>
      </c>
      <c r="D154" s="43" t="s">
        <v>80</v>
      </c>
      <c r="E154" s="41">
        <v>1.85</v>
      </c>
      <c r="F154" s="386">
        <f>F153*E154</f>
        <v>81.982898000000006</v>
      </c>
      <c r="G154" s="386"/>
      <c r="H154" s="386"/>
      <c r="I154" s="386"/>
      <c r="J154" s="386"/>
      <c r="K154" s="386"/>
      <c r="L154" s="386"/>
      <c r="M154" s="386"/>
    </row>
    <row r="155" spans="1:13" s="42" customFormat="1" ht="27">
      <c r="A155" s="1178">
        <v>52</v>
      </c>
      <c r="B155" s="1495"/>
      <c r="C155" s="46" t="s">
        <v>1070</v>
      </c>
      <c r="D155" s="47" t="s">
        <v>206</v>
      </c>
      <c r="E155" s="47"/>
      <c r="F155" s="385">
        <f>'დეფექტური აქტი'!E57</f>
        <v>44.315080000000002</v>
      </c>
      <c r="G155" s="385"/>
      <c r="H155" s="385"/>
      <c r="I155" s="385"/>
      <c r="J155" s="385"/>
      <c r="K155" s="385"/>
      <c r="L155" s="385"/>
      <c r="M155" s="385"/>
    </row>
    <row r="156" spans="1:13" s="42" customFormat="1">
      <c r="A156" s="412"/>
      <c r="B156" s="1496"/>
      <c r="C156" s="15" t="s">
        <v>79</v>
      </c>
      <c r="D156" s="43" t="s">
        <v>80</v>
      </c>
      <c r="E156" s="41">
        <v>0.53</v>
      </c>
      <c r="F156" s="386">
        <f>F155*E156</f>
        <v>23.486992400000002</v>
      </c>
      <c r="G156" s="386"/>
      <c r="H156" s="386"/>
      <c r="I156" s="386"/>
      <c r="J156" s="386"/>
      <c r="K156" s="386"/>
      <c r="L156" s="386"/>
      <c r="M156" s="386"/>
    </row>
    <row r="157" spans="1:13" s="42" customFormat="1">
      <c r="A157" s="1179">
        <v>53</v>
      </c>
      <c r="B157" s="174"/>
      <c r="C157" s="26" t="s">
        <v>728</v>
      </c>
      <c r="D157" s="48" t="s">
        <v>206</v>
      </c>
      <c r="E157" s="48"/>
      <c r="F157" s="390">
        <f>'დეფექტური აქტი'!E58</f>
        <v>44.315080000000002</v>
      </c>
      <c r="G157" s="390"/>
      <c r="H157" s="390"/>
      <c r="I157" s="390"/>
      <c r="J157" s="390"/>
      <c r="K157" s="390"/>
      <c r="L157" s="390"/>
      <c r="M157" s="390"/>
    </row>
    <row r="158" spans="1:13" s="45" customFormat="1">
      <c r="A158" s="1507"/>
      <c r="B158" s="1434"/>
      <c r="C158" s="143" t="s">
        <v>110</v>
      </c>
      <c r="D158" s="50"/>
      <c r="E158" s="43"/>
      <c r="F158" s="387"/>
      <c r="G158" s="387"/>
      <c r="H158" s="387"/>
      <c r="I158" s="387"/>
      <c r="J158" s="1069"/>
      <c r="K158" s="1069"/>
      <c r="L158" s="1069"/>
      <c r="M158" s="1069"/>
    </row>
    <row r="159" spans="1:13" s="63" customFormat="1">
      <c r="A159" s="1507"/>
      <c r="B159" s="1434"/>
      <c r="C159" s="49" t="s">
        <v>115</v>
      </c>
      <c r="D159" s="124">
        <f>'დეფექტური აქტი'!E60%</f>
        <v>0.1</v>
      </c>
      <c r="E159" s="78"/>
      <c r="F159" s="391"/>
      <c r="G159" s="391"/>
      <c r="H159" s="382"/>
      <c r="I159" s="382"/>
      <c r="J159" s="401"/>
      <c r="K159" s="401"/>
      <c r="L159" s="401"/>
      <c r="M159" s="401"/>
    </row>
    <row r="160" spans="1:13" s="63" customFormat="1">
      <c r="A160" s="1507"/>
      <c r="B160" s="1434"/>
      <c r="C160" s="116" t="s">
        <v>110</v>
      </c>
      <c r="D160" s="79"/>
      <c r="E160" s="78"/>
      <c r="F160" s="391"/>
      <c r="G160" s="391"/>
      <c r="H160" s="382"/>
      <c r="I160" s="382"/>
      <c r="J160" s="401"/>
      <c r="K160" s="401"/>
      <c r="L160" s="401"/>
      <c r="M160" s="401"/>
    </row>
    <row r="161" spans="1:13" s="63" customFormat="1">
      <c r="A161" s="1507"/>
      <c r="B161" s="1434"/>
      <c r="C161" s="49" t="s">
        <v>116</v>
      </c>
      <c r="D161" s="124">
        <f>'დეფექტური აქტი'!E62%</f>
        <v>0.08</v>
      </c>
      <c r="E161" s="78"/>
      <c r="F161" s="391"/>
      <c r="G161" s="391"/>
      <c r="H161" s="382"/>
      <c r="I161" s="382"/>
      <c r="J161" s="401"/>
      <c r="K161" s="401"/>
      <c r="L161" s="401"/>
      <c r="M161" s="401"/>
    </row>
    <row r="162" spans="1:13" s="63" customFormat="1">
      <c r="A162" s="1507"/>
      <c r="B162" s="1463"/>
      <c r="C162" s="116" t="s">
        <v>207</v>
      </c>
      <c r="D162" s="79"/>
      <c r="E162" s="78"/>
      <c r="F162" s="391"/>
      <c r="G162" s="391"/>
      <c r="H162" s="382"/>
      <c r="I162" s="382"/>
      <c r="J162" s="401"/>
      <c r="K162" s="401"/>
      <c r="L162" s="401"/>
      <c r="M162" s="401"/>
    </row>
    <row r="163" spans="1:13">
      <c r="A163" s="1191"/>
      <c r="B163" s="76"/>
      <c r="C163" s="178" t="s">
        <v>453</v>
      </c>
      <c r="D163" s="76"/>
      <c r="E163" s="9"/>
      <c r="F163" s="382"/>
      <c r="G163" s="382"/>
      <c r="H163" s="382"/>
      <c r="I163" s="382"/>
      <c r="J163" s="382"/>
      <c r="K163" s="382"/>
      <c r="L163" s="382"/>
      <c r="M163" s="382"/>
    </row>
    <row r="164" spans="1:13" s="51" customFormat="1">
      <c r="A164" s="1179"/>
      <c r="B164" s="138"/>
      <c r="C164" s="204" t="s">
        <v>118</v>
      </c>
      <c r="D164" s="48"/>
      <c r="E164" s="47"/>
      <c r="F164" s="385"/>
      <c r="G164" s="385"/>
      <c r="H164" s="385"/>
      <c r="I164" s="385"/>
      <c r="J164" s="385"/>
      <c r="K164" s="385"/>
      <c r="L164" s="385"/>
      <c r="M164" s="385"/>
    </row>
    <row r="165" spans="1:13" s="45" customFormat="1" ht="27">
      <c r="A165" s="1178">
        <v>1</v>
      </c>
      <c r="B165" s="1433" t="s">
        <v>208</v>
      </c>
      <c r="C165" s="353" t="s">
        <v>1502</v>
      </c>
      <c r="D165" s="47" t="s">
        <v>78</v>
      </c>
      <c r="E165" s="47"/>
      <c r="F165" s="384">
        <f>'დეფექტური აქტი'!E66</f>
        <v>120.2</v>
      </c>
      <c r="G165" s="385"/>
      <c r="H165" s="385"/>
      <c r="I165" s="385"/>
      <c r="J165" s="385"/>
      <c r="K165" s="385"/>
      <c r="L165" s="385"/>
      <c r="M165" s="385"/>
    </row>
    <row r="166" spans="1:13" s="45" customFormat="1">
      <c r="A166" s="412"/>
      <c r="B166" s="1434"/>
      <c r="C166" s="15" t="s">
        <v>209</v>
      </c>
      <c r="D166" s="41" t="s">
        <v>80</v>
      </c>
      <c r="E166" s="41">
        <v>1.1499999999999999</v>
      </c>
      <c r="F166" s="386">
        <f>F165*E166</f>
        <v>138.22999999999999</v>
      </c>
      <c r="G166" s="386"/>
      <c r="H166" s="386"/>
      <c r="I166" s="386"/>
      <c r="J166" s="386"/>
      <c r="K166" s="386"/>
      <c r="L166" s="386"/>
      <c r="M166" s="386"/>
    </row>
    <row r="167" spans="1:13" s="45" customFormat="1">
      <c r="A167" s="412"/>
      <c r="B167" s="1434"/>
      <c r="C167" s="15" t="s">
        <v>81</v>
      </c>
      <c r="D167" s="83" t="s">
        <v>57</v>
      </c>
      <c r="E167" s="41">
        <v>7.5899999999999995E-2</v>
      </c>
      <c r="F167" s="386">
        <f>F165*E167</f>
        <v>9.1231799999999996</v>
      </c>
      <c r="G167" s="386"/>
      <c r="H167" s="386"/>
      <c r="I167" s="386"/>
      <c r="J167" s="386"/>
      <c r="K167" s="386"/>
      <c r="L167" s="386"/>
      <c r="M167" s="386"/>
    </row>
    <row r="168" spans="1:13" s="45" customFormat="1" hidden="1">
      <c r="A168" s="41"/>
      <c r="B168" s="1434"/>
      <c r="C168" s="15" t="s">
        <v>210</v>
      </c>
      <c r="D168" s="41"/>
      <c r="E168" s="41"/>
      <c r="F168" s="386"/>
      <c r="G168" s="386"/>
      <c r="H168" s="386"/>
      <c r="I168" s="386"/>
      <c r="J168" s="386"/>
      <c r="K168" s="386"/>
      <c r="L168" s="386"/>
      <c r="M168" s="386"/>
    </row>
    <row r="169" spans="1:13" s="45" customFormat="1">
      <c r="A169" s="412"/>
      <c r="B169" s="1434"/>
      <c r="C169" s="15" t="s">
        <v>211</v>
      </c>
      <c r="D169" s="41" t="s">
        <v>88</v>
      </c>
      <c r="E169" s="41">
        <v>2.3E-2</v>
      </c>
      <c r="F169" s="386">
        <f>F165*E169</f>
        <v>2.7646000000000002</v>
      </c>
      <c r="G169" s="386"/>
      <c r="H169" s="386"/>
      <c r="I169" s="386"/>
      <c r="J169" s="386"/>
      <c r="K169" s="386"/>
      <c r="L169" s="386"/>
      <c r="M169" s="386"/>
    </row>
    <row r="170" spans="1:13" s="45" customFormat="1">
      <c r="A170" s="412"/>
      <c r="B170" s="1434"/>
      <c r="C170" s="15" t="s">
        <v>212</v>
      </c>
      <c r="D170" s="41" t="s">
        <v>213</v>
      </c>
      <c r="E170" s="41">
        <v>5.04E-2</v>
      </c>
      <c r="F170" s="386">
        <f>F165*E170</f>
        <v>6.0580800000000004</v>
      </c>
      <c r="G170" s="386"/>
      <c r="H170" s="386"/>
      <c r="I170" s="386"/>
      <c r="J170" s="386"/>
      <c r="K170" s="386"/>
      <c r="L170" s="386"/>
      <c r="M170" s="386"/>
    </row>
    <row r="171" spans="1:13" s="45" customFormat="1">
      <c r="A171" s="412"/>
      <c r="B171" s="1434"/>
      <c r="C171" s="15" t="s">
        <v>214</v>
      </c>
      <c r="D171" s="86" t="s">
        <v>57</v>
      </c>
      <c r="E171" s="41">
        <v>5.7599999999999998E-2</v>
      </c>
      <c r="F171" s="386">
        <f>F165*E171</f>
        <v>6.9235199999999999</v>
      </c>
      <c r="G171" s="386"/>
      <c r="H171" s="386"/>
      <c r="I171" s="386"/>
      <c r="J171" s="386"/>
      <c r="K171" s="386"/>
      <c r="L171" s="386"/>
      <c r="M171" s="386"/>
    </row>
    <row r="172" spans="1:13" s="88" customFormat="1" ht="27" hidden="1">
      <c r="A172" s="140">
        <v>2</v>
      </c>
      <c r="B172" s="1431" t="s">
        <v>410</v>
      </c>
      <c r="C172" s="151" t="s">
        <v>1110</v>
      </c>
      <c r="D172" s="140" t="s">
        <v>88</v>
      </c>
      <c r="E172" s="140"/>
      <c r="F172" s="384">
        <f>'დეფექტური აქტი'!E67</f>
        <v>0</v>
      </c>
      <c r="G172" s="422"/>
      <c r="H172" s="422"/>
      <c r="I172" s="422"/>
      <c r="J172" s="422"/>
      <c r="K172" s="422"/>
      <c r="L172" s="422"/>
      <c r="M172" s="422"/>
    </row>
    <row r="173" spans="1:13" s="88" customFormat="1" hidden="1">
      <c r="A173" s="83"/>
      <c r="B173" s="1432"/>
      <c r="C173" s="223" t="s">
        <v>209</v>
      </c>
      <c r="D173" s="211" t="s">
        <v>80</v>
      </c>
      <c r="E173" s="211">
        <v>3.36</v>
      </c>
      <c r="F173" s="386">
        <f>F172*E173</f>
        <v>0</v>
      </c>
      <c r="G173" s="225"/>
      <c r="H173" s="225"/>
      <c r="I173" s="386">
        <v>6</v>
      </c>
      <c r="J173" s="225">
        <f>F173*I173</f>
        <v>0</v>
      </c>
      <c r="K173" s="225"/>
      <c r="L173" s="225"/>
      <c r="M173" s="225">
        <f>H173+J173+L173</f>
        <v>0</v>
      </c>
    </row>
    <row r="174" spans="1:13" s="88" customFormat="1" hidden="1">
      <c r="A174" s="83"/>
      <c r="B174" s="1432"/>
      <c r="C174" s="223" t="s">
        <v>81</v>
      </c>
      <c r="D174" s="83" t="s">
        <v>57</v>
      </c>
      <c r="E174" s="211">
        <v>0.92</v>
      </c>
      <c r="F174" s="386">
        <f>F172*E174</f>
        <v>0</v>
      </c>
      <c r="G174" s="225"/>
      <c r="H174" s="225"/>
      <c r="I174" s="225"/>
      <c r="J174" s="225"/>
      <c r="K174" s="225">
        <v>3.2</v>
      </c>
      <c r="L174" s="225">
        <f>F174*K174</f>
        <v>0</v>
      </c>
      <c r="M174" s="225">
        <f>H174+J174+L174</f>
        <v>0</v>
      </c>
    </row>
    <row r="175" spans="1:13" s="88" customFormat="1" hidden="1">
      <c r="A175" s="83"/>
      <c r="B175" s="1432"/>
      <c r="C175" s="15" t="s">
        <v>210</v>
      </c>
      <c r="D175" s="211"/>
      <c r="E175" s="211"/>
      <c r="F175" s="386"/>
      <c r="G175" s="225"/>
      <c r="H175" s="225"/>
      <c r="I175" s="225"/>
      <c r="J175" s="225"/>
      <c r="K175" s="225"/>
      <c r="L175" s="225"/>
      <c r="M175" s="225"/>
    </row>
    <row r="176" spans="1:13" s="88" customFormat="1" hidden="1">
      <c r="A176" s="83"/>
      <c r="B176" s="1432"/>
      <c r="C176" s="223" t="s">
        <v>411</v>
      </c>
      <c r="D176" s="211" t="s">
        <v>88</v>
      </c>
      <c r="E176" s="211">
        <v>0.11</v>
      </c>
      <c r="F176" s="386">
        <f>F172*E176</f>
        <v>0</v>
      </c>
      <c r="G176" s="225">
        <v>79</v>
      </c>
      <c r="H176" s="225">
        <f>F176*G176</f>
        <v>0</v>
      </c>
      <c r="I176" s="225"/>
      <c r="J176" s="225"/>
      <c r="K176" s="225"/>
      <c r="L176" s="225"/>
      <c r="M176" s="225">
        <f>H176+J176+L176</f>
        <v>0</v>
      </c>
    </row>
    <row r="177" spans="1:16" s="88" customFormat="1" hidden="1">
      <c r="A177" s="83"/>
      <c r="B177" s="1432"/>
      <c r="C177" s="223" t="s">
        <v>412</v>
      </c>
      <c r="D177" s="83" t="s">
        <v>113</v>
      </c>
      <c r="E177" s="211">
        <v>65.346000000000004</v>
      </c>
      <c r="F177" s="386">
        <f>F172*E177</f>
        <v>0</v>
      </c>
      <c r="G177" s="225">
        <v>0.97</v>
      </c>
      <c r="H177" s="225">
        <f>F177*G177</f>
        <v>0</v>
      </c>
      <c r="I177" s="225"/>
      <c r="J177" s="225"/>
      <c r="K177" s="225"/>
      <c r="L177" s="225"/>
      <c r="M177" s="225">
        <f>H177+J177+L177</f>
        <v>0</v>
      </c>
    </row>
    <row r="178" spans="1:16" s="88" customFormat="1" ht="16.5" hidden="1" customHeight="1">
      <c r="A178" s="83"/>
      <c r="B178" s="1432"/>
      <c r="C178" s="223" t="s">
        <v>214</v>
      </c>
      <c r="D178" s="86" t="s">
        <v>57</v>
      </c>
      <c r="E178" s="211">
        <v>0.16</v>
      </c>
      <c r="F178" s="386">
        <f>F172*E178</f>
        <v>0</v>
      </c>
      <c r="G178" s="225">
        <v>3.2</v>
      </c>
      <c r="H178" s="225">
        <f>F178*G178</f>
        <v>0</v>
      </c>
      <c r="I178" s="225"/>
      <c r="J178" s="225"/>
      <c r="K178" s="225"/>
      <c r="L178" s="225"/>
      <c r="M178" s="225">
        <f>H178+J178+L178</f>
        <v>0</v>
      </c>
    </row>
    <row r="179" spans="1:16" s="339" customFormat="1" ht="27" hidden="1">
      <c r="A179" s="345">
        <v>3</v>
      </c>
      <c r="B179" s="346" t="s">
        <v>900</v>
      </c>
      <c r="C179" s="26" t="s">
        <v>1499</v>
      </c>
      <c r="D179" s="140" t="s">
        <v>88</v>
      </c>
      <c r="E179" s="345"/>
      <c r="F179" s="384">
        <f>'დეფექტური აქტი'!E68</f>
        <v>0</v>
      </c>
      <c r="G179" s="597"/>
      <c r="H179" s="597"/>
      <c r="I179" s="597"/>
      <c r="J179" s="597"/>
      <c r="K179" s="597"/>
      <c r="L179" s="597"/>
      <c r="M179" s="597"/>
    </row>
    <row r="180" spans="1:16" s="333" customFormat="1" ht="14.25" hidden="1" customHeight="1">
      <c r="A180" s="330"/>
      <c r="B180" s="340"/>
      <c r="C180" s="341" t="s">
        <v>209</v>
      </c>
      <c r="D180" s="336" t="s">
        <v>80</v>
      </c>
      <c r="E180" s="336">
        <v>4.2300000000000004</v>
      </c>
      <c r="F180" s="389">
        <f>F179*E180</f>
        <v>0</v>
      </c>
      <c r="G180" s="389"/>
      <c r="H180" s="389"/>
      <c r="I180" s="389">
        <v>6</v>
      </c>
      <c r="J180" s="389">
        <f>F180*I180</f>
        <v>0</v>
      </c>
      <c r="K180" s="389"/>
      <c r="L180" s="389"/>
      <c r="M180" s="389">
        <f>H180+J180+L180</f>
        <v>0</v>
      </c>
      <c r="N180" s="332"/>
    </row>
    <row r="181" spans="1:16" s="333" customFormat="1" hidden="1">
      <c r="A181" s="330"/>
      <c r="B181" s="340"/>
      <c r="C181" s="341" t="s">
        <v>81</v>
      </c>
      <c r="D181" s="336" t="s">
        <v>57</v>
      </c>
      <c r="E181" s="336">
        <v>0.78</v>
      </c>
      <c r="F181" s="389">
        <f>F179*E181</f>
        <v>0</v>
      </c>
      <c r="G181" s="389"/>
      <c r="H181" s="389"/>
      <c r="I181" s="389"/>
      <c r="J181" s="389"/>
      <c r="K181" s="389">
        <v>3.2</v>
      </c>
      <c r="L181" s="389">
        <f>F181*K181</f>
        <v>0</v>
      </c>
      <c r="M181" s="389">
        <f>H181+J181+L181</f>
        <v>0</v>
      </c>
      <c r="N181" s="332"/>
    </row>
    <row r="182" spans="1:16" s="333" customFormat="1" hidden="1">
      <c r="A182" s="330"/>
      <c r="B182" s="340"/>
      <c r="C182" s="341" t="s">
        <v>210</v>
      </c>
      <c r="D182" s="336"/>
      <c r="E182" s="336"/>
      <c r="F182" s="389">
        <f>E182*2353</f>
        <v>0</v>
      </c>
      <c r="G182" s="389"/>
      <c r="H182" s="389"/>
      <c r="I182" s="389"/>
      <c r="J182" s="389"/>
      <c r="K182" s="389"/>
      <c r="L182" s="389"/>
      <c r="M182" s="389"/>
      <c r="N182" s="332"/>
    </row>
    <row r="183" spans="1:16" s="333" customFormat="1" hidden="1">
      <c r="A183" s="330"/>
      <c r="B183" s="340"/>
      <c r="C183" s="341" t="s">
        <v>211</v>
      </c>
      <c r="D183" s="336" t="s">
        <v>88</v>
      </c>
      <c r="E183" s="336">
        <v>0.23</v>
      </c>
      <c r="F183" s="389">
        <f>F179*E183</f>
        <v>0</v>
      </c>
      <c r="G183" s="389">
        <v>84</v>
      </c>
      <c r="H183" s="389">
        <f>F183*G183</f>
        <v>0</v>
      </c>
      <c r="I183" s="389"/>
      <c r="J183" s="389"/>
      <c r="K183" s="389"/>
      <c r="L183" s="389"/>
      <c r="M183" s="389">
        <f>H183+J183+L183</f>
        <v>0</v>
      </c>
      <c r="N183" s="332"/>
    </row>
    <row r="184" spans="1:16" s="333" customFormat="1" hidden="1">
      <c r="A184" s="330"/>
      <c r="B184" s="340"/>
      <c r="C184" s="341" t="s">
        <v>901</v>
      </c>
      <c r="D184" s="336" t="s">
        <v>213</v>
      </c>
      <c r="E184" s="336">
        <v>0.38400000000000001</v>
      </c>
      <c r="F184" s="389">
        <f>F179*E184</f>
        <v>0</v>
      </c>
      <c r="G184" s="389">
        <v>410</v>
      </c>
      <c r="H184" s="389">
        <f>F184*G184</f>
        <v>0</v>
      </c>
      <c r="I184" s="389"/>
      <c r="J184" s="389"/>
      <c r="K184" s="389"/>
      <c r="L184" s="389"/>
      <c r="M184" s="389">
        <f>H184+J184+L184</f>
        <v>0</v>
      </c>
      <c r="N184" s="332"/>
    </row>
    <row r="185" spans="1:16" s="333" customFormat="1" hidden="1">
      <c r="A185" s="419"/>
      <c r="B185" s="343"/>
      <c r="C185" s="344" t="s">
        <v>214</v>
      </c>
      <c r="D185" s="342" t="s">
        <v>57</v>
      </c>
      <c r="E185" s="342">
        <v>0.17</v>
      </c>
      <c r="F185" s="392">
        <f>F179*E185</f>
        <v>0</v>
      </c>
      <c r="G185" s="392">
        <v>3.2</v>
      </c>
      <c r="H185" s="392">
        <f>F185*G185</f>
        <v>0</v>
      </c>
      <c r="I185" s="392"/>
      <c r="J185" s="392"/>
      <c r="K185" s="392"/>
      <c r="L185" s="392"/>
      <c r="M185" s="392">
        <f>H185+J185+L185</f>
        <v>0</v>
      </c>
      <c r="N185" s="332"/>
    </row>
    <row r="186" spans="1:16" s="359" customFormat="1" ht="15" hidden="1" customHeight="1">
      <c r="A186" s="330"/>
      <c r="B186" s="328" t="s">
        <v>1204</v>
      </c>
      <c r="C186" s="821" t="s">
        <v>1509</v>
      </c>
      <c r="D186" s="336" t="s">
        <v>88</v>
      </c>
      <c r="E186" s="336"/>
      <c r="F186" s="384">
        <f>'დეფექტური აქტი'!E69</f>
        <v>0</v>
      </c>
      <c r="G186" s="330"/>
      <c r="H186" s="331"/>
      <c r="I186" s="414"/>
      <c r="J186" s="331"/>
      <c r="K186" s="414"/>
      <c r="L186" s="331"/>
      <c r="M186" s="331"/>
      <c r="N186" s="358"/>
      <c r="P186" s="900"/>
    </row>
    <row r="187" spans="1:16" s="359" customFormat="1" ht="17.25" hidden="1" customHeight="1">
      <c r="A187" s="330"/>
      <c r="B187" s="328"/>
      <c r="C187" s="341" t="s">
        <v>209</v>
      </c>
      <c r="D187" s="336" t="s">
        <v>80</v>
      </c>
      <c r="E187" s="336">
        <v>12.9</v>
      </c>
      <c r="F187" s="331">
        <f>F186*E187</f>
        <v>0</v>
      </c>
      <c r="G187" s="330"/>
      <c r="H187" s="331"/>
      <c r="I187" s="414">
        <v>4.5999999999999996</v>
      </c>
      <c r="J187" s="331">
        <f>F187*I187</f>
        <v>0</v>
      </c>
      <c r="K187" s="414"/>
      <c r="L187" s="331"/>
      <c r="M187" s="331">
        <f>H187+J187+L187</f>
        <v>0</v>
      </c>
      <c r="N187" s="358"/>
      <c r="P187" s="900"/>
    </row>
    <row r="188" spans="1:16" s="359" customFormat="1" hidden="1">
      <c r="A188" s="330"/>
      <c r="B188" s="328"/>
      <c r="C188" s="341" t="s">
        <v>133</v>
      </c>
      <c r="D188" s="336" t="s">
        <v>57</v>
      </c>
      <c r="E188" s="336">
        <v>0.63</v>
      </c>
      <c r="F188" s="331">
        <f>F186*E188</f>
        <v>0</v>
      </c>
      <c r="G188" s="330"/>
      <c r="H188" s="331"/>
      <c r="I188" s="414"/>
      <c r="J188" s="331"/>
      <c r="K188" s="414">
        <v>3.2</v>
      </c>
      <c r="L188" s="331">
        <f>F188*K188</f>
        <v>0</v>
      </c>
      <c r="M188" s="331">
        <f>H188+J188+L188</f>
        <v>0</v>
      </c>
      <c r="N188" s="358"/>
      <c r="P188" s="900"/>
    </row>
    <row r="189" spans="1:16" s="359" customFormat="1" hidden="1">
      <c r="A189" s="330"/>
      <c r="B189" s="328"/>
      <c r="C189" s="341" t="s">
        <v>210</v>
      </c>
      <c r="D189" s="336"/>
      <c r="E189" s="336"/>
      <c r="F189" s="331">
        <f>E189*2353</f>
        <v>0</v>
      </c>
      <c r="G189" s="330"/>
      <c r="H189" s="331"/>
      <c r="I189" s="414"/>
      <c r="J189" s="331"/>
      <c r="K189" s="414"/>
      <c r="L189" s="331"/>
      <c r="M189" s="331"/>
      <c r="N189" s="358"/>
      <c r="P189" s="900"/>
    </row>
    <row r="190" spans="1:16" s="359" customFormat="1" hidden="1">
      <c r="A190" s="330"/>
      <c r="B190" s="328"/>
      <c r="C190" s="341" t="s">
        <v>211</v>
      </c>
      <c r="D190" s="336" t="s">
        <v>88</v>
      </c>
      <c r="E190" s="336">
        <v>0.24</v>
      </c>
      <c r="F190" s="331">
        <f>F186*E190</f>
        <v>0</v>
      </c>
      <c r="G190" s="330">
        <v>84</v>
      </c>
      <c r="H190" s="331">
        <f>F190*G190</f>
        <v>0</v>
      </c>
      <c r="I190" s="414"/>
      <c r="J190" s="331"/>
      <c r="K190" s="414"/>
      <c r="L190" s="331"/>
      <c r="M190" s="331">
        <f>H190+J190+L190</f>
        <v>0</v>
      </c>
      <c r="N190" s="358"/>
      <c r="P190" s="900"/>
    </row>
    <row r="191" spans="1:16" s="359" customFormat="1" hidden="1">
      <c r="A191" s="419"/>
      <c r="B191" s="417"/>
      <c r="C191" s="344" t="s">
        <v>901</v>
      </c>
      <c r="D191" s="342" t="s">
        <v>213</v>
      </c>
      <c r="E191" s="342">
        <v>0.41</v>
      </c>
      <c r="F191" s="418">
        <f>F186*E191</f>
        <v>0</v>
      </c>
      <c r="G191" s="419">
        <v>410</v>
      </c>
      <c r="H191" s="418">
        <f>F191*G191</f>
        <v>0</v>
      </c>
      <c r="I191" s="895"/>
      <c r="J191" s="418"/>
      <c r="K191" s="895"/>
      <c r="L191" s="418"/>
      <c r="M191" s="418">
        <f>H191+J191+L191</f>
        <v>0</v>
      </c>
      <c r="N191" s="358"/>
      <c r="P191" s="900"/>
    </row>
    <row r="192" spans="1:16" s="45" customFormat="1" ht="13.5" customHeight="1">
      <c r="A192" s="1178">
        <v>4</v>
      </c>
      <c r="B192" s="373" t="s">
        <v>250</v>
      </c>
      <c r="C192" s="46" t="s">
        <v>215</v>
      </c>
      <c r="D192" s="47" t="s">
        <v>78</v>
      </c>
      <c r="E192" s="47"/>
      <c r="F192" s="384">
        <f>'დეფექტური აქტი'!E70</f>
        <v>440</v>
      </c>
      <c r="G192" s="385"/>
      <c r="H192" s="385"/>
      <c r="I192" s="385"/>
      <c r="J192" s="385"/>
      <c r="K192" s="385"/>
      <c r="L192" s="385"/>
      <c r="M192" s="385"/>
    </row>
    <row r="193" spans="1:14" s="45" customFormat="1">
      <c r="A193" s="412"/>
      <c r="B193" s="374"/>
      <c r="C193" s="84" t="s">
        <v>209</v>
      </c>
      <c r="D193" s="83" t="s">
        <v>80</v>
      </c>
      <c r="E193" s="83">
        <v>0.74</v>
      </c>
      <c r="F193" s="386">
        <f>F192*E193</f>
        <v>325.60000000000002</v>
      </c>
      <c r="G193" s="386"/>
      <c r="H193" s="386"/>
      <c r="I193" s="386"/>
      <c r="J193" s="386"/>
      <c r="K193" s="386"/>
      <c r="L193" s="386"/>
      <c r="M193" s="386"/>
    </row>
    <row r="194" spans="1:14" s="45" customFormat="1" ht="14.25" customHeight="1">
      <c r="A194" s="412"/>
      <c r="B194" s="374"/>
      <c r="C194" s="84" t="s">
        <v>216</v>
      </c>
      <c r="D194" s="83" t="s">
        <v>217</v>
      </c>
      <c r="E194" s="83">
        <v>4.7199999999999999E-2</v>
      </c>
      <c r="F194" s="386">
        <f>F192*E194</f>
        <v>20.768000000000001</v>
      </c>
      <c r="G194" s="386"/>
      <c r="H194" s="386"/>
      <c r="I194" s="386"/>
      <c r="J194" s="386"/>
      <c r="K194" s="386"/>
      <c r="L194" s="386"/>
      <c r="M194" s="386"/>
    </row>
    <row r="195" spans="1:14" s="45" customFormat="1">
      <c r="A195" s="412"/>
      <c r="B195" s="374"/>
      <c r="C195" s="84" t="s">
        <v>81</v>
      </c>
      <c r="D195" s="83" t="s">
        <v>57</v>
      </c>
      <c r="E195" s="83">
        <v>2.1000000000000001E-2</v>
      </c>
      <c r="F195" s="386">
        <f>F192*E195</f>
        <v>9.24</v>
      </c>
      <c r="G195" s="386"/>
      <c r="H195" s="386"/>
      <c r="I195" s="386"/>
      <c r="J195" s="386"/>
      <c r="K195" s="386"/>
      <c r="L195" s="386"/>
      <c r="M195" s="386"/>
    </row>
    <row r="196" spans="1:14" s="45" customFormat="1" hidden="1">
      <c r="A196" s="41"/>
      <c r="B196" s="374"/>
      <c r="C196" s="15" t="s">
        <v>210</v>
      </c>
      <c r="D196" s="83"/>
      <c r="E196" s="83"/>
      <c r="F196" s="386"/>
      <c r="G196" s="386"/>
      <c r="H196" s="386"/>
      <c r="I196" s="386"/>
      <c r="J196" s="386"/>
      <c r="K196" s="386"/>
      <c r="L196" s="386"/>
      <c r="M196" s="386"/>
    </row>
    <row r="197" spans="1:14" s="45" customFormat="1">
      <c r="A197" s="412"/>
      <c r="B197" s="374"/>
      <c r="C197" s="84" t="s">
        <v>218</v>
      </c>
      <c r="D197" s="83" t="s">
        <v>88</v>
      </c>
      <c r="E197" s="83">
        <v>1.8700000000000001E-2</v>
      </c>
      <c r="F197" s="386">
        <f>F192*E197</f>
        <v>8.2279999999999998</v>
      </c>
      <c r="G197" s="386"/>
      <c r="H197" s="386"/>
      <c r="I197" s="386"/>
      <c r="J197" s="386"/>
      <c r="K197" s="386"/>
      <c r="L197" s="386"/>
      <c r="M197" s="386"/>
    </row>
    <row r="198" spans="1:14" s="45" customFormat="1">
      <c r="A198" s="412"/>
      <c r="B198" s="374"/>
      <c r="C198" s="84" t="s">
        <v>219</v>
      </c>
      <c r="D198" s="83" t="s">
        <v>78</v>
      </c>
      <c r="E198" s="83">
        <v>5.28E-2</v>
      </c>
      <c r="F198" s="386">
        <f>F192*E198</f>
        <v>23.231999999999999</v>
      </c>
      <c r="G198" s="386"/>
      <c r="H198" s="386"/>
      <c r="I198" s="386"/>
      <c r="J198" s="386"/>
      <c r="K198" s="386"/>
      <c r="L198" s="386"/>
      <c r="M198" s="386"/>
    </row>
    <row r="199" spans="1:14" s="45" customFormat="1">
      <c r="A199" s="1180"/>
      <c r="B199" s="375"/>
      <c r="C199" s="87" t="s">
        <v>214</v>
      </c>
      <c r="D199" s="86" t="s">
        <v>57</v>
      </c>
      <c r="E199" s="86">
        <v>3.0000000000000001E-3</v>
      </c>
      <c r="F199" s="387">
        <f>F192*E199</f>
        <v>1.32</v>
      </c>
      <c r="G199" s="387"/>
      <c r="H199" s="387"/>
      <c r="I199" s="387"/>
      <c r="J199" s="387"/>
      <c r="K199" s="387"/>
      <c r="L199" s="387"/>
      <c r="M199" s="387"/>
    </row>
    <row r="200" spans="1:14" s="359" customFormat="1" ht="28.5" hidden="1" customHeight="1">
      <c r="A200" s="98">
        <v>4</v>
      </c>
      <c r="B200" s="462" t="s">
        <v>1538</v>
      </c>
      <c r="C200" s="127" t="s">
        <v>1537</v>
      </c>
      <c r="D200" s="99" t="s">
        <v>78</v>
      </c>
      <c r="E200" s="99"/>
      <c r="F200" s="910">
        <f>'დეფექტური აქტი'!E86</f>
        <v>0</v>
      </c>
      <c r="G200" s="99"/>
      <c r="H200" s="911"/>
      <c r="I200" s="910"/>
      <c r="J200" s="911"/>
      <c r="K200" s="910"/>
      <c r="L200" s="911"/>
      <c r="M200" s="911"/>
      <c r="N200" s="358"/>
    </row>
    <row r="201" spans="1:14" s="359" customFormat="1" ht="13.5" hidden="1" customHeight="1">
      <c r="A201" s="98"/>
      <c r="B201" s="462"/>
      <c r="C201" s="128" t="s">
        <v>209</v>
      </c>
      <c r="D201" s="98" t="s">
        <v>78</v>
      </c>
      <c r="E201" s="98">
        <v>1.32</v>
      </c>
      <c r="F201" s="911">
        <f>F200*E201</f>
        <v>0</v>
      </c>
      <c r="G201" s="99"/>
      <c r="H201" s="911"/>
      <c r="I201" s="910">
        <v>6</v>
      </c>
      <c r="J201" s="911">
        <f>F201*I201</f>
        <v>0</v>
      </c>
      <c r="K201" s="910"/>
      <c r="L201" s="911"/>
      <c r="M201" s="911">
        <f>H201+J201+L201</f>
        <v>0</v>
      </c>
      <c r="N201" s="358"/>
    </row>
    <row r="202" spans="1:14" s="359" customFormat="1" hidden="1">
      <c r="A202" s="98"/>
      <c r="B202" s="462"/>
      <c r="C202" s="128" t="s">
        <v>81</v>
      </c>
      <c r="D202" s="98" t="s">
        <v>57</v>
      </c>
      <c r="E202" s="98">
        <v>2.5999999999999999E-2</v>
      </c>
      <c r="F202" s="911">
        <f>F200*E202</f>
        <v>0</v>
      </c>
      <c r="G202" s="99"/>
      <c r="H202" s="911"/>
      <c r="I202" s="910"/>
      <c r="J202" s="911"/>
      <c r="K202" s="910">
        <v>3.2</v>
      </c>
      <c r="L202" s="911">
        <f>F202*K202</f>
        <v>0</v>
      </c>
      <c r="M202" s="911">
        <f>H202+J202+L202</f>
        <v>0</v>
      </c>
      <c r="N202" s="358"/>
    </row>
    <row r="203" spans="1:14" s="359" customFormat="1" hidden="1">
      <c r="A203" s="98"/>
      <c r="B203" s="462"/>
      <c r="C203" s="128" t="s">
        <v>210</v>
      </c>
      <c r="D203" s="98"/>
      <c r="E203" s="98"/>
      <c r="F203" s="911"/>
      <c r="G203" s="99"/>
      <c r="H203" s="911"/>
      <c r="I203" s="910"/>
      <c r="J203" s="911"/>
      <c r="K203" s="910"/>
      <c r="L203" s="911"/>
      <c r="M203" s="911"/>
      <c r="N203" s="358"/>
    </row>
    <row r="204" spans="1:14" s="359" customFormat="1" ht="13.5" hidden="1" customHeight="1">
      <c r="A204" s="98"/>
      <c r="B204" s="462"/>
      <c r="C204" s="127" t="s">
        <v>1539</v>
      </c>
      <c r="D204" s="98" t="s">
        <v>97</v>
      </c>
      <c r="E204" s="98">
        <v>5</v>
      </c>
      <c r="F204" s="911">
        <f>F200*E204</f>
        <v>0</v>
      </c>
      <c r="G204" s="1070">
        <v>2.1</v>
      </c>
      <c r="H204" s="911">
        <f>F204*G204</f>
        <v>0</v>
      </c>
      <c r="I204" s="910"/>
      <c r="J204" s="911"/>
      <c r="K204" s="910"/>
      <c r="L204" s="911"/>
      <c r="M204" s="911">
        <f>H204+J204+L204</f>
        <v>0</v>
      </c>
      <c r="N204" s="358"/>
    </row>
    <row r="205" spans="1:14" s="359" customFormat="1" ht="15" hidden="1" customHeight="1">
      <c r="A205" s="98"/>
      <c r="B205" s="462"/>
      <c r="C205" s="127" t="s">
        <v>1540</v>
      </c>
      <c r="D205" s="98" t="s">
        <v>97</v>
      </c>
      <c r="E205" s="98">
        <v>0.1</v>
      </c>
      <c r="F205" s="911">
        <f>F200*E205</f>
        <v>0</v>
      </c>
      <c r="G205" s="918">
        <v>1.5</v>
      </c>
      <c r="H205" s="911">
        <f>F205*G205</f>
        <v>0</v>
      </c>
      <c r="I205" s="910"/>
      <c r="J205" s="911"/>
      <c r="K205" s="910"/>
      <c r="L205" s="911"/>
      <c r="M205" s="911">
        <f>H205+J205+L205</f>
        <v>0</v>
      </c>
      <c r="N205" s="358"/>
    </row>
    <row r="206" spans="1:14" s="359" customFormat="1" ht="27" hidden="1">
      <c r="A206" s="336">
        <v>5</v>
      </c>
      <c r="B206" s="328" t="s">
        <v>1461</v>
      </c>
      <c r="C206" s="888" t="s">
        <v>1462</v>
      </c>
      <c r="D206" s="330" t="s">
        <v>78</v>
      </c>
      <c r="E206" s="330"/>
      <c r="F206" s="384">
        <f>'დეფექტური აქტი'!E72</f>
        <v>0</v>
      </c>
      <c r="G206" s="330"/>
      <c r="H206" s="331"/>
      <c r="I206" s="414"/>
      <c r="J206" s="331"/>
      <c r="K206" s="414"/>
      <c r="L206" s="331"/>
      <c r="M206" s="331"/>
      <c r="N206" s="358"/>
    </row>
    <row r="207" spans="1:14" s="359" customFormat="1" ht="14.25" hidden="1" customHeight="1">
      <c r="A207" s="336"/>
      <c r="B207" s="328"/>
      <c r="C207" s="335" t="s">
        <v>209</v>
      </c>
      <c r="D207" s="336" t="s">
        <v>80</v>
      </c>
      <c r="E207" s="336">
        <f>1.15*1.16</f>
        <v>1.3339999999999999</v>
      </c>
      <c r="F207" s="331">
        <f>F206*E207</f>
        <v>0</v>
      </c>
      <c r="G207" s="330"/>
      <c r="H207" s="331"/>
      <c r="I207" s="414">
        <v>6</v>
      </c>
      <c r="J207" s="331">
        <f>F207*I207</f>
        <v>0</v>
      </c>
      <c r="K207" s="414"/>
      <c r="L207" s="331"/>
      <c r="M207" s="331">
        <f>H207+J207+L207</f>
        <v>0</v>
      </c>
      <c r="N207" s="358"/>
    </row>
    <row r="208" spans="1:14" s="359" customFormat="1" hidden="1">
      <c r="A208" s="336"/>
      <c r="B208" s="328"/>
      <c r="C208" s="335" t="s">
        <v>81</v>
      </c>
      <c r="D208" s="336" t="s">
        <v>57</v>
      </c>
      <c r="E208" s="336">
        <v>5.8999999999999997E-2</v>
      </c>
      <c r="F208" s="331">
        <f>F206*E208</f>
        <v>0</v>
      </c>
      <c r="G208" s="330"/>
      <c r="H208" s="331"/>
      <c r="I208" s="414"/>
      <c r="J208" s="331"/>
      <c r="K208" s="414">
        <v>3.2</v>
      </c>
      <c r="L208" s="331">
        <f>F208*K208</f>
        <v>0</v>
      </c>
      <c r="M208" s="331">
        <f>H208+J208+L208</f>
        <v>0</v>
      </c>
      <c r="N208" s="358"/>
    </row>
    <row r="209" spans="1:14" s="359" customFormat="1" hidden="1">
      <c r="A209" s="336"/>
      <c r="B209" s="328"/>
      <c r="C209" s="335" t="s">
        <v>210</v>
      </c>
      <c r="D209" s="336"/>
      <c r="E209" s="336"/>
      <c r="F209" s="331">
        <f>F206*E209</f>
        <v>0</v>
      </c>
      <c r="G209" s="330"/>
      <c r="H209" s="331"/>
      <c r="I209" s="414"/>
      <c r="J209" s="331"/>
      <c r="K209" s="414"/>
      <c r="L209" s="331"/>
      <c r="M209" s="331"/>
      <c r="N209" s="358"/>
    </row>
    <row r="210" spans="1:14" s="359" customFormat="1" hidden="1">
      <c r="A210" s="336"/>
      <c r="B210" s="328"/>
      <c r="C210" s="335" t="s">
        <v>1460</v>
      </c>
      <c r="D210" s="336" t="s">
        <v>88</v>
      </c>
      <c r="E210" s="889">
        <f>0.031*1.05</f>
        <v>3.2550000000000003E-2</v>
      </c>
      <c r="F210" s="331">
        <f>F206*E210</f>
        <v>0</v>
      </c>
      <c r="G210" s="330">
        <v>87</v>
      </c>
      <c r="H210" s="331">
        <f>F210*G210</f>
        <v>0</v>
      </c>
      <c r="I210" s="414"/>
      <c r="J210" s="331"/>
      <c r="K210" s="414"/>
      <c r="L210" s="331"/>
      <c r="M210" s="331">
        <f>H210+J210+L210</f>
        <v>0</v>
      </c>
      <c r="N210" s="358"/>
    </row>
    <row r="211" spans="1:14" s="359" customFormat="1" hidden="1">
      <c r="A211" s="336"/>
      <c r="B211" s="328"/>
      <c r="C211" s="335" t="s">
        <v>1463</v>
      </c>
      <c r="D211" s="336" t="s">
        <v>78</v>
      </c>
      <c r="E211" s="336">
        <v>1.08</v>
      </c>
      <c r="F211" s="890">
        <f>F206*E211</f>
        <v>0</v>
      </c>
      <c r="G211" s="330">
        <v>4.5999999999999996</v>
      </c>
      <c r="H211" s="331">
        <f>F211*G211</f>
        <v>0</v>
      </c>
      <c r="I211" s="414"/>
      <c r="J211" s="331"/>
      <c r="K211" s="414"/>
      <c r="L211" s="331"/>
      <c r="M211" s="331">
        <f>H211+J211+L211</f>
        <v>0</v>
      </c>
      <c r="N211" s="358"/>
    </row>
    <row r="212" spans="1:14" s="359" customFormat="1" hidden="1">
      <c r="A212" s="342"/>
      <c r="B212" s="417"/>
      <c r="C212" s="551" t="s">
        <v>214</v>
      </c>
      <c r="D212" s="342" t="s">
        <v>57</v>
      </c>
      <c r="E212" s="342">
        <v>3.0000000000000001E-3</v>
      </c>
      <c r="F212" s="418">
        <f>F206*E212</f>
        <v>0</v>
      </c>
      <c r="G212" s="419">
        <v>3.2</v>
      </c>
      <c r="H212" s="418">
        <f>F212*G212</f>
        <v>0</v>
      </c>
      <c r="I212" s="895"/>
      <c r="J212" s="418"/>
      <c r="K212" s="895"/>
      <c r="L212" s="418"/>
      <c r="M212" s="418">
        <f>H212+J212+L212</f>
        <v>0</v>
      </c>
      <c r="N212" s="358"/>
    </row>
    <row r="213" spans="1:14" s="359" customFormat="1" hidden="1">
      <c r="A213" s="336">
        <v>6</v>
      </c>
      <c r="B213" s="328" t="s">
        <v>1464</v>
      </c>
      <c r="C213" s="888" t="s">
        <v>1466</v>
      </c>
      <c r="D213" s="330" t="s">
        <v>78</v>
      </c>
      <c r="E213" s="330"/>
      <c r="F213" s="384">
        <f>'დეფექტური აქტი'!E73</f>
        <v>0</v>
      </c>
      <c r="G213" s="330"/>
      <c r="H213" s="331"/>
      <c r="I213" s="414"/>
      <c r="J213" s="331"/>
      <c r="K213" s="414"/>
      <c r="L213" s="331"/>
      <c r="M213" s="331"/>
      <c r="N213" s="358"/>
    </row>
    <row r="214" spans="1:14" s="359" customFormat="1" ht="14.25" hidden="1" customHeight="1">
      <c r="A214" s="336"/>
      <c r="B214" s="328"/>
      <c r="C214" s="335" t="s">
        <v>209</v>
      </c>
      <c r="D214" s="336" t="s">
        <v>80</v>
      </c>
      <c r="E214" s="336">
        <v>0.223</v>
      </c>
      <c r="F214" s="331">
        <f>F213*E214</f>
        <v>0</v>
      </c>
      <c r="G214" s="330"/>
      <c r="H214" s="331"/>
      <c r="I214" s="414">
        <v>6</v>
      </c>
      <c r="J214" s="331">
        <f>F214*I214</f>
        <v>0</v>
      </c>
      <c r="K214" s="414"/>
      <c r="L214" s="331"/>
      <c r="M214" s="331">
        <f>H214+J214+L214</f>
        <v>0</v>
      </c>
      <c r="N214" s="358"/>
    </row>
    <row r="215" spans="1:14" s="359" customFormat="1" hidden="1">
      <c r="A215" s="336"/>
      <c r="B215" s="328"/>
      <c r="C215" s="335" t="s">
        <v>81</v>
      </c>
      <c r="D215" s="336" t="s">
        <v>57</v>
      </c>
      <c r="E215" s="336">
        <v>5.0000000000000001E-3</v>
      </c>
      <c r="F215" s="331">
        <f>F213*E215</f>
        <v>0</v>
      </c>
      <c r="G215" s="330"/>
      <c r="H215" s="331"/>
      <c r="I215" s="414"/>
      <c r="J215" s="331"/>
      <c r="K215" s="414">
        <v>3.2</v>
      </c>
      <c r="L215" s="331">
        <f>F215*K215</f>
        <v>0</v>
      </c>
      <c r="M215" s="331">
        <f>H215+J215+L215</f>
        <v>0</v>
      </c>
      <c r="N215" s="358"/>
    </row>
    <row r="216" spans="1:14" s="359" customFormat="1" hidden="1">
      <c r="A216" s="336"/>
      <c r="B216" s="328"/>
      <c r="C216" s="335" t="s">
        <v>210</v>
      </c>
      <c r="D216" s="336"/>
      <c r="E216" s="336"/>
      <c r="F216" s="331">
        <f>F213*E216</f>
        <v>0</v>
      </c>
      <c r="G216" s="330"/>
      <c r="H216" s="331"/>
      <c r="I216" s="414"/>
      <c r="J216" s="331"/>
      <c r="K216" s="414"/>
      <c r="L216" s="331"/>
      <c r="M216" s="331"/>
      <c r="N216" s="358"/>
    </row>
    <row r="217" spans="1:14" s="359" customFormat="1" hidden="1">
      <c r="A217" s="336"/>
      <c r="B217" s="328"/>
      <c r="C217" s="335" t="s">
        <v>1465</v>
      </c>
      <c r="D217" s="336" t="s">
        <v>206</v>
      </c>
      <c r="E217" s="336">
        <v>3.5999999999999999E-3</v>
      </c>
      <c r="F217" s="331">
        <f>F213*E217</f>
        <v>0</v>
      </c>
      <c r="G217" s="1071">
        <v>1102</v>
      </c>
      <c r="H217" s="331">
        <f>F217*G217</f>
        <v>0</v>
      </c>
      <c r="I217" s="414"/>
      <c r="J217" s="331"/>
      <c r="K217" s="414"/>
      <c r="L217" s="331"/>
      <c r="M217" s="331">
        <f>H217+J217+L217</f>
        <v>0</v>
      </c>
      <c r="N217" s="358"/>
    </row>
    <row r="218" spans="1:14" s="359" customFormat="1" hidden="1">
      <c r="A218" s="336"/>
      <c r="B218" s="328"/>
      <c r="C218" s="335" t="s">
        <v>214</v>
      </c>
      <c r="D218" s="336" t="s">
        <v>57</v>
      </c>
      <c r="E218" s="336">
        <v>4.0000000000000001E-3</v>
      </c>
      <c r="F218" s="331">
        <f>F213*E218</f>
        <v>0</v>
      </c>
      <c r="G218" s="330">
        <v>3.2</v>
      </c>
      <c r="H218" s="331">
        <f>F218*G218</f>
        <v>0</v>
      </c>
      <c r="I218" s="414"/>
      <c r="J218" s="331"/>
      <c r="K218" s="414"/>
      <c r="L218" s="331"/>
      <c r="M218" s="331">
        <f>H218+J218+L218</f>
        <v>0</v>
      </c>
      <c r="N218" s="358"/>
    </row>
    <row r="219" spans="1:14" s="877" customFormat="1" ht="75.75" customHeight="1">
      <c r="A219" s="1229"/>
      <c r="B219" s="1500" t="s">
        <v>127</v>
      </c>
      <c r="C219" s="1251" t="s">
        <v>1868</v>
      </c>
      <c r="D219" s="1230" t="s">
        <v>78</v>
      </c>
      <c r="E219" s="370"/>
      <c r="F219" s="384">
        <f>'დეფექტური აქტი'!E71</f>
        <v>34.4</v>
      </c>
      <c r="G219" s="385"/>
      <c r="H219" s="385"/>
      <c r="I219" s="385"/>
      <c r="J219" s="385"/>
      <c r="K219" s="385"/>
      <c r="L219" s="385"/>
      <c r="M219" s="385"/>
    </row>
    <row r="220" spans="1:14" s="877" customFormat="1">
      <c r="A220" s="1231"/>
      <c r="B220" s="1428"/>
      <c r="C220" s="569" t="s">
        <v>128</v>
      </c>
      <c r="D220" s="371"/>
      <c r="E220" s="1231">
        <v>1</v>
      </c>
      <c r="F220" s="386">
        <f>F219*E220</f>
        <v>34.4</v>
      </c>
      <c r="G220" s="386"/>
      <c r="H220" s="386"/>
      <c r="I220" s="386"/>
      <c r="J220" s="386"/>
      <c r="K220" s="386"/>
      <c r="L220" s="386"/>
      <c r="M220" s="386"/>
    </row>
    <row r="221" spans="1:14" s="877" customFormat="1">
      <c r="A221" s="1231"/>
      <c r="B221" s="1428"/>
      <c r="C221" s="569" t="s">
        <v>81</v>
      </c>
      <c r="D221" s="1224" t="s">
        <v>57</v>
      </c>
      <c r="E221" s="371">
        <v>9.0999999999999998E-2</v>
      </c>
      <c r="F221" s="386">
        <f>F219*E221</f>
        <v>3.1303999999999998</v>
      </c>
      <c r="G221" s="386"/>
      <c r="H221" s="386"/>
      <c r="I221" s="386"/>
      <c r="J221" s="386"/>
      <c r="K221" s="386"/>
      <c r="L221" s="386"/>
      <c r="M221" s="386"/>
    </row>
    <row r="222" spans="1:14" s="877" customFormat="1">
      <c r="A222" s="1231"/>
      <c r="B222" s="1428"/>
      <c r="C222" s="365" t="s">
        <v>210</v>
      </c>
      <c r="D222" s="371"/>
      <c r="E222" s="371"/>
      <c r="F222" s="386"/>
      <c r="G222" s="386"/>
      <c r="H222" s="386"/>
      <c r="I222" s="386"/>
      <c r="J222" s="386"/>
      <c r="K222" s="386"/>
      <c r="L222" s="386"/>
      <c r="M222" s="386"/>
    </row>
    <row r="223" spans="1:14" s="877" customFormat="1" ht="44.25" customHeight="1">
      <c r="A223" s="1231"/>
      <c r="B223" s="1428"/>
      <c r="C223" s="1232" t="s">
        <v>1887</v>
      </c>
      <c r="D223" s="371" t="s">
        <v>78</v>
      </c>
      <c r="E223" s="570">
        <v>1.1000000000000001</v>
      </c>
      <c r="F223" s="439">
        <f>F219*E223</f>
        <v>37.840000000000003</v>
      </c>
      <c r="G223" s="1388"/>
      <c r="H223" s="386"/>
      <c r="I223" s="386"/>
      <c r="J223" s="386"/>
      <c r="K223" s="386"/>
      <c r="L223" s="386"/>
      <c r="M223" s="386"/>
    </row>
    <row r="224" spans="1:14" s="877" customFormat="1">
      <c r="A224" s="1231"/>
      <c r="B224" s="1428"/>
      <c r="C224" s="569" t="s">
        <v>130</v>
      </c>
      <c r="D224" s="1225" t="s">
        <v>57</v>
      </c>
      <c r="E224" s="371">
        <v>0.16400000000000001</v>
      </c>
      <c r="F224" s="386">
        <f>F219*E224</f>
        <v>5.6416000000000004</v>
      </c>
      <c r="G224" s="386"/>
      <c r="H224" s="386"/>
      <c r="I224" s="386"/>
      <c r="J224" s="386"/>
      <c r="K224" s="386"/>
      <c r="L224" s="386"/>
      <c r="M224" s="386"/>
    </row>
    <row r="225" spans="1:13" s="45" customFormat="1" ht="27">
      <c r="A225" s="1178">
        <v>7</v>
      </c>
      <c r="B225" s="1499" t="s">
        <v>220</v>
      </c>
      <c r="C225" s="46" t="s">
        <v>221</v>
      </c>
      <c r="D225" s="47" t="s">
        <v>78</v>
      </c>
      <c r="E225" s="47"/>
      <c r="F225" s="384">
        <f>'დეფექტური აქტი'!E74</f>
        <v>15</v>
      </c>
      <c r="G225" s="385"/>
      <c r="H225" s="385"/>
      <c r="I225" s="385"/>
      <c r="J225" s="385"/>
      <c r="K225" s="385"/>
      <c r="L225" s="385"/>
      <c r="M225" s="385"/>
    </row>
    <row r="226" spans="1:13" s="45" customFormat="1">
      <c r="A226" s="412"/>
      <c r="B226" s="1434"/>
      <c r="C226" s="15" t="s">
        <v>209</v>
      </c>
      <c r="D226" s="41" t="s">
        <v>80</v>
      </c>
      <c r="E226" s="41">
        <v>1.79</v>
      </c>
      <c r="F226" s="386">
        <f>F225*E226</f>
        <v>26.85</v>
      </c>
      <c r="G226" s="386"/>
      <c r="H226" s="386"/>
      <c r="I226" s="386"/>
      <c r="J226" s="386"/>
      <c r="K226" s="386"/>
      <c r="L226" s="386"/>
      <c r="M226" s="386"/>
    </row>
    <row r="227" spans="1:13" s="45" customFormat="1">
      <c r="A227" s="412"/>
      <c r="B227" s="1434"/>
      <c r="C227" s="15" t="s">
        <v>81</v>
      </c>
      <c r="D227" s="83" t="s">
        <v>57</v>
      </c>
      <c r="E227" s="41">
        <v>7.5999999999999998E-2</v>
      </c>
      <c r="F227" s="386">
        <f>F225*E227</f>
        <v>1.1399999999999999</v>
      </c>
      <c r="G227" s="386"/>
      <c r="H227" s="386"/>
      <c r="I227" s="386"/>
      <c r="J227" s="386"/>
      <c r="K227" s="386"/>
      <c r="L227" s="386"/>
      <c r="M227" s="386"/>
    </row>
    <row r="228" spans="1:13" s="45" customFormat="1" hidden="1">
      <c r="A228" s="41"/>
      <c r="B228" s="1434"/>
      <c r="C228" s="15" t="s">
        <v>210</v>
      </c>
      <c r="D228" s="41"/>
      <c r="E228" s="41"/>
      <c r="F228" s="386"/>
      <c r="G228" s="386"/>
      <c r="H228" s="386"/>
      <c r="I228" s="386"/>
      <c r="J228" s="386"/>
      <c r="K228" s="386"/>
      <c r="L228" s="386"/>
      <c r="M228" s="386"/>
    </row>
    <row r="229" spans="1:13" s="45" customFormat="1">
      <c r="A229" s="412"/>
      <c r="B229" s="1463"/>
      <c r="C229" s="15" t="s">
        <v>218</v>
      </c>
      <c r="D229" s="43" t="s">
        <v>88</v>
      </c>
      <c r="E229" s="41">
        <v>4.3999999999999997E-2</v>
      </c>
      <c r="F229" s="386">
        <f>F225*E229</f>
        <v>0.65999999999999992</v>
      </c>
      <c r="G229" s="386"/>
      <c r="H229" s="386"/>
      <c r="I229" s="386"/>
      <c r="J229" s="386"/>
      <c r="K229" s="386"/>
      <c r="L229" s="386"/>
      <c r="M229" s="386"/>
    </row>
    <row r="230" spans="1:13" s="45" customFormat="1" hidden="1">
      <c r="A230" s="47">
        <v>8</v>
      </c>
      <c r="B230" s="1446" t="s">
        <v>632</v>
      </c>
      <c r="C230" s="46" t="s">
        <v>374</v>
      </c>
      <c r="D230" s="47" t="s">
        <v>78</v>
      </c>
      <c r="E230" s="47"/>
      <c r="F230" s="384">
        <f>'დეფექტური აქტი'!E75</f>
        <v>0</v>
      </c>
      <c r="G230" s="385"/>
      <c r="H230" s="385"/>
      <c r="I230" s="385"/>
      <c r="J230" s="385"/>
      <c r="K230" s="385"/>
      <c r="L230" s="385"/>
      <c r="M230" s="385"/>
    </row>
    <row r="231" spans="1:13" s="45" customFormat="1" hidden="1">
      <c r="A231" s="41"/>
      <c r="B231" s="1432"/>
      <c r="C231" s="84" t="s">
        <v>209</v>
      </c>
      <c r="D231" s="83" t="s">
        <v>78</v>
      </c>
      <c r="E231" s="211">
        <v>0.77700000000000002</v>
      </c>
      <c r="F231" s="386">
        <f>F230*E231</f>
        <v>0</v>
      </c>
      <c r="G231" s="386"/>
      <c r="H231" s="386"/>
      <c r="I231" s="386">
        <v>6</v>
      </c>
      <c r="J231" s="386">
        <f>F231*I231</f>
        <v>0</v>
      </c>
      <c r="K231" s="386"/>
      <c r="L231" s="386"/>
      <c r="M231" s="386">
        <f>H231+J231+L231</f>
        <v>0</v>
      </c>
    </row>
    <row r="232" spans="1:13" s="45" customFormat="1" hidden="1">
      <c r="A232" s="41"/>
      <c r="B232" s="1432"/>
      <c r="C232" s="84" t="s">
        <v>81</v>
      </c>
      <c r="D232" s="83" t="s">
        <v>57</v>
      </c>
      <c r="E232" s="211">
        <v>3.8300000000000001E-2</v>
      </c>
      <c r="F232" s="386">
        <f>F230*E232</f>
        <v>0</v>
      </c>
      <c r="G232" s="386"/>
      <c r="H232" s="386"/>
      <c r="I232" s="386"/>
      <c r="J232" s="386"/>
      <c r="K232" s="386">
        <v>3.2</v>
      </c>
      <c r="L232" s="386">
        <f>F232*K232</f>
        <v>0</v>
      </c>
      <c r="M232" s="386">
        <f>H232+J232+L232</f>
        <v>0</v>
      </c>
    </row>
    <row r="233" spans="1:13" s="45" customFormat="1" hidden="1">
      <c r="A233" s="41"/>
      <c r="B233" s="1432"/>
      <c r="C233" s="15" t="s">
        <v>210</v>
      </c>
      <c r="D233" s="83"/>
      <c r="E233" s="211"/>
      <c r="F233" s="386"/>
      <c r="G233" s="386"/>
      <c r="H233" s="386"/>
      <c r="I233" s="386"/>
      <c r="J233" s="386"/>
      <c r="K233" s="386"/>
      <c r="L233" s="386"/>
      <c r="M233" s="386"/>
    </row>
    <row r="234" spans="1:13" s="45" customFormat="1" hidden="1">
      <c r="A234" s="41"/>
      <c r="B234" s="1432"/>
      <c r="C234" s="84" t="s">
        <v>222</v>
      </c>
      <c r="D234" s="83" t="s">
        <v>206</v>
      </c>
      <c r="E234" s="211">
        <v>3.3300000000000003E-2</v>
      </c>
      <c r="F234" s="386">
        <f>F230*E234</f>
        <v>0</v>
      </c>
      <c r="G234" s="386">
        <v>72</v>
      </c>
      <c r="H234" s="386">
        <f>F234*G234</f>
        <v>0</v>
      </c>
      <c r="I234" s="386"/>
      <c r="J234" s="386"/>
      <c r="K234" s="386"/>
      <c r="L234" s="386"/>
      <c r="M234" s="386">
        <f>H234+J234+L234</f>
        <v>0</v>
      </c>
    </row>
    <row r="235" spans="1:13" s="45" customFormat="1" hidden="1">
      <c r="A235" s="41"/>
      <c r="B235" s="1432"/>
      <c r="C235" s="84" t="s">
        <v>223</v>
      </c>
      <c r="D235" s="83" t="s">
        <v>88</v>
      </c>
      <c r="E235" s="211">
        <v>6.0000000000000001E-3</v>
      </c>
      <c r="F235" s="386">
        <f>F230*E235</f>
        <v>0</v>
      </c>
      <c r="G235" s="386">
        <v>3.6</v>
      </c>
      <c r="H235" s="386">
        <f>F235*G235</f>
        <v>0</v>
      </c>
      <c r="I235" s="386"/>
      <c r="J235" s="386"/>
      <c r="K235" s="386"/>
      <c r="L235" s="386"/>
      <c r="M235" s="386">
        <f>H235+J235+L235</f>
        <v>0</v>
      </c>
    </row>
    <row r="236" spans="1:13" s="45" customFormat="1" hidden="1">
      <c r="A236" s="41"/>
      <c r="B236" s="1432"/>
      <c r="C236" s="84" t="s">
        <v>219</v>
      </c>
      <c r="D236" s="83" t="s">
        <v>78</v>
      </c>
      <c r="E236" s="211">
        <v>5.28E-2</v>
      </c>
      <c r="F236" s="386">
        <f>F230*E236</f>
        <v>0</v>
      </c>
      <c r="G236" s="386">
        <v>4.5999999999999996</v>
      </c>
      <c r="H236" s="386">
        <f>F236*G236</f>
        <v>0</v>
      </c>
      <c r="I236" s="386"/>
      <c r="J236" s="386"/>
      <c r="K236" s="386"/>
      <c r="L236" s="386"/>
      <c r="M236" s="386">
        <f>H236+J236+L236</f>
        <v>0</v>
      </c>
    </row>
    <row r="237" spans="1:13" s="45" customFormat="1" hidden="1">
      <c r="A237" s="41"/>
      <c r="B237" s="1437"/>
      <c r="C237" s="84" t="s">
        <v>214</v>
      </c>
      <c r="D237" s="86" t="s">
        <v>57</v>
      </c>
      <c r="E237" s="211">
        <v>3.0000000000000001E-3</v>
      </c>
      <c r="F237" s="386">
        <f>F230*E237</f>
        <v>0</v>
      </c>
      <c r="G237" s="386">
        <v>3.2</v>
      </c>
      <c r="H237" s="386">
        <f>F237*G237</f>
        <v>0</v>
      </c>
      <c r="I237" s="386"/>
      <c r="J237" s="386"/>
      <c r="K237" s="386"/>
      <c r="L237" s="386"/>
      <c r="M237" s="386">
        <f>H237+J237+L237</f>
        <v>0</v>
      </c>
    </row>
    <row r="238" spans="1:13" s="45" customFormat="1" hidden="1">
      <c r="A238" s="47">
        <v>9</v>
      </c>
      <c r="B238" s="1433" t="s">
        <v>224</v>
      </c>
      <c r="C238" s="46" t="s">
        <v>126</v>
      </c>
      <c r="D238" s="47" t="s">
        <v>78</v>
      </c>
      <c r="E238" s="47"/>
      <c r="F238" s="384">
        <f>'დეფექტური აქტი'!E76</f>
        <v>0</v>
      </c>
      <c r="G238" s="385"/>
      <c r="H238" s="385"/>
      <c r="I238" s="385"/>
      <c r="J238" s="385"/>
      <c r="K238" s="385"/>
      <c r="L238" s="385"/>
      <c r="M238" s="385"/>
    </row>
    <row r="239" spans="1:13" s="45" customFormat="1" hidden="1">
      <c r="A239" s="41"/>
      <c r="B239" s="1434"/>
      <c r="C239" s="15" t="s">
        <v>209</v>
      </c>
      <c r="D239" s="41" t="s">
        <v>80</v>
      </c>
      <c r="E239" s="41">
        <v>2.0699999999999998</v>
      </c>
      <c r="F239" s="386">
        <f>F238*E239</f>
        <v>0</v>
      </c>
      <c r="G239" s="386"/>
      <c r="H239" s="386"/>
      <c r="I239" s="386">
        <v>4.5999999999999996</v>
      </c>
      <c r="J239" s="386">
        <f>F239*I239</f>
        <v>0</v>
      </c>
      <c r="K239" s="386"/>
      <c r="L239" s="386"/>
      <c r="M239" s="386">
        <f>H239+J239+L239</f>
        <v>0</v>
      </c>
    </row>
    <row r="240" spans="1:13" s="45" customFormat="1" hidden="1">
      <c r="A240" s="41"/>
      <c r="B240" s="1434"/>
      <c r="C240" s="15" t="s">
        <v>81</v>
      </c>
      <c r="D240" s="83" t="s">
        <v>57</v>
      </c>
      <c r="E240" s="41">
        <v>7.8200000000000006E-2</v>
      </c>
      <c r="F240" s="386">
        <f>F238*E240</f>
        <v>0</v>
      </c>
      <c r="G240" s="386"/>
      <c r="H240" s="386"/>
      <c r="I240" s="386"/>
      <c r="J240" s="386"/>
      <c r="K240" s="386">
        <v>3.2</v>
      </c>
      <c r="L240" s="386">
        <f>F240*K240</f>
        <v>0</v>
      </c>
      <c r="M240" s="386">
        <f>H240+J240+L240</f>
        <v>0</v>
      </c>
    </row>
    <row r="241" spans="1:15" s="45" customFormat="1" hidden="1">
      <c r="A241" s="41"/>
      <c r="B241" s="1434"/>
      <c r="C241" s="15" t="s">
        <v>210</v>
      </c>
      <c r="D241" s="41"/>
      <c r="E241" s="41"/>
      <c r="F241" s="386"/>
      <c r="G241" s="386"/>
      <c r="H241" s="386"/>
      <c r="I241" s="386"/>
      <c r="J241" s="386"/>
      <c r="K241" s="386"/>
      <c r="L241" s="386"/>
      <c r="M241" s="386"/>
    </row>
    <row r="242" spans="1:15" s="45" customFormat="1" hidden="1">
      <c r="A242" s="41"/>
      <c r="B242" s="1434"/>
      <c r="C242" s="15" t="s">
        <v>222</v>
      </c>
      <c r="D242" s="41" t="s">
        <v>206</v>
      </c>
      <c r="E242" s="41">
        <v>6.8000000000000005E-2</v>
      </c>
      <c r="F242" s="386">
        <f>F238*E242</f>
        <v>0</v>
      </c>
      <c r="G242" s="386">
        <v>72</v>
      </c>
      <c r="H242" s="386">
        <f>F242*G242</f>
        <v>0</v>
      </c>
      <c r="I242" s="386"/>
      <c r="J242" s="386"/>
      <c r="K242" s="386"/>
      <c r="L242" s="386"/>
      <c r="M242" s="386">
        <f>H242+J242+L242</f>
        <v>0</v>
      </c>
    </row>
    <row r="243" spans="1:15" s="45" customFormat="1" hidden="1">
      <c r="A243" s="41"/>
      <c r="B243" s="1434"/>
      <c r="C243" s="15" t="s">
        <v>223</v>
      </c>
      <c r="D243" s="43" t="s">
        <v>88</v>
      </c>
      <c r="E243" s="41">
        <v>1.0999999999999999E-2</v>
      </c>
      <c r="F243" s="386">
        <f>F238*E243</f>
        <v>0</v>
      </c>
      <c r="G243" s="386">
        <v>3.6</v>
      </c>
      <c r="H243" s="386">
        <f>F243*G243</f>
        <v>0</v>
      </c>
      <c r="I243" s="386"/>
      <c r="J243" s="386"/>
      <c r="K243" s="386"/>
      <c r="L243" s="386"/>
      <c r="M243" s="386">
        <f>H243+J243+L243</f>
        <v>0</v>
      </c>
    </row>
    <row r="244" spans="1:15" s="45" customFormat="1" ht="40.5" hidden="1">
      <c r="A244" s="47">
        <v>10</v>
      </c>
      <c r="B244" s="1433" t="s">
        <v>127</v>
      </c>
      <c r="C244" s="68" t="s">
        <v>1112</v>
      </c>
      <c r="D244" s="47" t="s">
        <v>78</v>
      </c>
      <c r="E244" s="47"/>
      <c r="F244" s="384">
        <f>'დეფექტური აქტი'!E77</f>
        <v>0</v>
      </c>
      <c r="G244" s="385"/>
      <c r="H244" s="385"/>
      <c r="I244" s="385"/>
      <c r="J244" s="385"/>
      <c r="K244" s="385"/>
      <c r="L244" s="385"/>
      <c r="M244" s="385"/>
    </row>
    <row r="245" spans="1:15" s="45" customFormat="1" hidden="1">
      <c r="A245" s="41"/>
      <c r="B245" s="1434"/>
      <c r="C245" s="66" t="s">
        <v>128</v>
      </c>
      <c r="D245" s="41" t="s">
        <v>80</v>
      </c>
      <c r="E245" s="41">
        <v>2.52</v>
      </c>
      <c r="F245" s="386">
        <f>F244*E245</f>
        <v>0</v>
      </c>
      <c r="G245" s="386"/>
      <c r="H245" s="386"/>
      <c r="I245" s="386">
        <v>4.5999999999999996</v>
      </c>
      <c r="J245" s="386">
        <f>F245*I245</f>
        <v>0</v>
      </c>
      <c r="K245" s="386"/>
      <c r="L245" s="386"/>
      <c r="M245" s="386">
        <f>H245+J245+L245</f>
        <v>0</v>
      </c>
    </row>
    <row r="246" spans="1:15" s="45" customFormat="1" hidden="1">
      <c r="A246" s="41"/>
      <c r="B246" s="1434"/>
      <c r="C246" s="66" t="s">
        <v>81</v>
      </c>
      <c r="D246" s="83" t="s">
        <v>57</v>
      </c>
      <c r="E246" s="41">
        <v>9.0999999999999998E-2</v>
      </c>
      <c r="F246" s="386">
        <f>F244*E246</f>
        <v>0</v>
      </c>
      <c r="G246" s="386"/>
      <c r="H246" s="386"/>
      <c r="I246" s="386"/>
      <c r="J246" s="386"/>
      <c r="K246" s="386">
        <v>3.2</v>
      </c>
      <c r="L246" s="386">
        <f>F246*K246</f>
        <v>0</v>
      </c>
      <c r="M246" s="386">
        <f>H246+J246+L246</f>
        <v>0</v>
      </c>
    </row>
    <row r="247" spans="1:15" s="45" customFormat="1" hidden="1">
      <c r="A247" s="41"/>
      <c r="B247" s="1434"/>
      <c r="C247" s="15" t="s">
        <v>210</v>
      </c>
      <c r="D247" s="41"/>
      <c r="E247" s="41"/>
      <c r="F247" s="386"/>
      <c r="G247" s="386"/>
      <c r="H247" s="386"/>
      <c r="I247" s="386"/>
      <c r="J247" s="386"/>
      <c r="K247" s="386"/>
      <c r="L247" s="386"/>
      <c r="M247" s="386"/>
    </row>
    <row r="248" spans="1:15" s="45" customFormat="1" hidden="1">
      <c r="A248" s="41"/>
      <c r="B248" s="1434"/>
      <c r="C248" s="10" t="s">
        <v>129</v>
      </c>
      <c r="D248" s="41" t="s">
        <v>78</v>
      </c>
      <c r="E248" s="41">
        <v>4.2</v>
      </c>
      <c r="F248" s="386">
        <f>F244*E248</f>
        <v>0</v>
      </c>
      <c r="G248" s="792">
        <v>4.5999999999999996</v>
      </c>
      <c r="H248" s="386">
        <f>F248*G248</f>
        <v>0</v>
      </c>
      <c r="I248" s="386"/>
      <c r="J248" s="386"/>
      <c r="K248" s="386"/>
      <c r="L248" s="386"/>
      <c r="M248" s="386">
        <f>H248+J248+L248</f>
        <v>0</v>
      </c>
      <c r="N248" s="45">
        <v>18.309999999999999</v>
      </c>
      <c r="O248" s="45">
        <f>N248/4</f>
        <v>4.5774999999999997</v>
      </c>
    </row>
    <row r="249" spans="1:15" s="45" customFormat="1" hidden="1">
      <c r="A249" s="41"/>
      <c r="B249" s="1434"/>
      <c r="C249" s="10" t="s">
        <v>946</v>
      </c>
      <c r="D249" s="41" t="s">
        <v>78</v>
      </c>
      <c r="E249" s="41">
        <v>1.03</v>
      </c>
      <c r="F249" s="386">
        <f>F244*E249</f>
        <v>0</v>
      </c>
      <c r="G249" s="386">
        <v>3.1</v>
      </c>
      <c r="H249" s="386">
        <f>F249*G249</f>
        <v>0</v>
      </c>
      <c r="I249" s="386"/>
      <c r="J249" s="386"/>
      <c r="K249" s="386"/>
      <c r="L249" s="386"/>
      <c r="M249" s="386">
        <f>H249+J249+L249</f>
        <v>0</v>
      </c>
    </row>
    <row r="250" spans="1:15" s="45" customFormat="1" hidden="1">
      <c r="A250" s="41"/>
      <c r="B250" s="1434"/>
      <c r="C250" s="66" t="s">
        <v>130</v>
      </c>
      <c r="D250" s="86" t="s">
        <v>57</v>
      </c>
      <c r="E250" s="41">
        <v>0.16400000000000001</v>
      </c>
      <c r="F250" s="386">
        <f>F244*E250</f>
        <v>0</v>
      </c>
      <c r="G250" s="386">
        <v>3.2</v>
      </c>
      <c r="H250" s="386">
        <f>F250*G250</f>
        <v>0</v>
      </c>
      <c r="I250" s="386"/>
      <c r="J250" s="386"/>
      <c r="K250" s="386"/>
      <c r="L250" s="386"/>
      <c r="M250" s="386">
        <f>H250+J250+L250</f>
        <v>0</v>
      </c>
    </row>
    <row r="251" spans="1:15" s="45" customFormat="1" ht="40.5" hidden="1">
      <c r="A251" s="47">
        <v>11</v>
      </c>
      <c r="B251" s="1433" t="s">
        <v>127</v>
      </c>
      <c r="C251" s="68" t="s">
        <v>1111</v>
      </c>
      <c r="D251" s="47" t="s">
        <v>78</v>
      </c>
      <c r="E251" s="47"/>
      <c r="F251" s="384">
        <f>'დეფექტური აქტი'!E78</f>
        <v>0</v>
      </c>
      <c r="G251" s="385"/>
      <c r="H251" s="385"/>
      <c r="I251" s="385"/>
      <c r="J251" s="385"/>
      <c r="K251" s="385"/>
      <c r="L251" s="385"/>
      <c r="M251" s="385"/>
    </row>
    <row r="252" spans="1:15" s="45" customFormat="1" hidden="1">
      <c r="A252" s="41"/>
      <c r="B252" s="1434"/>
      <c r="C252" s="66" t="s">
        <v>128</v>
      </c>
      <c r="D252" s="41" t="s">
        <v>80</v>
      </c>
      <c r="E252" s="41">
        <v>2.52</v>
      </c>
      <c r="F252" s="386">
        <f>F251*E252</f>
        <v>0</v>
      </c>
      <c r="G252" s="386"/>
      <c r="H252" s="386"/>
      <c r="I252" s="386">
        <v>4.5999999999999996</v>
      </c>
      <c r="J252" s="386">
        <f>F252*I252</f>
        <v>0</v>
      </c>
      <c r="K252" s="386"/>
      <c r="L252" s="386"/>
      <c r="M252" s="386">
        <f>H252+J252+L252</f>
        <v>0</v>
      </c>
    </row>
    <row r="253" spans="1:15" s="45" customFormat="1" hidden="1">
      <c r="A253" s="41"/>
      <c r="B253" s="1434"/>
      <c r="C253" s="66" t="s">
        <v>81</v>
      </c>
      <c r="D253" s="83" t="s">
        <v>57</v>
      </c>
      <c r="E253" s="41">
        <v>9.0999999999999998E-2</v>
      </c>
      <c r="F253" s="386">
        <f>F251*E253</f>
        <v>0</v>
      </c>
      <c r="G253" s="386"/>
      <c r="H253" s="386"/>
      <c r="I253" s="386"/>
      <c r="J253" s="386"/>
      <c r="K253" s="386">
        <v>3.2</v>
      </c>
      <c r="L253" s="386">
        <f>F253*K253</f>
        <v>0</v>
      </c>
      <c r="M253" s="386">
        <f>H253+J253+L253</f>
        <v>0</v>
      </c>
    </row>
    <row r="254" spans="1:15" s="45" customFormat="1" hidden="1">
      <c r="A254" s="41"/>
      <c r="B254" s="1434"/>
      <c r="C254" s="15" t="s">
        <v>210</v>
      </c>
      <c r="D254" s="41"/>
      <c r="E254" s="41"/>
      <c r="F254" s="386"/>
      <c r="G254" s="386"/>
      <c r="H254" s="386"/>
      <c r="I254" s="386"/>
      <c r="J254" s="386"/>
      <c r="K254" s="386"/>
      <c r="L254" s="386"/>
      <c r="M254" s="386"/>
    </row>
    <row r="255" spans="1:15" s="45" customFormat="1" hidden="1">
      <c r="A255" s="41"/>
      <c r="B255" s="1434"/>
      <c r="C255" s="10" t="s">
        <v>129</v>
      </c>
      <c r="D255" s="41" t="s">
        <v>78</v>
      </c>
      <c r="E255" s="41">
        <v>4.2</v>
      </c>
      <c r="F255" s="386">
        <f>F251*E255</f>
        <v>0</v>
      </c>
      <c r="G255" s="792">
        <v>5.8</v>
      </c>
      <c r="H255" s="386">
        <f>F255*G255</f>
        <v>0</v>
      </c>
      <c r="I255" s="386"/>
      <c r="J255" s="386"/>
      <c r="K255" s="386"/>
      <c r="L255" s="386"/>
      <c r="M255" s="386">
        <f>H255+J255+L255</f>
        <v>0</v>
      </c>
      <c r="N255" s="45">
        <v>23.11</v>
      </c>
      <c r="O255" s="45">
        <f>N255/4</f>
        <v>5.7774999999999999</v>
      </c>
    </row>
    <row r="256" spans="1:15" s="45" customFormat="1" hidden="1">
      <c r="A256" s="41"/>
      <c r="B256" s="1434"/>
      <c r="C256" s="10" t="s">
        <v>946</v>
      </c>
      <c r="D256" s="41" t="s">
        <v>78</v>
      </c>
      <c r="E256" s="41">
        <v>1.03</v>
      </c>
      <c r="F256" s="386">
        <f>F251*E256</f>
        <v>0</v>
      </c>
      <c r="G256" s="386">
        <v>3.1</v>
      </c>
      <c r="H256" s="598">
        <f>F256*G256</f>
        <v>0</v>
      </c>
      <c r="I256" s="386"/>
      <c r="J256" s="386"/>
      <c r="K256" s="386"/>
      <c r="L256" s="386"/>
      <c r="M256" s="386">
        <f>H256+J256+L256</f>
        <v>0</v>
      </c>
    </row>
    <row r="257" spans="1:13" s="45" customFormat="1" hidden="1">
      <c r="A257" s="41"/>
      <c r="B257" s="1434"/>
      <c r="C257" s="66" t="s">
        <v>130</v>
      </c>
      <c r="D257" s="86" t="s">
        <v>57</v>
      </c>
      <c r="E257" s="41">
        <v>0.16400000000000001</v>
      </c>
      <c r="F257" s="386">
        <f>F251*E257</f>
        <v>0</v>
      </c>
      <c r="G257" s="386">
        <v>3.2</v>
      </c>
      <c r="H257" s="386">
        <f>F257*G257</f>
        <v>0</v>
      </c>
      <c r="I257" s="386"/>
      <c r="J257" s="386"/>
      <c r="K257" s="386"/>
      <c r="L257" s="386"/>
      <c r="M257" s="386">
        <f>H257+J257+L257</f>
        <v>0</v>
      </c>
    </row>
    <row r="258" spans="1:13" s="45" customFormat="1" ht="27" hidden="1">
      <c r="A258" s="47">
        <v>12</v>
      </c>
      <c r="B258" s="1505" t="s">
        <v>450</v>
      </c>
      <c r="C258" s="68" t="s">
        <v>1113</v>
      </c>
      <c r="D258" s="47" t="s">
        <v>78</v>
      </c>
      <c r="E258" s="47"/>
      <c r="F258" s="384">
        <f>'დეფექტური აქტი'!E79</f>
        <v>0</v>
      </c>
      <c r="G258" s="385"/>
      <c r="H258" s="385"/>
      <c r="I258" s="385"/>
      <c r="J258" s="385"/>
      <c r="K258" s="385"/>
      <c r="L258" s="385"/>
      <c r="M258" s="385"/>
    </row>
    <row r="259" spans="1:13" s="45" customFormat="1" hidden="1">
      <c r="A259" s="41"/>
      <c r="B259" s="1506"/>
      <c r="C259" s="66" t="s">
        <v>128</v>
      </c>
      <c r="D259" s="41" t="s">
        <v>80</v>
      </c>
      <c r="E259" s="41">
        <v>1.165</v>
      </c>
      <c r="F259" s="386">
        <f>F258*E259</f>
        <v>0</v>
      </c>
      <c r="G259" s="386"/>
      <c r="H259" s="386"/>
      <c r="I259" s="386">
        <v>4.5999999999999996</v>
      </c>
      <c r="J259" s="386">
        <f>F259*I259</f>
        <v>0</v>
      </c>
      <c r="K259" s="386"/>
      <c r="L259" s="386"/>
      <c r="M259" s="386">
        <f>H259+J259+L259</f>
        <v>0</v>
      </c>
    </row>
    <row r="260" spans="1:13" s="45" customFormat="1" hidden="1">
      <c r="A260" s="41"/>
      <c r="B260" s="1506"/>
      <c r="C260" s="66" t="s">
        <v>81</v>
      </c>
      <c r="D260" s="83" t="s">
        <v>57</v>
      </c>
      <c r="E260" s="41">
        <v>0.04</v>
      </c>
      <c r="F260" s="386">
        <f>F258*E260</f>
        <v>0</v>
      </c>
      <c r="G260" s="386"/>
      <c r="H260" s="386"/>
      <c r="I260" s="386"/>
      <c r="J260" s="386"/>
      <c r="K260" s="386">
        <v>3.2</v>
      </c>
      <c r="L260" s="386">
        <f>F260*K260</f>
        <v>0</v>
      </c>
      <c r="M260" s="386">
        <f>H260+J260+L260</f>
        <v>0</v>
      </c>
    </row>
    <row r="261" spans="1:13" s="45" customFormat="1" hidden="1">
      <c r="A261" s="41"/>
      <c r="B261" s="1506"/>
      <c r="C261" s="15" t="s">
        <v>210</v>
      </c>
      <c r="D261" s="41"/>
      <c r="E261" s="41"/>
      <c r="F261" s="386"/>
      <c r="G261" s="386"/>
      <c r="H261" s="386"/>
      <c r="I261" s="386"/>
      <c r="J261" s="386"/>
      <c r="K261" s="386"/>
      <c r="L261" s="386"/>
      <c r="M261" s="386"/>
    </row>
    <row r="262" spans="1:13" s="45" customFormat="1" hidden="1">
      <c r="A262" s="41"/>
      <c r="B262" s="1506"/>
      <c r="C262" s="11" t="s">
        <v>131</v>
      </c>
      <c r="D262" s="41" t="s">
        <v>78</v>
      </c>
      <c r="E262" s="41">
        <v>2.1</v>
      </c>
      <c r="F262" s="386">
        <f>F258*E262</f>
        <v>0</v>
      </c>
      <c r="G262" s="792">
        <v>4.5999999999999996</v>
      </c>
      <c r="H262" s="386">
        <f>F262*G262</f>
        <v>0</v>
      </c>
      <c r="I262" s="386"/>
      <c r="J262" s="386"/>
      <c r="K262" s="386"/>
      <c r="L262" s="386"/>
      <c r="M262" s="386">
        <f>H262+J262+L262</f>
        <v>0</v>
      </c>
    </row>
    <row r="263" spans="1:13" s="45" customFormat="1" hidden="1">
      <c r="A263" s="41"/>
      <c r="B263" s="1506"/>
      <c r="C263" s="66" t="s">
        <v>130</v>
      </c>
      <c r="D263" s="86" t="s">
        <v>57</v>
      </c>
      <c r="E263" s="41">
        <v>8.2000000000000003E-2</v>
      </c>
      <c r="F263" s="386">
        <f>F258*E263</f>
        <v>0</v>
      </c>
      <c r="G263" s="386">
        <v>3.2</v>
      </c>
      <c r="H263" s="386">
        <f>F263*G263</f>
        <v>0</v>
      </c>
      <c r="I263" s="386"/>
      <c r="J263" s="386"/>
      <c r="K263" s="386"/>
      <c r="L263" s="386"/>
      <c r="M263" s="386">
        <f>H263+J263+L263</f>
        <v>0</v>
      </c>
    </row>
    <row r="264" spans="1:13" s="45" customFormat="1" ht="27" hidden="1">
      <c r="A264" s="47">
        <v>13</v>
      </c>
      <c r="B264" s="1499" t="s">
        <v>450</v>
      </c>
      <c r="C264" s="68" t="s">
        <v>132</v>
      </c>
      <c r="D264" s="47" t="s">
        <v>78</v>
      </c>
      <c r="E264" s="47"/>
      <c r="F264" s="384">
        <f>'დეფექტური აქტი'!E80</f>
        <v>0</v>
      </c>
      <c r="G264" s="385"/>
      <c r="H264" s="385"/>
      <c r="I264" s="385"/>
      <c r="J264" s="385"/>
      <c r="K264" s="385"/>
      <c r="L264" s="385"/>
      <c r="M264" s="385"/>
    </row>
    <row r="265" spans="1:13" s="45" customFormat="1" hidden="1">
      <c r="A265" s="41"/>
      <c r="B265" s="1434"/>
      <c r="C265" s="66" t="s">
        <v>128</v>
      </c>
      <c r="D265" s="41" t="s">
        <v>80</v>
      </c>
      <c r="E265" s="41">
        <v>1.165</v>
      </c>
      <c r="F265" s="386">
        <f>F264*E265</f>
        <v>0</v>
      </c>
      <c r="G265" s="386"/>
      <c r="H265" s="386"/>
      <c r="I265" s="386">
        <v>4.5999999999999996</v>
      </c>
      <c r="J265" s="386">
        <f>F265*I265</f>
        <v>0</v>
      </c>
      <c r="K265" s="386"/>
      <c r="L265" s="386"/>
      <c r="M265" s="386">
        <f>H265+J265+L265</f>
        <v>0</v>
      </c>
    </row>
    <row r="266" spans="1:13" s="45" customFormat="1" hidden="1">
      <c r="A266" s="41"/>
      <c r="B266" s="1434"/>
      <c r="C266" s="66" t="s">
        <v>81</v>
      </c>
      <c r="D266" s="83" t="s">
        <v>57</v>
      </c>
      <c r="E266" s="41">
        <v>0.04</v>
      </c>
      <c r="F266" s="386">
        <f>F264*E266</f>
        <v>0</v>
      </c>
      <c r="G266" s="386"/>
      <c r="H266" s="386"/>
      <c r="I266" s="386"/>
      <c r="J266" s="386"/>
      <c r="K266" s="386">
        <v>3.2</v>
      </c>
      <c r="L266" s="386">
        <f>F266*K266</f>
        <v>0</v>
      </c>
      <c r="M266" s="386">
        <f>H266+J266+L266</f>
        <v>0</v>
      </c>
    </row>
    <row r="267" spans="1:13" s="45" customFormat="1" hidden="1">
      <c r="A267" s="41"/>
      <c r="B267" s="1434"/>
      <c r="C267" s="15" t="s">
        <v>210</v>
      </c>
      <c r="D267" s="41"/>
      <c r="E267" s="41"/>
      <c r="F267" s="386"/>
      <c r="G267" s="386"/>
      <c r="H267" s="386"/>
      <c r="I267" s="386"/>
      <c r="J267" s="386"/>
      <c r="K267" s="386"/>
      <c r="L267" s="386"/>
      <c r="M267" s="386"/>
    </row>
    <row r="268" spans="1:13" s="45" customFormat="1" hidden="1">
      <c r="A268" s="41"/>
      <c r="B268" s="1434"/>
      <c r="C268" s="11" t="s">
        <v>131</v>
      </c>
      <c r="D268" s="41" t="s">
        <v>78</v>
      </c>
      <c r="E268" s="41">
        <v>2.1</v>
      </c>
      <c r="F268" s="386">
        <f>F264*E268</f>
        <v>0</v>
      </c>
      <c r="G268" s="792">
        <v>5.8</v>
      </c>
      <c r="H268" s="386">
        <f>F268*G268</f>
        <v>0</v>
      </c>
      <c r="I268" s="386"/>
      <c r="J268" s="386"/>
      <c r="K268" s="386"/>
      <c r="L268" s="386"/>
      <c r="M268" s="386">
        <f>H268+J268+L268</f>
        <v>0</v>
      </c>
    </row>
    <row r="269" spans="1:13" s="45" customFormat="1" hidden="1">
      <c r="A269" s="41"/>
      <c r="B269" s="1463"/>
      <c r="C269" s="66" t="s">
        <v>130</v>
      </c>
      <c r="D269" s="86" t="s">
        <v>57</v>
      </c>
      <c r="E269" s="41">
        <v>8.2000000000000003E-2</v>
      </c>
      <c r="F269" s="386">
        <f>F264*E269</f>
        <v>0</v>
      </c>
      <c r="G269" s="386">
        <v>3.2</v>
      </c>
      <c r="H269" s="386">
        <f>F269*G269</f>
        <v>0</v>
      </c>
      <c r="I269" s="386"/>
      <c r="J269" s="386"/>
      <c r="K269" s="386"/>
      <c r="L269" s="386"/>
      <c r="M269" s="386">
        <f>H269+J269+L269</f>
        <v>0</v>
      </c>
    </row>
    <row r="270" spans="1:13" s="45" customFormat="1" ht="27" hidden="1">
      <c r="A270" s="47">
        <v>14</v>
      </c>
      <c r="B270" s="1446" t="s">
        <v>846</v>
      </c>
      <c r="C270" s="46" t="s">
        <v>135</v>
      </c>
      <c r="D270" s="47" t="s">
        <v>78</v>
      </c>
      <c r="E270" s="47"/>
      <c r="F270" s="384">
        <f>'დეფექტური აქტი'!E81</f>
        <v>0</v>
      </c>
      <c r="G270" s="385"/>
      <c r="H270" s="385"/>
      <c r="I270" s="385"/>
      <c r="J270" s="385"/>
      <c r="K270" s="385"/>
      <c r="L270" s="385"/>
      <c r="M270" s="385"/>
    </row>
    <row r="271" spans="1:13" s="45" customFormat="1" hidden="1">
      <c r="A271" s="41"/>
      <c r="B271" s="1432"/>
      <c r="C271" s="84" t="s">
        <v>209</v>
      </c>
      <c r="D271" s="41" t="s">
        <v>80</v>
      </c>
      <c r="E271" s="211">
        <v>0.49299999999999999</v>
      </c>
      <c r="F271" s="386">
        <f>F270*E271</f>
        <v>0</v>
      </c>
      <c r="G271" s="386"/>
      <c r="H271" s="386"/>
      <c r="I271" s="386">
        <v>6</v>
      </c>
      <c r="J271" s="386">
        <f>F271*I271</f>
        <v>0</v>
      </c>
      <c r="K271" s="386"/>
      <c r="L271" s="386"/>
      <c r="M271" s="386">
        <f>H271+J271+L271</f>
        <v>0</v>
      </c>
    </row>
    <row r="272" spans="1:13" s="45" customFormat="1" hidden="1">
      <c r="A272" s="41"/>
      <c r="B272" s="1432"/>
      <c r="C272" s="15" t="s">
        <v>81</v>
      </c>
      <c r="D272" s="83" t="s">
        <v>57</v>
      </c>
      <c r="E272" s="211">
        <v>8.0000000000000002E-3</v>
      </c>
      <c r="F272" s="386">
        <f>F270*E272</f>
        <v>0</v>
      </c>
      <c r="G272" s="386"/>
      <c r="H272" s="386"/>
      <c r="I272" s="386"/>
      <c r="J272" s="386"/>
      <c r="K272" s="386">
        <v>3.2</v>
      </c>
      <c r="L272" s="386">
        <f>F272*K272</f>
        <v>0</v>
      </c>
      <c r="M272" s="386">
        <f>H272+J272+L272</f>
        <v>0</v>
      </c>
    </row>
    <row r="273" spans="1:13" s="45" customFormat="1" hidden="1">
      <c r="A273" s="41"/>
      <c r="B273" s="1432"/>
      <c r="C273" s="15" t="s">
        <v>210</v>
      </c>
      <c r="D273" s="41"/>
      <c r="E273" s="211"/>
      <c r="F273" s="386"/>
      <c r="G273" s="386"/>
      <c r="H273" s="386"/>
      <c r="I273" s="386"/>
      <c r="J273" s="386"/>
      <c r="K273" s="386"/>
      <c r="L273" s="386"/>
      <c r="M273" s="386"/>
    </row>
    <row r="274" spans="1:13" s="45" customFormat="1" hidden="1">
      <c r="A274" s="41"/>
      <c r="B274" s="1432"/>
      <c r="C274" s="15" t="s">
        <v>136</v>
      </c>
      <c r="D274" s="41" t="s">
        <v>97</v>
      </c>
      <c r="E274" s="211">
        <v>0.1837</v>
      </c>
      <c r="F274" s="386">
        <f>F270*E274</f>
        <v>0</v>
      </c>
      <c r="G274" s="386">
        <v>5.0999999999999996</v>
      </c>
      <c r="H274" s="386">
        <f>F274*G274</f>
        <v>0</v>
      </c>
      <c r="I274" s="386"/>
      <c r="J274" s="386"/>
      <c r="K274" s="386"/>
      <c r="L274" s="386"/>
      <c r="M274" s="386">
        <f>H274+J274+L274</f>
        <v>0</v>
      </c>
    </row>
    <row r="275" spans="1:13" s="45" customFormat="1" hidden="1">
      <c r="A275" s="41"/>
      <c r="B275" s="1432"/>
      <c r="C275" s="66" t="s">
        <v>137</v>
      </c>
      <c r="D275" s="41" t="s">
        <v>97</v>
      </c>
      <c r="E275" s="211">
        <v>7.4999999999999997E-2</v>
      </c>
      <c r="F275" s="386">
        <f>F270*E275</f>
        <v>0</v>
      </c>
      <c r="G275" s="386">
        <v>3.2</v>
      </c>
      <c r="H275" s="386">
        <f>F275*G275</f>
        <v>0</v>
      </c>
      <c r="I275" s="386"/>
      <c r="J275" s="386"/>
      <c r="K275" s="386"/>
      <c r="L275" s="386"/>
      <c r="M275" s="386">
        <f>H275+J275+L275</f>
        <v>0</v>
      </c>
    </row>
    <row r="276" spans="1:13" s="45" customFormat="1" hidden="1">
      <c r="A276" s="41"/>
      <c r="B276" s="1432"/>
      <c r="C276" s="15" t="s">
        <v>134</v>
      </c>
      <c r="D276" s="41" t="s">
        <v>97</v>
      </c>
      <c r="E276" s="211">
        <v>0.51</v>
      </c>
      <c r="F276" s="386">
        <f>F270*E276</f>
        <v>0</v>
      </c>
      <c r="G276" s="386">
        <v>0.5</v>
      </c>
      <c r="H276" s="386">
        <f>F276*G276</f>
        <v>0</v>
      </c>
      <c r="I276" s="386"/>
      <c r="J276" s="386"/>
      <c r="K276" s="386"/>
      <c r="L276" s="386"/>
      <c r="M276" s="386">
        <f>H276+J276+L276</f>
        <v>0</v>
      </c>
    </row>
    <row r="277" spans="1:13" s="45" customFormat="1" hidden="1">
      <c r="A277" s="41"/>
      <c r="B277" s="1432"/>
      <c r="C277" s="15" t="s">
        <v>138</v>
      </c>
      <c r="D277" s="41" t="s">
        <v>97</v>
      </c>
      <c r="E277" s="211">
        <v>0.113</v>
      </c>
      <c r="F277" s="386">
        <f>F270*E277</f>
        <v>0</v>
      </c>
      <c r="G277" s="386">
        <v>3.5</v>
      </c>
      <c r="H277" s="386">
        <f>F277*G277</f>
        <v>0</v>
      </c>
      <c r="I277" s="386"/>
      <c r="J277" s="386"/>
      <c r="K277" s="386"/>
      <c r="L277" s="386"/>
      <c r="M277" s="386">
        <f>H277+J277+L277</f>
        <v>0</v>
      </c>
    </row>
    <row r="278" spans="1:13" s="45" customFormat="1" hidden="1">
      <c r="A278" s="41"/>
      <c r="B278" s="1437"/>
      <c r="C278" s="15" t="s">
        <v>214</v>
      </c>
      <c r="D278" s="86" t="s">
        <v>57</v>
      </c>
      <c r="E278" s="211">
        <v>5.0000000000000001E-3</v>
      </c>
      <c r="F278" s="386">
        <f>F270*E278</f>
        <v>0</v>
      </c>
      <c r="G278" s="386">
        <v>3.2</v>
      </c>
      <c r="H278" s="386">
        <f>F278*G278</f>
        <v>0</v>
      </c>
      <c r="I278" s="386"/>
      <c r="J278" s="386"/>
      <c r="K278" s="386"/>
      <c r="L278" s="386"/>
      <c r="M278" s="386">
        <f>H278+J278+L278</f>
        <v>0</v>
      </c>
    </row>
    <row r="279" spans="1:13" s="45" customFormat="1" ht="27">
      <c r="A279" s="1178">
        <v>15</v>
      </c>
      <c r="B279" s="1446" t="s">
        <v>845</v>
      </c>
      <c r="C279" s="46" t="s">
        <v>139</v>
      </c>
      <c r="D279" s="47" t="s">
        <v>78</v>
      </c>
      <c r="E279" s="47"/>
      <c r="F279" s="384">
        <f>'დეფექტური აქტი'!E82</f>
        <v>220</v>
      </c>
      <c r="G279" s="385"/>
      <c r="H279" s="385"/>
      <c r="I279" s="385"/>
      <c r="J279" s="385"/>
      <c r="K279" s="385"/>
      <c r="L279" s="385"/>
      <c r="M279" s="385"/>
    </row>
    <row r="280" spans="1:13" s="45" customFormat="1">
      <c r="A280" s="412"/>
      <c r="B280" s="1432"/>
      <c r="C280" s="84" t="s">
        <v>209</v>
      </c>
      <c r="D280" s="41" t="s">
        <v>80</v>
      </c>
      <c r="E280" s="211">
        <v>0.41</v>
      </c>
      <c r="F280" s="386">
        <f>F279*E280</f>
        <v>90.199999999999989</v>
      </c>
      <c r="G280" s="386"/>
      <c r="H280" s="386"/>
      <c r="I280" s="386"/>
      <c r="J280" s="386"/>
      <c r="K280" s="386"/>
      <c r="L280" s="386"/>
      <c r="M280" s="386"/>
    </row>
    <row r="281" spans="1:13" s="45" customFormat="1">
      <c r="A281" s="412"/>
      <c r="B281" s="1432"/>
      <c r="C281" s="15" t="s">
        <v>81</v>
      </c>
      <c r="D281" s="83" t="s">
        <v>57</v>
      </c>
      <c r="E281" s="41">
        <v>8.9999999999999993E-3</v>
      </c>
      <c r="F281" s="386">
        <f>F279*E281</f>
        <v>1.9799999999999998</v>
      </c>
      <c r="G281" s="386"/>
      <c r="H281" s="386"/>
      <c r="I281" s="386"/>
      <c r="J281" s="386"/>
      <c r="K281" s="386"/>
      <c r="L281" s="386"/>
      <c r="M281" s="386"/>
    </row>
    <row r="282" spans="1:13" s="45" customFormat="1" hidden="1">
      <c r="A282" s="41"/>
      <c r="B282" s="1432"/>
      <c r="C282" s="15" t="s">
        <v>210</v>
      </c>
      <c r="D282" s="41"/>
      <c r="E282" s="41"/>
      <c r="F282" s="386"/>
      <c r="G282" s="386"/>
      <c r="H282" s="386"/>
      <c r="I282" s="386"/>
      <c r="J282" s="386"/>
      <c r="K282" s="386"/>
      <c r="L282" s="386"/>
      <c r="M282" s="386"/>
    </row>
    <row r="283" spans="1:13" s="45" customFormat="1">
      <c r="A283" s="412"/>
      <c r="B283" s="1432"/>
      <c r="C283" s="15" t="s">
        <v>944</v>
      </c>
      <c r="D283" s="41" t="s">
        <v>97</v>
      </c>
      <c r="E283" s="41">
        <v>0.63</v>
      </c>
      <c r="F283" s="386">
        <f>F279*E283</f>
        <v>138.6</v>
      </c>
      <c r="G283" s="386"/>
      <c r="H283" s="386"/>
      <c r="I283" s="386"/>
      <c r="J283" s="386"/>
      <c r="K283" s="386"/>
      <c r="L283" s="386"/>
      <c r="M283" s="386"/>
    </row>
    <row r="284" spans="1:13" s="45" customFormat="1">
      <c r="A284" s="412"/>
      <c r="B284" s="1432"/>
      <c r="C284" s="15" t="s">
        <v>134</v>
      </c>
      <c r="D284" s="41" t="s">
        <v>97</v>
      </c>
      <c r="E284" s="41">
        <v>0.51</v>
      </c>
      <c r="F284" s="386">
        <f>F279*E284</f>
        <v>112.2</v>
      </c>
      <c r="G284" s="386"/>
      <c r="H284" s="386"/>
      <c r="I284" s="386"/>
      <c r="J284" s="386"/>
      <c r="K284" s="386"/>
      <c r="L284" s="386"/>
      <c r="M284" s="386"/>
    </row>
    <row r="285" spans="1:13" s="45" customFormat="1">
      <c r="A285" s="412"/>
      <c r="B285" s="1437"/>
      <c r="C285" s="15" t="s">
        <v>214</v>
      </c>
      <c r="D285" s="86" t="s">
        <v>57</v>
      </c>
      <c r="E285" s="41">
        <v>7.0000000000000001E-3</v>
      </c>
      <c r="F285" s="386">
        <f>F279*E285</f>
        <v>1.54</v>
      </c>
      <c r="G285" s="386"/>
      <c r="H285" s="386"/>
      <c r="I285" s="386"/>
      <c r="J285" s="386"/>
      <c r="K285" s="386"/>
      <c r="L285" s="386"/>
      <c r="M285" s="386"/>
    </row>
    <row r="286" spans="1:13" s="45" customFormat="1" ht="27">
      <c r="A286" s="1178">
        <v>16</v>
      </c>
      <c r="B286" s="148" t="s">
        <v>141</v>
      </c>
      <c r="C286" s="46" t="s">
        <v>1102</v>
      </c>
      <c r="D286" s="47" t="s">
        <v>78</v>
      </c>
      <c r="E286" s="47"/>
      <c r="F286" s="384">
        <f>'დეფექტური აქტი'!E83</f>
        <v>170.4</v>
      </c>
      <c r="G286" s="385"/>
      <c r="H286" s="385"/>
      <c r="I286" s="385"/>
      <c r="J286" s="385"/>
      <c r="K286" s="385"/>
      <c r="L286" s="385"/>
      <c r="M286" s="385"/>
    </row>
    <row r="287" spans="1:13" s="45" customFormat="1">
      <c r="A287" s="412"/>
      <c r="B287" s="216"/>
      <c r="C287" s="15" t="s">
        <v>209</v>
      </c>
      <c r="D287" s="41" t="s">
        <v>80</v>
      </c>
      <c r="E287" s="41">
        <v>1.7</v>
      </c>
      <c r="F287" s="386">
        <f>F286*E287</f>
        <v>289.68</v>
      </c>
      <c r="G287" s="386"/>
      <c r="H287" s="386"/>
      <c r="I287" s="386"/>
      <c r="J287" s="386"/>
      <c r="K287" s="386"/>
      <c r="L287" s="386"/>
      <c r="M287" s="386"/>
    </row>
    <row r="288" spans="1:13" s="45" customFormat="1">
      <c r="A288" s="412"/>
      <c r="B288" s="216"/>
      <c r="C288" s="66" t="s">
        <v>142</v>
      </c>
      <c r="D288" s="83" t="s">
        <v>57</v>
      </c>
      <c r="E288" s="41">
        <v>0.02</v>
      </c>
      <c r="F288" s="386">
        <f>F286*E288</f>
        <v>3.4080000000000004</v>
      </c>
      <c r="G288" s="386"/>
      <c r="H288" s="386"/>
      <c r="I288" s="386"/>
      <c r="J288" s="386"/>
      <c r="K288" s="386"/>
      <c r="L288" s="386"/>
      <c r="M288" s="386"/>
    </row>
    <row r="289" spans="1:14" s="45" customFormat="1" hidden="1">
      <c r="A289" s="41"/>
      <c r="B289" s="216"/>
      <c r="C289" s="15" t="s">
        <v>210</v>
      </c>
      <c r="D289" s="41"/>
      <c r="E289" s="41"/>
      <c r="F289" s="386"/>
      <c r="G289" s="386"/>
      <c r="H289" s="386"/>
      <c r="I289" s="386"/>
      <c r="J289" s="386"/>
      <c r="K289" s="386"/>
      <c r="L289" s="386"/>
      <c r="M289" s="386"/>
    </row>
    <row r="290" spans="1:14" s="45" customFormat="1">
      <c r="A290" s="412"/>
      <c r="B290" s="216"/>
      <c r="C290" s="66" t="s">
        <v>1101</v>
      </c>
      <c r="D290" s="41" t="s">
        <v>97</v>
      </c>
      <c r="E290" s="41">
        <v>5</v>
      </c>
      <c r="F290" s="386">
        <f>F286*E290</f>
        <v>852</v>
      </c>
      <c r="G290" s="386"/>
      <c r="H290" s="386"/>
      <c r="I290" s="386"/>
      <c r="J290" s="386"/>
      <c r="K290" s="386"/>
      <c r="L290" s="386"/>
      <c r="M290" s="386"/>
    </row>
    <row r="291" spans="1:14" s="45" customFormat="1">
      <c r="A291" s="412"/>
      <c r="B291" s="216"/>
      <c r="C291" s="1085" t="s">
        <v>1734</v>
      </c>
      <c r="D291" s="41" t="s">
        <v>78</v>
      </c>
      <c r="E291" s="41">
        <v>1</v>
      </c>
      <c r="F291" s="386">
        <f>F286*E291</f>
        <v>170.4</v>
      </c>
      <c r="G291" s="439"/>
      <c r="H291" s="386"/>
      <c r="I291" s="386"/>
      <c r="J291" s="386"/>
      <c r="K291" s="386"/>
      <c r="L291" s="386"/>
      <c r="M291" s="386"/>
    </row>
    <row r="292" spans="1:14" s="45" customFormat="1">
      <c r="A292" s="1180"/>
      <c r="B292" s="117"/>
      <c r="C292" s="67" t="s">
        <v>144</v>
      </c>
      <c r="D292" s="86" t="s">
        <v>57</v>
      </c>
      <c r="E292" s="43">
        <v>7.0000000000000001E-3</v>
      </c>
      <c r="F292" s="387">
        <f>F286*E292</f>
        <v>1.1928000000000001</v>
      </c>
      <c r="G292" s="387"/>
      <c r="H292" s="387"/>
      <c r="I292" s="387"/>
      <c r="J292" s="387"/>
      <c r="K292" s="387"/>
      <c r="L292" s="387"/>
      <c r="M292" s="387"/>
    </row>
    <row r="293" spans="1:14" s="359" customFormat="1" ht="27" hidden="1">
      <c r="A293" s="336"/>
      <c r="B293" s="328" t="s">
        <v>1692</v>
      </c>
      <c r="C293" s="329" t="s">
        <v>1685</v>
      </c>
      <c r="D293" s="330" t="s">
        <v>78</v>
      </c>
      <c r="E293" s="330"/>
      <c r="F293" s="384">
        <f>'დეფექტური აქტი'!E84</f>
        <v>0</v>
      </c>
      <c r="G293" s="330"/>
      <c r="H293" s="331"/>
      <c r="I293" s="414"/>
      <c r="J293" s="331"/>
      <c r="K293" s="414"/>
      <c r="L293" s="331"/>
      <c r="M293" s="331"/>
      <c r="N293" s="358"/>
    </row>
    <row r="294" spans="1:14" s="359" customFormat="1" ht="15" hidden="1" customHeight="1">
      <c r="A294" s="336"/>
      <c r="B294" s="328"/>
      <c r="C294" s="341" t="s">
        <v>209</v>
      </c>
      <c r="D294" s="336" t="s">
        <v>80</v>
      </c>
      <c r="E294" s="336">
        <v>6</v>
      </c>
      <c r="F294" s="331">
        <f>F293*E294</f>
        <v>0</v>
      </c>
      <c r="G294" s="330"/>
      <c r="H294" s="331"/>
      <c r="I294" s="414">
        <v>4.5999999999999996</v>
      </c>
      <c r="J294" s="331">
        <f>F294*I294</f>
        <v>0</v>
      </c>
      <c r="K294" s="414"/>
      <c r="L294" s="331"/>
      <c r="M294" s="331">
        <f>H294+J294+L294</f>
        <v>0</v>
      </c>
      <c r="N294" s="358"/>
    </row>
    <row r="295" spans="1:14" s="359" customFormat="1" hidden="1">
      <c r="A295" s="336"/>
      <c r="B295" s="328"/>
      <c r="C295" s="335" t="s">
        <v>133</v>
      </c>
      <c r="D295" s="336" t="s">
        <v>57</v>
      </c>
      <c r="E295" s="336">
        <v>0.18</v>
      </c>
      <c r="F295" s="331">
        <f>F293*E295</f>
        <v>0</v>
      </c>
      <c r="G295" s="330"/>
      <c r="H295" s="331"/>
      <c r="I295" s="414"/>
      <c r="J295" s="331"/>
      <c r="K295" s="414">
        <v>3.2</v>
      </c>
      <c r="L295" s="331">
        <f>F295*K295</f>
        <v>0</v>
      </c>
      <c r="M295" s="331">
        <f>H295+J295+L295</f>
        <v>0</v>
      </c>
      <c r="N295" s="358"/>
    </row>
    <row r="296" spans="1:14" s="359" customFormat="1" hidden="1">
      <c r="A296" s="336"/>
      <c r="B296" s="328"/>
      <c r="C296" s="341" t="s">
        <v>210</v>
      </c>
      <c r="D296" s="336"/>
      <c r="E296" s="336"/>
      <c r="F296" s="331">
        <f>E296*2353</f>
        <v>0</v>
      </c>
      <c r="G296" s="330"/>
      <c r="H296" s="331"/>
      <c r="I296" s="414"/>
      <c r="J296" s="331"/>
      <c r="K296" s="414"/>
      <c r="L296" s="331"/>
      <c r="M296" s="331"/>
      <c r="N296" s="358"/>
    </row>
    <row r="297" spans="1:14" s="359" customFormat="1" ht="27" hidden="1">
      <c r="A297" s="336"/>
      <c r="B297" s="328"/>
      <c r="C297" s="341" t="s">
        <v>1685</v>
      </c>
      <c r="D297" s="336" t="s">
        <v>78</v>
      </c>
      <c r="E297" s="336">
        <v>1.05</v>
      </c>
      <c r="F297" s="331">
        <f>F293*E297</f>
        <v>0</v>
      </c>
      <c r="G297" s="1071">
        <v>23</v>
      </c>
      <c r="H297" s="331">
        <f>F297*G297</f>
        <v>0</v>
      </c>
      <c r="I297" s="414"/>
      <c r="J297" s="331"/>
      <c r="K297" s="414"/>
      <c r="L297" s="331"/>
      <c r="M297" s="331">
        <f>H297+J297+L297</f>
        <v>0</v>
      </c>
      <c r="N297" s="358"/>
    </row>
    <row r="298" spans="1:14" s="359" customFormat="1" hidden="1">
      <c r="A298" s="336"/>
      <c r="B298" s="328"/>
      <c r="C298" s="341" t="s">
        <v>1694</v>
      </c>
      <c r="D298" s="336" t="s">
        <v>88</v>
      </c>
      <c r="E298" s="336">
        <v>3.5999999999999997E-2</v>
      </c>
      <c r="F298" s="331">
        <f>F293*E298</f>
        <v>0</v>
      </c>
      <c r="G298" s="330">
        <v>87</v>
      </c>
      <c r="H298" s="331">
        <f>F298*G298</f>
        <v>0</v>
      </c>
      <c r="I298" s="414"/>
      <c r="J298" s="331"/>
      <c r="K298" s="414"/>
      <c r="L298" s="331"/>
      <c r="M298" s="331">
        <f>H298+J298+L298</f>
        <v>0</v>
      </c>
      <c r="N298" s="358"/>
    </row>
    <row r="299" spans="1:14" s="359" customFormat="1" hidden="1">
      <c r="A299" s="336"/>
      <c r="B299" s="328"/>
      <c r="C299" s="335" t="s">
        <v>214</v>
      </c>
      <c r="D299" s="336" t="s">
        <v>57</v>
      </c>
      <c r="E299" s="336">
        <v>0.08</v>
      </c>
      <c r="F299" s="331">
        <f>F293*E299</f>
        <v>0</v>
      </c>
      <c r="G299" s="414">
        <v>3.2</v>
      </c>
      <c r="H299" s="331">
        <f>F299*G299</f>
        <v>0</v>
      </c>
      <c r="I299" s="414"/>
      <c r="J299" s="331"/>
      <c r="K299" s="414"/>
      <c r="L299" s="331"/>
      <c r="M299" s="331">
        <f>H299+J299+L299</f>
        <v>0</v>
      </c>
      <c r="N299" s="358"/>
    </row>
    <row r="300" spans="1:14" s="88" customFormat="1" ht="27" hidden="1">
      <c r="A300" s="140">
        <v>17</v>
      </c>
      <c r="B300" s="373" t="s">
        <v>633</v>
      </c>
      <c r="C300" s="151" t="s">
        <v>285</v>
      </c>
      <c r="D300" s="140" t="s">
        <v>78</v>
      </c>
      <c r="E300" s="140"/>
      <c r="F300" s="384">
        <f>'დეფექტური აქტი'!E85</f>
        <v>0</v>
      </c>
      <c r="G300" s="385"/>
      <c r="H300" s="385"/>
      <c r="I300" s="385"/>
      <c r="J300" s="385"/>
      <c r="K300" s="385"/>
      <c r="L300" s="385"/>
      <c r="M300" s="385"/>
    </row>
    <row r="301" spans="1:14" s="45" customFormat="1" hidden="1">
      <c r="A301" s="41"/>
      <c r="B301" s="374"/>
      <c r="C301" s="84" t="s">
        <v>209</v>
      </c>
      <c r="D301" s="41" t="s">
        <v>80</v>
      </c>
      <c r="E301" s="83">
        <v>0.93</v>
      </c>
      <c r="F301" s="386">
        <f>F300*E301</f>
        <v>0</v>
      </c>
      <c r="G301" s="386"/>
      <c r="H301" s="386"/>
      <c r="I301" s="386">
        <v>6</v>
      </c>
      <c r="J301" s="386">
        <f>F301*I301</f>
        <v>0</v>
      </c>
      <c r="K301" s="386"/>
      <c r="L301" s="386"/>
      <c r="M301" s="386">
        <f>H301+J301+L301</f>
        <v>0</v>
      </c>
    </row>
    <row r="302" spans="1:14" s="88" customFormat="1" ht="16.5" hidden="1" customHeight="1">
      <c r="A302" s="83"/>
      <c r="B302" s="374"/>
      <c r="C302" s="84" t="s">
        <v>375</v>
      </c>
      <c r="D302" s="83" t="s">
        <v>217</v>
      </c>
      <c r="E302" s="83">
        <v>2.4E-2</v>
      </c>
      <c r="F302" s="386">
        <f>F300*E302</f>
        <v>0</v>
      </c>
      <c r="G302" s="386"/>
      <c r="H302" s="386"/>
      <c r="I302" s="386"/>
      <c r="J302" s="386"/>
      <c r="K302" s="386">
        <v>7.72</v>
      </c>
      <c r="L302" s="386">
        <f>F302*K302</f>
        <v>0</v>
      </c>
      <c r="M302" s="386">
        <f>H302+J302+L302</f>
        <v>0</v>
      </c>
    </row>
    <row r="303" spans="1:14" s="88" customFormat="1" hidden="1">
      <c r="A303" s="83"/>
      <c r="B303" s="374"/>
      <c r="C303" s="84" t="s">
        <v>81</v>
      </c>
      <c r="D303" s="83" t="s">
        <v>57</v>
      </c>
      <c r="E303" s="83">
        <v>2.1000000000000001E-2</v>
      </c>
      <c r="F303" s="386">
        <f>F300*E303</f>
        <v>0</v>
      </c>
      <c r="G303" s="386"/>
      <c r="H303" s="386"/>
      <c r="I303" s="386"/>
      <c r="J303" s="386"/>
      <c r="K303" s="386">
        <v>3.2</v>
      </c>
      <c r="L303" s="386">
        <f>F303*K303</f>
        <v>0</v>
      </c>
      <c r="M303" s="386">
        <f>H303+J303+L303</f>
        <v>0</v>
      </c>
    </row>
    <row r="304" spans="1:14" s="88" customFormat="1" hidden="1">
      <c r="A304" s="83"/>
      <c r="B304" s="374"/>
      <c r="C304" s="15" t="s">
        <v>210</v>
      </c>
      <c r="D304" s="83"/>
      <c r="E304" s="83"/>
      <c r="F304" s="386"/>
      <c r="G304" s="386"/>
      <c r="H304" s="386"/>
      <c r="I304" s="386"/>
      <c r="J304" s="386"/>
      <c r="K304" s="386"/>
      <c r="L304" s="386"/>
      <c r="M304" s="386"/>
    </row>
    <row r="305" spans="1:13" s="88" customFormat="1" hidden="1">
      <c r="A305" s="83"/>
      <c r="B305" s="375"/>
      <c r="C305" s="84" t="s">
        <v>218</v>
      </c>
      <c r="D305" s="86" t="s">
        <v>88</v>
      </c>
      <c r="E305" s="83">
        <v>2.5499999999999998E-2</v>
      </c>
      <c r="F305" s="386">
        <f>F300*E305</f>
        <v>0</v>
      </c>
      <c r="G305" s="386">
        <v>87</v>
      </c>
      <c r="H305" s="386">
        <f>F305*G305</f>
        <v>0</v>
      </c>
      <c r="I305" s="386"/>
      <c r="J305" s="386"/>
      <c r="K305" s="386"/>
      <c r="L305" s="386"/>
      <c r="M305" s="386">
        <f>H305+J305+L305</f>
        <v>0</v>
      </c>
    </row>
    <row r="306" spans="1:13" s="88" customFormat="1" ht="27">
      <c r="A306" s="1100">
        <v>18</v>
      </c>
      <c r="B306" s="1431" t="s">
        <v>286</v>
      </c>
      <c r="C306" s="151" t="s">
        <v>287</v>
      </c>
      <c r="D306" s="47" t="s">
        <v>122</v>
      </c>
      <c r="E306" s="140"/>
      <c r="F306" s="384">
        <f>'დეფექტური აქტი'!E87</f>
        <v>80</v>
      </c>
      <c r="G306" s="385"/>
      <c r="H306" s="385"/>
      <c r="I306" s="385"/>
      <c r="J306" s="385"/>
      <c r="K306" s="385"/>
      <c r="L306" s="385"/>
      <c r="M306" s="385"/>
    </row>
    <row r="307" spans="1:13" s="88" customFormat="1">
      <c r="A307" s="438"/>
      <c r="B307" s="1432"/>
      <c r="C307" s="84" t="s">
        <v>209</v>
      </c>
      <c r="D307" s="83" t="s">
        <v>80</v>
      </c>
      <c r="E307" s="83">
        <v>0.3</v>
      </c>
      <c r="F307" s="386">
        <f>F306*E307</f>
        <v>24</v>
      </c>
      <c r="G307" s="386"/>
      <c r="H307" s="386"/>
      <c r="I307" s="386"/>
      <c r="J307" s="386"/>
      <c r="K307" s="386"/>
      <c r="L307" s="386"/>
      <c r="M307" s="386"/>
    </row>
    <row r="308" spans="1:13" s="88" customFormat="1">
      <c r="A308" s="438"/>
      <c r="B308" s="1432"/>
      <c r="C308" s="84" t="s">
        <v>81</v>
      </c>
      <c r="D308" s="83" t="s">
        <v>57</v>
      </c>
      <c r="E308" s="83">
        <v>1.0999999999999999E-2</v>
      </c>
      <c r="F308" s="386">
        <f>F306*E308</f>
        <v>0.87999999999999989</v>
      </c>
      <c r="G308" s="386"/>
      <c r="H308" s="386"/>
      <c r="I308" s="386"/>
      <c r="J308" s="386"/>
      <c r="K308" s="386"/>
      <c r="L308" s="386"/>
      <c r="M308" s="386"/>
    </row>
    <row r="309" spans="1:13" s="88" customFormat="1" hidden="1">
      <c r="A309" s="83"/>
      <c r="B309" s="1432"/>
      <c r="C309" s="15" t="s">
        <v>210</v>
      </c>
      <c r="D309" s="83"/>
      <c r="E309" s="83"/>
      <c r="F309" s="386"/>
      <c r="G309" s="386"/>
      <c r="H309" s="386"/>
      <c r="I309" s="386"/>
      <c r="J309" s="386"/>
      <c r="K309" s="386"/>
      <c r="L309" s="386"/>
      <c r="M309" s="386"/>
    </row>
    <row r="310" spans="1:13" s="88" customFormat="1">
      <c r="A310" s="438"/>
      <c r="B310" s="1432"/>
      <c r="C310" s="84" t="s">
        <v>218</v>
      </c>
      <c r="D310" s="86" t="s">
        <v>88</v>
      </c>
      <c r="E310" s="83">
        <v>6.7000000000000002E-3</v>
      </c>
      <c r="F310" s="386">
        <f>F306*E310</f>
        <v>0.53600000000000003</v>
      </c>
      <c r="G310" s="386"/>
      <c r="H310" s="386"/>
      <c r="I310" s="386"/>
      <c r="J310" s="386"/>
      <c r="K310" s="386"/>
      <c r="L310" s="386"/>
      <c r="M310" s="386"/>
    </row>
    <row r="311" spans="1:13" s="45" customFormat="1">
      <c r="A311" s="1178">
        <v>0</v>
      </c>
      <c r="B311" s="1499" t="s">
        <v>145</v>
      </c>
      <c r="C311" s="46" t="s">
        <v>146</v>
      </c>
      <c r="D311" s="47" t="s">
        <v>249</v>
      </c>
      <c r="E311" s="47"/>
      <c r="F311" s="384">
        <f>'დეფექტური აქტი'!E88</f>
        <v>16</v>
      </c>
      <c r="G311" s="385"/>
      <c r="H311" s="385"/>
      <c r="I311" s="385"/>
      <c r="J311" s="385"/>
      <c r="K311" s="385"/>
      <c r="L311" s="385"/>
      <c r="M311" s="385"/>
    </row>
    <row r="312" spans="1:13" s="45" customFormat="1">
      <c r="A312" s="412"/>
      <c r="B312" s="1434"/>
      <c r="C312" s="84" t="s">
        <v>209</v>
      </c>
      <c r="D312" s="41" t="s">
        <v>80</v>
      </c>
      <c r="E312" s="211">
        <v>0.20849999999999999</v>
      </c>
      <c r="F312" s="386">
        <f>F311*E312</f>
        <v>3.3359999999999999</v>
      </c>
      <c r="G312" s="386"/>
      <c r="H312" s="386"/>
      <c r="I312" s="386"/>
      <c r="J312" s="386"/>
      <c r="K312" s="386"/>
      <c r="L312" s="386"/>
      <c r="M312" s="386"/>
    </row>
    <row r="313" spans="1:13" s="45" customFormat="1">
      <c r="A313" s="412"/>
      <c r="B313" s="1434"/>
      <c r="C313" s="15" t="s">
        <v>81</v>
      </c>
      <c r="D313" s="83" t="s">
        <v>57</v>
      </c>
      <c r="E313" s="41">
        <v>7.7000000000000002E-3</v>
      </c>
      <c r="F313" s="386">
        <f>F311*E313</f>
        <v>0.1232</v>
      </c>
      <c r="G313" s="386"/>
      <c r="H313" s="386"/>
      <c r="I313" s="386"/>
      <c r="J313" s="386"/>
      <c r="K313" s="386"/>
      <c r="L313" s="386"/>
      <c r="M313" s="386"/>
    </row>
    <row r="314" spans="1:13" s="45" customFormat="1" hidden="1">
      <c r="A314" s="41"/>
      <c r="B314" s="1434"/>
      <c r="C314" s="15" t="s">
        <v>210</v>
      </c>
      <c r="D314" s="41"/>
      <c r="E314" s="41"/>
      <c r="F314" s="386"/>
      <c r="G314" s="386"/>
      <c r="H314" s="386"/>
      <c r="I314" s="386"/>
      <c r="J314" s="386"/>
      <c r="K314" s="386"/>
      <c r="L314" s="386"/>
      <c r="M314" s="386"/>
    </row>
    <row r="315" spans="1:13" s="45" customFormat="1">
      <c r="A315" s="412"/>
      <c r="B315" s="1434"/>
      <c r="C315" s="15" t="s">
        <v>147</v>
      </c>
      <c r="D315" s="41" t="s">
        <v>97</v>
      </c>
      <c r="E315" s="41">
        <v>0.59</v>
      </c>
      <c r="F315" s="386">
        <f>F311*E315</f>
        <v>9.44</v>
      </c>
      <c r="G315" s="598"/>
      <c r="H315" s="386"/>
      <c r="I315" s="386"/>
      <c r="J315" s="386"/>
      <c r="K315" s="386"/>
      <c r="L315" s="386"/>
      <c r="M315" s="386"/>
    </row>
    <row r="316" spans="1:13" s="45" customFormat="1">
      <c r="A316" s="412"/>
      <c r="B316" s="1434"/>
      <c r="C316" s="15" t="s">
        <v>148</v>
      </c>
      <c r="D316" s="41" t="s">
        <v>97</v>
      </c>
      <c r="E316" s="41">
        <v>0.1</v>
      </c>
      <c r="F316" s="386">
        <f>F311*E316</f>
        <v>1.6</v>
      </c>
      <c r="G316" s="598"/>
      <c r="H316" s="386"/>
      <c r="I316" s="386"/>
      <c r="J316" s="386"/>
      <c r="K316" s="386"/>
      <c r="L316" s="386"/>
      <c r="M316" s="386"/>
    </row>
    <row r="317" spans="1:13" s="45" customFormat="1">
      <c r="A317" s="412"/>
      <c r="B317" s="1434"/>
      <c r="C317" s="15" t="s">
        <v>134</v>
      </c>
      <c r="D317" s="41" t="s">
        <v>97</v>
      </c>
      <c r="E317" s="41">
        <v>0.12</v>
      </c>
      <c r="F317" s="386">
        <f>F311*E317</f>
        <v>1.92</v>
      </c>
      <c r="G317" s="386"/>
      <c r="H317" s="386"/>
      <c r="I317" s="386"/>
      <c r="J317" s="386"/>
      <c r="K317" s="386"/>
      <c r="L317" s="386"/>
      <c r="M317" s="386"/>
    </row>
    <row r="318" spans="1:13" s="45" customFormat="1">
      <c r="A318" s="412"/>
      <c r="B318" s="1434"/>
      <c r="C318" s="15" t="s">
        <v>149</v>
      </c>
      <c r="D318" s="41" t="s">
        <v>97</v>
      </c>
      <c r="E318" s="41">
        <v>0.15</v>
      </c>
      <c r="F318" s="386">
        <f>F311*E318</f>
        <v>2.4</v>
      </c>
      <c r="G318" s="386"/>
      <c r="H318" s="386"/>
      <c r="I318" s="386"/>
      <c r="J318" s="386"/>
      <c r="K318" s="386"/>
      <c r="L318" s="386"/>
      <c r="M318" s="386"/>
    </row>
    <row r="319" spans="1:13" s="45" customFormat="1">
      <c r="A319" s="1180"/>
      <c r="B319" s="1463"/>
      <c r="C319" s="56" t="s">
        <v>214</v>
      </c>
      <c r="D319" s="86" t="s">
        <v>57</v>
      </c>
      <c r="E319" s="43">
        <v>3.3999999999999998E-3</v>
      </c>
      <c r="F319" s="387">
        <f>F311*E319</f>
        <v>5.4399999999999997E-2</v>
      </c>
      <c r="G319" s="387"/>
      <c r="H319" s="387"/>
      <c r="I319" s="387"/>
      <c r="J319" s="387"/>
      <c r="K319" s="387"/>
      <c r="L319" s="387"/>
      <c r="M319" s="387"/>
    </row>
    <row r="320" spans="1:13" s="877" customFormat="1" hidden="1">
      <c r="A320" s="370">
        <v>0</v>
      </c>
      <c r="B320" s="1427" t="s">
        <v>150</v>
      </c>
      <c r="C320" s="883" t="s">
        <v>1517</v>
      </c>
      <c r="D320" s="370" t="s">
        <v>78</v>
      </c>
      <c r="E320" s="370"/>
      <c r="F320" s="384">
        <f>'დეფექტური აქტი'!E89</f>
        <v>0</v>
      </c>
      <c r="G320" s="385"/>
      <c r="H320" s="385"/>
      <c r="I320" s="385"/>
      <c r="J320" s="385"/>
      <c r="K320" s="385"/>
      <c r="L320" s="385"/>
      <c r="M320" s="385"/>
    </row>
    <row r="321" spans="1:13" s="877" customFormat="1" hidden="1">
      <c r="A321" s="371"/>
      <c r="B321" s="1428"/>
      <c r="C321" s="84" t="s">
        <v>209</v>
      </c>
      <c r="D321" s="371" t="s">
        <v>80</v>
      </c>
      <c r="E321" s="211">
        <v>0.25</v>
      </c>
      <c r="F321" s="386">
        <f>F320*E321</f>
        <v>0</v>
      </c>
      <c r="G321" s="386"/>
      <c r="H321" s="386"/>
      <c r="I321" s="386">
        <v>6</v>
      </c>
      <c r="J321" s="386">
        <f>F321*I321</f>
        <v>0</v>
      </c>
      <c r="K321" s="386"/>
      <c r="L321" s="386"/>
      <c r="M321" s="386">
        <f>H321+J321+L321</f>
        <v>0</v>
      </c>
    </row>
    <row r="322" spans="1:13" s="877" customFormat="1" hidden="1">
      <c r="A322" s="371"/>
      <c r="B322" s="1428"/>
      <c r="C322" s="365" t="s">
        <v>81</v>
      </c>
      <c r="D322" s="83" t="s">
        <v>57</v>
      </c>
      <c r="E322" s="371">
        <v>0.08</v>
      </c>
      <c r="F322" s="386">
        <f>F320*E322</f>
        <v>0</v>
      </c>
      <c r="G322" s="386"/>
      <c r="H322" s="386"/>
      <c r="I322" s="386"/>
      <c r="J322" s="386"/>
      <c r="K322" s="386">
        <v>3.2</v>
      </c>
      <c r="L322" s="386">
        <f>F322*K322</f>
        <v>0</v>
      </c>
      <c r="M322" s="386">
        <f>H322+J322+L322</f>
        <v>0</v>
      </c>
    </row>
    <row r="323" spans="1:13" s="877" customFormat="1" hidden="1">
      <c r="A323" s="371"/>
      <c r="B323" s="1428"/>
      <c r="C323" s="365" t="s">
        <v>210</v>
      </c>
      <c r="D323" s="371"/>
      <c r="E323" s="371"/>
      <c r="F323" s="386"/>
      <c r="G323" s="386"/>
      <c r="H323" s="386"/>
      <c r="I323" s="386"/>
      <c r="J323" s="386"/>
      <c r="K323" s="386"/>
      <c r="L323" s="386"/>
      <c r="M323" s="386"/>
    </row>
    <row r="324" spans="1:13" s="877" customFormat="1" hidden="1">
      <c r="A324" s="371"/>
      <c r="B324" s="1428"/>
      <c r="C324" s="878" t="s">
        <v>527</v>
      </c>
      <c r="D324" s="371" t="s">
        <v>88</v>
      </c>
      <c r="E324" s="371">
        <v>5.0000000000000001E-3</v>
      </c>
      <c r="F324" s="386">
        <f>F320*E324</f>
        <v>0</v>
      </c>
      <c r="G324" s="386">
        <v>85</v>
      </c>
      <c r="H324" s="386">
        <f>F324*G324</f>
        <v>0</v>
      </c>
      <c r="I324" s="386"/>
      <c r="J324" s="386"/>
      <c r="K324" s="386"/>
      <c r="L324" s="386"/>
      <c r="M324" s="386">
        <f>H324+J324+L324</f>
        <v>0</v>
      </c>
    </row>
    <row r="325" spans="1:13" s="877" customFormat="1" hidden="1">
      <c r="A325" s="879"/>
      <c r="B325" s="1452"/>
      <c r="C325" s="880" t="s">
        <v>214</v>
      </c>
      <c r="D325" s="86" t="s">
        <v>57</v>
      </c>
      <c r="E325" s="879">
        <v>4.1999999999999997E-3</v>
      </c>
      <c r="F325" s="387">
        <f>F320*E325</f>
        <v>0</v>
      </c>
      <c r="G325" s="387">
        <v>3.2</v>
      </c>
      <c r="H325" s="387">
        <f>F325*G325</f>
        <v>0</v>
      </c>
      <c r="I325" s="387"/>
      <c r="J325" s="387"/>
      <c r="K325" s="387"/>
      <c r="L325" s="387"/>
      <c r="M325" s="387">
        <f>H325+J325+L325</f>
        <v>0</v>
      </c>
    </row>
    <row r="326" spans="1:13" s="45" customFormat="1" ht="27" hidden="1">
      <c r="A326" s="47">
        <v>22</v>
      </c>
      <c r="B326" s="1433" t="s">
        <v>150</v>
      </c>
      <c r="C326" s="46" t="s">
        <v>1449</v>
      </c>
      <c r="D326" s="47" t="s">
        <v>78</v>
      </c>
      <c r="E326" s="47"/>
      <c r="F326" s="384">
        <f>'დეფექტური აქტი'!E90</f>
        <v>0</v>
      </c>
      <c r="G326" s="385"/>
      <c r="H326" s="385"/>
      <c r="I326" s="385"/>
      <c r="J326" s="385"/>
      <c r="K326" s="385"/>
      <c r="L326" s="385"/>
      <c r="M326" s="385"/>
    </row>
    <row r="327" spans="1:13" s="45" customFormat="1" hidden="1">
      <c r="A327" s="41"/>
      <c r="B327" s="1434"/>
      <c r="C327" s="84" t="s">
        <v>209</v>
      </c>
      <c r="D327" s="41" t="s">
        <v>80</v>
      </c>
      <c r="E327" s="211">
        <v>0.25</v>
      </c>
      <c r="F327" s="386">
        <f>F326*E327</f>
        <v>0</v>
      </c>
      <c r="G327" s="386"/>
      <c r="H327" s="386"/>
      <c r="I327" s="386">
        <v>6</v>
      </c>
      <c r="J327" s="386">
        <f>F327*I327</f>
        <v>0</v>
      </c>
      <c r="K327" s="386"/>
      <c r="L327" s="386"/>
      <c r="M327" s="386">
        <f>H327+J327+L327</f>
        <v>0</v>
      </c>
    </row>
    <row r="328" spans="1:13" s="45" customFormat="1" hidden="1">
      <c r="A328" s="41"/>
      <c r="B328" s="1434"/>
      <c r="C328" s="15" t="s">
        <v>81</v>
      </c>
      <c r="D328" s="83" t="s">
        <v>57</v>
      </c>
      <c r="E328" s="41">
        <v>0.08</v>
      </c>
      <c r="F328" s="386">
        <f>F326*E328</f>
        <v>0</v>
      </c>
      <c r="G328" s="386"/>
      <c r="H328" s="386"/>
      <c r="I328" s="386"/>
      <c r="J328" s="386"/>
      <c r="K328" s="386">
        <v>3.2</v>
      </c>
      <c r="L328" s="386">
        <f>F328*K328</f>
        <v>0</v>
      </c>
      <c r="M328" s="386">
        <f>H328+J328+L328</f>
        <v>0</v>
      </c>
    </row>
    <row r="329" spans="1:13" s="45" customFormat="1" hidden="1">
      <c r="A329" s="41"/>
      <c r="B329" s="1434"/>
      <c r="C329" s="15" t="s">
        <v>210</v>
      </c>
      <c r="D329" s="41"/>
      <c r="E329" s="41"/>
      <c r="F329" s="386"/>
      <c r="G329" s="386"/>
      <c r="H329" s="386"/>
      <c r="I329" s="386"/>
      <c r="J329" s="386"/>
      <c r="K329" s="386"/>
      <c r="L329" s="386"/>
      <c r="M329" s="386"/>
    </row>
    <row r="330" spans="1:13" s="45" customFormat="1" hidden="1">
      <c r="A330" s="41"/>
      <c r="B330" s="1434"/>
      <c r="C330" s="15" t="s">
        <v>151</v>
      </c>
      <c r="D330" s="41" t="s">
        <v>206</v>
      </c>
      <c r="E330" s="41">
        <v>3.96E-3</v>
      </c>
      <c r="F330" s="386">
        <f>F326*E330</f>
        <v>0</v>
      </c>
      <c r="G330" s="386">
        <v>120</v>
      </c>
      <c r="H330" s="386">
        <f>F330*G330</f>
        <v>0</v>
      </c>
      <c r="I330" s="386"/>
      <c r="J330" s="386"/>
      <c r="K330" s="386"/>
      <c r="L330" s="386"/>
      <c r="M330" s="386">
        <f>H330+J330+L330</f>
        <v>0</v>
      </c>
    </row>
    <row r="331" spans="1:13" s="45" customFormat="1" hidden="1">
      <c r="A331" s="41"/>
      <c r="B331" s="1434"/>
      <c r="C331" s="15" t="s">
        <v>152</v>
      </c>
      <c r="D331" s="41" t="s">
        <v>97</v>
      </c>
      <c r="E331" s="41">
        <v>1</v>
      </c>
      <c r="F331" s="386">
        <f>F326*E331</f>
        <v>0</v>
      </c>
      <c r="G331" s="386">
        <v>2.6</v>
      </c>
      <c r="H331" s="386">
        <f>F331*G331</f>
        <v>0</v>
      </c>
      <c r="I331" s="386"/>
      <c r="J331" s="386"/>
      <c r="K331" s="386"/>
      <c r="L331" s="386"/>
      <c r="M331" s="386">
        <f>H331+J331+L331</f>
        <v>0</v>
      </c>
    </row>
    <row r="332" spans="1:13" s="45" customFormat="1" hidden="1">
      <c r="A332" s="41"/>
      <c r="B332" s="1434"/>
      <c r="C332" s="435" t="s">
        <v>153</v>
      </c>
      <c r="D332" s="41" t="s">
        <v>97</v>
      </c>
      <c r="E332" s="41">
        <v>0.15</v>
      </c>
      <c r="F332" s="386">
        <f>F326*E332</f>
        <v>0</v>
      </c>
      <c r="G332" s="386">
        <v>4</v>
      </c>
      <c r="H332" s="386">
        <f>F332*G332</f>
        <v>0</v>
      </c>
      <c r="I332" s="386"/>
      <c r="J332" s="386"/>
      <c r="K332" s="386"/>
      <c r="L332" s="386"/>
      <c r="M332" s="386">
        <f>H332+J332+L332</f>
        <v>0</v>
      </c>
    </row>
    <row r="333" spans="1:13" s="45" customFormat="1" hidden="1">
      <c r="A333" s="41"/>
      <c r="B333" s="1434"/>
      <c r="C333" s="15" t="s">
        <v>214</v>
      </c>
      <c r="D333" s="86" t="s">
        <v>57</v>
      </c>
      <c r="E333" s="41">
        <v>4.1999999999999997E-3</v>
      </c>
      <c r="F333" s="386">
        <f>F326*E333</f>
        <v>0</v>
      </c>
      <c r="G333" s="386">
        <v>3.2</v>
      </c>
      <c r="H333" s="386">
        <f>F333*G333</f>
        <v>0</v>
      </c>
      <c r="I333" s="386"/>
      <c r="J333" s="386"/>
      <c r="K333" s="386"/>
      <c r="L333" s="386"/>
      <c r="M333" s="386">
        <f>H333+J333+L333</f>
        <v>0</v>
      </c>
    </row>
    <row r="334" spans="1:13" s="45" customFormat="1" hidden="1">
      <c r="A334" s="47">
        <v>22</v>
      </c>
      <c r="B334" s="1433" t="s">
        <v>150</v>
      </c>
      <c r="C334" s="26" t="s">
        <v>725</v>
      </c>
      <c r="D334" s="47" t="s">
        <v>78</v>
      </c>
      <c r="E334" s="47"/>
      <c r="F334" s="384">
        <f>'დეფექტური აქტი'!E91</f>
        <v>0</v>
      </c>
      <c r="G334" s="385"/>
      <c r="H334" s="385"/>
      <c r="I334" s="385"/>
      <c r="J334" s="385"/>
      <c r="K334" s="385"/>
      <c r="L334" s="385"/>
      <c r="M334" s="385"/>
    </row>
    <row r="335" spans="1:13" s="45" customFormat="1" hidden="1">
      <c r="A335" s="41"/>
      <c r="B335" s="1434"/>
      <c r="C335" s="84" t="s">
        <v>209</v>
      </c>
      <c r="D335" s="41" t="s">
        <v>80</v>
      </c>
      <c r="E335" s="211">
        <v>0.25</v>
      </c>
      <c r="F335" s="386">
        <f>F334*E335</f>
        <v>0</v>
      </c>
      <c r="G335" s="386"/>
      <c r="H335" s="386"/>
      <c r="I335" s="386">
        <v>6</v>
      </c>
      <c r="J335" s="386">
        <f>F335*I335</f>
        <v>0</v>
      </c>
      <c r="K335" s="386"/>
      <c r="L335" s="386"/>
      <c r="M335" s="386">
        <f>H335+J335+L335</f>
        <v>0</v>
      </c>
    </row>
    <row r="336" spans="1:13" s="45" customFormat="1" hidden="1">
      <c r="A336" s="41"/>
      <c r="B336" s="1434"/>
      <c r="C336" s="15" t="s">
        <v>81</v>
      </c>
      <c r="D336" s="83" t="s">
        <v>57</v>
      </c>
      <c r="E336" s="41">
        <v>0.08</v>
      </c>
      <c r="F336" s="386">
        <f>F334*E336</f>
        <v>0</v>
      </c>
      <c r="G336" s="386"/>
      <c r="H336" s="386"/>
      <c r="I336" s="386"/>
      <c r="J336" s="386"/>
      <c r="K336" s="386">
        <v>3.2</v>
      </c>
      <c r="L336" s="386">
        <f>F336*K336</f>
        <v>0</v>
      </c>
      <c r="M336" s="386">
        <f>H336+J336+L336</f>
        <v>0</v>
      </c>
    </row>
    <row r="337" spans="1:16" s="45" customFormat="1" hidden="1">
      <c r="A337" s="41"/>
      <c r="B337" s="1434"/>
      <c r="C337" s="15" t="s">
        <v>210</v>
      </c>
      <c r="D337" s="41"/>
      <c r="E337" s="41"/>
      <c r="F337" s="386"/>
      <c r="G337" s="386"/>
      <c r="H337" s="386"/>
      <c r="I337" s="386"/>
      <c r="J337" s="386"/>
      <c r="K337" s="386"/>
      <c r="L337" s="386"/>
      <c r="M337" s="386"/>
    </row>
    <row r="338" spans="1:16" s="45" customFormat="1" hidden="1">
      <c r="A338" s="41"/>
      <c r="B338" s="1434"/>
      <c r="C338" s="15" t="s">
        <v>152</v>
      </c>
      <c r="D338" s="41" t="s">
        <v>97</v>
      </c>
      <c r="E338" s="41">
        <v>1</v>
      </c>
      <c r="F338" s="386">
        <f>F334*E338</f>
        <v>0</v>
      </c>
      <c r="G338" s="386">
        <v>2.6</v>
      </c>
      <c r="H338" s="386">
        <f>F338*G338</f>
        <v>0</v>
      </c>
      <c r="I338" s="386"/>
      <c r="J338" s="386"/>
      <c r="K338" s="386"/>
      <c r="L338" s="386"/>
      <c r="M338" s="386">
        <f>H338+J338+L338</f>
        <v>0</v>
      </c>
    </row>
    <row r="339" spans="1:16" s="45" customFormat="1" hidden="1">
      <c r="A339" s="41"/>
      <c r="B339" s="1434"/>
      <c r="C339" s="435" t="s">
        <v>153</v>
      </c>
      <c r="D339" s="41" t="s">
        <v>97</v>
      </c>
      <c r="E339" s="41">
        <v>0.15</v>
      </c>
      <c r="F339" s="386">
        <f>F334*E339</f>
        <v>0</v>
      </c>
      <c r="G339" s="386">
        <v>4</v>
      </c>
      <c r="H339" s="386">
        <f>F339*G339</f>
        <v>0</v>
      </c>
      <c r="I339" s="386"/>
      <c r="J339" s="386"/>
      <c r="K339" s="386"/>
      <c r="L339" s="386"/>
      <c r="M339" s="386">
        <f>H339+J339+L339</f>
        <v>0</v>
      </c>
    </row>
    <row r="340" spans="1:16" s="45" customFormat="1" hidden="1">
      <c r="A340" s="41"/>
      <c r="B340" s="1434"/>
      <c r="C340" s="15" t="s">
        <v>214</v>
      </c>
      <c r="D340" s="86" t="s">
        <v>57</v>
      </c>
      <c r="E340" s="41">
        <v>4.1999999999999997E-3</v>
      </c>
      <c r="F340" s="386">
        <f>F334*E340</f>
        <v>0</v>
      </c>
      <c r="G340" s="386">
        <v>3.2</v>
      </c>
      <c r="H340" s="386">
        <f>F340*G340</f>
        <v>0</v>
      </c>
      <c r="I340" s="386"/>
      <c r="J340" s="386"/>
      <c r="K340" s="386"/>
      <c r="L340" s="386"/>
      <c r="M340" s="386">
        <f>H340+J340+L340</f>
        <v>0</v>
      </c>
    </row>
    <row r="341" spans="1:16" s="88" customFormat="1" ht="27" hidden="1">
      <c r="A341" s="140">
        <v>23</v>
      </c>
      <c r="B341" s="1431" t="s">
        <v>288</v>
      </c>
      <c r="C341" s="151" t="s">
        <v>438</v>
      </c>
      <c r="D341" s="140" t="s">
        <v>78</v>
      </c>
      <c r="E341" s="140"/>
      <c r="F341" s="384">
        <f>'დეფექტური აქტი'!E92</f>
        <v>0</v>
      </c>
      <c r="G341" s="385"/>
      <c r="H341" s="385"/>
      <c r="I341" s="385"/>
      <c r="J341" s="385"/>
      <c r="K341" s="385"/>
      <c r="L341" s="385"/>
      <c r="M341" s="385"/>
    </row>
    <row r="342" spans="1:16" s="88" customFormat="1" hidden="1">
      <c r="A342" s="83"/>
      <c r="B342" s="1432"/>
      <c r="C342" s="84" t="s">
        <v>209</v>
      </c>
      <c r="D342" s="83" t="s">
        <v>80</v>
      </c>
      <c r="E342" s="83">
        <v>0.45900000000000002</v>
      </c>
      <c r="F342" s="386">
        <f>F341*E342</f>
        <v>0</v>
      </c>
      <c r="G342" s="386"/>
      <c r="H342" s="386"/>
      <c r="I342" s="386">
        <v>4.5999999999999996</v>
      </c>
      <c r="J342" s="386">
        <f>F342*I342</f>
        <v>0</v>
      </c>
      <c r="K342" s="386"/>
      <c r="L342" s="386"/>
      <c r="M342" s="386">
        <f>H342+J342+L342</f>
        <v>0</v>
      </c>
    </row>
    <row r="343" spans="1:16" s="88" customFormat="1" hidden="1">
      <c r="A343" s="83"/>
      <c r="B343" s="1432"/>
      <c r="C343" s="84" t="s">
        <v>81</v>
      </c>
      <c r="D343" s="83" t="s">
        <v>57</v>
      </c>
      <c r="E343" s="83">
        <v>2.3E-3</v>
      </c>
      <c r="F343" s="386">
        <f>F341*E343</f>
        <v>0</v>
      </c>
      <c r="G343" s="386"/>
      <c r="H343" s="386"/>
      <c r="I343" s="386"/>
      <c r="J343" s="386"/>
      <c r="K343" s="386">
        <v>3.2</v>
      </c>
      <c r="L343" s="386">
        <f>F343*K343</f>
        <v>0</v>
      </c>
      <c r="M343" s="386">
        <f>H343+J343+L343</f>
        <v>0</v>
      </c>
    </row>
    <row r="344" spans="1:16" s="88" customFormat="1" hidden="1">
      <c r="A344" s="83"/>
      <c r="B344" s="1432"/>
      <c r="C344" s="15" t="s">
        <v>210</v>
      </c>
      <c r="D344" s="83"/>
      <c r="E344" s="83"/>
      <c r="F344" s="386"/>
      <c r="G344" s="386"/>
      <c r="H344" s="386"/>
      <c r="I344" s="386"/>
      <c r="J344" s="386"/>
      <c r="K344" s="386"/>
      <c r="L344" s="386"/>
      <c r="M344" s="386"/>
    </row>
    <row r="345" spans="1:16" s="88" customFormat="1" hidden="1">
      <c r="A345" s="83"/>
      <c r="B345" s="1432"/>
      <c r="C345" s="84" t="s">
        <v>289</v>
      </c>
      <c r="D345" s="83" t="s">
        <v>206</v>
      </c>
      <c r="E345" s="83">
        <v>3.5E-4</v>
      </c>
      <c r="F345" s="386">
        <f>F341*E345</f>
        <v>0</v>
      </c>
      <c r="G345" s="386">
        <v>1170</v>
      </c>
      <c r="H345" s="386">
        <f>F345*G345</f>
        <v>0</v>
      </c>
      <c r="I345" s="386"/>
      <c r="J345" s="386"/>
      <c r="K345" s="386"/>
      <c r="L345" s="386"/>
      <c r="M345" s="386">
        <f>H345+J345+L345</f>
        <v>0</v>
      </c>
    </row>
    <row r="346" spans="1:16" s="88" customFormat="1" hidden="1">
      <c r="A346" s="83"/>
      <c r="B346" s="1432"/>
      <c r="C346" s="84" t="s">
        <v>290</v>
      </c>
      <c r="D346" s="83" t="s">
        <v>88</v>
      </c>
      <c r="E346" s="83">
        <v>9.0000000000000006E-5</v>
      </c>
      <c r="F346" s="386">
        <f>F341*E346</f>
        <v>0</v>
      </c>
      <c r="G346" s="386">
        <v>490</v>
      </c>
      <c r="H346" s="386">
        <f>F346*G346</f>
        <v>0</v>
      </c>
      <c r="I346" s="386"/>
      <c r="J346" s="386"/>
      <c r="K346" s="386"/>
      <c r="L346" s="386"/>
      <c r="M346" s="386">
        <f>H346+J346+L346</f>
        <v>0</v>
      </c>
    </row>
    <row r="347" spans="1:16" s="88" customFormat="1" hidden="1">
      <c r="A347" s="86"/>
      <c r="B347" s="1437"/>
      <c r="C347" s="87" t="s">
        <v>291</v>
      </c>
      <c r="D347" s="86" t="s">
        <v>78</v>
      </c>
      <c r="E347" s="86">
        <v>3.4000000000000002E-2</v>
      </c>
      <c r="F347" s="387">
        <f>F341*E347</f>
        <v>0</v>
      </c>
      <c r="G347" s="387">
        <v>13</v>
      </c>
      <c r="H347" s="387">
        <f>F347*G347</f>
        <v>0</v>
      </c>
      <c r="I347" s="387"/>
      <c r="J347" s="387"/>
      <c r="K347" s="387"/>
      <c r="L347" s="387"/>
      <c r="M347" s="387">
        <f>H347+J347+L347</f>
        <v>0</v>
      </c>
    </row>
    <row r="348" spans="1:16" s="361" customFormat="1" ht="27">
      <c r="A348" s="1071">
        <v>23</v>
      </c>
      <c r="B348" s="328" t="s">
        <v>1450</v>
      </c>
      <c r="C348" s="329" t="s">
        <v>1544</v>
      </c>
      <c r="D348" s="330" t="s">
        <v>206</v>
      </c>
      <c r="E348" s="330"/>
      <c r="F348" s="457">
        <f>'დეფექტური აქტი'!E93</f>
        <v>0.54930400000000001</v>
      </c>
      <c r="G348" s="350"/>
      <c r="H348" s="350"/>
      <c r="I348" s="350"/>
      <c r="J348" s="350"/>
      <c r="K348" s="350"/>
      <c r="L348" s="350"/>
      <c r="M348" s="350"/>
      <c r="N348" s="348"/>
      <c r="P348" s="881"/>
    </row>
    <row r="349" spans="1:16" s="361" customFormat="1" ht="15.75" customHeight="1">
      <c r="A349" s="1071"/>
      <c r="B349" s="328"/>
      <c r="C349" s="335" t="s">
        <v>209</v>
      </c>
      <c r="D349" s="336" t="s">
        <v>80</v>
      </c>
      <c r="E349" s="336">
        <v>170</v>
      </c>
      <c r="F349" s="350">
        <f>E349*F348</f>
        <v>93.381680000000003</v>
      </c>
      <c r="G349" s="350"/>
      <c r="H349" s="350"/>
      <c r="I349" s="350"/>
      <c r="J349" s="350"/>
      <c r="K349" s="350"/>
      <c r="L349" s="350"/>
      <c r="M349" s="350"/>
      <c r="N349" s="348"/>
      <c r="P349" s="881"/>
    </row>
    <row r="350" spans="1:16" s="361" customFormat="1">
      <c r="A350" s="1071"/>
      <c r="B350" s="328"/>
      <c r="C350" s="335" t="s">
        <v>133</v>
      </c>
      <c r="D350" s="336" t="s">
        <v>57</v>
      </c>
      <c r="E350" s="336">
        <v>7.69</v>
      </c>
      <c r="F350" s="350">
        <f>E350*F348</f>
        <v>4.2241477600000001</v>
      </c>
      <c r="G350" s="350"/>
      <c r="H350" s="350"/>
      <c r="I350" s="350"/>
      <c r="J350" s="350"/>
      <c r="K350" s="350"/>
      <c r="L350" s="350"/>
      <c r="M350" s="350"/>
      <c r="N350" s="348"/>
      <c r="P350" s="881"/>
    </row>
    <row r="351" spans="1:16" s="361" customFormat="1" hidden="1">
      <c r="A351" s="330"/>
      <c r="B351" s="328"/>
      <c r="C351" s="335" t="s">
        <v>210</v>
      </c>
      <c r="D351" s="336"/>
      <c r="E351" s="336"/>
      <c r="F351" s="350">
        <f>E351*0.355</f>
        <v>0</v>
      </c>
      <c r="G351" s="350"/>
      <c r="H351" s="350"/>
      <c r="I351" s="350"/>
      <c r="J351" s="350"/>
      <c r="K351" s="350"/>
      <c r="L351" s="350"/>
      <c r="M351" s="350"/>
      <c r="N351" s="348"/>
      <c r="P351" s="881"/>
    </row>
    <row r="352" spans="1:16" s="361" customFormat="1">
      <c r="A352" s="1071"/>
      <c r="B352" s="328"/>
      <c r="C352" s="335" t="s">
        <v>616</v>
      </c>
      <c r="D352" s="336" t="s">
        <v>206</v>
      </c>
      <c r="E352" s="336">
        <v>1</v>
      </c>
      <c r="F352" s="350">
        <f>E352*F348</f>
        <v>0.54930400000000001</v>
      </c>
      <c r="G352" s="882"/>
      <c r="H352" s="350"/>
      <c r="I352" s="350"/>
      <c r="J352" s="350"/>
      <c r="K352" s="350"/>
      <c r="L352" s="350"/>
      <c r="M352" s="350"/>
      <c r="N352" s="348"/>
      <c r="P352" s="881"/>
    </row>
    <row r="353" spans="1:16" s="361" customFormat="1">
      <c r="A353" s="1080"/>
      <c r="B353" s="417"/>
      <c r="C353" s="551" t="s">
        <v>214</v>
      </c>
      <c r="D353" s="342" t="s">
        <v>57</v>
      </c>
      <c r="E353" s="342">
        <v>14.5</v>
      </c>
      <c r="F353" s="372">
        <f>E353*F348</f>
        <v>7.9649080000000003</v>
      </c>
      <c r="G353" s="372"/>
      <c r="H353" s="372"/>
      <c r="I353" s="372"/>
      <c r="J353" s="372"/>
      <c r="K353" s="372"/>
      <c r="L353" s="372"/>
      <c r="M353" s="372"/>
      <c r="N353" s="348"/>
      <c r="P353" s="881"/>
    </row>
    <row r="354" spans="1:16" s="897" customFormat="1" ht="27">
      <c r="A354" s="1071">
        <v>6</v>
      </c>
      <c r="B354" s="1446"/>
      <c r="C354" s="84" t="s">
        <v>1506</v>
      </c>
      <c r="D354" s="140" t="s">
        <v>206</v>
      </c>
      <c r="E354" s="83"/>
      <c r="F354" s="896">
        <f>'დეფექტური აქტი'!E94</f>
        <v>0.54930400000000001</v>
      </c>
      <c r="G354" s="225"/>
      <c r="H354" s="225"/>
      <c r="I354" s="225"/>
      <c r="J354" s="225"/>
      <c r="K354" s="225"/>
      <c r="L354" s="225"/>
      <c r="M354" s="225"/>
    </row>
    <row r="355" spans="1:16" s="897" customFormat="1">
      <c r="A355" s="1071"/>
      <c r="B355" s="1432"/>
      <c r="C355" s="223" t="s">
        <v>209</v>
      </c>
      <c r="D355" s="211" t="s">
        <v>80</v>
      </c>
      <c r="E355" s="211">
        <v>7.96</v>
      </c>
      <c r="F355" s="386">
        <f>F354*E355</f>
        <v>4.3724598400000003</v>
      </c>
      <c r="G355" s="225"/>
      <c r="H355" s="225"/>
      <c r="I355" s="386"/>
      <c r="J355" s="225"/>
      <c r="K355" s="225"/>
      <c r="L355" s="225"/>
      <c r="M355" s="225"/>
    </row>
    <row r="356" spans="1:16" s="897" customFormat="1" hidden="1">
      <c r="A356" s="330"/>
      <c r="B356" s="1432"/>
      <c r="C356" s="365" t="s">
        <v>210</v>
      </c>
      <c r="D356" s="211"/>
      <c r="E356" s="211"/>
      <c r="F356" s="386"/>
      <c r="G356" s="225"/>
      <c r="H356" s="225"/>
      <c r="I356" s="225"/>
      <c r="J356" s="225"/>
      <c r="K356" s="225"/>
      <c r="L356" s="225"/>
      <c r="M356" s="225"/>
    </row>
    <row r="357" spans="1:16" s="897" customFormat="1">
      <c r="A357" s="1080"/>
      <c r="B357" s="1437"/>
      <c r="C357" s="232" t="s">
        <v>1507</v>
      </c>
      <c r="D357" s="230" t="s">
        <v>97</v>
      </c>
      <c r="E357" s="230">
        <v>4.5</v>
      </c>
      <c r="F357" s="387">
        <f>F354*E357</f>
        <v>2.4718680000000002</v>
      </c>
      <c r="G357" s="393"/>
      <c r="H357" s="393"/>
      <c r="I357" s="393"/>
      <c r="J357" s="393"/>
      <c r="K357" s="393"/>
      <c r="L357" s="393"/>
      <c r="M357" s="393"/>
    </row>
    <row r="358" spans="1:16" s="45" customFormat="1" ht="27">
      <c r="A358" s="1178"/>
      <c r="B358" s="1134"/>
      <c r="C358" s="118" t="s">
        <v>1813</v>
      </c>
      <c r="D358" s="48"/>
      <c r="E358" s="47"/>
      <c r="F358" s="385"/>
      <c r="G358" s="385"/>
      <c r="H358" s="385"/>
      <c r="I358" s="385"/>
      <c r="J358" s="385"/>
      <c r="K358" s="385"/>
      <c r="L358" s="385"/>
      <c r="M358" s="385"/>
    </row>
    <row r="359" spans="1:16" s="427" customFormat="1">
      <c r="A359" s="1181"/>
      <c r="B359" s="1440" t="s">
        <v>1831</v>
      </c>
      <c r="C359" s="152" t="s">
        <v>495</v>
      </c>
      <c r="D359" s="1147" t="s">
        <v>113</v>
      </c>
      <c r="E359" s="153"/>
      <c r="F359" s="385">
        <f>'დეფექტური აქტი'!E96</f>
        <v>10</v>
      </c>
      <c r="G359" s="608"/>
      <c r="H359" s="422"/>
      <c r="I359" s="422"/>
      <c r="J359" s="422"/>
      <c r="K359" s="422"/>
      <c r="L359" s="422"/>
      <c r="M359" s="422"/>
    </row>
    <row r="360" spans="1:16" s="427" customFormat="1">
      <c r="A360" s="1182"/>
      <c r="B360" s="1441"/>
      <c r="C360" s="90" t="s">
        <v>209</v>
      </c>
      <c r="D360" s="1145" t="s">
        <v>80</v>
      </c>
      <c r="E360" s="94">
        <v>1</v>
      </c>
      <c r="F360" s="386">
        <f>E360*F359</f>
        <v>10</v>
      </c>
      <c r="G360" s="523"/>
      <c r="H360" s="604"/>
      <c r="I360" s="225"/>
      <c r="J360" s="225"/>
      <c r="K360" s="225"/>
      <c r="L360" s="225"/>
      <c r="M360" s="225"/>
    </row>
    <row r="361" spans="1:16" s="427" customFormat="1">
      <c r="A361" s="1183"/>
      <c r="B361" s="1442"/>
      <c r="C361" s="156" t="s">
        <v>133</v>
      </c>
      <c r="D361" s="1146" t="s">
        <v>57</v>
      </c>
      <c r="E361" s="293">
        <v>0.49299999999999999</v>
      </c>
      <c r="F361" s="387">
        <f>E361*F359</f>
        <v>4.93</v>
      </c>
      <c r="G361" s="606"/>
      <c r="H361" s="393"/>
      <c r="I361" s="393"/>
      <c r="J361" s="393"/>
      <c r="K361" s="393"/>
      <c r="L361" s="393"/>
      <c r="M361" s="393"/>
    </row>
    <row r="362" spans="1:16" s="427" customFormat="1">
      <c r="A362" s="1181"/>
      <c r="B362" s="1443" t="s">
        <v>1817</v>
      </c>
      <c r="C362" s="151" t="s">
        <v>496</v>
      </c>
      <c r="D362" s="1147" t="s">
        <v>88</v>
      </c>
      <c r="E362" s="1147"/>
      <c r="F362" s="1177">
        <f>0.003*F359</f>
        <v>0.03</v>
      </c>
      <c r="G362" s="422"/>
      <c r="H362" s="422"/>
      <c r="I362" s="422"/>
      <c r="J362" s="422"/>
      <c r="K362" s="422"/>
      <c r="L362" s="422"/>
      <c r="M362" s="422"/>
    </row>
    <row r="363" spans="1:16" s="427" customFormat="1">
      <c r="A363" s="1182"/>
      <c r="B363" s="1444"/>
      <c r="C363" s="90" t="s">
        <v>209</v>
      </c>
      <c r="D363" s="1145" t="s">
        <v>80</v>
      </c>
      <c r="E363" s="1145">
        <v>90</v>
      </c>
      <c r="F363" s="386">
        <f>E363*F362</f>
        <v>2.6999999999999997</v>
      </c>
      <c r="G363" s="225"/>
      <c r="H363" s="225"/>
      <c r="I363" s="225"/>
      <c r="J363" s="225"/>
      <c r="K363" s="225"/>
      <c r="L363" s="225"/>
      <c r="M363" s="225"/>
    </row>
    <row r="364" spans="1:16" s="427" customFormat="1">
      <c r="A364" s="1182"/>
      <c r="B364" s="1444"/>
      <c r="C364" s="90" t="s">
        <v>527</v>
      </c>
      <c r="D364" s="1145" t="s">
        <v>88</v>
      </c>
      <c r="E364" s="1145">
        <v>1</v>
      </c>
      <c r="F364" s="386">
        <f>E364*F362</f>
        <v>0.03</v>
      </c>
      <c r="G364" s="610"/>
      <c r="H364" s="225"/>
      <c r="I364" s="225"/>
      <c r="J364" s="225"/>
      <c r="K364" s="225"/>
      <c r="L364" s="225"/>
      <c r="M364" s="225"/>
    </row>
    <row r="365" spans="1:16" s="427" customFormat="1">
      <c r="A365" s="1183"/>
      <c r="B365" s="1445"/>
      <c r="C365" s="156" t="s">
        <v>214</v>
      </c>
      <c r="D365" s="1146" t="s">
        <v>57</v>
      </c>
      <c r="E365" s="1146">
        <v>0.05</v>
      </c>
      <c r="F365" s="387">
        <f>E365*F362</f>
        <v>1.5E-3</v>
      </c>
      <c r="G365" s="393"/>
      <c r="H365" s="393"/>
      <c r="I365" s="393"/>
      <c r="J365" s="393"/>
      <c r="K365" s="393"/>
      <c r="L365" s="393"/>
      <c r="M365" s="393"/>
    </row>
    <row r="366" spans="1:16" s="92" customFormat="1" ht="33" customHeight="1">
      <c r="A366" s="438">
        <v>11</v>
      </c>
      <c r="B366" s="1446" t="s">
        <v>615</v>
      </c>
      <c r="C366" s="26" t="s">
        <v>1819</v>
      </c>
      <c r="D366" s="1131" t="s">
        <v>206</v>
      </c>
      <c r="E366" s="1132"/>
      <c r="F366" s="388">
        <f>F371+F372+F373</f>
        <v>0.99099999999999999</v>
      </c>
      <c r="G366" s="225"/>
      <c r="H366" s="600"/>
      <c r="I366" s="225"/>
      <c r="J366" s="225"/>
      <c r="K366" s="225"/>
      <c r="L366" s="225"/>
      <c r="M366" s="225"/>
    </row>
    <row r="367" spans="1:16" s="92" customFormat="1">
      <c r="A367" s="438"/>
      <c r="B367" s="1432"/>
      <c r="C367" s="84" t="s">
        <v>209</v>
      </c>
      <c r="D367" s="211" t="s">
        <v>80</v>
      </c>
      <c r="E367" s="211">
        <v>53.8</v>
      </c>
      <c r="F367" s="386">
        <f>F366*E367</f>
        <v>53.315799999999996</v>
      </c>
      <c r="G367" s="225"/>
      <c r="H367" s="225"/>
      <c r="I367" s="386"/>
      <c r="J367" s="225"/>
      <c r="K367" s="225"/>
      <c r="L367" s="225"/>
      <c r="M367" s="225"/>
    </row>
    <row r="368" spans="1:16" s="92" customFormat="1">
      <c r="A368" s="438"/>
      <c r="B368" s="1432"/>
      <c r="C368" s="84" t="s">
        <v>81</v>
      </c>
      <c r="D368" s="1132" t="s">
        <v>57</v>
      </c>
      <c r="E368" s="211">
        <v>20</v>
      </c>
      <c r="F368" s="386">
        <f>F366*E368</f>
        <v>19.82</v>
      </c>
      <c r="G368" s="225"/>
      <c r="H368" s="225"/>
      <c r="I368" s="225"/>
      <c r="J368" s="225"/>
      <c r="K368" s="225"/>
      <c r="L368" s="225"/>
      <c r="M368" s="225"/>
    </row>
    <row r="369" spans="1:13" s="92" customFormat="1" hidden="1">
      <c r="A369" s="1132"/>
      <c r="B369" s="1432"/>
      <c r="C369" s="15" t="s">
        <v>210</v>
      </c>
      <c r="D369" s="211"/>
      <c r="E369" s="211"/>
      <c r="F369" s="386"/>
      <c r="G369" s="225"/>
      <c r="H369" s="225"/>
      <c r="I369" s="225"/>
      <c r="J369" s="225"/>
      <c r="K369" s="225"/>
      <c r="L369" s="225"/>
      <c r="M369" s="225"/>
    </row>
    <row r="370" spans="1:13" s="92" customFormat="1" hidden="1">
      <c r="A370" s="1132"/>
      <c r="B370" s="1432"/>
      <c r="C370" s="15" t="s">
        <v>1823</v>
      </c>
      <c r="D370" s="179" t="s">
        <v>206</v>
      </c>
      <c r="E370" s="211">
        <v>1</v>
      </c>
      <c r="F370" s="386"/>
      <c r="G370" s="610">
        <v>2140</v>
      </c>
      <c r="H370" s="225">
        <f>G370*F370</f>
        <v>0</v>
      </c>
      <c r="I370" s="225"/>
      <c r="J370" s="225"/>
      <c r="K370" s="225"/>
      <c r="L370" s="225"/>
      <c r="M370" s="225">
        <f>H370</f>
        <v>0</v>
      </c>
    </row>
    <row r="371" spans="1:13" s="92" customFormat="1">
      <c r="A371" s="438"/>
      <c r="B371" s="1432"/>
      <c r="C371" s="26" t="s">
        <v>1806</v>
      </c>
      <c r="D371" s="179" t="s">
        <v>206</v>
      </c>
      <c r="E371" s="211"/>
      <c r="F371" s="388">
        <f>'დეფექტური აქტი'!E98</f>
        <v>0.46</v>
      </c>
      <c r="G371" s="610"/>
      <c r="H371" s="225"/>
      <c r="I371" s="225"/>
      <c r="J371" s="225"/>
      <c r="K371" s="225"/>
      <c r="L371" s="225"/>
      <c r="M371" s="225"/>
    </row>
    <row r="372" spans="1:13" s="92" customFormat="1">
      <c r="A372" s="438"/>
      <c r="B372" s="1432"/>
      <c r="C372" s="26" t="s">
        <v>1807</v>
      </c>
      <c r="D372" s="179" t="s">
        <v>206</v>
      </c>
      <c r="E372" s="211"/>
      <c r="F372" s="388">
        <f>'დეფექტური აქტი'!E99</f>
        <v>0.51600000000000001</v>
      </c>
      <c r="G372" s="610"/>
      <c r="H372" s="225"/>
      <c r="I372" s="225"/>
      <c r="J372" s="225"/>
      <c r="K372" s="225"/>
      <c r="L372" s="225"/>
      <c r="M372" s="225"/>
    </row>
    <row r="373" spans="1:13" s="92" customFormat="1">
      <c r="A373" s="438"/>
      <c r="B373" s="1432"/>
      <c r="C373" s="26" t="s">
        <v>1808</v>
      </c>
      <c r="D373" s="179" t="s">
        <v>206</v>
      </c>
      <c r="E373" s="211"/>
      <c r="F373" s="388">
        <f>'დეფექტური აქტი'!E100</f>
        <v>1.4999999999999999E-2</v>
      </c>
      <c r="G373" s="610"/>
      <c r="H373" s="225"/>
      <c r="I373" s="225"/>
      <c r="J373" s="225"/>
      <c r="K373" s="225"/>
      <c r="L373" s="225"/>
      <c r="M373" s="225"/>
    </row>
    <row r="374" spans="1:13" s="92" customFormat="1">
      <c r="A374" s="438"/>
      <c r="B374" s="1432"/>
      <c r="C374" s="223" t="s">
        <v>307</v>
      </c>
      <c r="D374" s="211" t="s">
        <v>97</v>
      </c>
      <c r="E374" s="211">
        <v>24.4</v>
      </c>
      <c r="F374" s="386">
        <f>F366*E374</f>
        <v>24.180399999999999</v>
      </c>
      <c r="G374" s="610"/>
      <c r="H374" s="225"/>
      <c r="I374" s="225"/>
      <c r="J374" s="225"/>
      <c r="K374" s="225"/>
      <c r="L374" s="225"/>
      <c r="M374" s="225"/>
    </row>
    <row r="375" spans="1:13" s="92" customFormat="1">
      <c r="A375" s="1184"/>
      <c r="B375" s="1437"/>
      <c r="C375" s="232" t="s">
        <v>214</v>
      </c>
      <c r="D375" s="1133" t="s">
        <v>57</v>
      </c>
      <c r="E375" s="230">
        <v>2.78</v>
      </c>
      <c r="F375" s="387">
        <f>F366*E375</f>
        <v>2.7549799999999998</v>
      </c>
      <c r="G375" s="393"/>
      <c r="H375" s="393"/>
      <c r="I375" s="393"/>
      <c r="J375" s="393"/>
      <c r="K375" s="393"/>
      <c r="L375" s="393"/>
      <c r="M375" s="393"/>
    </row>
    <row r="376" spans="1:13" s="92" customFormat="1" ht="27">
      <c r="A376" s="438">
        <v>12</v>
      </c>
      <c r="B376" s="1446"/>
      <c r="C376" s="84" t="s">
        <v>613</v>
      </c>
      <c r="D376" s="1131" t="s">
        <v>206</v>
      </c>
      <c r="E376" s="1132"/>
      <c r="F376" s="388">
        <f>'დეფექტური აქტი'!E101</f>
        <v>0.99099999999999999</v>
      </c>
      <c r="G376" s="225"/>
      <c r="H376" s="225"/>
      <c r="I376" s="225"/>
      <c r="J376" s="225"/>
      <c r="K376" s="225"/>
      <c r="L376" s="225"/>
      <c r="M376" s="225"/>
    </row>
    <row r="377" spans="1:13" s="92" customFormat="1">
      <c r="A377" s="438"/>
      <c r="B377" s="1432"/>
      <c r="C377" s="223" t="s">
        <v>209</v>
      </c>
      <c r="D377" s="211" t="s">
        <v>80</v>
      </c>
      <c r="E377" s="211">
        <v>7.96</v>
      </c>
      <c r="F377" s="386">
        <f>F376*E377</f>
        <v>7.8883599999999996</v>
      </c>
      <c r="G377" s="225"/>
      <c r="H377" s="225"/>
      <c r="I377" s="386"/>
      <c r="J377" s="225"/>
      <c r="K377" s="225"/>
      <c r="L377" s="225"/>
      <c r="M377" s="225"/>
    </row>
    <row r="378" spans="1:13" s="92" customFormat="1" hidden="1">
      <c r="A378" s="1132"/>
      <c r="B378" s="1432"/>
      <c r="C378" s="15" t="s">
        <v>210</v>
      </c>
      <c r="D378" s="211"/>
      <c r="E378" s="211"/>
      <c r="F378" s="386"/>
      <c r="G378" s="225"/>
      <c r="H378" s="225"/>
      <c r="I378" s="225"/>
      <c r="J378" s="225"/>
      <c r="K378" s="225"/>
      <c r="L378" s="225"/>
      <c r="M378" s="225"/>
    </row>
    <row r="379" spans="1:13" s="92" customFormat="1">
      <c r="A379" s="1184"/>
      <c r="B379" s="1437"/>
      <c r="C379" s="232" t="s">
        <v>617</v>
      </c>
      <c r="D379" s="230" t="s">
        <v>97</v>
      </c>
      <c r="E379" s="230">
        <v>4.5</v>
      </c>
      <c r="F379" s="387">
        <f>F376*E379</f>
        <v>4.4595000000000002</v>
      </c>
      <c r="G379" s="393"/>
      <c r="H379" s="393"/>
      <c r="I379" s="393"/>
      <c r="J379" s="393"/>
      <c r="K379" s="393"/>
      <c r="L379" s="393"/>
      <c r="M379" s="393"/>
    </row>
    <row r="380" spans="1:13" s="1152" customFormat="1" ht="27">
      <c r="A380" s="1185">
        <v>21</v>
      </c>
      <c r="B380" s="1149" t="s">
        <v>1832</v>
      </c>
      <c r="C380" s="1150" t="s">
        <v>1833</v>
      </c>
      <c r="D380" s="1148" t="s">
        <v>88</v>
      </c>
      <c r="E380" s="1148"/>
      <c r="F380" s="1151">
        <f>'დეფექტური აქტი'!E102</f>
        <v>3.6</v>
      </c>
      <c r="G380" s="1151"/>
      <c r="H380" s="1151"/>
      <c r="I380" s="1151"/>
      <c r="J380" s="1151"/>
      <c r="K380" s="1151"/>
      <c r="L380" s="1151"/>
      <c r="M380" s="1151"/>
    </row>
    <row r="381" spans="1:13" s="1152" customFormat="1">
      <c r="A381" s="1186"/>
      <c r="B381" s="1149"/>
      <c r="C381" s="1154" t="s">
        <v>209</v>
      </c>
      <c r="D381" s="1153" t="s">
        <v>1818</v>
      </c>
      <c r="E381" s="1153">
        <v>1.08</v>
      </c>
      <c r="F381" s="1155">
        <f>F380*E381</f>
        <v>3.8880000000000003</v>
      </c>
      <c r="G381" s="1155"/>
      <c r="H381" s="1155"/>
      <c r="I381" s="1155"/>
      <c r="J381" s="1155"/>
      <c r="K381" s="1155"/>
      <c r="L381" s="1155"/>
      <c r="M381" s="1155"/>
    </row>
    <row r="382" spans="1:13" s="430" customFormat="1" ht="29.25" customHeight="1">
      <c r="A382" s="1186"/>
      <c r="B382" s="1149"/>
      <c r="C382" s="1154" t="s">
        <v>81</v>
      </c>
      <c r="D382" s="1153" t="s">
        <v>57</v>
      </c>
      <c r="E382" s="1153">
        <v>0.91</v>
      </c>
      <c r="F382" s="1155">
        <f>F380*E382</f>
        <v>3.2760000000000002</v>
      </c>
      <c r="G382" s="1333"/>
      <c r="H382" s="1155"/>
      <c r="I382" s="1155"/>
      <c r="J382" s="1155"/>
      <c r="K382" s="1155"/>
      <c r="L382" s="1155"/>
      <c r="M382" s="1155"/>
    </row>
    <row r="383" spans="1:13" s="430" customFormat="1" ht="17.25" hidden="1" customHeight="1">
      <c r="A383" s="1153"/>
      <c r="B383" s="1149"/>
      <c r="C383" s="1154" t="s">
        <v>210</v>
      </c>
      <c r="D383" s="1153"/>
      <c r="E383" s="1153"/>
      <c r="F383" s="1155">
        <f>E383*2353</f>
        <v>0</v>
      </c>
      <c r="G383" s="1159"/>
      <c r="H383" s="1155"/>
      <c r="I383" s="1155"/>
      <c r="J383" s="1155"/>
      <c r="K383" s="1155"/>
      <c r="L383" s="1155"/>
      <c r="M383" s="1155"/>
    </row>
    <row r="384" spans="1:13" s="430" customFormat="1" ht="15" customHeight="1">
      <c r="A384" s="1186"/>
      <c r="B384" s="1149"/>
      <c r="C384" s="1154" t="s">
        <v>1829</v>
      </c>
      <c r="D384" s="1153" t="s">
        <v>88</v>
      </c>
      <c r="E384" s="1153">
        <v>1.0149999999999999</v>
      </c>
      <c r="F384" s="1155">
        <f>F380*E384</f>
        <v>3.6539999999999999</v>
      </c>
      <c r="G384" s="1333"/>
      <c r="H384" s="1155"/>
      <c r="I384" s="1155"/>
      <c r="J384" s="1155"/>
      <c r="K384" s="1155"/>
      <c r="L384" s="1155"/>
      <c r="M384" s="1155"/>
    </row>
    <row r="385" spans="1:14" s="430" customFormat="1" ht="16.5" customHeight="1">
      <c r="A385" s="1186"/>
      <c r="B385" s="1149"/>
      <c r="C385" s="1154" t="s">
        <v>301</v>
      </c>
      <c r="D385" s="1153" t="s">
        <v>78</v>
      </c>
      <c r="E385" s="1153">
        <v>2.85</v>
      </c>
      <c r="F385" s="1155">
        <f>F380*E385</f>
        <v>10.26</v>
      </c>
      <c r="G385" s="1333"/>
      <c r="H385" s="1155"/>
      <c r="I385" s="1155"/>
      <c r="J385" s="1155"/>
      <c r="K385" s="1155"/>
      <c r="L385" s="1155"/>
      <c r="M385" s="1155"/>
    </row>
    <row r="386" spans="1:14" s="430" customFormat="1" ht="16.5" customHeight="1">
      <c r="A386" s="1186"/>
      <c r="B386" s="1149"/>
      <c r="C386" s="1154" t="s">
        <v>1203</v>
      </c>
      <c r="D386" s="1153" t="s">
        <v>88</v>
      </c>
      <c r="E386" s="1153">
        <v>1.7500000000000002E-2</v>
      </c>
      <c r="F386" s="1155">
        <f>F380*E386</f>
        <v>6.3000000000000014E-2</v>
      </c>
      <c r="G386" s="1333"/>
      <c r="H386" s="1155"/>
      <c r="I386" s="1155"/>
      <c r="J386" s="1155"/>
      <c r="K386" s="1155"/>
      <c r="L386" s="1155"/>
      <c r="M386" s="1155"/>
    </row>
    <row r="387" spans="1:14" s="427" customFormat="1">
      <c r="A387" s="1186"/>
      <c r="B387" s="1149"/>
      <c r="C387" s="1154" t="s">
        <v>539</v>
      </c>
      <c r="D387" s="1153" t="s">
        <v>88</v>
      </c>
      <c r="E387" s="1153">
        <v>5.3499999999999999E-2</v>
      </c>
      <c r="F387" s="1155">
        <f>F380*E387</f>
        <v>0.19259999999999999</v>
      </c>
      <c r="G387" s="1333"/>
      <c r="H387" s="1155"/>
      <c r="I387" s="1155"/>
      <c r="J387" s="1155"/>
      <c r="K387" s="1155"/>
      <c r="L387" s="1155"/>
      <c r="M387" s="1155"/>
    </row>
    <row r="388" spans="1:14" s="427" customFormat="1">
      <c r="A388" s="1186"/>
      <c r="B388" s="1149"/>
      <c r="C388" s="1154" t="s">
        <v>214</v>
      </c>
      <c r="D388" s="1153" t="s">
        <v>57</v>
      </c>
      <c r="E388" s="1153">
        <v>1.37</v>
      </c>
      <c r="F388" s="1155">
        <f>F380*E388</f>
        <v>4.9320000000000004</v>
      </c>
      <c r="G388" s="1333"/>
      <c r="H388" s="1155"/>
      <c r="I388" s="1155"/>
      <c r="J388" s="1155"/>
      <c r="K388" s="1155"/>
      <c r="L388" s="1155"/>
      <c r="M388" s="1155"/>
    </row>
    <row r="389" spans="1:14" s="427" customFormat="1">
      <c r="A389" s="1187"/>
      <c r="B389" s="1156"/>
      <c r="C389" s="1176" t="s">
        <v>1810</v>
      </c>
      <c r="D389" s="1157" t="s">
        <v>206</v>
      </c>
      <c r="E389" s="1157"/>
      <c r="F389" s="1161">
        <f>'დეფექტური აქტი'!E103</f>
        <v>0.27</v>
      </c>
      <c r="G389" s="1160"/>
      <c r="H389" s="1158"/>
      <c r="I389" s="1158"/>
      <c r="J389" s="1158"/>
      <c r="K389" s="1158"/>
      <c r="L389" s="1158"/>
      <c r="M389" s="1277"/>
    </row>
    <row r="390" spans="1:14" s="427" customFormat="1">
      <c r="A390" s="1187"/>
      <c r="B390" s="1156"/>
      <c r="C390" s="1176" t="s">
        <v>1811</v>
      </c>
      <c r="D390" s="1157" t="s">
        <v>206</v>
      </c>
      <c r="E390" s="1157"/>
      <c r="F390" s="1161">
        <f>'დეფექტური აქტი'!E104</f>
        <v>0.4</v>
      </c>
      <c r="G390" s="1160"/>
      <c r="H390" s="1158"/>
      <c r="I390" s="1158"/>
      <c r="J390" s="1158"/>
      <c r="K390" s="1158"/>
      <c r="L390" s="1158"/>
      <c r="M390" s="1277"/>
    </row>
    <row r="391" spans="1:14" s="831" customFormat="1" ht="17.25" hidden="1" customHeight="1">
      <c r="A391" s="330">
        <v>22</v>
      </c>
      <c r="B391" s="815"/>
      <c r="C391" s="329" t="s">
        <v>1695</v>
      </c>
      <c r="D391" s="486" t="s">
        <v>816</v>
      </c>
      <c r="E391" s="330"/>
      <c r="F391" s="388">
        <f>'დეფექტური აქტი'!E105</f>
        <v>0</v>
      </c>
      <c r="G391" s="1042"/>
      <c r="H391" s="1043"/>
      <c r="I391" s="414"/>
      <c r="J391" s="331"/>
      <c r="K391" s="414"/>
      <c r="L391" s="331"/>
      <c r="M391" s="331"/>
      <c r="N391" s="811"/>
    </row>
    <row r="392" spans="1:14" s="831" customFormat="1" ht="15.75" hidden="1" customHeight="1">
      <c r="A392" s="330"/>
      <c r="B392" s="540"/>
      <c r="C392" s="335" t="s">
        <v>209</v>
      </c>
      <c r="D392" s="486" t="s">
        <v>816</v>
      </c>
      <c r="E392" s="541">
        <v>1</v>
      </c>
      <c r="F392" s="331">
        <f>F391*E392</f>
        <v>0</v>
      </c>
      <c r="G392" s="1044"/>
      <c r="H392" s="906"/>
      <c r="I392" s="414">
        <v>4.5999999999999996</v>
      </c>
      <c r="J392" s="331">
        <f>F392*I392</f>
        <v>0</v>
      </c>
      <c r="K392" s="414"/>
      <c r="L392" s="331"/>
      <c r="M392" s="331">
        <f>H392+J392+L392</f>
        <v>0</v>
      </c>
      <c r="N392" s="811"/>
    </row>
    <row r="393" spans="1:14" s="831" customFormat="1" ht="13.5" hidden="1" customHeight="1">
      <c r="A393" s="330"/>
      <c r="B393" s="543"/>
      <c r="C393" s="335" t="s">
        <v>210</v>
      </c>
      <c r="D393" s="486"/>
      <c r="E393" s="544"/>
      <c r="F393" s="331">
        <f>F392*E393</f>
        <v>0</v>
      </c>
      <c r="G393" s="1042"/>
      <c r="H393" s="331"/>
      <c r="I393" s="414"/>
      <c r="J393" s="331"/>
      <c r="K393" s="414"/>
      <c r="L393" s="331"/>
      <c r="M393" s="331"/>
      <c r="N393" s="811"/>
    </row>
    <row r="394" spans="1:14" s="831" customFormat="1" ht="15.75" hidden="1" customHeight="1">
      <c r="A394" s="330"/>
      <c r="B394" s="543"/>
      <c r="C394" s="329" t="s">
        <v>1695</v>
      </c>
      <c r="D394" s="486" t="s">
        <v>816</v>
      </c>
      <c r="E394" s="544">
        <v>1</v>
      </c>
      <c r="F394" s="331">
        <f>F391*E394</f>
        <v>0</v>
      </c>
      <c r="G394" s="1071">
        <v>15</v>
      </c>
      <c r="H394" s="331">
        <f>F394*G394</f>
        <v>0</v>
      </c>
      <c r="I394" s="414"/>
      <c r="J394" s="331"/>
      <c r="K394" s="414"/>
      <c r="L394" s="331"/>
      <c r="M394" s="331">
        <f>H394+J394+L394</f>
        <v>0</v>
      </c>
      <c r="N394" s="811"/>
    </row>
    <row r="395" spans="1:14" s="45" customFormat="1">
      <c r="A395" s="1178"/>
      <c r="B395" s="138"/>
      <c r="C395" s="204" t="s">
        <v>154</v>
      </c>
      <c r="D395" s="48"/>
      <c r="E395" s="47"/>
      <c r="F395" s="385"/>
      <c r="G395" s="385"/>
      <c r="H395" s="385"/>
      <c r="I395" s="385"/>
      <c r="J395" s="385"/>
      <c r="K395" s="385"/>
      <c r="L395" s="385"/>
      <c r="M395" s="385"/>
    </row>
    <row r="396" spans="1:14" s="45" customFormat="1">
      <c r="A396" s="1178">
        <v>1</v>
      </c>
      <c r="B396" s="1499" t="s">
        <v>1456</v>
      </c>
      <c r="C396" s="46" t="s">
        <v>1457</v>
      </c>
      <c r="D396" s="47" t="s">
        <v>88</v>
      </c>
      <c r="E396" s="47"/>
      <c r="F396" s="384">
        <f>'დეფექტური აქტი'!E107</f>
        <v>3.8</v>
      </c>
      <c r="G396" s="385"/>
      <c r="H396" s="385"/>
      <c r="I396" s="385"/>
      <c r="J396" s="385"/>
      <c r="K396" s="385"/>
      <c r="L396" s="385"/>
      <c r="M396" s="385"/>
    </row>
    <row r="397" spans="1:14" s="45" customFormat="1">
      <c r="A397" s="412"/>
      <c r="B397" s="1434"/>
      <c r="C397" s="15" t="s">
        <v>128</v>
      </c>
      <c r="D397" s="41" t="s">
        <v>80</v>
      </c>
      <c r="E397" s="41">
        <v>3.58</v>
      </c>
      <c r="F397" s="386">
        <f>F396*E397</f>
        <v>13.603999999999999</v>
      </c>
      <c r="G397" s="386"/>
      <c r="H397" s="386"/>
      <c r="I397" s="386"/>
      <c r="J397" s="386"/>
      <c r="K397" s="386"/>
      <c r="L397" s="386"/>
      <c r="M397" s="386"/>
    </row>
    <row r="398" spans="1:14" s="63" customFormat="1" ht="27">
      <c r="A398" s="412"/>
      <c r="B398" s="1434"/>
      <c r="C398" s="15" t="s">
        <v>157</v>
      </c>
      <c r="D398" s="83" t="s">
        <v>57</v>
      </c>
      <c r="E398" s="41">
        <v>1.08</v>
      </c>
      <c r="F398" s="386">
        <f>F396*E398</f>
        <v>4.1040000000000001</v>
      </c>
      <c r="G398" s="386"/>
      <c r="H398" s="386"/>
      <c r="I398" s="386"/>
      <c r="J398" s="386"/>
      <c r="K398" s="386"/>
      <c r="L398" s="386"/>
      <c r="M398" s="386"/>
    </row>
    <row r="399" spans="1:14" s="45" customFormat="1" hidden="1">
      <c r="A399" s="41"/>
      <c r="B399" s="1434"/>
      <c r="C399" s="15" t="s">
        <v>210</v>
      </c>
      <c r="D399" s="41"/>
      <c r="E399" s="41"/>
      <c r="F399" s="386"/>
      <c r="G399" s="386"/>
      <c r="H399" s="386"/>
      <c r="I399" s="386"/>
      <c r="J399" s="386"/>
      <c r="K399" s="386"/>
      <c r="L399" s="386"/>
      <c r="M399" s="386"/>
    </row>
    <row r="400" spans="1:14" s="45" customFormat="1">
      <c r="A400" s="412"/>
      <c r="B400" s="1434"/>
      <c r="C400" s="15" t="s">
        <v>950</v>
      </c>
      <c r="D400" s="41" t="s">
        <v>88</v>
      </c>
      <c r="E400" s="41">
        <v>1.1000000000000001</v>
      </c>
      <c r="F400" s="386">
        <f>F396*E400</f>
        <v>4.18</v>
      </c>
      <c r="G400" s="386"/>
      <c r="H400" s="386"/>
      <c r="I400" s="386"/>
      <c r="J400" s="386"/>
      <c r="K400" s="386"/>
      <c r="L400" s="386"/>
      <c r="M400" s="386"/>
    </row>
    <row r="401" spans="1:14" s="45" customFormat="1">
      <c r="A401" s="1178">
        <v>2</v>
      </c>
      <c r="B401" s="1499" t="s">
        <v>444</v>
      </c>
      <c r="C401" s="46" t="s">
        <v>155</v>
      </c>
      <c r="D401" s="47" t="s">
        <v>78</v>
      </c>
      <c r="E401" s="47"/>
      <c r="F401" s="384">
        <f>'დეფექტური აქტი'!E108</f>
        <v>74.48</v>
      </c>
      <c r="G401" s="385"/>
      <c r="H401" s="385"/>
      <c r="I401" s="385"/>
      <c r="J401" s="385"/>
      <c r="K401" s="385"/>
      <c r="L401" s="385"/>
      <c r="M401" s="385"/>
    </row>
    <row r="402" spans="1:14" s="45" customFormat="1">
      <c r="A402" s="412"/>
      <c r="B402" s="1434"/>
      <c r="C402" s="15" t="s">
        <v>156</v>
      </c>
      <c r="D402" s="41">
        <v>0.2016</v>
      </c>
      <c r="E402" s="41">
        <v>0.2016</v>
      </c>
      <c r="F402" s="386">
        <f>F401*E402</f>
        <v>15.015168000000001</v>
      </c>
      <c r="G402" s="386"/>
      <c r="H402" s="386"/>
      <c r="I402" s="386"/>
      <c r="J402" s="386"/>
      <c r="K402" s="386"/>
      <c r="L402" s="386"/>
      <c r="M402" s="386"/>
    </row>
    <row r="403" spans="1:14" s="63" customFormat="1" ht="27">
      <c r="A403" s="412"/>
      <c r="B403" s="1434"/>
      <c r="C403" s="15" t="s">
        <v>157</v>
      </c>
      <c r="D403" s="83" t="s">
        <v>57</v>
      </c>
      <c r="E403" s="41">
        <v>1.8700000000000001E-2</v>
      </c>
      <c r="F403" s="386">
        <f>F401*E403</f>
        <v>1.3927760000000002</v>
      </c>
      <c r="G403" s="386"/>
      <c r="H403" s="386"/>
      <c r="I403" s="386"/>
      <c r="J403" s="386"/>
      <c r="K403" s="386"/>
      <c r="L403" s="386"/>
      <c r="M403" s="386"/>
    </row>
    <row r="404" spans="1:14" s="45" customFormat="1" hidden="1">
      <c r="A404" s="41"/>
      <c r="B404" s="1434"/>
      <c r="C404" s="15" t="s">
        <v>210</v>
      </c>
      <c r="D404" s="41"/>
      <c r="E404" s="41"/>
      <c r="F404" s="386"/>
      <c r="G404" s="386"/>
      <c r="H404" s="386"/>
      <c r="I404" s="386"/>
      <c r="J404" s="386"/>
      <c r="K404" s="386"/>
      <c r="L404" s="386"/>
      <c r="M404" s="386"/>
    </row>
    <row r="405" spans="1:14" s="45" customFormat="1">
      <c r="A405" s="412"/>
      <c r="B405" s="1434"/>
      <c r="C405" s="15" t="s">
        <v>158</v>
      </c>
      <c r="D405" s="41" t="s">
        <v>88</v>
      </c>
      <c r="E405" s="41">
        <v>4.0800000000000003E-2</v>
      </c>
      <c r="F405" s="386">
        <f>F401*E405</f>
        <v>3.0387840000000006</v>
      </c>
      <c r="G405" s="386"/>
      <c r="H405" s="386"/>
      <c r="I405" s="386"/>
      <c r="J405" s="386"/>
      <c r="K405" s="386"/>
      <c r="L405" s="386"/>
      <c r="M405" s="386"/>
    </row>
    <row r="406" spans="1:14" s="45" customFormat="1">
      <c r="A406" s="412"/>
      <c r="B406" s="1463"/>
      <c r="C406" s="56" t="s">
        <v>144</v>
      </c>
      <c r="D406" s="86" t="s">
        <v>57</v>
      </c>
      <c r="E406" s="43">
        <v>6.3600000000000004E-2</v>
      </c>
      <c r="F406" s="387">
        <f>F401*E406</f>
        <v>4.7369280000000007</v>
      </c>
      <c r="G406" s="387"/>
      <c r="H406" s="387"/>
      <c r="I406" s="387"/>
      <c r="J406" s="387"/>
      <c r="K406" s="387"/>
      <c r="L406" s="387"/>
      <c r="M406" s="387"/>
    </row>
    <row r="407" spans="1:14" s="359" customFormat="1" hidden="1">
      <c r="A407" s="330">
        <v>3</v>
      </c>
      <c r="B407" s="328" t="s">
        <v>959</v>
      </c>
      <c r="C407" s="413" t="s">
        <v>1735</v>
      </c>
      <c r="D407" s="330" t="s">
        <v>78</v>
      </c>
      <c r="E407" s="330"/>
      <c r="F407" s="384">
        <f>'დეფექტური აქტი'!E109</f>
        <v>0</v>
      </c>
      <c r="G407" s="389"/>
      <c r="H407" s="389"/>
      <c r="I407" s="389"/>
      <c r="J407" s="389"/>
      <c r="K407" s="389"/>
      <c r="L407" s="389"/>
      <c r="M407" s="389"/>
      <c r="N407" s="358"/>
    </row>
    <row r="408" spans="1:14" s="359" customFormat="1" hidden="1">
      <c r="A408" s="330"/>
      <c r="B408" s="328"/>
      <c r="C408" s="341" t="s">
        <v>209</v>
      </c>
      <c r="D408" s="336" t="s">
        <v>80</v>
      </c>
      <c r="E408" s="336">
        <v>0.755</v>
      </c>
      <c r="F408" s="389">
        <f>F407*E408</f>
        <v>0</v>
      </c>
      <c r="G408" s="389"/>
      <c r="H408" s="389"/>
      <c r="I408" s="389">
        <v>6</v>
      </c>
      <c r="J408" s="389">
        <f>F408*I408</f>
        <v>0</v>
      </c>
      <c r="K408" s="389"/>
      <c r="L408" s="389"/>
      <c r="M408" s="389">
        <f>H408+J408+L408</f>
        <v>0</v>
      </c>
      <c r="N408" s="358"/>
    </row>
    <row r="409" spans="1:14" s="359" customFormat="1" hidden="1">
      <c r="A409" s="330"/>
      <c r="B409" s="328"/>
      <c r="C409" s="341" t="s">
        <v>81</v>
      </c>
      <c r="D409" s="336" t="s">
        <v>57</v>
      </c>
      <c r="E409" s="336">
        <v>7.4999999999999997E-3</v>
      </c>
      <c r="F409" s="389">
        <f>F407*E409</f>
        <v>0</v>
      </c>
      <c r="G409" s="389"/>
      <c r="H409" s="389"/>
      <c r="I409" s="389"/>
      <c r="J409" s="389"/>
      <c r="K409" s="389">
        <v>3.2</v>
      </c>
      <c r="L409" s="389">
        <f>F409*K409</f>
        <v>0</v>
      </c>
      <c r="M409" s="389">
        <f>H409+J409+L409</f>
        <v>0</v>
      </c>
      <c r="N409" s="358"/>
    </row>
    <row r="410" spans="1:14" s="359" customFormat="1" hidden="1">
      <c r="A410" s="330"/>
      <c r="B410" s="328"/>
      <c r="C410" s="341" t="s">
        <v>210</v>
      </c>
      <c r="D410" s="336"/>
      <c r="E410" s="336"/>
      <c r="F410" s="389"/>
      <c r="G410" s="389"/>
      <c r="H410" s="389"/>
      <c r="I410" s="389"/>
      <c r="J410" s="389"/>
      <c r="K410" s="389"/>
      <c r="L410" s="389"/>
      <c r="M410" s="389"/>
      <c r="N410" s="358"/>
    </row>
    <row r="411" spans="1:14" s="359" customFormat="1" hidden="1">
      <c r="A411" s="330"/>
      <c r="B411" s="328"/>
      <c r="C411" s="341" t="s">
        <v>1736</v>
      </c>
      <c r="D411" s="336" t="s">
        <v>78</v>
      </c>
      <c r="E411" s="336">
        <v>1.02</v>
      </c>
      <c r="F411" s="389">
        <f>F407*E411</f>
        <v>0</v>
      </c>
      <c r="G411" s="919">
        <v>34</v>
      </c>
      <c r="H411" s="389">
        <f>F411*G411</f>
        <v>0</v>
      </c>
      <c r="I411" s="389"/>
      <c r="J411" s="389"/>
      <c r="K411" s="389"/>
      <c r="L411" s="389"/>
      <c r="M411" s="389">
        <f>H411+J411+L411</f>
        <v>0</v>
      </c>
      <c r="N411" s="358"/>
    </row>
    <row r="412" spans="1:14" s="359" customFormat="1" hidden="1">
      <c r="A412" s="330"/>
      <c r="B412" s="328"/>
      <c r="C412" s="341" t="s">
        <v>161</v>
      </c>
      <c r="D412" s="336" t="s">
        <v>97</v>
      </c>
      <c r="E412" s="336">
        <v>0.5</v>
      </c>
      <c r="F412" s="389">
        <f>F407*E412</f>
        <v>0</v>
      </c>
      <c r="G412" s="389">
        <v>3</v>
      </c>
      <c r="H412" s="389">
        <f>F412*G412</f>
        <v>0</v>
      </c>
      <c r="I412" s="389"/>
      <c r="J412" s="389"/>
      <c r="K412" s="389"/>
      <c r="L412" s="389"/>
      <c r="M412" s="389">
        <f>H412+J412+L412</f>
        <v>0</v>
      </c>
      <c r="N412" s="358"/>
    </row>
    <row r="413" spans="1:14" s="359" customFormat="1" hidden="1">
      <c r="A413" s="330"/>
      <c r="B413" s="328"/>
      <c r="C413" s="341" t="s">
        <v>969</v>
      </c>
      <c r="D413" s="336" t="s">
        <v>122</v>
      </c>
      <c r="E413" s="336">
        <v>0.38</v>
      </c>
      <c r="F413" s="389">
        <f>F407*E413</f>
        <v>0</v>
      </c>
      <c r="G413" s="389">
        <v>1</v>
      </c>
      <c r="H413" s="389">
        <f>F413*G413</f>
        <v>0</v>
      </c>
      <c r="I413" s="389"/>
      <c r="J413" s="389"/>
      <c r="K413" s="389"/>
      <c r="L413" s="389"/>
      <c r="M413" s="389">
        <f>H413+J413+L413</f>
        <v>0</v>
      </c>
      <c r="N413" s="358"/>
    </row>
    <row r="414" spans="1:14" s="359" customFormat="1" hidden="1">
      <c r="A414" s="330"/>
      <c r="B414" s="328"/>
      <c r="C414" s="341" t="s">
        <v>970</v>
      </c>
      <c r="D414" s="336" t="s">
        <v>122</v>
      </c>
      <c r="E414" s="336">
        <v>1</v>
      </c>
      <c r="F414" s="389">
        <f>F407*E414</f>
        <v>0</v>
      </c>
      <c r="G414" s="389">
        <v>0.52</v>
      </c>
      <c r="H414" s="389">
        <f>F414*G414</f>
        <v>0</v>
      </c>
      <c r="I414" s="389"/>
      <c r="J414" s="389"/>
      <c r="K414" s="389"/>
      <c r="L414" s="389"/>
      <c r="M414" s="389">
        <f>H414+J414+L414</f>
        <v>0</v>
      </c>
      <c r="N414" s="358"/>
    </row>
    <row r="415" spans="1:14" s="359" customFormat="1" hidden="1">
      <c r="A415" s="330"/>
      <c r="B415" s="328"/>
      <c r="C415" s="341" t="s">
        <v>214</v>
      </c>
      <c r="D415" s="336" t="s">
        <v>57</v>
      </c>
      <c r="E415" s="336">
        <v>0.18</v>
      </c>
      <c r="F415" s="389">
        <f>F407*E415</f>
        <v>0</v>
      </c>
      <c r="G415" s="389">
        <v>3.2</v>
      </c>
      <c r="H415" s="389">
        <f>F415*G415</f>
        <v>0</v>
      </c>
      <c r="I415" s="389"/>
      <c r="J415" s="389"/>
      <c r="K415" s="389"/>
      <c r="L415" s="389"/>
      <c r="M415" s="389">
        <f>H415+J415+L415</f>
        <v>0</v>
      </c>
      <c r="N415" s="358"/>
    </row>
    <row r="416" spans="1:14" s="45" customFormat="1" ht="27" hidden="1">
      <c r="A416" s="47">
        <v>4</v>
      </c>
      <c r="B416" s="1499" t="s">
        <v>964</v>
      </c>
      <c r="C416" s="411" t="s">
        <v>960</v>
      </c>
      <c r="D416" s="47" t="s">
        <v>78</v>
      </c>
      <c r="E416" s="47"/>
      <c r="F416" s="384">
        <f>'დეფექტური აქტი'!E110</f>
        <v>0</v>
      </c>
      <c r="G416" s="385"/>
      <c r="H416" s="385"/>
      <c r="I416" s="385"/>
      <c r="J416" s="385"/>
      <c r="K416" s="385"/>
      <c r="L416" s="385"/>
      <c r="M416" s="385"/>
    </row>
    <row r="417" spans="1:14" s="45" customFormat="1" hidden="1">
      <c r="A417" s="41"/>
      <c r="B417" s="1434"/>
      <c r="C417" s="15" t="s">
        <v>961</v>
      </c>
      <c r="D417" s="336" t="s">
        <v>80</v>
      </c>
      <c r="E417" s="41">
        <v>0.25169999999999998</v>
      </c>
      <c r="F417" s="386">
        <f>F416*E417</f>
        <v>0</v>
      </c>
      <c r="G417" s="386"/>
      <c r="H417" s="386"/>
      <c r="I417" s="386">
        <v>4.5999999999999996</v>
      </c>
      <c r="J417" s="386">
        <f>F417*I417</f>
        <v>0</v>
      </c>
      <c r="K417" s="386"/>
      <c r="L417" s="386"/>
      <c r="M417" s="386">
        <f>H417+J417+L417</f>
        <v>0</v>
      </c>
    </row>
    <row r="418" spans="1:14" s="63" customFormat="1" hidden="1">
      <c r="A418" s="41"/>
      <c r="B418" s="1434"/>
      <c r="C418" s="15" t="s">
        <v>962</v>
      </c>
      <c r="D418" s="83" t="s">
        <v>57</v>
      </c>
      <c r="E418" s="41">
        <v>8.3000000000000001E-3</v>
      </c>
      <c r="F418" s="386">
        <f>F416*E418</f>
        <v>0</v>
      </c>
      <c r="G418" s="386"/>
      <c r="H418" s="386"/>
      <c r="I418" s="386"/>
      <c r="J418" s="386"/>
      <c r="K418" s="386">
        <v>3.2</v>
      </c>
      <c r="L418" s="386">
        <f>F418*K418</f>
        <v>0</v>
      </c>
      <c r="M418" s="386">
        <f>H418+J418+L418</f>
        <v>0</v>
      </c>
    </row>
    <row r="419" spans="1:14" s="45" customFormat="1" hidden="1">
      <c r="A419" s="41"/>
      <c r="B419" s="1434"/>
      <c r="C419" s="15" t="s">
        <v>210</v>
      </c>
      <c r="D419" s="41"/>
      <c r="E419" s="41"/>
      <c r="F419" s="386"/>
      <c r="G419" s="386"/>
      <c r="H419" s="386"/>
      <c r="I419" s="386"/>
      <c r="J419" s="386"/>
      <c r="K419" s="386"/>
      <c r="L419" s="386"/>
      <c r="M419" s="386"/>
    </row>
    <row r="420" spans="1:14" s="45" customFormat="1" hidden="1">
      <c r="A420" s="41"/>
      <c r="B420" s="1434"/>
      <c r="C420" s="15" t="s">
        <v>963</v>
      </c>
      <c r="D420" s="412">
        <v>1</v>
      </c>
      <c r="E420" s="412">
        <v>1.02</v>
      </c>
      <c r="F420" s="386">
        <f>F416*E420</f>
        <v>0</v>
      </c>
      <c r="G420" s="792">
        <v>17.14</v>
      </c>
      <c r="H420" s="386">
        <f>F420*G420</f>
        <v>0</v>
      </c>
      <c r="I420" s="386"/>
      <c r="J420" s="386"/>
      <c r="K420" s="386"/>
      <c r="L420" s="386"/>
      <c r="M420" s="386">
        <f>H420+J420+L420</f>
        <v>0</v>
      </c>
    </row>
    <row r="421" spans="1:14" s="45" customFormat="1" hidden="1">
      <c r="A421" s="41"/>
      <c r="B421" s="1463"/>
      <c r="C421" s="56" t="s">
        <v>144</v>
      </c>
      <c r="D421" s="86" t="s">
        <v>57</v>
      </c>
      <c r="E421" s="43">
        <v>1.9E-3</v>
      </c>
      <c r="F421" s="387">
        <f>F416*E421</f>
        <v>0</v>
      </c>
      <c r="G421" s="387">
        <v>3.2</v>
      </c>
      <c r="H421" s="387">
        <f>F421*G421</f>
        <v>0</v>
      </c>
      <c r="I421" s="387"/>
      <c r="J421" s="387"/>
      <c r="K421" s="387"/>
      <c r="L421" s="387"/>
      <c r="M421" s="387">
        <f>H421+J421+L421</f>
        <v>0</v>
      </c>
    </row>
    <row r="422" spans="1:14" s="45" customFormat="1" hidden="1">
      <c r="A422" s="47">
        <v>5</v>
      </c>
      <c r="B422" s="1499" t="s">
        <v>972</v>
      </c>
      <c r="C422" s="411" t="s">
        <v>973</v>
      </c>
      <c r="D422" s="47" t="s">
        <v>78</v>
      </c>
      <c r="E422" s="47"/>
      <c r="F422" s="384">
        <f>'დეფექტური აქტი'!E111</f>
        <v>0</v>
      </c>
      <c r="G422" s="385"/>
      <c r="H422" s="385"/>
      <c r="I422" s="385"/>
      <c r="J422" s="385"/>
      <c r="K422" s="385"/>
      <c r="L422" s="385"/>
      <c r="M422" s="385"/>
    </row>
    <row r="423" spans="1:14" s="45" customFormat="1" hidden="1">
      <c r="A423" s="41"/>
      <c r="B423" s="1434"/>
      <c r="C423" s="15" t="s">
        <v>209</v>
      </c>
      <c r="D423" s="336" t="s">
        <v>80</v>
      </c>
      <c r="E423" s="41">
        <v>0.25169999999999998</v>
      </c>
      <c r="F423" s="386">
        <f>F422*E423</f>
        <v>0</v>
      </c>
      <c r="G423" s="386"/>
      <c r="H423" s="386"/>
      <c r="I423" s="386">
        <v>6</v>
      </c>
      <c r="J423" s="386">
        <f>F423*I423</f>
        <v>0</v>
      </c>
      <c r="K423" s="386"/>
      <c r="L423" s="386"/>
      <c r="M423" s="386">
        <f>H423+J423+L423</f>
        <v>0</v>
      </c>
    </row>
    <row r="424" spans="1:14" s="63" customFormat="1" hidden="1">
      <c r="A424" s="41"/>
      <c r="B424" s="1434"/>
      <c r="C424" s="15" t="s">
        <v>142</v>
      </c>
      <c r="D424" s="83" t="s">
        <v>57</v>
      </c>
      <c r="E424" s="41">
        <v>8.3000000000000001E-3</v>
      </c>
      <c r="F424" s="386">
        <f>F422*E424</f>
        <v>0</v>
      </c>
      <c r="G424" s="386"/>
      <c r="H424" s="386"/>
      <c r="I424" s="386"/>
      <c r="J424" s="386"/>
      <c r="K424" s="386">
        <v>3.2</v>
      </c>
      <c r="L424" s="386">
        <f>F424*K424</f>
        <v>0</v>
      </c>
      <c r="M424" s="386">
        <f>H424+J424+L424</f>
        <v>0</v>
      </c>
    </row>
    <row r="425" spans="1:14" s="45" customFormat="1" hidden="1">
      <c r="A425" s="41"/>
      <c r="B425" s="1434"/>
      <c r="C425" s="15" t="s">
        <v>210</v>
      </c>
      <c r="D425" s="41"/>
      <c r="E425" s="41"/>
      <c r="F425" s="386"/>
      <c r="G425" s="386"/>
      <c r="H425" s="386"/>
      <c r="I425" s="386"/>
      <c r="J425" s="386"/>
      <c r="K425" s="386"/>
      <c r="L425" s="386"/>
      <c r="M425" s="386"/>
    </row>
    <row r="426" spans="1:14" s="45" customFormat="1" hidden="1">
      <c r="A426" s="41"/>
      <c r="B426" s="1434"/>
      <c r="C426" s="15" t="s">
        <v>971</v>
      </c>
      <c r="D426" s="412" t="s">
        <v>97</v>
      </c>
      <c r="E426" s="412">
        <v>7.5</v>
      </c>
      <c r="F426" s="386">
        <f>F422*E426</f>
        <v>0</v>
      </c>
      <c r="G426" s="792">
        <v>0.8</v>
      </c>
      <c r="H426" s="386">
        <f>F426*G426</f>
        <v>0</v>
      </c>
      <c r="I426" s="386"/>
      <c r="J426" s="386"/>
      <c r="K426" s="386"/>
      <c r="L426" s="386"/>
      <c r="M426" s="386">
        <f>H426+J426+L426</f>
        <v>0</v>
      </c>
    </row>
    <row r="427" spans="1:14" s="45" customFormat="1" hidden="1">
      <c r="A427" s="41"/>
      <c r="B427" s="1463"/>
      <c r="C427" s="56" t="s">
        <v>149</v>
      </c>
      <c r="D427" s="86" t="s">
        <v>97</v>
      </c>
      <c r="E427" s="43">
        <v>0.15</v>
      </c>
      <c r="F427" s="387">
        <f>F422*E427</f>
        <v>0</v>
      </c>
      <c r="G427" s="920">
        <v>7.95</v>
      </c>
      <c r="H427" s="387">
        <f>F427*G427</f>
        <v>0</v>
      </c>
      <c r="I427" s="387"/>
      <c r="J427" s="387"/>
      <c r="K427" s="387"/>
      <c r="L427" s="387"/>
      <c r="M427" s="387">
        <f>H427+J427+L427</f>
        <v>0</v>
      </c>
    </row>
    <row r="428" spans="1:14" s="359" customFormat="1" ht="27" hidden="1">
      <c r="A428" s="330">
        <v>6</v>
      </c>
      <c r="B428" s="328" t="s">
        <v>965</v>
      </c>
      <c r="C428" s="1073" t="s">
        <v>1730</v>
      </c>
      <c r="D428" s="330" t="s">
        <v>78</v>
      </c>
      <c r="E428" s="330"/>
      <c r="F428" s="384">
        <f>'დეფექტური აქტი'!E112</f>
        <v>0</v>
      </c>
      <c r="G428" s="389"/>
      <c r="H428" s="389"/>
      <c r="I428" s="389"/>
      <c r="J428" s="389"/>
      <c r="K428" s="389"/>
      <c r="L428" s="389"/>
      <c r="M428" s="389"/>
      <c r="N428" s="358"/>
    </row>
    <row r="429" spans="1:14" s="359" customFormat="1" ht="16.5" hidden="1" customHeight="1">
      <c r="A429" s="330"/>
      <c r="B429" s="328"/>
      <c r="C429" s="341" t="s">
        <v>209</v>
      </c>
      <c r="D429" s="336" t="s">
        <v>80</v>
      </c>
      <c r="E429" s="336">
        <v>0.27100000000000002</v>
      </c>
      <c r="F429" s="331">
        <f>F428*E429</f>
        <v>0</v>
      </c>
      <c r="G429" s="389"/>
      <c r="H429" s="389"/>
      <c r="I429" s="389">
        <v>6</v>
      </c>
      <c r="J429" s="389">
        <f>F429*I429</f>
        <v>0</v>
      </c>
      <c r="K429" s="389"/>
      <c r="L429" s="389"/>
      <c r="M429" s="389">
        <f>H429+J429+L429</f>
        <v>0</v>
      </c>
      <c r="N429" s="358"/>
    </row>
    <row r="430" spans="1:14" s="359" customFormat="1" hidden="1">
      <c r="A430" s="330"/>
      <c r="B430" s="328"/>
      <c r="C430" s="341" t="s">
        <v>81</v>
      </c>
      <c r="D430" s="336" t="s">
        <v>57</v>
      </c>
      <c r="E430" s="336">
        <v>2.3E-2</v>
      </c>
      <c r="F430" s="331">
        <f>F428*E430</f>
        <v>0</v>
      </c>
      <c r="G430" s="389"/>
      <c r="H430" s="389"/>
      <c r="I430" s="389"/>
      <c r="J430" s="389"/>
      <c r="K430" s="389">
        <v>3.2</v>
      </c>
      <c r="L430" s="389">
        <f>F430*K430</f>
        <v>0</v>
      </c>
      <c r="M430" s="389">
        <f>H430+J430+L430</f>
        <v>0</v>
      </c>
      <c r="N430" s="358"/>
    </row>
    <row r="431" spans="1:14" s="359" customFormat="1" hidden="1">
      <c r="A431" s="330"/>
      <c r="B431" s="328"/>
      <c r="C431" s="341" t="s">
        <v>210</v>
      </c>
      <c r="D431" s="336"/>
      <c r="E431" s="336"/>
      <c r="F431" s="331">
        <f>E431*2353</f>
        <v>0</v>
      </c>
      <c r="G431" s="389"/>
      <c r="H431" s="389"/>
      <c r="I431" s="389"/>
      <c r="J431" s="389"/>
      <c r="K431" s="389"/>
      <c r="L431" s="389"/>
      <c r="M431" s="389"/>
      <c r="N431" s="358"/>
    </row>
    <row r="432" spans="1:14" s="359" customFormat="1" hidden="1">
      <c r="A432" s="330"/>
      <c r="B432" s="417"/>
      <c r="C432" s="344" t="s">
        <v>1732</v>
      </c>
      <c r="D432" s="342" t="s">
        <v>78</v>
      </c>
      <c r="E432" s="342">
        <v>1.03</v>
      </c>
      <c r="F432" s="418">
        <f>F428*E432</f>
        <v>0</v>
      </c>
      <c r="G432" s="921">
        <v>12</v>
      </c>
      <c r="H432" s="392">
        <f>F432*G432</f>
        <v>0</v>
      </c>
      <c r="I432" s="392"/>
      <c r="J432" s="392"/>
      <c r="K432" s="392"/>
      <c r="L432" s="392"/>
      <c r="M432" s="392">
        <f>H432+J432+L432</f>
        <v>0</v>
      </c>
      <c r="N432" s="358"/>
    </row>
    <row r="433" spans="1:14" s="359" customFormat="1" ht="25.5" hidden="1" customHeight="1">
      <c r="A433" s="330">
        <v>7</v>
      </c>
      <c r="B433" s="328" t="s">
        <v>974</v>
      </c>
      <c r="C433" s="413" t="s">
        <v>992</v>
      </c>
      <c r="D433" s="330" t="s">
        <v>78</v>
      </c>
      <c r="E433" s="330"/>
      <c r="F433" s="384">
        <f>'დეფექტური აქტი'!E113</f>
        <v>0</v>
      </c>
      <c r="G433" s="389"/>
      <c r="H433" s="389"/>
      <c r="I433" s="389"/>
      <c r="J433" s="389"/>
      <c r="K433" s="389"/>
      <c r="L433" s="389"/>
      <c r="M433" s="389"/>
      <c r="N433" s="415"/>
    </row>
    <row r="434" spans="1:14" s="359" customFormat="1" hidden="1">
      <c r="A434" s="330"/>
      <c r="B434" s="416"/>
      <c r="C434" s="341" t="s">
        <v>209</v>
      </c>
      <c r="D434" s="336" t="s">
        <v>80</v>
      </c>
      <c r="E434" s="336">
        <v>0.81</v>
      </c>
      <c r="F434" s="331">
        <f>F433*E434</f>
        <v>0</v>
      </c>
      <c r="G434" s="389"/>
      <c r="H434" s="389"/>
      <c r="I434" s="389">
        <v>6</v>
      </c>
      <c r="J434" s="389">
        <f>F434*I434</f>
        <v>0</v>
      </c>
      <c r="K434" s="389"/>
      <c r="L434" s="389"/>
      <c r="M434" s="389">
        <f>H434+J434+L434</f>
        <v>0</v>
      </c>
      <c r="N434" s="415"/>
    </row>
    <row r="435" spans="1:14" s="359" customFormat="1" hidden="1">
      <c r="A435" s="330"/>
      <c r="B435" s="416"/>
      <c r="C435" s="341" t="s">
        <v>81</v>
      </c>
      <c r="D435" s="336" t="s">
        <v>57</v>
      </c>
      <c r="E435" s="336">
        <v>1.2999999999999999E-2</v>
      </c>
      <c r="F435" s="331">
        <f>F433*E435</f>
        <v>0</v>
      </c>
      <c r="G435" s="389"/>
      <c r="H435" s="389"/>
      <c r="I435" s="389"/>
      <c r="J435" s="389"/>
      <c r="K435" s="389">
        <v>3.2</v>
      </c>
      <c r="L435" s="389">
        <f>F435*K435</f>
        <v>0</v>
      </c>
      <c r="M435" s="389">
        <f>H435+J435+L435</f>
        <v>0</v>
      </c>
      <c r="N435" s="415"/>
    </row>
    <row r="436" spans="1:14" s="359" customFormat="1" hidden="1">
      <c r="A436" s="330"/>
      <c r="B436" s="416"/>
      <c r="C436" s="341" t="s">
        <v>210</v>
      </c>
      <c r="D436" s="336"/>
      <c r="E436" s="336"/>
      <c r="F436" s="331">
        <f>E436*2353</f>
        <v>0</v>
      </c>
      <c r="G436" s="389"/>
      <c r="H436" s="389"/>
      <c r="I436" s="389"/>
      <c r="J436" s="389"/>
      <c r="K436" s="389"/>
      <c r="L436" s="389"/>
      <c r="M436" s="389"/>
      <c r="N436" s="415"/>
    </row>
    <row r="437" spans="1:14" s="359" customFormat="1" hidden="1">
      <c r="A437" s="330"/>
      <c r="B437" s="416"/>
      <c r="C437" s="341" t="s">
        <v>975</v>
      </c>
      <c r="D437" s="336" t="s">
        <v>206</v>
      </c>
      <c r="E437" s="336">
        <v>8.5999999999999993E-2</v>
      </c>
      <c r="F437" s="331">
        <f>F433*E437</f>
        <v>0</v>
      </c>
      <c r="G437" s="389">
        <f>33/1.45</f>
        <v>22.758620689655174</v>
      </c>
      <c r="H437" s="389">
        <f>F437*G437</f>
        <v>0</v>
      </c>
      <c r="I437" s="389"/>
      <c r="J437" s="389"/>
      <c r="K437" s="389"/>
      <c r="L437" s="389"/>
      <c r="M437" s="389">
        <f>H437+J437+L437</f>
        <v>0</v>
      </c>
      <c r="N437" s="415"/>
    </row>
    <row r="438" spans="1:14" s="359" customFormat="1" hidden="1">
      <c r="A438" s="330"/>
      <c r="B438" s="416"/>
      <c r="C438" s="329" t="s">
        <v>345</v>
      </c>
      <c r="D438" s="330" t="s">
        <v>206</v>
      </c>
      <c r="E438" s="330">
        <v>5.0000000000000001E-4</v>
      </c>
      <c r="F438" s="331">
        <f>F433*E438</f>
        <v>0</v>
      </c>
      <c r="G438" s="389">
        <v>145</v>
      </c>
      <c r="H438" s="791">
        <f>G438*F438</f>
        <v>0</v>
      </c>
      <c r="I438" s="389"/>
      <c r="J438" s="389"/>
      <c r="K438" s="389"/>
      <c r="L438" s="389"/>
      <c r="M438" s="389">
        <f>H438+J438+L438</f>
        <v>0</v>
      </c>
      <c r="N438" s="415"/>
    </row>
    <row r="439" spans="1:14" s="359" customFormat="1" hidden="1">
      <c r="A439" s="419"/>
      <c r="B439" s="417"/>
      <c r="C439" s="344" t="s">
        <v>214</v>
      </c>
      <c r="D439" s="342" t="s">
        <v>57</v>
      </c>
      <c r="E439" s="342">
        <v>0.156</v>
      </c>
      <c r="F439" s="418">
        <f>F433*E439</f>
        <v>0</v>
      </c>
      <c r="G439" s="392">
        <v>3.2</v>
      </c>
      <c r="H439" s="392">
        <f>F439*G439</f>
        <v>0</v>
      </c>
      <c r="I439" s="392"/>
      <c r="J439" s="392"/>
      <c r="K439" s="392"/>
      <c r="L439" s="392"/>
      <c r="M439" s="392">
        <f>H439+J439+L439</f>
        <v>0</v>
      </c>
      <c r="N439" s="358"/>
    </row>
    <row r="440" spans="1:14" s="45" customFormat="1" ht="27" hidden="1">
      <c r="A440" s="47">
        <v>8</v>
      </c>
      <c r="B440" s="1433" t="s">
        <v>269</v>
      </c>
      <c r="C440" s="46" t="s">
        <v>966</v>
      </c>
      <c r="D440" s="47" t="s">
        <v>78</v>
      </c>
      <c r="E440" s="47"/>
      <c r="F440" s="384">
        <f>'დეფექტური აქტი'!E114</f>
        <v>0</v>
      </c>
      <c r="G440" s="385"/>
      <c r="H440" s="385"/>
      <c r="I440" s="385"/>
      <c r="J440" s="385"/>
      <c r="K440" s="385"/>
      <c r="L440" s="385"/>
      <c r="M440" s="385"/>
    </row>
    <row r="441" spans="1:14" s="45" customFormat="1" hidden="1">
      <c r="A441" s="41"/>
      <c r="B441" s="1434"/>
      <c r="C441" s="15" t="s">
        <v>209</v>
      </c>
      <c r="D441" s="41" t="s">
        <v>80</v>
      </c>
      <c r="E441" s="41">
        <v>0.85099999999999998</v>
      </c>
      <c r="F441" s="386">
        <f>F440*E441</f>
        <v>0</v>
      </c>
      <c r="G441" s="386"/>
      <c r="H441" s="386"/>
      <c r="I441" s="386">
        <v>6</v>
      </c>
      <c r="J441" s="386">
        <f>F441*I441</f>
        <v>0</v>
      </c>
      <c r="K441" s="386"/>
      <c r="L441" s="386"/>
      <c r="M441" s="386">
        <f>H441+J441+L441</f>
        <v>0</v>
      </c>
    </row>
    <row r="442" spans="1:14" s="45" customFormat="1" hidden="1">
      <c r="A442" s="41"/>
      <c r="B442" s="1434"/>
      <c r="C442" s="15" t="s">
        <v>81</v>
      </c>
      <c r="D442" s="83" t="s">
        <v>57</v>
      </c>
      <c r="E442" s="41">
        <v>4.8300000000000003E-2</v>
      </c>
      <c r="F442" s="386">
        <f>F440*E442</f>
        <v>0</v>
      </c>
      <c r="G442" s="386"/>
      <c r="H442" s="386"/>
      <c r="I442" s="386"/>
      <c r="J442" s="386"/>
      <c r="K442" s="386">
        <v>3.2</v>
      </c>
      <c r="L442" s="386">
        <f>F442*K442</f>
        <v>0</v>
      </c>
      <c r="M442" s="386">
        <f>H442+J442+L442</f>
        <v>0</v>
      </c>
    </row>
    <row r="443" spans="1:14" s="45" customFormat="1" hidden="1">
      <c r="A443" s="41"/>
      <c r="B443" s="1434"/>
      <c r="C443" s="15" t="s">
        <v>210</v>
      </c>
      <c r="D443" s="41"/>
      <c r="E443" s="41"/>
      <c r="F443" s="386"/>
      <c r="G443" s="386"/>
      <c r="H443" s="386"/>
      <c r="I443" s="386"/>
      <c r="J443" s="386"/>
      <c r="K443" s="386"/>
      <c r="L443" s="386"/>
      <c r="M443" s="386"/>
    </row>
    <row r="444" spans="1:14" s="45" customFormat="1" hidden="1">
      <c r="A444" s="41"/>
      <c r="B444" s="1434"/>
      <c r="C444" s="15" t="s">
        <v>270</v>
      </c>
      <c r="D444" s="41" t="s">
        <v>97</v>
      </c>
      <c r="E444" s="41">
        <v>0.23300000000000001</v>
      </c>
      <c r="F444" s="386">
        <f>F440*E444</f>
        <v>0</v>
      </c>
      <c r="G444" s="386">
        <v>2.4</v>
      </c>
      <c r="H444" s="386">
        <f>F444*G444</f>
        <v>0</v>
      </c>
      <c r="I444" s="386"/>
      <c r="J444" s="386"/>
      <c r="K444" s="386"/>
      <c r="L444" s="386"/>
      <c r="M444" s="386">
        <f>H444+J444+L444</f>
        <v>0</v>
      </c>
    </row>
    <row r="445" spans="1:14" s="45" customFormat="1" hidden="1">
      <c r="A445" s="41"/>
      <c r="B445" s="1434"/>
      <c r="C445" s="15" t="s">
        <v>967</v>
      </c>
      <c r="D445" s="41" t="s">
        <v>88</v>
      </c>
      <c r="E445" s="41">
        <v>6.1800000000000001E-2</v>
      </c>
      <c r="F445" s="386">
        <f>F440*E445</f>
        <v>0</v>
      </c>
      <c r="G445" s="439">
        <f>22/0.04</f>
        <v>550</v>
      </c>
      <c r="H445" s="386">
        <f>F445*G445</f>
        <v>0</v>
      </c>
      <c r="I445" s="386"/>
      <c r="J445" s="386"/>
      <c r="K445" s="386"/>
      <c r="L445" s="386"/>
      <c r="M445" s="386">
        <f>H445+J445+L445</f>
        <v>0</v>
      </c>
    </row>
    <row r="446" spans="1:14" s="45" customFormat="1" hidden="1">
      <c r="A446" s="41"/>
      <c r="B446" s="1434"/>
      <c r="C446" s="15" t="s">
        <v>267</v>
      </c>
      <c r="D446" s="43" t="s">
        <v>122</v>
      </c>
      <c r="E446" s="41">
        <v>1.07</v>
      </c>
      <c r="F446" s="386">
        <f>F440*E446</f>
        <v>0</v>
      </c>
      <c r="G446" s="386">
        <v>2</v>
      </c>
      <c r="H446" s="386">
        <f>F446*G446</f>
        <v>0</v>
      </c>
      <c r="I446" s="386"/>
      <c r="J446" s="386"/>
      <c r="K446" s="386"/>
      <c r="L446" s="386"/>
      <c r="M446" s="386">
        <f>H446+J446+L446</f>
        <v>0</v>
      </c>
    </row>
    <row r="447" spans="1:14" s="45" customFormat="1" ht="27" hidden="1">
      <c r="A447" s="47">
        <v>9</v>
      </c>
      <c r="B447" s="1433" t="s">
        <v>159</v>
      </c>
      <c r="C447" s="46" t="s">
        <v>160</v>
      </c>
      <c r="D447" s="47" t="s">
        <v>78</v>
      </c>
      <c r="E447" s="47"/>
      <c r="F447" s="384">
        <f>'დეფექტური აქტი'!E115</f>
        <v>0</v>
      </c>
      <c r="G447" s="385"/>
      <c r="H447" s="385"/>
      <c r="I447" s="385"/>
      <c r="J447" s="385"/>
      <c r="K447" s="385"/>
      <c r="L447" s="385"/>
      <c r="M447" s="385"/>
    </row>
    <row r="448" spans="1:14" s="45" customFormat="1" hidden="1">
      <c r="A448" s="41"/>
      <c r="B448" s="1434"/>
      <c r="C448" s="15" t="s">
        <v>209</v>
      </c>
      <c r="D448" s="41" t="s">
        <v>80</v>
      </c>
      <c r="E448" s="41">
        <v>0.99399999999999999</v>
      </c>
      <c r="F448" s="386">
        <f>F447*E448</f>
        <v>0</v>
      </c>
      <c r="G448" s="386"/>
      <c r="H448" s="386"/>
      <c r="I448" s="386">
        <v>6</v>
      </c>
      <c r="J448" s="386">
        <f>F448*I448</f>
        <v>0</v>
      </c>
      <c r="K448" s="386"/>
      <c r="L448" s="386"/>
      <c r="M448" s="386">
        <f>H448+J448+L448</f>
        <v>0</v>
      </c>
    </row>
    <row r="449" spans="1:13" s="45" customFormat="1" hidden="1">
      <c r="A449" s="41"/>
      <c r="B449" s="1434"/>
      <c r="C449" s="15" t="s">
        <v>81</v>
      </c>
      <c r="D449" s="83" t="s">
        <v>57</v>
      </c>
      <c r="E449" s="41">
        <v>2.5100000000000001E-2</v>
      </c>
      <c r="F449" s="386">
        <f>F447*E449</f>
        <v>0</v>
      </c>
      <c r="G449" s="386"/>
      <c r="H449" s="386"/>
      <c r="I449" s="386"/>
      <c r="J449" s="386"/>
      <c r="K449" s="386">
        <v>3.2</v>
      </c>
      <c r="L449" s="386">
        <f>F449*K449</f>
        <v>0</v>
      </c>
      <c r="M449" s="386">
        <f>H449+J449+L449</f>
        <v>0</v>
      </c>
    </row>
    <row r="450" spans="1:13" s="45" customFormat="1" hidden="1">
      <c r="A450" s="41"/>
      <c r="B450" s="1434"/>
      <c r="C450" s="15" t="s">
        <v>210</v>
      </c>
      <c r="D450" s="41"/>
      <c r="E450" s="41"/>
      <c r="F450" s="386"/>
      <c r="G450" s="386"/>
      <c r="H450" s="386"/>
      <c r="I450" s="599"/>
      <c r="J450" s="386"/>
      <c r="K450" s="386"/>
      <c r="L450" s="386"/>
      <c r="M450" s="386"/>
    </row>
    <row r="451" spans="1:13" s="45" customFormat="1" hidden="1">
      <c r="A451" s="41"/>
      <c r="B451" s="1434"/>
      <c r="C451" s="15" t="s">
        <v>161</v>
      </c>
      <c r="D451" s="41" t="s">
        <v>97</v>
      </c>
      <c r="E451" s="41">
        <v>0.5</v>
      </c>
      <c r="F451" s="386">
        <f>F447*E451</f>
        <v>0</v>
      </c>
      <c r="G451" s="386">
        <v>2.5</v>
      </c>
      <c r="H451" s="386">
        <f>F451*G451</f>
        <v>0</v>
      </c>
      <c r="I451" s="386"/>
      <c r="J451" s="386"/>
      <c r="K451" s="386"/>
      <c r="L451" s="386"/>
      <c r="M451" s="386">
        <f>H451+J451+L451</f>
        <v>0</v>
      </c>
    </row>
    <row r="452" spans="1:13" s="45" customFormat="1" hidden="1">
      <c r="A452" s="41"/>
      <c r="B452" s="1434"/>
      <c r="C452" s="15" t="s">
        <v>405</v>
      </c>
      <c r="D452" s="41" t="s">
        <v>78</v>
      </c>
      <c r="E452" s="41">
        <v>1.02</v>
      </c>
      <c r="F452" s="386">
        <f>F447*E452</f>
        <v>0</v>
      </c>
      <c r="G452" s="386">
        <v>30</v>
      </c>
      <c r="H452" s="386">
        <f>F452*G452</f>
        <v>0</v>
      </c>
      <c r="I452" s="386"/>
      <c r="J452" s="386"/>
      <c r="K452" s="386"/>
      <c r="L452" s="386"/>
      <c r="M452" s="386">
        <f>H452+J452+L452</f>
        <v>0</v>
      </c>
    </row>
    <row r="453" spans="1:13" s="45" customFormat="1" ht="15.75" hidden="1" customHeight="1">
      <c r="A453" s="41"/>
      <c r="B453" s="1434"/>
      <c r="C453" s="15" t="s">
        <v>1296</v>
      </c>
      <c r="D453" s="41" t="s">
        <v>122</v>
      </c>
      <c r="E453" s="41">
        <v>1.07</v>
      </c>
      <c r="F453" s="386">
        <f>F447*E453</f>
        <v>0</v>
      </c>
      <c r="G453" s="386">
        <v>2.8</v>
      </c>
      <c r="H453" s="386">
        <f>F453*G453</f>
        <v>0</v>
      </c>
      <c r="I453" s="386"/>
      <c r="J453" s="386"/>
      <c r="K453" s="386"/>
      <c r="L453" s="386"/>
      <c r="M453" s="386">
        <f>H453+J453+L453</f>
        <v>0</v>
      </c>
    </row>
    <row r="454" spans="1:13" s="45" customFormat="1" hidden="1">
      <c r="A454" s="41"/>
      <c r="B454" s="1434"/>
      <c r="C454" s="15" t="s">
        <v>214</v>
      </c>
      <c r="D454" s="86" t="s">
        <v>57</v>
      </c>
      <c r="E454" s="41">
        <v>0.182</v>
      </c>
      <c r="F454" s="386">
        <f>F447*E454</f>
        <v>0</v>
      </c>
      <c r="G454" s="386">
        <v>3.2</v>
      </c>
      <c r="H454" s="386">
        <f>F454*G454</f>
        <v>0</v>
      </c>
      <c r="I454" s="386"/>
      <c r="J454" s="386"/>
      <c r="K454" s="386"/>
      <c r="L454" s="386"/>
      <c r="M454" s="386">
        <f>H454+J454+L454</f>
        <v>0</v>
      </c>
    </row>
    <row r="455" spans="1:13" s="45" customFormat="1" ht="27" hidden="1">
      <c r="A455" s="47">
        <v>10</v>
      </c>
      <c r="B455" s="1495" t="s">
        <v>715</v>
      </c>
      <c r="C455" s="46" t="s">
        <v>162</v>
      </c>
      <c r="D455" s="47" t="s">
        <v>78</v>
      </c>
      <c r="E455" s="47"/>
      <c r="F455" s="384">
        <f>'დეფექტური აქტი'!E116</f>
        <v>0</v>
      </c>
      <c r="G455" s="385"/>
      <c r="H455" s="385"/>
      <c r="I455" s="385"/>
      <c r="J455" s="385"/>
      <c r="K455" s="385"/>
      <c r="L455" s="385"/>
      <c r="M455" s="385"/>
    </row>
    <row r="456" spans="1:13" s="45" customFormat="1" hidden="1">
      <c r="A456" s="41"/>
      <c r="B456" s="1496"/>
      <c r="C456" s="15" t="s">
        <v>209</v>
      </c>
      <c r="D456" s="41" t="s">
        <v>80</v>
      </c>
      <c r="E456" s="41">
        <v>0.749</v>
      </c>
      <c r="F456" s="386">
        <f>F455*E456</f>
        <v>0</v>
      </c>
      <c r="G456" s="386"/>
      <c r="H456" s="386"/>
      <c r="I456" s="386">
        <v>6</v>
      </c>
      <c r="J456" s="386">
        <f>F456*I456</f>
        <v>0</v>
      </c>
      <c r="K456" s="386"/>
      <c r="L456" s="386"/>
      <c r="M456" s="386">
        <f>H456+J456+L456</f>
        <v>0</v>
      </c>
    </row>
    <row r="457" spans="1:13" s="45" customFormat="1" hidden="1">
      <c r="A457" s="41"/>
      <c r="B457" s="1496"/>
      <c r="C457" s="15" t="s">
        <v>210</v>
      </c>
      <c r="D457" s="41"/>
      <c r="E457" s="41"/>
      <c r="F457" s="386"/>
      <c r="G457" s="386"/>
      <c r="H457" s="386"/>
      <c r="I457" s="599"/>
      <c r="J457" s="386"/>
      <c r="K457" s="386"/>
      <c r="L457" s="386"/>
      <c r="M457" s="386"/>
    </row>
    <row r="458" spans="1:13" s="45" customFormat="1" hidden="1">
      <c r="A458" s="41"/>
      <c r="B458" s="1496"/>
      <c r="C458" s="66" t="s">
        <v>163</v>
      </c>
      <c r="D458" s="41" t="s">
        <v>97</v>
      </c>
      <c r="E458" s="41">
        <v>0.318</v>
      </c>
      <c r="F458" s="386">
        <f>F455*E458</f>
        <v>0</v>
      </c>
      <c r="G458" s="386">
        <v>5.0999999999999996</v>
      </c>
      <c r="H458" s="386">
        <f>F458*G458</f>
        <v>0</v>
      </c>
      <c r="I458" s="386"/>
      <c r="J458" s="386"/>
      <c r="K458" s="386"/>
      <c r="L458" s="386"/>
      <c r="M458" s="386">
        <f>H458+J458+L458</f>
        <v>0</v>
      </c>
    </row>
    <row r="459" spans="1:13" s="45" customFormat="1" hidden="1">
      <c r="A459" s="41"/>
      <c r="B459" s="1496"/>
      <c r="C459" s="66" t="s">
        <v>144</v>
      </c>
      <c r="D459" s="86" t="s">
        <v>57</v>
      </c>
      <c r="E459" s="41">
        <v>2E-3</v>
      </c>
      <c r="F459" s="386">
        <f>F455*E459</f>
        <v>0</v>
      </c>
      <c r="G459" s="386">
        <v>3.2</v>
      </c>
      <c r="H459" s="386">
        <f>F459*G459</f>
        <v>0</v>
      </c>
      <c r="I459" s="386"/>
      <c r="J459" s="386"/>
      <c r="K459" s="386"/>
      <c r="L459" s="386"/>
      <c r="M459" s="386">
        <f>H459+J459+L459</f>
        <v>0</v>
      </c>
    </row>
    <row r="460" spans="1:13" s="45" customFormat="1" hidden="1">
      <c r="A460" s="47">
        <v>11</v>
      </c>
      <c r="B460" s="1509" t="s">
        <v>715</v>
      </c>
      <c r="C460" s="162" t="s">
        <v>621</v>
      </c>
      <c r="D460" s="47" t="s">
        <v>78</v>
      </c>
      <c r="E460" s="47"/>
      <c r="F460" s="384">
        <f>'დეფექტური აქტი'!E117</f>
        <v>0</v>
      </c>
      <c r="G460" s="385"/>
      <c r="H460" s="385"/>
      <c r="I460" s="385"/>
      <c r="J460" s="385"/>
      <c r="K460" s="385"/>
      <c r="L460" s="385"/>
      <c r="M460" s="385"/>
    </row>
    <row r="461" spans="1:13" s="45" customFormat="1" hidden="1">
      <c r="A461" s="41"/>
      <c r="B461" s="1496"/>
      <c r="C461" s="15" t="s">
        <v>209</v>
      </c>
      <c r="D461" s="41" t="s">
        <v>80</v>
      </c>
      <c r="E461" s="41">
        <v>0.749</v>
      </c>
      <c r="F461" s="386">
        <f>F460*E461</f>
        <v>0</v>
      </c>
      <c r="G461" s="386"/>
      <c r="H461" s="386"/>
      <c r="I461" s="386">
        <v>6</v>
      </c>
      <c r="J461" s="386">
        <f>F461*I461</f>
        <v>0</v>
      </c>
      <c r="K461" s="386"/>
      <c r="L461" s="386"/>
      <c r="M461" s="386">
        <f>H461+J461+L461</f>
        <v>0</v>
      </c>
    </row>
    <row r="462" spans="1:13" s="45" customFormat="1" hidden="1">
      <c r="A462" s="41"/>
      <c r="B462" s="1496"/>
      <c r="C462" s="15" t="s">
        <v>210</v>
      </c>
      <c r="D462" s="41"/>
      <c r="E462" s="41"/>
      <c r="F462" s="386"/>
      <c r="G462" s="386"/>
      <c r="H462" s="386"/>
      <c r="I462" s="599"/>
      <c r="J462" s="386"/>
      <c r="K462" s="386"/>
      <c r="L462" s="386"/>
      <c r="M462" s="386"/>
    </row>
    <row r="463" spans="1:13" s="45" customFormat="1" hidden="1">
      <c r="A463" s="41"/>
      <c r="B463" s="1496"/>
      <c r="C463" s="66" t="s">
        <v>163</v>
      </c>
      <c r="D463" s="41" t="s">
        <v>97</v>
      </c>
      <c r="E463" s="41">
        <v>0.21199999999999999</v>
      </c>
      <c r="F463" s="386">
        <f>F460*E463</f>
        <v>0</v>
      </c>
      <c r="G463" s="386">
        <v>5.0999999999999996</v>
      </c>
      <c r="H463" s="386">
        <f>F463*G463</f>
        <v>0</v>
      </c>
      <c r="I463" s="386"/>
      <c r="J463" s="386"/>
      <c r="K463" s="386"/>
      <c r="L463" s="386"/>
      <c r="M463" s="386">
        <f>H463+J463+L463</f>
        <v>0</v>
      </c>
    </row>
    <row r="464" spans="1:13" s="45" customFormat="1" ht="15.75" hidden="1" customHeight="1">
      <c r="A464" s="43"/>
      <c r="B464" s="1510"/>
      <c r="C464" s="67" t="s">
        <v>144</v>
      </c>
      <c r="D464" s="86" t="s">
        <v>57</v>
      </c>
      <c r="E464" s="43">
        <v>2E-3</v>
      </c>
      <c r="F464" s="387">
        <f>F460*E464</f>
        <v>0</v>
      </c>
      <c r="G464" s="387">
        <v>3.2</v>
      </c>
      <c r="H464" s="387">
        <f>F464*G464</f>
        <v>0</v>
      </c>
      <c r="I464" s="387"/>
      <c r="J464" s="387"/>
      <c r="K464" s="387"/>
      <c r="L464" s="387"/>
      <c r="M464" s="387">
        <f>H464+J464+L464</f>
        <v>0</v>
      </c>
    </row>
    <row r="465" spans="1:14" s="361" customFormat="1" ht="27" hidden="1">
      <c r="A465" s="330">
        <v>12</v>
      </c>
      <c r="B465" s="328" t="s">
        <v>366</v>
      </c>
      <c r="C465" s="329" t="s">
        <v>919</v>
      </c>
      <c r="D465" s="330" t="s">
        <v>78</v>
      </c>
      <c r="E465" s="330"/>
      <c r="F465" s="388">
        <f>'დეფექტური აქტი'!E118</f>
        <v>0</v>
      </c>
      <c r="G465" s="389"/>
      <c r="H465" s="389"/>
      <c r="I465" s="389"/>
      <c r="J465" s="389"/>
      <c r="K465" s="389"/>
      <c r="L465" s="389"/>
      <c r="M465" s="389"/>
      <c r="N465" s="348"/>
    </row>
    <row r="466" spans="1:14" s="361" customFormat="1" ht="14.25" hidden="1" customHeight="1">
      <c r="A466" s="330"/>
      <c r="B466" s="328"/>
      <c r="C466" s="341" t="s">
        <v>209</v>
      </c>
      <c r="D466" s="336" t="s">
        <v>80</v>
      </c>
      <c r="E466" s="336">
        <v>0.49199999999999999</v>
      </c>
      <c r="F466" s="389">
        <f>F465*E466</f>
        <v>0</v>
      </c>
      <c r="G466" s="389"/>
      <c r="H466" s="389"/>
      <c r="I466" s="389">
        <v>6</v>
      </c>
      <c r="J466" s="389">
        <f>F466*I466</f>
        <v>0</v>
      </c>
      <c r="K466" s="389"/>
      <c r="L466" s="389"/>
      <c r="M466" s="389">
        <f>H466+J466+L466</f>
        <v>0</v>
      </c>
      <c r="N466" s="348"/>
    </row>
    <row r="467" spans="1:14" s="361" customFormat="1" hidden="1">
      <c r="A467" s="330"/>
      <c r="B467" s="328"/>
      <c r="C467" s="341" t="s">
        <v>81</v>
      </c>
      <c r="D467" s="336" t="s">
        <v>57</v>
      </c>
      <c r="E467" s="336">
        <v>8.0000000000000002E-3</v>
      </c>
      <c r="F467" s="389">
        <f>F465*E467</f>
        <v>0</v>
      </c>
      <c r="G467" s="389"/>
      <c r="H467" s="389"/>
      <c r="I467" s="389"/>
      <c r="J467" s="389"/>
      <c r="K467" s="389">
        <v>3.2</v>
      </c>
      <c r="L467" s="389">
        <f>F467*K467</f>
        <v>0</v>
      </c>
      <c r="M467" s="389">
        <f>H467+J467+L467</f>
        <v>0</v>
      </c>
      <c r="N467" s="348"/>
    </row>
    <row r="468" spans="1:14" s="361" customFormat="1" hidden="1">
      <c r="A468" s="330"/>
      <c r="B468" s="328"/>
      <c r="C468" s="341" t="s">
        <v>210</v>
      </c>
      <c r="D468" s="336"/>
      <c r="E468" s="336"/>
      <c r="F468" s="389"/>
      <c r="G468" s="389"/>
      <c r="H468" s="389"/>
      <c r="I468" s="389"/>
      <c r="J468" s="389"/>
      <c r="K468" s="389"/>
      <c r="L468" s="389"/>
      <c r="M468" s="389"/>
      <c r="N468" s="348"/>
    </row>
    <row r="469" spans="1:14" s="361" customFormat="1" hidden="1">
      <c r="A469" s="330"/>
      <c r="B469" s="328"/>
      <c r="C469" s="341" t="s">
        <v>186</v>
      </c>
      <c r="D469" s="336" t="s">
        <v>97</v>
      </c>
      <c r="E469" s="336">
        <v>0.25</v>
      </c>
      <c r="F469" s="389">
        <f>F465*E469</f>
        <v>0</v>
      </c>
      <c r="G469" s="389">
        <v>5.0999999999999996</v>
      </c>
      <c r="H469" s="389">
        <f>F469*G469</f>
        <v>0</v>
      </c>
      <c r="I469" s="389"/>
      <c r="J469" s="389"/>
      <c r="K469" s="389"/>
      <c r="L469" s="389"/>
      <c r="M469" s="389">
        <f>H469+J469+L469</f>
        <v>0</v>
      </c>
      <c r="N469" s="348"/>
    </row>
    <row r="470" spans="1:14" s="361" customFormat="1" hidden="1">
      <c r="A470" s="330"/>
      <c r="B470" s="328"/>
      <c r="C470" s="341" t="s">
        <v>134</v>
      </c>
      <c r="D470" s="336" t="s">
        <v>97</v>
      </c>
      <c r="E470" s="336">
        <v>0.54</v>
      </c>
      <c r="F470" s="389">
        <f>F465*E470</f>
        <v>0</v>
      </c>
      <c r="G470" s="389">
        <v>0.5</v>
      </c>
      <c r="H470" s="389">
        <f>F470*G470</f>
        <v>0</v>
      </c>
      <c r="I470" s="389"/>
      <c r="J470" s="389"/>
      <c r="K470" s="389"/>
      <c r="L470" s="389"/>
      <c r="M470" s="389">
        <f>H470+J470+L470</f>
        <v>0</v>
      </c>
      <c r="N470" s="348"/>
    </row>
    <row r="471" spans="1:14" s="361" customFormat="1" hidden="1">
      <c r="A471" s="330"/>
      <c r="B471" s="328"/>
      <c r="C471" s="341" t="s">
        <v>138</v>
      </c>
      <c r="D471" s="336" t="s">
        <v>97</v>
      </c>
      <c r="E471" s="336">
        <v>0.11600000000000001</v>
      </c>
      <c r="F471" s="389">
        <f>F465*E471</f>
        <v>0</v>
      </c>
      <c r="G471" s="389">
        <v>3.5</v>
      </c>
      <c r="H471" s="389">
        <f>F471*G471</f>
        <v>0</v>
      </c>
      <c r="I471" s="389"/>
      <c r="J471" s="389"/>
      <c r="K471" s="389"/>
      <c r="L471" s="389"/>
      <c r="M471" s="389">
        <f>H471+J471+L471</f>
        <v>0</v>
      </c>
      <c r="N471" s="348"/>
    </row>
    <row r="472" spans="1:14" s="361" customFormat="1" hidden="1">
      <c r="A472" s="330"/>
      <c r="B472" s="328"/>
      <c r="C472" s="341" t="s">
        <v>214</v>
      </c>
      <c r="D472" s="336" t="s">
        <v>57</v>
      </c>
      <c r="E472" s="336">
        <v>7.0000000000000001E-3</v>
      </c>
      <c r="F472" s="389">
        <f>F465*E472</f>
        <v>0</v>
      </c>
      <c r="G472" s="389">
        <v>3.2</v>
      </c>
      <c r="H472" s="389">
        <f>F472*G472</f>
        <v>0</v>
      </c>
      <c r="I472" s="389"/>
      <c r="J472" s="389"/>
      <c r="K472" s="389"/>
      <c r="L472" s="389"/>
      <c r="M472" s="389">
        <f>H472+J472+L472</f>
        <v>0</v>
      </c>
      <c r="N472" s="348"/>
    </row>
    <row r="473" spans="1:14" s="45" customFormat="1" hidden="1">
      <c r="A473" s="47">
        <v>13</v>
      </c>
      <c r="B473" s="1433" t="s">
        <v>164</v>
      </c>
      <c r="C473" s="46" t="s">
        <v>165</v>
      </c>
      <c r="D473" s="47" t="s">
        <v>78</v>
      </c>
      <c r="E473" s="47"/>
      <c r="F473" s="384">
        <f>'დეფექტური აქტი'!E119</f>
        <v>0</v>
      </c>
      <c r="G473" s="385"/>
      <c r="H473" s="385"/>
      <c r="I473" s="385"/>
      <c r="J473" s="385"/>
      <c r="K473" s="385"/>
      <c r="L473" s="385"/>
      <c r="M473" s="385"/>
    </row>
    <row r="474" spans="1:14" s="45" customFormat="1" hidden="1">
      <c r="A474" s="41"/>
      <c r="B474" s="1434"/>
      <c r="C474" s="15" t="s">
        <v>209</v>
      </c>
      <c r="D474" s="41" t="s">
        <v>80</v>
      </c>
      <c r="E474" s="41">
        <v>8.2199999999999995E-2</v>
      </c>
      <c r="F474" s="386">
        <f>F473*E474</f>
        <v>0</v>
      </c>
      <c r="G474" s="386"/>
      <c r="H474" s="386"/>
      <c r="I474" s="386">
        <v>6</v>
      </c>
      <c r="J474" s="386">
        <f>F474*I474</f>
        <v>0</v>
      </c>
      <c r="K474" s="386"/>
      <c r="L474" s="386"/>
      <c r="M474" s="386">
        <f>H474+J474+L474</f>
        <v>0</v>
      </c>
    </row>
    <row r="475" spans="1:14" s="45" customFormat="1" hidden="1">
      <c r="A475" s="41"/>
      <c r="B475" s="1434"/>
      <c r="C475" s="15" t="s">
        <v>81</v>
      </c>
      <c r="D475" s="83" t="s">
        <v>57</v>
      </c>
      <c r="E475" s="41">
        <v>1.7600000000000001E-2</v>
      </c>
      <c r="F475" s="386">
        <f>F473*E475</f>
        <v>0</v>
      </c>
      <c r="G475" s="386"/>
      <c r="H475" s="386"/>
      <c r="I475" s="386"/>
      <c r="J475" s="386"/>
      <c r="K475" s="386">
        <v>3.2</v>
      </c>
      <c r="L475" s="386">
        <f>F475*K475</f>
        <v>0</v>
      </c>
      <c r="M475" s="386">
        <f>H475+J475+L475</f>
        <v>0</v>
      </c>
    </row>
    <row r="476" spans="1:14" s="45" customFormat="1" hidden="1">
      <c r="A476" s="41"/>
      <c r="B476" s="1434"/>
      <c r="C476" s="15" t="s">
        <v>210</v>
      </c>
      <c r="D476" s="41"/>
      <c r="E476" s="41"/>
      <c r="F476" s="386"/>
      <c r="G476" s="386"/>
      <c r="H476" s="386"/>
      <c r="I476" s="386"/>
      <c r="J476" s="386"/>
      <c r="K476" s="386"/>
      <c r="L476" s="386"/>
      <c r="M476" s="386"/>
    </row>
    <row r="477" spans="1:14" s="45" customFormat="1" hidden="1">
      <c r="A477" s="41"/>
      <c r="B477" s="1434"/>
      <c r="C477" s="15" t="s">
        <v>166</v>
      </c>
      <c r="D477" s="43" t="s">
        <v>78</v>
      </c>
      <c r="E477" s="41">
        <v>1.02</v>
      </c>
      <c r="F477" s="386">
        <f>F473*E477</f>
        <v>0</v>
      </c>
      <c r="G477" s="386">
        <v>9.91</v>
      </c>
      <c r="H477" s="386">
        <f>F477*G477</f>
        <v>0</v>
      </c>
      <c r="I477" s="386"/>
      <c r="J477" s="386"/>
      <c r="K477" s="386"/>
      <c r="L477" s="386"/>
      <c r="M477" s="386">
        <f>H477+J477+L477</f>
        <v>0</v>
      </c>
    </row>
    <row r="478" spans="1:14" s="45" customFormat="1" ht="40.5" hidden="1">
      <c r="A478" s="47">
        <v>14</v>
      </c>
      <c r="B478" s="1433" t="s">
        <v>159</v>
      </c>
      <c r="C478" s="46" t="s">
        <v>994</v>
      </c>
      <c r="D478" s="47" t="s">
        <v>78</v>
      </c>
      <c r="E478" s="47"/>
      <c r="F478" s="384">
        <f>'დეფექტური აქტი'!E120</f>
        <v>0</v>
      </c>
      <c r="G478" s="385"/>
      <c r="H478" s="385"/>
      <c r="I478" s="385"/>
      <c r="J478" s="385"/>
      <c r="K478" s="385"/>
      <c r="L478" s="385"/>
      <c r="M478" s="385"/>
    </row>
    <row r="479" spans="1:14" s="45" customFormat="1" hidden="1">
      <c r="A479" s="41"/>
      <c r="B479" s="1434"/>
      <c r="C479" s="15" t="s">
        <v>209</v>
      </c>
      <c r="D479" s="41" t="s">
        <v>80</v>
      </c>
      <c r="E479" s="41">
        <v>0.99399999999999999</v>
      </c>
      <c r="F479" s="386">
        <f>F478*E479</f>
        <v>0</v>
      </c>
      <c r="G479" s="386"/>
      <c r="H479" s="386"/>
      <c r="I479" s="386">
        <v>6</v>
      </c>
      <c r="J479" s="386">
        <f>F479*I479</f>
        <v>0</v>
      </c>
      <c r="K479" s="386"/>
      <c r="L479" s="386"/>
      <c r="M479" s="386">
        <f>H479+J479+L479</f>
        <v>0</v>
      </c>
    </row>
    <row r="480" spans="1:14" s="45" customFormat="1" hidden="1">
      <c r="A480" s="41"/>
      <c r="B480" s="1434"/>
      <c r="C480" s="15" t="s">
        <v>81</v>
      </c>
      <c r="D480" s="83" t="s">
        <v>57</v>
      </c>
      <c r="E480" s="41">
        <v>2.5100000000000001E-2</v>
      </c>
      <c r="F480" s="386">
        <f>F478*E480</f>
        <v>0</v>
      </c>
      <c r="G480" s="386"/>
      <c r="H480" s="386"/>
      <c r="I480" s="386"/>
      <c r="J480" s="386"/>
      <c r="K480" s="386">
        <v>3.2</v>
      </c>
      <c r="L480" s="386">
        <f>F480*K480</f>
        <v>0</v>
      </c>
      <c r="M480" s="386">
        <f>H480+J480+L480</f>
        <v>0</v>
      </c>
    </row>
    <row r="481" spans="1:13" s="45" customFormat="1" hidden="1">
      <c r="A481" s="41"/>
      <c r="B481" s="1434"/>
      <c r="C481" s="15" t="s">
        <v>210</v>
      </c>
      <c r="D481" s="41"/>
      <c r="E481" s="41"/>
      <c r="F481" s="386"/>
      <c r="G481" s="386"/>
      <c r="H481" s="386"/>
      <c r="I481" s="386"/>
      <c r="J481" s="386"/>
      <c r="K481" s="386"/>
      <c r="L481" s="386"/>
      <c r="M481" s="386"/>
    </row>
    <row r="482" spans="1:13" s="45" customFormat="1" hidden="1">
      <c r="A482" s="41"/>
      <c r="B482" s="1434"/>
      <c r="C482" s="15" t="s">
        <v>161</v>
      </c>
      <c r="D482" s="41" t="s">
        <v>97</v>
      </c>
      <c r="E482" s="41">
        <v>0.5</v>
      </c>
      <c r="F482" s="386">
        <f>F478*E482</f>
        <v>0</v>
      </c>
      <c r="G482" s="386">
        <v>2.5</v>
      </c>
      <c r="H482" s="386">
        <f>F482*G482</f>
        <v>0</v>
      </c>
      <c r="I482" s="386"/>
      <c r="J482" s="386"/>
      <c r="K482" s="386"/>
      <c r="L482" s="386"/>
      <c r="M482" s="386">
        <f>H482+J482+L482</f>
        <v>0</v>
      </c>
    </row>
    <row r="483" spans="1:13" s="45" customFormat="1" hidden="1">
      <c r="A483" s="41"/>
      <c r="B483" s="1434"/>
      <c r="C483" s="15" t="s">
        <v>945</v>
      </c>
      <c r="D483" s="41" t="s">
        <v>78</v>
      </c>
      <c r="E483" s="41">
        <v>1.02</v>
      </c>
      <c r="F483" s="386">
        <f>F478*E483</f>
        <v>0</v>
      </c>
      <c r="G483" s="386">
        <v>18</v>
      </c>
      <c r="H483" s="386">
        <f>F483*G483</f>
        <v>0</v>
      </c>
      <c r="I483" s="386"/>
      <c r="J483" s="386"/>
      <c r="K483" s="386"/>
      <c r="L483" s="386"/>
      <c r="M483" s="386">
        <f>H483+J483+L483</f>
        <v>0</v>
      </c>
    </row>
    <row r="484" spans="1:13" s="45" customFormat="1" hidden="1">
      <c r="A484" s="41"/>
      <c r="B484" s="1434"/>
      <c r="C484" s="15" t="s">
        <v>984</v>
      </c>
      <c r="D484" s="41" t="s">
        <v>122</v>
      </c>
      <c r="E484" s="41">
        <v>1.07</v>
      </c>
      <c r="F484" s="386">
        <f>F478*E484</f>
        <v>0</v>
      </c>
      <c r="G484" s="386">
        <v>2</v>
      </c>
      <c r="H484" s="386">
        <f>F484*G484</f>
        <v>0</v>
      </c>
      <c r="I484" s="386"/>
      <c r="J484" s="386"/>
      <c r="K484" s="386"/>
      <c r="L484" s="386"/>
      <c r="M484" s="386">
        <f>H484+J484+L484</f>
        <v>0</v>
      </c>
    </row>
    <row r="485" spans="1:13" s="45" customFormat="1" hidden="1">
      <c r="A485" s="41"/>
      <c r="B485" s="1434"/>
      <c r="C485" s="15" t="s">
        <v>214</v>
      </c>
      <c r="D485" s="86" t="s">
        <v>57</v>
      </c>
      <c r="E485" s="41">
        <v>0.182</v>
      </c>
      <c r="F485" s="386">
        <f>F478*E485</f>
        <v>0</v>
      </c>
      <c r="G485" s="386">
        <v>3.2</v>
      </c>
      <c r="H485" s="386">
        <f>F485*G485</f>
        <v>0</v>
      </c>
      <c r="I485" s="386"/>
      <c r="J485" s="386"/>
      <c r="K485" s="386"/>
      <c r="L485" s="386"/>
      <c r="M485" s="386">
        <f>H485+J485+L485</f>
        <v>0</v>
      </c>
    </row>
    <row r="486" spans="1:13" s="45" customFormat="1" ht="27" hidden="1">
      <c r="A486" s="47">
        <v>15</v>
      </c>
      <c r="B486" s="1433" t="s">
        <v>268</v>
      </c>
      <c r="C486" s="26" t="s">
        <v>1739</v>
      </c>
      <c r="D486" s="47" t="s">
        <v>78</v>
      </c>
      <c r="E486" s="47"/>
      <c r="F486" s="384">
        <f>'დეფექტური აქტი'!E121</f>
        <v>0</v>
      </c>
      <c r="G486" s="385"/>
      <c r="H486" s="385"/>
      <c r="I486" s="385"/>
      <c r="J486" s="385"/>
      <c r="K486" s="385"/>
      <c r="L486" s="385"/>
      <c r="M486" s="385"/>
    </row>
    <row r="487" spans="1:13" s="45" customFormat="1" hidden="1">
      <c r="A487" s="41"/>
      <c r="B487" s="1434"/>
      <c r="C487" s="15" t="s">
        <v>209</v>
      </c>
      <c r="D487" s="41" t="s">
        <v>80</v>
      </c>
      <c r="E487" s="41">
        <v>0.255</v>
      </c>
      <c r="F487" s="386">
        <f>F486*E487</f>
        <v>0</v>
      </c>
      <c r="G487" s="386"/>
      <c r="H487" s="386"/>
      <c r="I487" s="386">
        <v>6</v>
      </c>
      <c r="J487" s="386">
        <f>F487*I487</f>
        <v>0</v>
      </c>
      <c r="K487" s="386"/>
      <c r="L487" s="386"/>
      <c r="M487" s="386">
        <f>H487+J487+L487</f>
        <v>0</v>
      </c>
    </row>
    <row r="488" spans="1:13" s="45" customFormat="1" hidden="1">
      <c r="A488" s="41"/>
      <c r="B488" s="1434"/>
      <c r="C488" s="15" t="s">
        <v>133</v>
      </c>
      <c r="D488" s="83" t="s">
        <v>57</v>
      </c>
      <c r="E488" s="41">
        <v>9.9000000000000008E-3</v>
      </c>
      <c r="F488" s="386">
        <f>F486*E488</f>
        <v>0</v>
      </c>
      <c r="G488" s="386"/>
      <c r="H488" s="386"/>
      <c r="I488" s="386"/>
      <c r="J488" s="386"/>
      <c r="K488" s="386">
        <v>3.2</v>
      </c>
      <c r="L488" s="386">
        <f>F488*K488</f>
        <v>0</v>
      </c>
      <c r="M488" s="386">
        <f>H488+J488+L488</f>
        <v>0</v>
      </c>
    </row>
    <row r="489" spans="1:13" s="45" customFormat="1" hidden="1">
      <c r="A489" s="41"/>
      <c r="B489" s="1434"/>
      <c r="C489" s="15" t="s">
        <v>210</v>
      </c>
      <c r="D489" s="41"/>
      <c r="E489" s="41"/>
      <c r="F489" s="386"/>
      <c r="G489" s="386"/>
      <c r="H489" s="386"/>
      <c r="I489" s="386"/>
      <c r="J489" s="386"/>
      <c r="K489" s="386"/>
      <c r="L489" s="386"/>
      <c r="M489" s="386"/>
    </row>
    <row r="490" spans="1:13" s="45" customFormat="1" hidden="1">
      <c r="A490" s="41"/>
      <c r="B490" s="1434"/>
      <c r="C490" s="15" t="s">
        <v>1740</v>
      </c>
      <c r="D490" s="41" t="s">
        <v>88</v>
      </c>
      <c r="E490" s="1090">
        <f>0.04*0.06*2*1.03</f>
        <v>4.9439999999999996E-3</v>
      </c>
      <c r="F490" s="386">
        <f>F486*E490</f>
        <v>0</v>
      </c>
      <c r="G490" s="386">
        <v>490</v>
      </c>
      <c r="H490" s="386">
        <f>F490*G490</f>
        <v>0</v>
      </c>
      <c r="I490" s="386"/>
      <c r="J490" s="386"/>
      <c r="K490" s="386"/>
      <c r="L490" s="386"/>
      <c r="M490" s="386">
        <f>H490+J490+L490</f>
        <v>0</v>
      </c>
    </row>
    <row r="491" spans="1:13" s="45" customFormat="1" hidden="1">
      <c r="A491" s="41"/>
      <c r="B491" s="1434"/>
      <c r="C491" s="15" t="s">
        <v>214</v>
      </c>
      <c r="D491" s="86" t="s">
        <v>57</v>
      </c>
      <c r="E491" s="45">
        <v>6.1000000000000004E-3</v>
      </c>
      <c r="F491" s="386">
        <f>F486*E490</f>
        <v>0</v>
      </c>
      <c r="G491" s="386">
        <v>3.2</v>
      </c>
      <c r="H491" s="386">
        <f>F491*G491</f>
        <v>0</v>
      </c>
      <c r="I491" s="386"/>
      <c r="J491" s="386"/>
      <c r="K491" s="386"/>
      <c r="L491" s="386"/>
      <c r="M491" s="386">
        <f>H491+J491+L491</f>
        <v>0</v>
      </c>
    </row>
    <row r="492" spans="1:13" s="45" customFormat="1" ht="27" hidden="1">
      <c r="A492" s="47">
        <v>16</v>
      </c>
      <c r="B492" s="1433" t="s">
        <v>269</v>
      </c>
      <c r="C492" s="46" t="s">
        <v>417</v>
      </c>
      <c r="D492" s="47" t="s">
        <v>78</v>
      </c>
      <c r="E492" s="47"/>
      <c r="F492" s="384">
        <f>'დეფექტური აქტი'!E122</f>
        <v>0</v>
      </c>
      <c r="G492" s="385"/>
      <c r="H492" s="385"/>
      <c r="I492" s="385"/>
      <c r="J492" s="385"/>
      <c r="K492" s="385"/>
      <c r="L492" s="385"/>
      <c r="M492" s="385"/>
    </row>
    <row r="493" spans="1:13" s="45" customFormat="1" hidden="1">
      <c r="A493" s="41"/>
      <c r="B493" s="1434"/>
      <c r="C493" s="15" t="s">
        <v>209</v>
      </c>
      <c r="D493" s="41" t="s">
        <v>80</v>
      </c>
      <c r="E493" s="41">
        <v>0.85099999999999998</v>
      </c>
      <c r="F493" s="386">
        <f>F492*E493</f>
        <v>0</v>
      </c>
      <c r="G493" s="386"/>
      <c r="H493" s="386"/>
      <c r="I493" s="386">
        <v>6</v>
      </c>
      <c r="J493" s="386">
        <f>F493*I493</f>
        <v>0</v>
      </c>
      <c r="K493" s="386"/>
      <c r="L493" s="386"/>
      <c r="M493" s="386">
        <f>H493+J493+L493</f>
        <v>0</v>
      </c>
    </row>
    <row r="494" spans="1:13" s="45" customFormat="1" hidden="1">
      <c r="A494" s="41"/>
      <c r="B494" s="1434"/>
      <c r="C494" s="15" t="s">
        <v>81</v>
      </c>
      <c r="D494" s="83" t="s">
        <v>57</v>
      </c>
      <c r="E494" s="41">
        <v>4.8300000000000003E-2</v>
      </c>
      <c r="F494" s="386">
        <f>F492*E494</f>
        <v>0</v>
      </c>
      <c r="G494" s="386"/>
      <c r="H494" s="386"/>
      <c r="I494" s="386"/>
      <c r="J494" s="386"/>
      <c r="K494" s="386">
        <v>3.2</v>
      </c>
      <c r="L494" s="386">
        <f>F494*K494</f>
        <v>0</v>
      </c>
      <c r="M494" s="386">
        <f>H494+J494+L494</f>
        <v>0</v>
      </c>
    </row>
    <row r="495" spans="1:13" s="45" customFormat="1" hidden="1">
      <c r="A495" s="41"/>
      <c r="B495" s="1434"/>
      <c r="C495" s="15" t="s">
        <v>210</v>
      </c>
      <c r="D495" s="41"/>
      <c r="E495" s="41"/>
      <c r="F495" s="386"/>
      <c r="G495" s="386"/>
      <c r="H495" s="386"/>
      <c r="I495" s="386"/>
      <c r="J495" s="386"/>
      <c r="K495" s="386"/>
      <c r="L495" s="386"/>
      <c r="M495" s="386"/>
    </row>
    <row r="496" spans="1:13" s="45" customFormat="1" hidden="1">
      <c r="A496" s="41"/>
      <c r="B496" s="1434"/>
      <c r="C496" s="15" t="s">
        <v>270</v>
      </c>
      <c r="D496" s="41" t="s">
        <v>97</v>
      </c>
      <c r="E496" s="41">
        <v>0.23300000000000001</v>
      </c>
      <c r="F496" s="386">
        <f>F492*E496</f>
        <v>0</v>
      </c>
      <c r="G496" s="386">
        <v>2.5</v>
      </c>
      <c r="H496" s="386">
        <f>F496*G496</f>
        <v>0</v>
      </c>
      <c r="I496" s="386"/>
      <c r="J496" s="386"/>
      <c r="K496" s="386"/>
      <c r="L496" s="386"/>
      <c r="M496" s="386">
        <f>H496+J496+L496</f>
        <v>0</v>
      </c>
    </row>
    <row r="497" spans="1:13" s="45" customFormat="1" hidden="1">
      <c r="A497" s="41"/>
      <c r="B497" s="1434"/>
      <c r="C497" s="15" t="s">
        <v>376</v>
      </c>
      <c r="D497" s="41" t="s">
        <v>88</v>
      </c>
      <c r="E497" s="41">
        <v>4.1200000000000001E-2</v>
      </c>
      <c r="F497" s="386">
        <f>F492*E497</f>
        <v>0</v>
      </c>
      <c r="G497" s="386">
        <v>550</v>
      </c>
      <c r="H497" s="386">
        <f>F497*G497</f>
        <v>0</v>
      </c>
      <c r="I497" s="386"/>
      <c r="J497" s="386"/>
      <c r="K497" s="386"/>
      <c r="L497" s="386"/>
      <c r="M497" s="386">
        <f>H497+J497+L497</f>
        <v>0</v>
      </c>
    </row>
    <row r="498" spans="1:13" s="45" customFormat="1" hidden="1">
      <c r="A498" s="41"/>
      <c r="B498" s="1434"/>
      <c r="C498" s="15" t="s">
        <v>267</v>
      </c>
      <c r="D498" s="43" t="s">
        <v>122</v>
      </c>
      <c r="E498" s="41">
        <v>1.07</v>
      </c>
      <c r="F498" s="386">
        <v>0</v>
      </c>
      <c r="G498" s="386">
        <v>2</v>
      </c>
      <c r="H498" s="386">
        <f>F498*G498</f>
        <v>0</v>
      </c>
      <c r="I498" s="386"/>
      <c r="J498" s="386"/>
      <c r="K498" s="386"/>
      <c r="L498" s="386"/>
      <c r="M498" s="386">
        <f>H498+J498+L498</f>
        <v>0</v>
      </c>
    </row>
    <row r="499" spans="1:13" s="45" customFormat="1" hidden="1">
      <c r="A499" s="47">
        <v>17</v>
      </c>
      <c r="B499" s="1433" t="s">
        <v>271</v>
      </c>
      <c r="C499" s="46" t="s">
        <v>272</v>
      </c>
      <c r="D499" s="47" t="s">
        <v>122</v>
      </c>
      <c r="E499" s="47"/>
      <c r="F499" s="384">
        <f>'დეფექტური აქტი'!E123</f>
        <v>0</v>
      </c>
      <c r="G499" s="385"/>
      <c r="H499" s="385"/>
      <c r="I499" s="385"/>
      <c r="J499" s="385"/>
      <c r="K499" s="385"/>
      <c r="L499" s="385"/>
      <c r="M499" s="385"/>
    </row>
    <row r="500" spans="1:13" s="45" customFormat="1" hidden="1">
      <c r="A500" s="41"/>
      <c r="B500" s="1434"/>
      <c r="C500" s="15" t="s">
        <v>209</v>
      </c>
      <c r="D500" s="41" t="s">
        <v>80</v>
      </c>
      <c r="E500" s="41">
        <v>0.15</v>
      </c>
      <c r="F500" s="386">
        <f>F499*E500</f>
        <v>0</v>
      </c>
      <c r="G500" s="386"/>
      <c r="H500" s="386"/>
      <c r="I500" s="386">
        <v>6</v>
      </c>
      <c r="J500" s="386">
        <f>F500*I500</f>
        <v>0</v>
      </c>
      <c r="K500" s="386"/>
      <c r="L500" s="386"/>
      <c r="M500" s="386">
        <f>H500+J500+L500</f>
        <v>0</v>
      </c>
    </row>
    <row r="501" spans="1:13" s="45" customFormat="1" hidden="1">
      <c r="A501" s="41"/>
      <c r="B501" s="1434"/>
      <c r="C501" s="15" t="s">
        <v>81</v>
      </c>
      <c r="D501" s="83" t="s">
        <v>57</v>
      </c>
      <c r="E501" s="41">
        <v>2E-3</v>
      </c>
      <c r="F501" s="386">
        <f>F499*E501</f>
        <v>0</v>
      </c>
      <c r="G501" s="386"/>
      <c r="H501" s="386"/>
      <c r="I501" s="386"/>
      <c r="J501" s="386"/>
      <c r="K501" s="386">
        <v>3.2</v>
      </c>
      <c r="L501" s="386">
        <f>F501*K501</f>
        <v>0</v>
      </c>
      <c r="M501" s="386">
        <f>H501+J501+L501</f>
        <v>0</v>
      </c>
    </row>
    <row r="502" spans="1:13" s="45" customFormat="1" hidden="1">
      <c r="A502" s="41"/>
      <c r="B502" s="1434"/>
      <c r="C502" s="15" t="s">
        <v>210</v>
      </c>
      <c r="D502" s="41"/>
      <c r="E502" s="41"/>
      <c r="F502" s="386"/>
      <c r="G502" s="386"/>
      <c r="H502" s="386"/>
      <c r="I502" s="386"/>
      <c r="J502" s="386"/>
      <c r="K502" s="386"/>
      <c r="L502" s="386"/>
      <c r="M502" s="386"/>
    </row>
    <row r="503" spans="1:13" s="45" customFormat="1" hidden="1">
      <c r="A503" s="41"/>
      <c r="B503" s="1434"/>
      <c r="C503" s="15" t="s">
        <v>267</v>
      </c>
      <c r="D503" s="41" t="s">
        <v>122</v>
      </c>
      <c r="E503" s="41">
        <v>1.01</v>
      </c>
      <c r="F503" s="386">
        <f>F499*E503</f>
        <v>0</v>
      </c>
      <c r="G503" s="439">
        <v>3.2</v>
      </c>
      <c r="H503" s="386">
        <f>F503*G503</f>
        <v>0</v>
      </c>
      <c r="I503" s="386"/>
      <c r="J503" s="386"/>
      <c r="K503" s="386"/>
      <c r="L503" s="386"/>
      <c r="M503" s="386">
        <f>H503+J503+L503</f>
        <v>0</v>
      </c>
    </row>
    <row r="504" spans="1:13" s="45" customFormat="1" hidden="1">
      <c r="A504" s="41"/>
      <c r="B504" s="1434"/>
      <c r="C504" s="15" t="s">
        <v>214</v>
      </c>
      <c r="D504" s="86" t="s">
        <v>57</v>
      </c>
      <c r="E504" s="41">
        <v>2E-3</v>
      </c>
      <c r="F504" s="386">
        <f>F499*E504</f>
        <v>0</v>
      </c>
      <c r="G504" s="386">
        <v>3.2</v>
      </c>
      <c r="H504" s="386">
        <f>F504*G504</f>
        <v>0</v>
      </c>
      <c r="I504" s="386"/>
      <c r="J504" s="386"/>
      <c r="K504" s="386"/>
      <c r="L504" s="386"/>
      <c r="M504" s="386">
        <f>H504+J504+L504</f>
        <v>0</v>
      </c>
    </row>
    <row r="505" spans="1:13" s="45" customFormat="1" hidden="1">
      <c r="A505" s="47">
        <v>18</v>
      </c>
      <c r="B505" s="1505" t="s">
        <v>273</v>
      </c>
      <c r="C505" s="46" t="s">
        <v>51</v>
      </c>
      <c r="D505" s="47" t="s">
        <v>78</v>
      </c>
      <c r="E505" s="47"/>
      <c r="F505" s="384">
        <f>'დეფექტური აქტი'!E124*0.1</f>
        <v>0</v>
      </c>
      <c r="G505" s="385"/>
      <c r="H505" s="385"/>
      <c r="I505" s="385"/>
      <c r="J505" s="385"/>
      <c r="K505" s="385"/>
      <c r="L505" s="385"/>
      <c r="M505" s="385"/>
    </row>
    <row r="506" spans="1:13" s="45" customFormat="1" hidden="1">
      <c r="A506" s="41"/>
      <c r="B506" s="1506"/>
      <c r="C506" s="15" t="s">
        <v>209</v>
      </c>
      <c r="D506" s="41" t="s">
        <v>80</v>
      </c>
      <c r="E506" s="41">
        <v>0.11799999999999999</v>
      </c>
      <c r="F506" s="386">
        <f>F505*E506</f>
        <v>0</v>
      </c>
      <c r="G506" s="386"/>
      <c r="H506" s="386"/>
      <c r="I506" s="386">
        <v>6</v>
      </c>
      <c r="J506" s="386">
        <f>F506*I506</f>
        <v>0</v>
      </c>
      <c r="K506" s="386"/>
      <c r="L506" s="386"/>
      <c r="M506" s="386">
        <f>H506+J506+L506</f>
        <v>0</v>
      </c>
    </row>
    <row r="507" spans="1:13" s="45" customFormat="1" hidden="1">
      <c r="A507" s="41"/>
      <c r="B507" s="1506"/>
      <c r="C507" s="15" t="s">
        <v>210</v>
      </c>
      <c r="D507" s="41"/>
      <c r="E507" s="41"/>
      <c r="F507" s="386"/>
      <c r="G507" s="386"/>
      <c r="H507" s="386"/>
      <c r="I507" s="599"/>
      <c r="J507" s="386"/>
      <c r="K507" s="386"/>
      <c r="L507" s="386"/>
      <c r="M507" s="386"/>
    </row>
    <row r="508" spans="1:13" s="45" customFormat="1" hidden="1">
      <c r="A508" s="41"/>
      <c r="B508" s="1506"/>
      <c r="C508" s="66" t="s">
        <v>274</v>
      </c>
      <c r="D508" s="41" t="s">
        <v>97</v>
      </c>
      <c r="E508" s="41">
        <v>0.20799999999999999</v>
      </c>
      <c r="F508" s="386">
        <f>F505*E508</f>
        <v>0</v>
      </c>
      <c r="G508" s="386">
        <v>5.0999999999999996</v>
      </c>
      <c r="H508" s="386">
        <f>F508*G508</f>
        <v>0</v>
      </c>
      <c r="I508" s="386"/>
      <c r="J508" s="386"/>
      <c r="K508" s="386"/>
      <c r="L508" s="386"/>
      <c r="M508" s="386">
        <f>H508+J508+L508</f>
        <v>0</v>
      </c>
    </row>
    <row r="509" spans="1:13" s="45" customFormat="1" hidden="1">
      <c r="A509" s="43"/>
      <c r="B509" s="1508"/>
      <c r="C509" s="67" t="s">
        <v>144</v>
      </c>
      <c r="D509" s="86" t="s">
        <v>57</v>
      </c>
      <c r="E509" s="43">
        <v>1.1999999999999999E-3</v>
      </c>
      <c r="F509" s="387">
        <f>F505*E509</f>
        <v>0</v>
      </c>
      <c r="G509" s="387">
        <v>3.2</v>
      </c>
      <c r="H509" s="387">
        <f>F509*G509</f>
        <v>0</v>
      </c>
      <c r="I509" s="387"/>
      <c r="J509" s="387"/>
      <c r="K509" s="387"/>
      <c r="L509" s="387"/>
      <c r="M509" s="387">
        <f>H509+J509+L509</f>
        <v>0</v>
      </c>
    </row>
    <row r="510" spans="1:13" s="88" customFormat="1" ht="27" hidden="1">
      <c r="A510" s="140">
        <v>19</v>
      </c>
      <c r="B510" s="1446" t="s">
        <v>343</v>
      </c>
      <c r="C510" s="151" t="s">
        <v>377</v>
      </c>
      <c r="D510" s="140" t="s">
        <v>78</v>
      </c>
      <c r="E510" s="140"/>
      <c r="F510" s="384">
        <f>'დეფექტური აქტი'!E125</f>
        <v>0</v>
      </c>
      <c r="G510" s="422"/>
      <c r="H510" s="422"/>
      <c r="I510" s="422"/>
      <c r="J510" s="422"/>
      <c r="K510" s="422"/>
      <c r="L510" s="422"/>
      <c r="M510" s="422"/>
    </row>
    <row r="511" spans="1:13" s="88" customFormat="1" hidden="1">
      <c r="A511" s="83"/>
      <c r="B511" s="1432"/>
      <c r="C511" s="223" t="s">
        <v>346</v>
      </c>
      <c r="D511" s="211" t="s">
        <v>80</v>
      </c>
      <c r="E511" s="83">
        <v>3.198</v>
      </c>
      <c r="F511" s="386">
        <f>F510*E511</f>
        <v>0</v>
      </c>
      <c r="G511" s="225"/>
      <c r="H511" s="225"/>
      <c r="I511" s="386">
        <v>4.5999999999999996</v>
      </c>
      <c r="J511" s="225">
        <f>F511*I511</f>
        <v>0</v>
      </c>
      <c r="K511" s="225"/>
      <c r="L511" s="225"/>
      <c r="M511" s="225">
        <f>H511+J511+L511</f>
        <v>0</v>
      </c>
    </row>
    <row r="512" spans="1:13" s="88" customFormat="1" hidden="1">
      <c r="A512" s="83"/>
      <c r="B512" s="1432"/>
      <c r="C512" s="223" t="s">
        <v>347</v>
      </c>
      <c r="D512" s="83" t="s">
        <v>57</v>
      </c>
      <c r="E512" s="211">
        <v>3.5200000000000002E-2</v>
      </c>
      <c r="F512" s="386">
        <f>F510*E512</f>
        <v>0</v>
      </c>
      <c r="G512" s="225"/>
      <c r="H512" s="225"/>
      <c r="I512" s="225"/>
      <c r="J512" s="225"/>
      <c r="K512" s="225">
        <v>3.2</v>
      </c>
      <c r="L512" s="225">
        <f>F512*K512</f>
        <v>0</v>
      </c>
      <c r="M512" s="225">
        <f>H512+J512+L512</f>
        <v>0</v>
      </c>
    </row>
    <row r="513" spans="1:14" s="88" customFormat="1" hidden="1">
      <c r="A513" s="83"/>
      <c r="B513" s="1432"/>
      <c r="C513" s="15" t="s">
        <v>210</v>
      </c>
      <c r="D513" s="211"/>
      <c r="E513" s="211"/>
      <c r="F513" s="386"/>
      <c r="G513" s="225"/>
      <c r="H513" s="225"/>
      <c r="I513" s="225"/>
      <c r="J513" s="225"/>
      <c r="K513" s="225"/>
      <c r="L513" s="225"/>
      <c r="M513" s="225"/>
    </row>
    <row r="514" spans="1:14" s="88" customFormat="1" hidden="1">
      <c r="A514" s="83"/>
      <c r="B514" s="1432"/>
      <c r="C514" s="223" t="s">
        <v>198</v>
      </c>
      <c r="D514" s="211" t="s">
        <v>88</v>
      </c>
      <c r="E514" s="211">
        <v>1.6000000000000001E-3</v>
      </c>
      <c r="F514" s="386">
        <f>F510*E514</f>
        <v>0</v>
      </c>
      <c r="G514" s="225">
        <v>85</v>
      </c>
      <c r="H514" s="225">
        <f>F514*G514</f>
        <v>0</v>
      </c>
      <c r="I514" s="225"/>
      <c r="J514" s="225"/>
      <c r="K514" s="225"/>
      <c r="L514" s="225"/>
      <c r="M514" s="225">
        <f>H514+J514+L514</f>
        <v>0</v>
      </c>
    </row>
    <row r="515" spans="1:14" s="88" customFormat="1" ht="27" hidden="1">
      <c r="A515" s="83"/>
      <c r="B515" s="1432"/>
      <c r="C515" s="436" t="s">
        <v>348</v>
      </c>
      <c r="D515" s="211" t="s">
        <v>88</v>
      </c>
      <c r="E515" s="211">
        <v>5.0999999999999997E-2</v>
      </c>
      <c r="F515" s="386">
        <f>F510*E515</f>
        <v>0</v>
      </c>
      <c r="G515" s="600">
        <v>150</v>
      </c>
      <c r="H515" s="225">
        <f>F515*G515</f>
        <v>0</v>
      </c>
      <c r="I515" s="225"/>
      <c r="J515" s="225"/>
      <c r="K515" s="225"/>
      <c r="L515" s="225"/>
      <c r="M515" s="225">
        <f>H515+J515+L515</f>
        <v>0</v>
      </c>
    </row>
    <row r="516" spans="1:14" s="88" customFormat="1" hidden="1">
      <c r="A516" s="83"/>
      <c r="B516" s="1432"/>
      <c r="C516" s="223" t="s">
        <v>344</v>
      </c>
      <c r="D516" s="211" t="s">
        <v>206</v>
      </c>
      <c r="E516" s="211">
        <v>1.8599999999999998E-2</v>
      </c>
      <c r="F516" s="386">
        <f>F510*E516</f>
        <v>0</v>
      </c>
      <c r="G516" s="225">
        <f>33/1.45</f>
        <v>22.758620689655174</v>
      </c>
      <c r="H516" s="225">
        <f>F516*G516</f>
        <v>0</v>
      </c>
      <c r="I516" s="225"/>
      <c r="J516" s="225"/>
      <c r="K516" s="225"/>
      <c r="L516" s="225"/>
      <c r="M516" s="225">
        <f>H516+J516+L516</f>
        <v>0</v>
      </c>
    </row>
    <row r="517" spans="1:14" s="88" customFormat="1" hidden="1">
      <c r="A517" s="83"/>
      <c r="B517" s="1432"/>
      <c r="C517" s="223" t="s">
        <v>345</v>
      </c>
      <c r="D517" s="211" t="s">
        <v>206</v>
      </c>
      <c r="E517" s="211">
        <v>5.0000000000000001E-4</v>
      </c>
      <c r="F517" s="386">
        <f>F510*E517</f>
        <v>0</v>
      </c>
      <c r="G517" s="225">
        <v>145</v>
      </c>
      <c r="H517" s="225">
        <f>F517*G517</f>
        <v>0</v>
      </c>
      <c r="I517" s="225"/>
      <c r="J517" s="225"/>
      <c r="K517" s="225"/>
      <c r="L517" s="225"/>
      <c r="M517" s="225">
        <f>H517+J517+L517</f>
        <v>0</v>
      </c>
    </row>
    <row r="518" spans="1:14" s="88" customFormat="1" hidden="1">
      <c r="A518" s="86"/>
      <c r="B518" s="1437"/>
      <c r="C518" s="232" t="s">
        <v>214</v>
      </c>
      <c r="D518" s="86" t="s">
        <v>57</v>
      </c>
      <c r="E518" s="230">
        <v>0.20300000000000001</v>
      </c>
      <c r="F518" s="387">
        <f>F510*E518</f>
        <v>0</v>
      </c>
      <c r="G518" s="393">
        <v>3.2</v>
      </c>
      <c r="H518" s="393">
        <f>F518*G518</f>
        <v>0</v>
      </c>
      <c r="I518" s="393"/>
      <c r="J518" s="393"/>
      <c r="K518" s="393"/>
      <c r="L518" s="393"/>
      <c r="M518" s="393">
        <f>H518+J518+L518</f>
        <v>0</v>
      </c>
    </row>
    <row r="519" spans="1:14" s="359" customFormat="1">
      <c r="A519" s="1071">
        <v>20</v>
      </c>
      <c r="B519" s="328" t="s">
        <v>1468</v>
      </c>
      <c r="C519" s="888" t="s">
        <v>1489</v>
      </c>
      <c r="D519" s="330" t="s">
        <v>78</v>
      </c>
      <c r="E519" s="330"/>
      <c r="F519" s="384">
        <f>'დეფექტური აქტი'!E126</f>
        <v>74.48</v>
      </c>
      <c r="G519" s="330"/>
      <c r="H519" s="331"/>
      <c r="I519" s="414"/>
      <c r="J519" s="331"/>
      <c r="K519" s="414"/>
      <c r="L519" s="331"/>
      <c r="M519" s="331"/>
      <c r="N519" s="358"/>
    </row>
    <row r="520" spans="1:14" s="359" customFormat="1" ht="15" customHeight="1">
      <c r="A520" s="1071"/>
      <c r="B520" s="328"/>
      <c r="C520" s="335" t="s">
        <v>209</v>
      </c>
      <c r="D520" s="336" t="s">
        <v>80</v>
      </c>
      <c r="E520" s="336">
        <v>1.08</v>
      </c>
      <c r="F520" s="331">
        <f>F519*E520</f>
        <v>80.438400000000016</v>
      </c>
      <c r="G520" s="330"/>
      <c r="H520" s="331"/>
      <c r="I520" s="414"/>
      <c r="J520" s="331"/>
      <c r="K520" s="414"/>
      <c r="L520" s="331"/>
      <c r="M520" s="331"/>
      <c r="N520" s="358"/>
    </row>
    <row r="521" spans="1:14" s="359" customFormat="1">
      <c r="A521" s="1071"/>
      <c r="B521" s="328"/>
      <c r="C521" s="335" t="s">
        <v>81</v>
      </c>
      <c r="D521" s="336" t="s">
        <v>57</v>
      </c>
      <c r="E521" s="336">
        <v>4.5199999999999997E-2</v>
      </c>
      <c r="F521" s="331">
        <f>F519*E521</f>
        <v>3.3664960000000002</v>
      </c>
      <c r="G521" s="330"/>
      <c r="H521" s="331"/>
      <c r="I521" s="414"/>
      <c r="J521" s="331"/>
      <c r="K521" s="414"/>
      <c r="L521" s="331"/>
      <c r="M521" s="331"/>
      <c r="N521" s="358"/>
    </row>
    <row r="522" spans="1:14" s="359" customFormat="1" hidden="1">
      <c r="A522" s="336"/>
      <c r="B522" s="328"/>
      <c r="C522" s="335" t="s">
        <v>210</v>
      </c>
      <c r="D522" s="336"/>
      <c r="E522" s="336"/>
      <c r="F522" s="331">
        <f>E522*2353</f>
        <v>0</v>
      </c>
      <c r="G522" s="330"/>
      <c r="H522" s="331"/>
      <c r="I522" s="414"/>
      <c r="J522" s="331"/>
      <c r="K522" s="414"/>
      <c r="L522" s="331"/>
      <c r="M522" s="331"/>
      <c r="N522" s="358"/>
    </row>
    <row r="523" spans="1:14" s="359" customFormat="1">
      <c r="A523" s="1071"/>
      <c r="B523" s="328"/>
      <c r="C523" s="335" t="s">
        <v>198</v>
      </c>
      <c r="D523" s="336" t="s">
        <v>88</v>
      </c>
      <c r="E523" s="336">
        <v>2.23E-2</v>
      </c>
      <c r="F523" s="331">
        <f>F519*E523</f>
        <v>1.6609040000000002</v>
      </c>
      <c r="G523" s="350"/>
      <c r="H523" s="331"/>
      <c r="I523" s="414"/>
      <c r="J523" s="331"/>
      <c r="K523" s="414"/>
      <c r="L523" s="331"/>
      <c r="M523" s="331"/>
      <c r="N523" s="358"/>
    </row>
    <row r="524" spans="1:14" s="359" customFormat="1">
      <c r="A524" s="1071"/>
      <c r="B524" s="328"/>
      <c r="C524" s="335" t="s">
        <v>1601</v>
      </c>
      <c r="D524" s="336" t="s">
        <v>78</v>
      </c>
      <c r="E524" s="336">
        <v>1.02</v>
      </c>
      <c r="F524" s="331">
        <f>F519*E524</f>
        <v>75.9696</v>
      </c>
      <c r="G524" s="350"/>
      <c r="H524" s="331"/>
      <c r="I524" s="414"/>
      <c r="J524" s="331"/>
      <c r="K524" s="414"/>
      <c r="L524" s="331"/>
      <c r="M524" s="331"/>
      <c r="N524" s="358"/>
    </row>
    <row r="525" spans="1:14" s="359" customFormat="1">
      <c r="A525" s="1071"/>
      <c r="B525" s="328"/>
      <c r="C525" s="335" t="s">
        <v>214</v>
      </c>
      <c r="D525" s="336" t="s">
        <v>57</v>
      </c>
      <c r="E525" s="336">
        <v>4.6600000000000003E-2</v>
      </c>
      <c r="F525" s="331">
        <f>F519*E525</f>
        <v>3.4707680000000005</v>
      </c>
      <c r="G525" s="350"/>
      <c r="H525" s="331"/>
      <c r="I525" s="414"/>
      <c r="J525" s="331"/>
      <c r="K525" s="414"/>
      <c r="L525" s="331"/>
      <c r="M525" s="331"/>
      <c r="N525" s="358"/>
    </row>
    <row r="526" spans="1:14" s="45" customFormat="1" ht="27.75" hidden="1" customHeight="1">
      <c r="A526" s="47">
        <v>21</v>
      </c>
      <c r="B526" s="1433" t="s">
        <v>1560</v>
      </c>
      <c r="C526" s="46" t="s">
        <v>1100</v>
      </c>
      <c r="D526" s="47" t="s">
        <v>78</v>
      </c>
      <c r="E526" s="47"/>
      <c r="F526" s="384">
        <f>'დეფექტური აქტი'!E127</f>
        <v>0</v>
      </c>
      <c r="G526" s="385"/>
      <c r="H526" s="385"/>
      <c r="I526" s="385"/>
      <c r="J526" s="385"/>
      <c r="K526" s="385"/>
      <c r="L526" s="385"/>
      <c r="M526" s="385"/>
    </row>
    <row r="527" spans="1:14" s="45" customFormat="1" hidden="1">
      <c r="A527" s="41"/>
      <c r="B527" s="1434"/>
      <c r="C527" s="15" t="s">
        <v>209</v>
      </c>
      <c r="D527" s="41" t="s">
        <v>80</v>
      </c>
      <c r="E527" s="41">
        <v>2.8</v>
      </c>
      <c r="F527" s="386">
        <f>F526*E527</f>
        <v>0</v>
      </c>
      <c r="G527" s="386"/>
      <c r="H527" s="386"/>
      <c r="I527" s="386">
        <v>4.5999999999999996</v>
      </c>
      <c r="J527" s="386">
        <f>F527*I527</f>
        <v>0</v>
      </c>
      <c r="K527" s="386"/>
      <c r="L527" s="386"/>
      <c r="M527" s="386">
        <f>H527+J527+L527</f>
        <v>0</v>
      </c>
    </row>
    <row r="528" spans="1:14" s="45" customFormat="1" hidden="1">
      <c r="A528" s="41"/>
      <c r="B528" s="1434"/>
      <c r="C528" s="15" t="s">
        <v>81</v>
      </c>
      <c r="D528" s="83" t="s">
        <v>57</v>
      </c>
      <c r="E528" s="41">
        <v>3.5000000000000003E-2</v>
      </c>
      <c r="F528" s="386">
        <f>F526*E528</f>
        <v>0</v>
      </c>
      <c r="G528" s="386"/>
      <c r="H528" s="386"/>
      <c r="I528" s="386"/>
      <c r="J528" s="386"/>
      <c r="K528" s="386">
        <v>3.2</v>
      </c>
      <c r="L528" s="386">
        <f>F528*K528</f>
        <v>0</v>
      </c>
      <c r="M528" s="386">
        <f>H528+J528+L528</f>
        <v>0</v>
      </c>
    </row>
    <row r="529" spans="1:14" s="45" customFormat="1" hidden="1">
      <c r="A529" s="41"/>
      <c r="B529" s="1434"/>
      <c r="C529" s="15" t="s">
        <v>210</v>
      </c>
      <c r="D529" s="41"/>
      <c r="E529" s="41"/>
      <c r="F529" s="386"/>
      <c r="G529" s="386"/>
      <c r="H529" s="386"/>
      <c r="I529" s="386"/>
      <c r="J529" s="386"/>
      <c r="K529" s="386"/>
      <c r="L529" s="386"/>
      <c r="M529" s="386"/>
    </row>
    <row r="530" spans="1:14" s="45" customFormat="1" hidden="1">
      <c r="A530" s="41"/>
      <c r="B530" s="1434"/>
      <c r="C530" s="15" t="s">
        <v>276</v>
      </c>
      <c r="D530" s="41" t="s">
        <v>78</v>
      </c>
      <c r="E530" s="41">
        <v>1</v>
      </c>
      <c r="F530" s="386">
        <f>F526*E530</f>
        <v>0</v>
      </c>
      <c r="G530" s="386">
        <v>26</v>
      </c>
      <c r="H530" s="386">
        <f>F530*G530</f>
        <v>0</v>
      </c>
      <c r="I530" s="386"/>
      <c r="J530" s="386"/>
      <c r="K530" s="386"/>
      <c r="L530" s="386"/>
      <c r="M530" s="386">
        <f>H530+J530+L530</f>
        <v>0</v>
      </c>
    </row>
    <row r="531" spans="1:14" s="45" customFormat="1" hidden="1">
      <c r="A531" s="41"/>
      <c r="B531" s="1434"/>
      <c r="C531" s="15" t="s">
        <v>1101</v>
      </c>
      <c r="D531" s="41" t="s">
        <v>97</v>
      </c>
      <c r="E531" s="41">
        <v>5</v>
      </c>
      <c r="F531" s="386">
        <f>F526*E531</f>
        <v>0</v>
      </c>
      <c r="G531" s="386">
        <v>0.34</v>
      </c>
      <c r="H531" s="386">
        <f>F531*G531</f>
        <v>0</v>
      </c>
      <c r="I531" s="386"/>
      <c r="J531" s="386"/>
      <c r="K531" s="386"/>
      <c r="L531" s="386"/>
      <c r="M531" s="386">
        <f>H531+J531+L531</f>
        <v>0</v>
      </c>
    </row>
    <row r="532" spans="1:14" s="45" customFormat="1" hidden="1">
      <c r="A532" s="41"/>
      <c r="B532" s="1434"/>
      <c r="C532" s="15" t="s">
        <v>214</v>
      </c>
      <c r="D532" s="86" t="s">
        <v>57</v>
      </c>
      <c r="E532" s="41">
        <v>4.2999999999999997E-2</v>
      </c>
      <c r="F532" s="386">
        <f>F526*E532</f>
        <v>0</v>
      </c>
      <c r="G532" s="386">
        <v>3.2</v>
      </c>
      <c r="H532" s="386">
        <f>F532*G532</f>
        <v>0</v>
      </c>
      <c r="I532" s="386"/>
      <c r="J532" s="386"/>
      <c r="K532" s="386"/>
      <c r="L532" s="386"/>
      <c r="M532" s="386">
        <f>H532+J532+L532</f>
        <v>0</v>
      </c>
    </row>
    <row r="533" spans="1:14" s="45" customFormat="1" ht="27" hidden="1">
      <c r="A533" s="47">
        <v>22</v>
      </c>
      <c r="B533" s="1503" t="s">
        <v>277</v>
      </c>
      <c r="C533" s="46" t="s">
        <v>1039</v>
      </c>
      <c r="D533" s="47" t="s">
        <v>122</v>
      </c>
      <c r="E533" s="47"/>
      <c r="F533" s="384">
        <f>'დეფექტური აქტი'!E128</f>
        <v>0</v>
      </c>
      <c r="G533" s="385"/>
      <c r="H533" s="385"/>
      <c r="I533" s="385"/>
      <c r="J533" s="385"/>
      <c r="K533" s="385"/>
      <c r="L533" s="385"/>
      <c r="M533" s="385"/>
    </row>
    <row r="534" spans="1:14" s="45" customFormat="1" hidden="1">
      <c r="A534" s="41"/>
      <c r="B534" s="1504"/>
      <c r="C534" s="15" t="s">
        <v>209</v>
      </c>
      <c r="D534" s="41" t="s">
        <v>80</v>
      </c>
      <c r="E534" s="41">
        <v>0.26900000000000002</v>
      </c>
      <c r="F534" s="386">
        <f>F533*E534</f>
        <v>0</v>
      </c>
      <c r="G534" s="386"/>
      <c r="H534" s="386"/>
      <c r="I534" s="386">
        <v>4.5999999999999996</v>
      </c>
      <c r="J534" s="386">
        <f>F534*I534</f>
        <v>0</v>
      </c>
      <c r="K534" s="386"/>
      <c r="L534" s="386"/>
      <c r="M534" s="386">
        <f>H534+J534+L534</f>
        <v>0</v>
      </c>
    </row>
    <row r="535" spans="1:14" s="45" customFormat="1" hidden="1">
      <c r="A535" s="41"/>
      <c r="B535" s="1504"/>
      <c r="C535" s="15" t="s">
        <v>81</v>
      </c>
      <c r="D535" s="83" t="s">
        <v>57</v>
      </c>
      <c r="E535" s="41">
        <v>1.1599999999999999E-2</v>
      </c>
      <c r="F535" s="386">
        <f>F533*E535</f>
        <v>0</v>
      </c>
      <c r="G535" s="386"/>
      <c r="H535" s="386"/>
      <c r="I535" s="386"/>
      <c r="J535" s="386"/>
      <c r="K535" s="386">
        <v>3.2</v>
      </c>
      <c r="L535" s="386">
        <f>F535*K535</f>
        <v>0</v>
      </c>
      <c r="M535" s="386">
        <f>H535+J535+L535</f>
        <v>0</v>
      </c>
    </row>
    <row r="536" spans="1:14" s="45" customFormat="1" hidden="1">
      <c r="A536" s="41"/>
      <c r="B536" s="1504"/>
      <c r="C536" s="15" t="s">
        <v>210</v>
      </c>
      <c r="D536" s="41"/>
      <c r="E536" s="41"/>
      <c r="F536" s="386"/>
      <c r="G536" s="386"/>
      <c r="H536" s="386"/>
      <c r="I536" s="386"/>
      <c r="J536" s="386"/>
      <c r="K536" s="386"/>
      <c r="L536" s="386"/>
      <c r="M536" s="386"/>
    </row>
    <row r="537" spans="1:14" s="45" customFormat="1" hidden="1">
      <c r="A537" s="41"/>
      <c r="B537" s="1504"/>
      <c r="C537" s="15" t="s">
        <v>276</v>
      </c>
      <c r="D537" s="41" t="s">
        <v>78</v>
      </c>
      <c r="E537" s="41">
        <v>0.157</v>
      </c>
      <c r="F537" s="386">
        <f>F533*E537</f>
        <v>0</v>
      </c>
      <c r="G537" s="601">
        <v>26</v>
      </c>
      <c r="H537" s="386">
        <f>F537*G537</f>
        <v>0</v>
      </c>
      <c r="I537" s="386"/>
      <c r="J537" s="386"/>
      <c r="K537" s="386"/>
      <c r="L537" s="386"/>
      <c r="M537" s="386">
        <f>H537+J537+L537</f>
        <v>0</v>
      </c>
    </row>
    <row r="538" spans="1:14" s="45" customFormat="1" hidden="1">
      <c r="A538" s="43"/>
      <c r="B538" s="1516"/>
      <c r="C538" s="56" t="s">
        <v>1101</v>
      </c>
      <c r="D538" s="43" t="s">
        <v>97</v>
      </c>
      <c r="E538" s="43">
        <v>0.78500000000000003</v>
      </c>
      <c r="F538" s="387">
        <f>F533*E538</f>
        <v>0</v>
      </c>
      <c r="G538" s="387">
        <v>0.34</v>
      </c>
      <c r="H538" s="387">
        <f>F538*G538</f>
        <v>0</v>
      </c>
      <c r="I538" s="387"/>
      <c r="J538" s="387"/>
      <c r="K538" s="387"/>
      <c r="L538" s="387"/>
      <c r="M538" s="387">
        <f>H538+J538+L538</f>
        <v>0</v>
      </c>
    </row>
    <row r="539" spans="1:14" s="464" customFormat="1" ht="29.25" customHeight="1">
      <c r="A539" s="1178">
        <v>23</v>
      </c>
      <c r="B539" s="473" t="s">
        <v>1127</v>
      </c>
      <c r="C539" s="420" t="s">
        <v>1510</v>
      </c>
      <c r="D539" s="421" t="s">
        <v>876</v>
      </c>
      <c r="E539" s="421"/>
      <c r="F539" s="384">
        <f>'დეფექტური აქტი'!E129</f>
        <v>12.4</v>
      </c>
      <c r="G539" s="1332"/>
      <c r="H539" s="902"/>
      <c r="I539" s="901"/>
      <c r="J539" s="902"/>
      <c r="K539" s="901"/>
      <c r="L539" s="903"/>
      <c r="M539" s="902"/>
      <c r="N539" s="348"/>
    </row>
    <row r="540" spans="1:14" s="45" customFormat="1">
      <c r="A540" s="1178"/>
      <c r="B540" s="147"/>
      <c r="C540" s="204" t="s">
        <v>121</v>
      </c>
      <c r="D540" s="48"/>
      <c r="E540" s="47"/>
      <c r="F540" s="385"/>
      <c r="G540" s="385"/>
      <c r="H540" s="385"/>
      <c r="I540" s="385"/>
      <c r="J540" s="385"/>
      <c r="K540" s="385"/>
      <c r="L540" s="385"/>
      <c r="M540" s="385"/>
    </row>
    <row r="541" spans="1:14" s="45" customFormat="1" ht="27" hidden="1">
      <c r="A541" s="47">
        <v>1</v>
      </c>
      <c r="B541" s="1497" t="s">
        <v>99</v>
      </c>
      <c r="C541" s="68" t="s">
        <v>378</v>
      </c>
      <c r="D541" s="47" t="s">
        <v>78</v>
      </c>
      <c r="E541" s="47"/>
      <c r="F541" s="384">
        <f>'დეფექტური აქტი'!E131</f>
        <v>0</v>
      </c>
      <c r="G541" s="385"/>
      <c r="H541" s="385"/>
      <c r="I541" s="385"/>
      <c r="J541" s="385"/>
      <c r="K541" s="385"/>
      <c r="L541" s="385"/>
      <c r="M541" s="385"/>
    </row>
    <row r="542" spans="1:14" s="45" customFormat="1" hidden="1">
      <c r="A542" s="41"/>
      <c r="B542" s="1501"/>
      <c r="C542" s="66" t="s">
        <v>209</v>
      </c>
      <c r="D542" s="41" t="s">
        <v>78</v>
      </c>
      <c r="E542" s="41">
        <v>1</v>
      </c>
      <c r="F542" s="386">
        <f>F541*E542</f>
        <v>0</v>
      </c>
      <c r="G542" s="386"/>
      <c r="H542" s="386"/>
      <c r="I542" s="386">
        <v>14.5</v>
      </c>
      <c r="J542" s="386">
        <f>F542*I542</f>
        <v>0</v>
      </c>
      <c r="K542" s="386"/>
      <c r="L542" s="386"/>
      <c r="M542" s="386">
        <f>H542+J542+L542</f>
        <v>0</v>
      </c>
    </row>
    <row r="543" spans="1:14" s="45" customFormat="1" hidden="1">
      <c r="A543" s="41"/>
      <c r="B543" s="1501"/>
      <c r="C543" s="15" t="s">
        <v>210</v>
      </c>
      <c r="D543" s="41"/>
      <c r="E543" s="41"/>
      <c r="F543" s="386"/>
      <c r="G543" s="386"/>
      <c r="H543" s="386"/>
      <c r="I543" s="386"/>
      <c r="J543" s="386"/>
      <c r="K543" s="386"/>
      <c r="L543" s="386"/>
      <c r="M543" s="386"/>
    </row>
    <row r="544" spans="1:14" s="45" customFormat="1" hidden="1">
      <c r="A544" s="41"/>
      <c r="B544" s="1501"/>
      <c r="C544" s="66" t="s">
        <v>279</v>
      </c>
      <c r="D544" s="43" t="s">
        <v>78</v>
      </c>
      <c r="E544" s="41">
        <v>1.03</v>
      </c>
      <c r="F544" s="386">
        <f>F541*E544</f>
        <v>0</v>
      </c>
      <c r="G544" s="792">
        <v>81.900000000000006</v>
      </c>
      <c r="H544" s="386">
        <f>F544*G544</f>
        <v>0</v>
      </c>
      <c r="I544" s="386"/>
      <c r="J544" s="386"/>
      <c r="K544" s="386"/>
      <c r="L544" s="386"/>
      <c r="M544" s="386">
        <f>H544+J544+L544</f>
        <v>0</v>
      </c>
      <c r="N544" s="45">
        <f>15*2.3</f>
        <v>34.5</v>
      </c>
    </row>
    <row r="545" spans="1:13" s="45" customFormat="1" ht="27">
      <c r="A545" s="1178">
        <v>2</v>
      </c>
      <c r="B545" s="148" t="s">
        <v>716</v>
      </c>
      <c r="C545" s="68" t="s">
        <v>1069</v>
      </c>
      <c r="D545" s="47" t="s">
        <v>78</v>
      </c>
      <c r="E545" s="47"/>
      <c r="F545" s="384">
        <f>'დეფექტური აქტი'!E132</f>
        <v>74.48</v>
      </c>
      <c r="G545" s="385"/>
      <c r="H545" s="385"/>
      <c r="I545" s="385"/>
      <c r="J545" s="385"/>
      <c r="K545" s="385"/>
      <c r="L545" s="385"/>
      <c r="M545" s="385"/>
    </row>
    <row r="546" spans="1:13" s="45" customFormat="1">
      <c r="A546" s="1188"/>
      <c r="B546" s="217" t="s">
        <v>1127</v>
      </c>
      <c r="C546" s="66" t="s">
        <v>209</v>
      </c>
      <c r="D546" s="41" t="s">
        <v>78</v>
      </c>
      <c r="E546" s="41">
        <v>1</v>
      </c>
      <c r="F546" s="386">
        <f>F545*E546</f>
        <v>74.48</v>
      </c>
      <c r="G546" s="386"/>
      <c r="H546" s="386"/>
      <c r="I546" s="386"/>
      <c r="J546" s="386"/>
      <c r="K546" s="386"/>
      <c r="L546" s="386"/>
      <c r="M546" s="386"/>
    </row>
    <row r="547" spans="1:13" s="45" customFormat="1">
      <c r="A547" s="1188"/>
      <c r="B547" s="216"/>
      <c r="C547" s="66" t="s">
        <v>280</v>
      </c>
      <c r="D547" s="83" t="s">
        <v>57</v>
      </c>
      <c r="E547" s="41">
        <v>4.4999999999999998E-2</v>
      </c>
      <c r="F547" s="386">
        <f>F545*E547</f>
        <v>3.3515999999999999</v>
      </c>
      <c r="G547" s="386"/>
      <c r="H547" s="386"/>
      <c r="I547" s="386"/>
      <c r="J547" s="386"/>
      <c r="K547" s="386"/>
      <c r="L547" s="386"/>
      <c r="M547" s="386"/>
    </row>
    <row r="548" spans="1:13" s="45" customFormat="1" hidden="1">
      <c r="A548" s="80"/>
      <c r="B548" s="216"/>
      <c r="C548" s="15" t="s">
        <v>210</v>
      </c>
      <c r="D548" s="41"/>
      <c r="E548" s="41"/>
      <c r="F548" s="386"/>
      <c r="G548" s="386"/>
      <c r="H548" s="386"/>
      <c r="I548" s="386"/>
      <c r="J548" s="386"/>
      <c r="K548" s="386"/>
      <c r="L548" s="386"/>
      <c r="M548" s="386"/>
    </row>
    <row r="549" spans="1:13" s="45" customFormat="1">
      <c r="A549" s="1188"/>
      <c r="B549" s="216"/>
      <c r="C549" s="66" t="s">
        <v>173</v>
      </c>
      <c r="D549" s="41" t="s">
        <v>78</v>
      </c>
      <c r="E549" s="41">
        <v>1.03</v>
      </c>
      <c r="F549" s="386">
        <f>F545*E549</f>
        <v>76.714400000000012</v>
      </c>
      <c r="G549" s="439"/>
      <c r="H549" s="386"/>
      <c r="I549" s="386"/>
      <c r="J549" s="386"/>
      <c r="K549" s="386"/>
      <c r="L549" s="386"/>
      <c r="M549" s="386"/>
    </row>
    <row r="550" spans="1:13" s="45" customFormat="1">
      <c r="A550" s="1188"/>
      <c r="B550" s="117"/>
      <c r="C550" s="66" t="s">
        <v>174</v>
      </c>
      <c r="D550" s="86" t="s">
        <v>57</v>
      </c>
      <c r="E550" s="41">
        <v>0.55200000000000005</v>
      </c>
      <c r="F550" s="386">
        <f>F545*E550</f>
        <v>41.112960000000008</v>
      </c>
      <c r="G550" s="386"/>
      <c r="H550" s="386"/>
      <c r="I550" s="386"/>
      <c r="J550" s="386"/>
      <c r="K550" s="386"/>
      <c r="L550" s="386"/>
      <c r="M550" s="386"/>
    </row>
    <row r="551" spans="1:13" s="45" customFormat="1" ht="28.5" hidden="1" customHeight="1">
      <c r="A551" s="47">
        <v>3</v>
      </c>
      <c r="B551" s="1433" t="s">
        <v>717</v>
      </c>
      <c r="C551" s="68" t="s">
        <v>1114</v>
      </c>
      <c r="D551" s="47" t="s">
        <v>78</v>
      </c>
      <c r="E551" s="47"/>
      <c r="F551" s="384">
        <f>'დეფექტური აქტი'!E133</f>
        <v>0</v>
      </c>
      <c r="G551" s="385"/>
      <c r="H551" s="385"/>
      <c r="I551" s="385"/>
      <c r="J551" s="385"/>
      <c r="K551" s="385"/>
      <c r="L551" s="385"/>
      <c r="M551" s="385"/>
    </row>
    <row r="552" spans="1:13" s="45" customFormat="1" hidden="1">
      <c r="A552" s="80"/>
      <c r="B552" s="1434"/>
      <c r="C552" s="66" t="s">
        <v>209</v>
      </c>
      <c r="D552" s="41" t="s">
        <v>78</v>
      </c>
      <c r="E552" s="41">
        <v>1</v>
      </c>
      <c r="F552" s="386">
        <f>F551*E552</f>
        <v>0</v>
      </c>
      <c r="G552" s="386"/>
      <c r="H552" s="386"/>
      <c r="I552" s="386">
        <v>5</v>
      </c>
      <c r="J552" s="386">
        <f>F552*I552</f>
        <v>0</v>
      </c>
      <c r="K552" s="386"/>
      <c r="L552" s="386"/>
      <c r="M552" s="386">
        <f>H552+J552+L552</f>
        <v>0</v>
      </c>
    </row>
    <row r="553" spans="1:13" s="45" customFormat="1" hidden="1">
      <c r="A553" s="80"/>
      <c r="B553" s="1434"/>
      <c r="C553" s="66" t="s">
        <v>175</v>
      </c>
      <c r="D553" s="83" t="s">
        <v>57</v>
      </c>
      <c r="E553" s="41">
        <v>0.105</v>
      </c>
      <c r="F553" s="386">
        <f>F551*E553</f>
        <v>0</v>
      </c>
      <c r="G553" s="386"/>
      <c r="H553" s="386"/>
      <c r="I553" s="386"/>
      <c r="J553" s="386"/>
      <c r="K553" s="386">
        <v>3.2</v>
      </c>
      <c r="L553" s="386">
        <f>F553*K553</f>
        <v>0</v>
      </c>
      <c r="M553" s="386">
        <f>H553+J553+L553</f>
        <v>0</v>
      </c>
    </row>
    <row r="554" spans="1:13" s="45" customFormat="1" hidden="1">
      <c r="A554" s="80"/>
      <c r="B554" s="1434"/>
      <c r="C554" s="15" t="s">
        <v>210</v>
      </c>
      <c r="D554" s="41"/>
      <c r="E554" s="41"/>
      <c r="F554" s="386"/>
      <c r="G554" s="386"/>
      <c r="H554" s="386"/>
      <c r="I554" s="386"/>
      <c r="J554" s="386"/>
      <c r="K554" s="386"/>
      <c r="L554" s="386"/>
      <c r="M554" s="386"/>
    </row>
    <row r="555" spans="1:13" s="45" customFormat="1" ht="27" hidden="1">
      <c r="A555" s="80"/>
      <c r="B555" s="1434"/>
      <c r="C555" s="66" t="s">
        <v>1098</v>
      </c>
      <c r="D555" s="41" t="s">
        <v>78</v>
      </c>
      <c r="E555" s="41">
        <v>1.03</v>
      </c>
      <c r="F555" s="386">
        <f>F551*E555</f>
        <v>0</v>
      </c>
      <c r="G555" s="386">
        <v>12</v>
      </c>
      <c r="H555" s="386">
        <f>F555*G555</f>
        <v>0</v>
      </c>
      <c r="I555" s="386"/>
      <c r="J555" s="386"/>
      <c r="K555" s="386"/>
      <c r="L555" s="386"/>
      <c r="M555" s="386">
        <f>H555+J555+L555</f>
        <v>0</v>
      </c>
    </row>
    <row r="556" spans="1:13" s="45" customFormat="1" hidden="1">
      <c r="A556" s="80"/>
      <c r="B556" s="1434"/>
      <c r="C556" s="66" t="s">
        <v>176</v>
      </c>
      <c r="D556" s="86" t="s">
        <v>57</v>
      </c>
      <c r="E556" s="41">
        <v>0.94</v>
      </c>
      <c r="F556" s="386">
        <f>F551*E556</f>
        <v>0</v>
      </c>
      <c r="G556" s="386">
        <v>3.2</v>
      </c>
      <c r="H556" s="386">
        <f>F556*G556</f>
        <v>0</v>
      </c>
      <c r="I556" s="386"/>
      <c r="J556" s="386"/>
      <c r="K556" s="386"/>
      <c r="L556" s="386"/>
      <c r="M556" s="386">
        <f>H556+J556+L556</f>
        <v>0</v>
      </c>
    </row>
    <row r="557" spans="1:13" s="45" customFormat="1" ht="31.5" hidden="1" customHeight="1">
      <c r="A557" s="47">
        <v>4</v>
      </c>
      <c r="B557" s="1433" t="s">
        <v>717</v>
      </c>
      <c r="C557" s="68" t="s">
        <v>1115</v>
      </c>
      <c r="D557" s="47" t="s">
        <v>78</v>
      </c>
      <c r="E557" s="47"/>
      <c r="F557" s="384">
        <f>'დეფექტური აქტი'!E134</f>
        <v>0</v>
      </c>
      <c r="G557" s="385"/>
      <c r="H557" s="385"/>
      <c r="I557" s="385"/>
      <c r="J557" s="385"/>
      <c r="K557" s="385"/>
      <c r="L557" s="385"/>
      <c r="M557" s="385"/>
    </row>
    <row r="558" spans="1:13" s="45" customFormat="1" hidden="1">
      <c r="A558" s="80"/>
      <c r="B558" s="1434"/>
      <c r="C558" s="66" t="s">
        <v>209</v>
      </c>
      <c r="D558" s="41" t="s">
        <v>78</v>
      </c>
      <c r="E558" s="41">
        <v>1</v>
      </c>
      <c r="F558" s="386">
        <f>F557*E558</f>
        <v>0</v>
      </c>
      <c r="G558" s="386"/>
      <c r="H558" s="386"/>
      <c r="I558" s="386">
        <v>5</v>
      </c>
      <c r="J558" s="386">
        <f>F558*I558</f>
        <v>0</v>
      </c>
      <c r="K558" s="386"/>
      <c r="L558" s="386"/>
      <c r="M558" s="386">
        <f>H558+J558+L558</f>
        <v>0</v>
      </c>
    </row>
    <row r="559" spans="1:13" s="45" customFormat="1" hidden="1">
      <c r="A559" s="80"/>
      <c r="B559" s="1434"/>
      <c r="C559" s="66" t="s">
        <v>177</v>
      </c>
      <c r="D559" s="83" t="s">
        <v>57</v>
      </c>
      <c r="E559" s="41">
        <v>0.105</v>
      </c>
      <c r="F559" s="386">
        <f>F557*E559</f>
        <v>0</v>
      </c>
      <c r="G559" s="386"/>
      <c r="H559" s="386"/>
      <c r="I559" s="386"/>
      <c r="J559" s="386"/>
      <c r="K559" s="386">
        <v>3.2</v>
      </c>
      <c r="L559" s="386">
        <f>F559*K559</f>
        <v>0</v>
      </c>
      <c r="M559" s="386">
        <f>H559+J559+L559</f>
        <v>0</v>
      </c>
    </row>
    <row r="560" spans="1:13" s="45" customFormat="1" hidden="1">
      <c r="A560" s="80"/>
      <c r="B560" s="1434"/>
      <c r="C560" s="15" t="s">
        <v>210</v>
      </c>
      <c r="D560" s="41"/>
      <c r="E560" s="41"/>
      <c r="F560" s="386"/>
      <c r="G560" s="386"/>
      <c r="H560" s="386"/>
      <c r="I560" s="386"/>
      <c r="J560" s="386"/>
      <c r="K560" s="386"/>
      <c r="L560" s="386"/>
      <c r="M560" s="386"/>
    </row>
    <row r="561" spans="1:13" s="45" customFormat="1" ht="27" hidden="1">
      <c r="A561" s="80"/>
      <c r="B561" s="1434"/>
      <c r="C561" s="66" t="s">
        <v>1099</v>
      </c>
      <c r="D561" s="41" t="s">
        <v>78</v>
      </c>
      <c r="E561" s="41">
        <v>1.03</v>
      </c>
      <c r="F561" s="386">
        <f>F557*E561</f>
        <v>0</v>
      </c>
      <c r="G561" s="386">
        <v>13.8</v>
      </c>
      <c r="H561" s="386">
        <f>F561*G561</f>
        <v>0</v>
      </c>
      <c r="I561" s="386"/>
      <c r="J561" s="386"/>
      <c r="K561" s="386"/>
      <c r="L561" s="386"/>
      <c r="M561" s="386">
        <f>H561+J561+L561</f>
        <v>0</v>
      </c>
    </row>
    <row r="562" spans="1:13" s="45" customFormat="1" hidden="1">
      <c r="A562" s="155"/>
      <c r="B562" s="1463"/>
      <c r="C562" s="67" t="s">
        <v>178</v>
      </c>
      <c r="D562" s="86" t="s">
        <v>57</v>
      </c>
      <c r="E562" s="43">
        <v>0.95</v>
      </c>
      <c r="F562" s="387">
        <f>F557*E562</f>
        <v>0</v>
      </c>
      <c r="G562" s="387">
        <v>3.2</v>
      </c>
      <c r="H562" s="387">
        <f>F562*G562</f>
        <v>0</v>
      </c>
      <c r="I562" s="387"/>
      <c r="J562" s="387"/>
      <c r="K562" s="387"/>
      <c r="L562" s="387"/>
      <c r="M562" s="387">
        <f>H562+J562+L562</f>
        <v>0</v>
      </c>
    </row>
    <row r="563" spans="1:13" s="88" customFormat="1" ht="27" hidden="1">
      <c r="A563" s="47">
        <v>5</v>
      </c>
      <c r="B563" s="1431" t="s">
        <v>718</v>
      </c>
      <c r="C563" s="227" t="s">
        <v>483</v>
      </c>
      <c r="D563" s="228" t="s">
        <v>78</v>
      </c>
      <c r="E563" s="228"/>
      <c r="F563" s="384">
        <f>'დეფექტური აქტი'!E135</f>
        <v>0</v>
      </c>
      <c r="G563" s="422"/>
      <c r="H563" s="422"/>
      <c r="I563" s="422"/>
      <c r="J563" s="422"/>
      <c r="K563" s="422"/>
      <c r="L563" s="422"/>
      <c r="M563" s="422"/>
    </row>
    <row r="564" spans="1:13" s="88" customFormat="1" hidden="1">
      <c r="A564" s="83"/>
      <c r="B564" s="1432"/>
      <c r="C564" s="226" t="s">
        <v>209</v>
      </c>
      <c r="D564" s="211" t="s">
        <v>78</v>
      </c>
      <c r="E564" s="211">
        <v>1</v>
      </c>
      <c r="F564" s="386">
        <f>F563*E564</f>
        <v>0</v>
      </c>
      <c r="G564" s="225"/>
      <c r="H564" s="225"/>
      <c r="I564" s="225">
        <v>4</v>
      </c>
      <c r="J564" s="225">
        <f>F564*I564</f>
        <v>0</v>
      </c>
      <c r="K564" s="225"/>
      <c r="L564" s="225"/>
      <c r="M564" s="225">
        <f>H564+J564+L564</f>
        <v>0</v>
      </c>
    </row>
    <row r="565" spans="1:13" s="88" customFormat="1" hidden="1">
      <c r="A565" s="83"/>
      <c r="B565" s="1432"/>
      <c r="C565" s="226" t="s">
        <v>371</v>
      </c>
      <c r="D565" s="83" t="s">
        <v>57</v>
      </c>
      <c r="E565" s="211">
        <v>0.04</v>
      </c>
      <c r="F565" s="386">
        <f>F563*E565</f>
        <v>0</v>
      </c>
      <c r="G565" s="225"/>
      <c r="H565" s="225"/>
      <c r="I565" s="225"/>
      <c r="J565" s="225"/>
      <c r="K565" s="225">
        <v>3.2</v>
      </c>
      <c r="L565" s="225">
        <f>F565*K565</f>
        <v>0</v>
      </c>
      <c r="M565" s="225">
        <f>H565+J565+L565</f>
        <v>0</v>
      </c>
    </row>
    <row r="566" spans="1:13" s="88" customFormat="1" hidden="1">
      <c r="A566" s="83"/>
      <c r="B566" s="1432"/>
      <c r="C566" s="15" t="s">
        <v>210</v>
      </c>
      <c r="D566" s="211"/>
      <c r="E566" s="211"/>
      <c r="F566" s="386"/>
      <c r="G566" s="225"/>
      <c r="H566" s="225"/>
      <c r="I566" s="225"/>
      <c r="J566" s="225"/>
      <c r="K566" s="225"/>
      <c r="L566" s="225"/>
      <c r="M566" s="225"/>
    </row>
    <row r="567" spans="1:13" s="88" customFormat="1" hidden="1">
      <c r="A567" s="83"/>
      <c r="B567" s="1432"/>
      <c r="C567" s="226" t="s">
        <v>370</v>
      </c>
      <c r="D567" s="211" t="s">
        <v>78</v>
      </c>
      <c r="E567" s="211">
        <v>1.03</v>
      </c>
      <c r="F567" s="386">
        <f>F563*E567</f>
        <v>0</v>
      </c>
      <c r="G567" s="225">
        <v>6.5</v>
      </c>
      <c r="H567" s="225">
        <f>F567*G567</f>
        <v>0</v>
      </c>
      <c r="I567" s="225"/>
      <c r="J567" s="225"/>
      <c r="K567" s="225"/>
      <c r="L567" s="225"/>
      <c r="M567" s="225">
        <f>H567+J567+L567</f>
        <v>0</v>
      </c>
    </row>
    <row r="568" spans="1:13" s="88" customFormat="1" hidden="1">
      <c r="A568" s="86"/>
      <c r="B568" s="1437"/>
      <c r="C568" s="229" t="s">
        <v>484</v>
      </c>
      <c r="D568" s="86" t="s">
        <v>57</v>
      </c>
      <c r="E568" s="230">
        <v>0.40500000000000003</v>
      </c>
      <c r="F568" s="387">
        <f>F563*E568</f>
        <v>0</v>
      </c>
      <c r="G568" s="393">
        <v>3.2</v>
      </c>
      <c r="H568" s="393">
        <f>F568*G568</f>
        <v>0</v>
      </c>
      <c r="I568" s="393"/>
      <c r="J568" s="393"/>
      <c r="K568" s="393"/>
      <c r="L568" s="393"/>
      <c r="M568" s="393">
        <f>H568+J568+L568</f>
        <v>0</v>
      </c>
    </row>
    <row r="569" spans="1:13" s="89" customFormat="1" hidden="1">
      <c r="A569" s="83">
        <v>6</v>
      </c>
      <c r="B569" s="1446" t="s">
        <v>697</v>
      </c>
      <c r="C569" s="84" t="s">
        <v>698</v>
      </c>
      <c r="D569" s="140" t="s">
        <v>78</v>
      </c>
      <c r="E569" s="83"/>
      <c r="F569" s="388">
        <f>'დეფექტური აქტი'!E136</f>
        <v>0</v>
      </c>
      <c r="G569" s="225"/>
      <c r="H569" s="225"/>
      <c r="I569" s="225"/>
      <c r="J569" s="225"/>
      <c r="K569" s="225"/>
      <c r="L569" s="225"/>
      <c r="M569" s="225"/>
    </row>
    <row r="570" spans="1:13" s="89" customFormat="1" hidden="1">
      <c r="A570" s="83"/>
      <c r="B570" s="1432"/>
      <c r="C570" s="223" t="s">
        <v>209</v>
      </c>
      <c r="D570" s="211" t="s">
        <v>80</v>
      </c>
      <c r="E570" s="211">
        <v>0.23599999999999999</v>
      </c>
      <c r="F570" s="386">
        <f>F569*E570</f>
        <v>0</v>
      </c>
      <c r="G570" s="225"/>
      <c r="H570" s="225"/>
      <c r="I570" s="386">
        <v>6</v>
      </c>
      <c r="J570" s="225">
        <f>F570*I570</f>
        <v>0</v>
      </c>
      <c r="K570" s="225"/>
      <c r="L570" s="225"/>
      <c r="M570" s="225">
        <f>H570+J570+L570</f>
        <v>0</v>
      </c>
    </row>
    <row r="571" spans="1:13" s="89" customFormat="1" hidden="1">
      <c r="A571" s="83"/>
      <c r="B571" s="1432"/>
      <c r="C571" s="223" t="s">
        <v>81</v>
      </c>
      <c r="D571" s="83" t="s">
        <v>57</v>
      </c>
      <c r="E571" s="211">
        <v>2.2499999999999999E-2</v>
      </c>
      <c r="F571" s="386">
        <f>F569*E571</f>
        <v>0</v>
      </c>
      <c r="G571" s="225"/>
      <c r="H571" s="225"/>
      <c r="I571" s="225"/>
      <c r="J571" s="225"/>
      <c r="K571" s="225">
        <v>3.2</v>
      </c>
      <c r="L571" s="225">
        <f>F571*K571</f>
        <v>0</v>
      </c>
      <c r="M571" s="225">
        <f>H571+J571+L571</f>
        <v>0</v>
      </c>
    </row>
    <row r="572" spans="1:13" s="89" customFormat="1" hidden="1">
      <c r="A572" s="83"/>
      <c r="B572" s="1432"/>
      <c r="C572" s="15" t="s">
        <v>210</v>
      </c>
      <c r="D572" s="211"/>
      <c r="E572" s="211"/>
      <c r="F572" s="386"/>
      <c r="G572" s="225"/>
      <c r="H572" s="225"/>
      <c r="I572" s="225"/>
      <c r="J572" s="225"/>
      <c r="K572" s="225"/>
      <c r="L572" s="225"/>
      <c r="M572" s="225"/>
    </row>
    <row r="573" spans="1:13" s="89" customFormat="1" hidden="1">
      <c r="A573" s="83"/>
      <c r="B573" s="1432"/>
      <c r="C573" s="223" t="s">
        <v>699</v>
      </c>
      <c r="D573" s="211" t="s">
        <v>88</v>
      </c>
      <c r="E573" s="211">
        <v>1.8599999999999998E-2</v>
      </c>
      <c r="F573" s="386">
        <f>F569*E573</f>
        <v>0</v>
      </c>
      <c r="G573" s="225">
        <v>481</v>
      </c>
      <c r="H573" s="225">
        <f>F573*G573</f>
        <v>0</v>
      </c>
      <c r="I573" s="225"/>
      <c r="J573" s="225"/>
      <c r="K573" s="225"/>
      <c r="L573" s="225"/>
      <c r="M573" s="225">
        <f>H573+J573+L573</f>
        <v>0</v>
      </c>
    </row>
    <row r="574" spans="1:13" s="89" customFormat="1" hidden="1">
      <c r="A574" s="86"/>
      <c r="B574" s="1437"/>
      <c r="C574" s="232" t="s">
        <v>214</v>
      </c>
      <c r="D574" s="86" t="s">
        <v>57</v>
      </c>
      <c r="E574" s="230">
        <v>1.2800000000000001E-2</v>
      </c>
      <c r="F574" s="387">
        <f>F569*E574</f>
        <v>0</v>
      </c>
      <c r="G574" s="393">
        <v>3.2</v>
      </c>
      <c r="H574" s="393">
        <f>F574*G574</f>
        <v>0</v>
      </c>
      <c r="I574" s="393"/>
      <c r="J574" s="393"/>
      <c r="K574" s="393"/>
      <c r="L574" s="393"/>
      <c r="M574" s="393">
        <f>H574+J574+L574</f>
        <v>0</v>
      </c>
    </row>
    <row r="575" spans="1:13" s="89" customFormat="1" hidden="1">
      <c r="A575" s="83">
        <v>6</v>
      </c>
      <c r="B575" s="1446" t="s">
        <v>697</v>
      </c>
      <c r="C575" s="26" t="s">
        <v>1561</v>
      </c>
      <c r="D575" s="140" t="s">
        <v>78</v>
      </c>
      <c r="E575" s="83"/>
      <c r="F575" s="388">
        <f>'დეფექტური აქტი'!E137</f>
        <v>0</v>
      </c>
      <c r="G575" s="225"/>
      <c r="H575" s="225"/>
      <c r="I575" s="225"/>
      <c r="J575" s="225"/>
      <c r="K575" s="225"/>
      <c r="L575" s="225"/>
      <c r="M575" s="225"/>
    </row>
    <row r="576" spans="1:13" s="89" customFormat="1" hidden="1">
      <c r="A576" s="83"/>
      <c r="B576" s="1432"/>
      <c r="C576" s="223" t="s">
        <v>209</v>
      </c>
      <c r="D576" s="211" t="s">
        <v>80</v>
      </c>
      <c r="E576" s="211">
        <v>0.23599999999999999</v>
      </c>
      <c r="F576" s="386">
        <f>F575*E576</f>
        <v>0</v>
      </c>
      <c r="G576" s="225"/>
      <c r="H576" s="225"/>
      <c r="I576" s="386">
        <v>6</v>
      </c>
      <c r="J576" s="225">
        <f>F576*I576</f>
        <v>0</v>
      </c>
      <c r="K576" s="225"/>
      <c r="L576" s="225"/>
      <c r="M576" s="225">
        <f>H576+J576+L576</f>
        <v>0</v>
      </c>
    </row>
    <row r="577" spans="1:13" s="89" customFormat="1" hidden="1">
      <c r="A577" s="83"/>
      <c r="B577" s="1432"/>
      <c r="C577" s="223" t="s">
        <v>81</v>
      </c>
      <c r="D577" s="83" t="s">
        <v>57</v>
      </c>
      <c r="E577" s="211">
        <v>2.2499999999999999E-2</v>
      </c>
      <c r="F577" s="386">
        <f>F575*E577</f>
        <v>0</v>
      </c>
      <c r="G577" s="225"/>
      <c r="H577" s="225"/>
      <c r="I577" s="225"/>
      <c r="J577" s="225"/>
      <c r="K577" s="225">
        <v>3.2</v>
      </c>
      <c r="L577" s="225">
        <f>F577*K577</f>
        <v>0</v>
      </c>
      <c r="M577" s="225">
        <f>H577+J577+L577</f>
        <v>0</v>
      </c>
    </row>
    <row r="578" spans="1:13" s="89" customFormat="1" hidden="1">
      <c r="A578" s="83"/>
      <c r="B578" s="1432"/>
      <c r="C578" s="15" t="s">
        <v>210</v>
      </c>
      <c r="D578" s="211"/>
      <c r="E578" s="211"/>
      <c r="F578" s="386"/>
      <c r="G578" s="225"/>
      <c r="H578" s="225"/>
      <c r="I578" s="225"/>
      <c r="J578" s="225"/>
      <c r="K578" s="225"/>
      <c r="L578" s="225"/>
      <c r="M578" s="225"/>
    </row>
    <row r="579" spans="1:13" s="89" customFormat="1" hidden="1">
      <c r="A579" s="83"/>
      <c r="B579" s="1432"/>
      <c r="C579" s="223" t="s">
        <v>699</v>
      </c>
      <c r="D579" s="211" t="s">
        <v>88</v>
      </c>
      <c r="E579" s="211">
        <v>1.8599999999999998E-2</v>
      </c>
      <c r="F579" s="386">
        <f>F575*E579</f>
        <v>0</v>
      </c>
      <c r="G579" s="225">
        <v>481</v>
      </c>
      <c r="H579" s="225">
        <f>F579*G579</f>
        <v>0</v>
      </c>
      <c r="I579" s="225"/>
      <c r="J579" s="225"/>
      <c r="K579" s="225"/>
      <c r="L579" s="225"/>
      <c r="M579" s="225">
        <f>H579+J579+L579</f>
        <v>0</v>
      </c>
    </row>
    <row r="580" spans="1:13" s="89" customFormat="1" hidden="1">
      <c r="A580" s="86"/>
      <c r="B580" s="1437"/>
      <c r="C580" s="232" t="s">
        <v>214</v>
      </c>
      <c r="D580" s="86" t="s">
        <v>57</v>
      </c>
      <c r="E580" s="230">
        <v>1.2800000000000001E-2</v>
      </c>
      <c r="F580" s="387">
        <f>F575*E580</f>
        <v>0</v>
      </c>
      <c r="G580" s="393">
        <v>3.2</v>
      </c>
      <c r="H580" s="393">
        <f>F580*G580</f>
        <v>0</v>
      </c>
      <c r="I580" s="393"/>
      <c r="J580" s="393"/>
      <c r="K580" s="393"/>
      <c r="L580" s="393"/>
      <c r="M580" s="393">
        <f>H580+J580+L580</f>
        <v>0</v>
      </c>
    </row>
    <row r="581" spans="1:13" s="89" customFormat="1" hidden="1">
      <c r="A581" s="83">
        <v>7</v>
      </c>
      <c r="B581" s="1446" t="s">
        <v>849</v>
      </c>
      <c r="C581" s="84" t="s">
        <v>685</v>
      </c>
      <c r="D581" s="140" t="s">
        <v>78</v>
      </c>
      <c r="E581" s="83"/>
      <c r="F581" s="388">
        <f>'დეფექტური აქტი'!E138</f>
        <v>0</v>
      </c>
      <c r="G581" s="225"/>
      <c r="H581" s="225"/>
      <c r="I581" s="225"/>
      <c r="J581" s="225"/>
      <c r="K581" s="225"/>
      <c r="L581" s="225"/>
      <c r="M581" s="225"/>
    </row>
    <row r="582" spans="1:13" s="89" customFormat="1" hidden="1">
      <c r="A582" s="83"/>
      <c r="B582" s="1432"/>
      <c r="C582" s="223" t="s">
        <v>209</v>
      </c>
      <c r="D582" s="211" t="s">
        <v>80</v>
      </c>
      <c r="E582" s="211">
        <v>0.68799999999999994</v>
      </c>
      <c r="F582" s="386">
        <f>F581*E582</f>
        <v>0</v>
      </c>
      <c r="G582" s="225"/>
      <c r="H582" s="225"/>
      <c r="I582" s="386">
        <v>6</v>
      </c>
      <c r="J582" s="225">
        <f>F582*I582</f>
        <v>0</v>
      </c>
      <c r="K582" s="225"/>
      <c r="L582" s="225"/>
      <c r="M582" s="225">
        <f>H582+J582+L582</f>
        <v>0</v>
      </c>
    </row>
    <row r="583" spans="1:13" s="89" customFormat="1" hidden="1">
      <c r="A583" s="83"/>
      <c r="B583" s="1432"/>
      <c r="C583" s="223" t="s">
        <v>81</v>
      </c>
      <c r="D583" s="83" t="s">
        <v>57</v>
      </c>
      <c r="E583" s="211">
        <v>1.15E-2</v>
      </c>
      <c r="F583" s="386">
        <f>F581*E583</f>
        <v>0</v>
      </c>
      <c r="G583" s="225"/>
      <c r="H583" s="225"/>
      <c r="I583" s="225"/>
      <c r="J583" s="225"/>
      <c r="K583" s="225">
        <v>3.2</v>
      </c>
      <c r="L583" s="225">
        <f>F583*K583</f>
        <v>0</v>
      </c>
      <c r="M583" s="225">
        <f>H583+J583+L583</f>
        <v>0</v>
      </c>
    </row>
    <row r="584" spans="1:13" s="89" customFormat="1" hidden="1">
      <c r="A584" s="83"/>
      <c r="B584" s="1432"/>
      <c r="C584" s="15" t="s">
        <v>210</v>
      </c>
      <c r="D584" s="211"/>
      <c r="E584" s="211"/>
      <c r="F584" s="386"/>
      <c r="G584" s="225"/>
      <c r="H584" s="225"/>
      <c r="I584" s="225"/>
      <c r="J584" s="225"/>
      <c r="K584" s="225"/>
      <c r="L584" s="225"/>
      <c r="M584" s="225"/>
    </row>
    <row r="585" spans="1:13" s="89" customFormat="1" hidden="1">
      <c r="A585" s="83"/>
      <c r="B585" s="1432"/>
      <c r="C585" s="223" t="s">
        <v>186</v>
      </c>
      <c r="D585" s="211" t="s">
        <v>97</v>
      </c>
      <c r="E585" s="211">
        <v>0.29799999999999999</v>
      </c>
      <c r="F585" s="386">
        <f>F581*E585</f>
        <v>0</v>
      </c>
      <c r="G585" s="225">
        <v>5.0999999999999996</v>
      </c>
      <c r="H585" s="225">
        <f>F585*G585</f>
        <v>0</v>
      </c>
      <c r="I585" s="225"/>
      <c r="J585" s="225"/>
      <c r="K585" s="225"/>
      <c r="L585" s="225"/>
      <c r="M585" s="225">
        <f>H585+J585+L585</f>
        <v>0</v>
      </c>
    </row>
    <row r="586" spans="1:13" s="89" customFormat="1" hidden="1">
      <c r="A586" s="83"/>
      <c r="B586" s="1432"/>
      <c r="C586" s="223" t="s">
        <v>134</v>
      </c>
      <c r="D586" s="211" t="s">
        <v>97</v>
      </c>
      <c r="E586" s="211">
        <v>0.41</v>
      </c>
      <c r="F586" s="386">
        <f>F581*E586</f>
        <v>0</v>
      </c>
      <c r="G586" s="225">
        <v>0.5</v>
      </c>
      <c r="H586" s="225">
        <f>F586*G586</f>
        <v>0</v>
      </c>
      <c r="I586" s="225"/>
      <c r="J586" s="225"/>
      <c r="K586" s="225"/>
      <c r="L586" s="225"/>
      <c r="M586" s="225">
        <f>H586+J586+L586</f>
        <v>0</v>
      </c>
    </row>
    <row r="587" spans="1:13" s="89" customFormat="1" hidden="1">
      <c r="A587" s="83"/>
      <c r="B587" s="1432"/>
      <c r="C587" s="223" t="s">
        <v>138</v>
      </c>
      <c r="D587" s="211" t="s">
        <v>97</v>
      </c>
      <c r="E587" s="211">
        <v>0.1</v>
      </c>
      <c r="F587" s="386">
        <f>F581*E587</f>
        <v>0</v>
      </c>
      <c r="G587" s="225">
        <v>3.5</v>
      </c>
      <c r="H587" s="225">
        <f>F587*G587</f>
        <v>0</v>
      </c>
      <c r="I587" s="225"/>
      <c r="J587" s="225"/>
      <c r="K587" s="225"/>
      <c r="L587" s="225"/>
      <c r="M587" s="225">
        <f>H587+J587+L587</f>
        <v>0</v>
      </c>
    </row>
    <row r="588" spans="1:13" s="89" customFormat="1" hidden="1">
      <c r="A588" s="86"/>
      <c r="B588" s="1437"/>
      <c r="C588" s="232" t="s">
        <v>214</v>
      </c>
      <c r="D588" s="86" t="s">
        <v>57</v>
      </c>
      <c r="E588" s="211">
        <v>7.0000000000000001E-3</v>
      </c>
      <c r="F588" s="387">
        <f>F581*E588</f>
        <v>0</v>
      </c>
      <c r="G588" s="393">
        <v>3.2</v>
      </c>
      <c r="H588" s="393">
        <f>F588*G588</f>
        <v>0</v>
      </c>
      <c r="I588" s="393"/>
      <c r="J588" s="393"/>
      <c r="K588" s="393"/>
      <c r="L588" s="393"/>
      <c r="M588" s="393">
        <f>H588+J588+L588</f>
        <v>0</v>
      </c>
    </row>
    <row r="589" spans="1:13" s="45" customFormat="1" hidden="1">
      <c r="A589" s="47">
        <v>8</v>
      </c>
      <c r="B589" s="1446" t="s">
        <v>248</v>
      </c>
      <c r="C589" s="46" t="s">
        <v>485</v>
      </c>
      <c r="D589" s="47" t="s">
        <v>78</v>
      </c>
      <c r="E589" s="47"/>
      <c r="F589" s="384">
        <f>'დეფექტური აქტი'!E139</f>
        <v>0</v>
      </c>
      <c r="G589" s="385"/>
      <c r="H589" s="422"/>
      <c r="I589" s="385"/>
      <c r="J589" s="385"/>
      <c r="K589" s="385"/>
      <c r="L589" s="385"/>
      <c r="M589" s="385"/>
    </row>
    <row r="590" spans="1:13" s="45" customFormat="1" hidden="1">
      <c r="A590" s="41"/>
      <c r="B590" s="1432"/>
      <c r="C590" s="84" t="s">
        <v>209</v>
      </c>
      <c r="D590" s="83" t="s">
        <v>80</v>
      </c>
      <c r="E590" s="83">
        <v>0.75</v>
      </c>
      <c r="F590" s="386">
        <f>F589*E590</f>
        <v>0</v>
      </c>
      <c r="G590" s="386"/>
      <c r="H590" s="386"/>
      <c r="I590" s="386">
        <v>6</v>
      </c>
      <c r="J590" s="386">
        <f>F590*I590</f>
        <v>0</v>
      </c>
      <c r="K590" s="386"/>
      <c r="L590" s="386"/>
      <c r="M590" s="386">
        <f>H590+J590+L590</f>
        <v>0</v>
      </c>
    </row>
    <row r="591" spans="1:13" s="45" customFormat="1" ht="18.75" hidden="1" customHeight="1">
      <c r="A591" s="41"/>
      <c r="B591" s="1432"/>
      <c r="C591" s="84" t="s">
        <v>216</v>
      </c>
      <c r="D591" s="83" t="s">
        <v>217</v>
      </c>
      <c r="E591" s="83">
        <v>4.7199999999999999E-2</v>
      </c>
      <c r="F591" s="386">
        <f>F589*E591</f>
        <v>0</v>
      </c>
      <c r="G591" s="386"/>
      <c r="H591" s="386"/>
      <c r="I591" s="386"/>
      <c r="J591" s="386"/>
      <c r="K591" s="386">
        <v>7.16</v>
      </c>
      <c r="L591" s="386">
        <f>F591*K591</f>
        <v>0</v>
      </c>
      <c r="M591" s="386">
        <f>H591+J591+L591</f>
        <v>0</v>
      </c>
    </row>
    <row r="592" spans="1:13" s="45" customFormat="1" hidden="1">
      <c r="A592" s="41"/>
      <c r="B592" s="1432"/>
      <c r="C592" s="84" t="s">
        <v>81</v>
      </c>
      <c r="D592" s="83" t="s">
        <v>57</v>
      </c>
      <c r="E592" s="83">
        <v>2.1000000000000001E-2</v>
      </c>
      <c r="F592" s="386">
        <f>F589*E592</f>
        <v>0</v>
      </c>
      <c r="G592" s="386"/>
      <c r="H592" s="598"/>
      <c r="I592" s="386"/>
      <c r="J592" s="386"/>
      <c r="K592" s="386">
        <v>3.2</v>
      </c>
      <c r="L592" s="386">
        <f>F592*K592</f>
        <v>0</v>
      </c>
      <c r="M592" s="386">
        <f>H592+J592+L592</f>
        <v>0</v>
      </c>
    </row>
    <row r="593" spans="1:13" s="45" customFormat="1" hidden="1">
      <c r="A593" s="41"/>
      <c r="B593" s="1432"/>
      <c r="C593" s="15" t="s">
        <v>210</v>
      </c>
      <c r="D593" s="83"/>
      <c r="E593" s="83"/>
      <c r="F593" s="386"/>
      <c r="G593" s="386"/>
      <c r="H593" s="386"/>
      <c r="I593" s="386"/>
      <c r="J593" s="386"/>
      <c r="K593" s="386"/>
      <c r="L593" s="386"/>
      <c r="M593" s="386"/>
    </row>
    <row r="594" spans="1:13" s="45" customFormat="1" hidden="1">
      <c r="A594" s="41"/>
      <c r="B594" s="1432"/>
      <c r="C594" s="84" t="s">
        <v>218</v>
      </c>
      <c r="D594" s="83" t="s">
        <v>88</v>
      </c>
      <c r="E594" s="83">
        <v>1.9109999999999999E-2</v>
      </c>
      <c r="F594" s="386">
        <f>F589*E594</f>
        <v>0</v>
      </c>
      <c r="G594" s="386">
        <v>87</v>
      </c>
      <c r="H594" s="386">
        <f>F594*G594</f>
        <v>0</v>
      </c>
      <c r="I594" s="386"/>
      <c r="J594" s="386"/>
      <c r="K594" s="386"/>
      <c r="L594" s="386"/>
      <c r="M594" s="386">
        <f>H594+J594+L594</f>
        <v>0</v>
      </c>
    </row>
    <row r="595" spans="1:13" s="45" customFormat="1" hidden="1">
      <c r="A595" s="41"/>
      <c r="B595" s="1432"/>
      <c r="C595" s="84" t="s">
        <v>219</v>
      </c>
      <c r="D595" s="83" t="s">
        <v>78</v>
      </c>
      <c r="E595" s="83">
        <v>5.28E-2</v>
      </c>
      <c r="F595" s="386">
        <f>F589*E595</f>
        <v>0</v>
      </c>
      <c r="G595" s="386">
        <v>4.5999999999999996</v>
      </c>
      <c r="H595" s="386">
        <f>F595*G595</f>
        <v>0</v>
      </c>
      <c r="I595" s="386"/>
      <c r="J595" s="386"/>
      <c r="K595" s="386"/>
      <c r="L595" s="386"/>
      <c r="M595" s="386">
        <f>H595+J595+L595</f>
        <v>0</v>
      </c>
    </row>
    <row r="596" spans="1:13" s="45" customFormat="1" hidden="1">
      <c r="A596" s="41"/>
      <c r="B596" s="1437"/>
      <c r="C596" s="84" t="s">
        <v>214</v>
      </c>
      <c r="D596" s="86" t="s">
        <v>57</v>
      </c>
      <c r="E596" s="83">
        <v>2E-3</v>
      </c>
      <c r="F596" s="386">
        <f>F589*E596</f>
        <v>0</v>
      </c>
      <c r="G596" s="386">
        <v>3.2</v>
      </c>
      <c r="H596" s="386">
        <f>F596*G596</f>
        <v>0</v>
      </c>
      <c r="I596" s="386"/>
      <c r="J596" s="386"/>
      <c r="K596" s="386"/>
      <c r="L596" s="386"/>
      <c r="M596" s="386">
        <f>H596+J596+L596</f>
        <v>0</v>
      </c>
    </row>
    <row r="597" spans="1:13" s="45" customFormat="1" hidden="1">
      <c r="A597" s="47">
        <v>9</v>
      </c>
      <c r="B597" s="1446" t="s">
        <v>848</v>
      </c>
      <c r="C597" s="46" t="s">
        <v>486</v>
      </c>
      <c r="D597" s="47" t="s">
        <v>78</v>
      </c>
      <c r="E597" s="47"/>
      <c r="F597" s="384">
        <f>'დეფექტური აქტი'!E140</f>
        <v>0</v>
      </c>
      <c r="G597" s="385"/>
      <c r="H597" s="385"/>
      <c r="I597" s="385"/>
      <c r="J597" s="385"/>
      <c r="K597" s="385"/>
      <c r="L597" s="385"/>
      <c r="M597" s="385"/>
    </row>
    <row r="598" spans="1:13" s="45" customFormat="1" hidden="1">
      <c r="A598" s="41"/>
      <c r="B598" s="1432"/>
      <c r="C598" s="84" t="s">
        <v>209</v>
      </c>
      <c r="D598" s="83" t="s">
        <v>80</v>
      </c>
      <c r="E598" s="211">
        <v>0.79100000000000004</v>
      </c>
      <c r="F598" s="386">
        <f>F597*E598</f>
        <v>0</v>
      </c>
      <c r="G598" s="386"/>
      <c r="H598" s="386"/>
      <c r="I598" s="386">
        <v>6</v>
      </c>
      <c r="J598" s="386">
        <f>F598*I598</f>
        <v>0</v>
      </c>
      <c r="K598" s="386"/>
      <c r="L598" s="386"/>
      <c r="M598" s="386">
        <f>H598+J598+L598</f>
        <v>0</v>
      </c>
    </row>
    <row r="599" spans="1:13" s="45" customFormat="1" hidden="1">
      <c r="A599" s="41"/>
      <c r="B599" s="1432"/>
      <c r="C599" s="84" t="s">
        <v>81</v>
      </c>
      <c r="D599" s="83" t="s">
        <v>57</v>
      </c>
      <c r="E599" s="211">
        <v>3.9699999999999999E-2</v>
      </c>
      <c r="F599" s="386">
        <f>F597*E599</f>
        <v>0</v>
      </c>
      <c r="G599" s="386"/>
      <c r="H599" s="386"/>
      <c r="I599" s="386"/>
      <c r="J599" s="386"/>
      <c r="K599" s="386">
        <v>3.2</v>
      </c>
      <c r="L599" s="386">
        <f>F599*K599</f>
        <v>0</v>
      </c>
      <c r="M599" s="386">
        <f>H599+J599+L599</f>
        <v>0</v>
      </c>
    </row>
    <row r="600" spans="1:13" s="45" customFormat="1" hidden="1">
      <c r="A600" s="41"/>
      <c r="B600" s="1432"/>
      <c r="C600" s="15" t="s">
        <v>210</v>
      </c>
      <c r="D600" s="83"/>
      <c r="E600" s="211"/>
      <c r="F600" s="386"/>
      <c r="G600" s="386"/>
      <c r="H600" s="386"/>
      <c r="I600" s="386"/>
      <c r="J600" s="386"/>
      <c r="K600" s="386"/>
      <c r="L600" s="386"/>
      <c r="M600" s="386"/>
    </row>
    <row r="601" spans="1:13" s="45" customFormat="1" hidden="1">
      <c r="A601" s="41"/>
      <c r="B601" s="1432"/>
      <c r="C601" s="84" t="s">
        <v>222</v>
      </c>
      <c r="D601" s="83" t="s">
        <v>206</v>
      </c>
      <c r="E601" s="211">
        <v>3.4500000000000003E-2</v>
      </c>
      <c r="F601" s="386">
        <f>F597*E601</f>
        <v>0</v>
      </c>
      <c r="G601" s="386">
        <v>72</v>
      </c>
      <c r="H601" s="386">
        <f>F601*G601</f>
        <v>0</v>
      </c>
      <c r="I601" s="386"/>
      <c r="J601" s="386"/>
      <c r="K601" s="386"/>
      <c r="L601" s="386"/>
      <c r="M601" s="386">
        <f>H601+J601+L601</f>
        <v>0</v>
      </c>
    </row>
    <row r="602" spans="1:13" s="45" customFormat="1" hidden="1">
      <c r="A602" s="41"/>
      <c r="B602" s="1432"/>
      <c r="C602" s="84" t="s">
        <v>223</v>
      </c>
      <c r="D602" s="83" t="s">
        <v>88</v>
      </c>
      <c r="E602" s="211">
        <v>6.0000000000000001E-3</v>
      </c>
      <c r="F602" s="386">
        <f>F597*E602</f>
        <v>0</v>
      </c>
      <c r="G602" s="386">
        <v>3.6</v>
      </c>
      <c r="H602" s="386">
        <f>F602*G602</f>
        <v>0</v>
      </c>
      <c r="I602" s="386"/>
      <c r="J602" s="386"/>
      <c r="K602" s="386"/>
      <c r="L602" s="386"/>
      <c r="M602" s="386">
        <f>H602+J602+L602</f>
        <v>0</v>
      </c>
    </row>
    <row r="603" spans="1:13" s="45" customFormat="1" hidden="1">
      <c r="A603" s="41"/>
      <c r="B603" s="1432"/>
      <c r="C603" s="84" t="s">
        <v>219</v>
      </c>
      <c r="D603" s="83" t="s">
        <v>78</v>
      </c>
      <c r="E603" s="211">
        <v>5.28E-2</v>
      </c>
      <c r="F603" s="386">
        <f>F597*E603</f>
        <v>0</v>
      </c>
      <c r="G603" s="386">
        <v>4.5999999999999996</v>
      </c>
      <c r="H603" s="386">
        <f>F603*G603</f>
        <v>0</v>
      </c>
      <c r="I603" s="386"/>
      <c r="J603" s="386"/>
      <c r="K603" s="386"/>
      <c r="L603" s="386"/>
      <c r="M603" s="386">
        <f>H603+J603+L603</f>
        <v>0</v>
      </c>
    </row>
    <row r="604" spans="1:13" s="45" customFormat="1" hidden="1">
      <c r="A604" s="41"/>
      <c r="B604" s="1437"/>
      <c r="C604" s="84" t="s">
        <v>214</v>
      </c>
      <c r="D604" s="86" t="s">
        <v>57</v>
      </c>
      <c r="E604" s="211">
        <v>2E-3</v>
      </c>
      <c r="F604" s="386">
        <f>F597*E604</f>
        <v>0</v>
      </c>
      <c r="G604" s="386">
        <v>3.2</v>
      </c>
      <c r="H604" s="386">
        <f>F604*G604</f>
        <v>0</v>
      </c>
      <c r="I604" s="386"/>
      <c r="J604" s="386"/>
      <c r="K604" s="386"/>
      <c r="L604" s="386"/>
      <c r="M604" s="386">
        <f>H604+J604+L604</f>
        <v>0</v>
      </c>
    </row>
    <row r="605" spans="1:13" s="567" customFormat="1" ht="27">
      <c r="A605" s="1229">
        <v>2</v>
      </c>
      <c r="B605" s="1513" t="s">
        <v>179</v>
      </c>
      <c r="C605" s="885" t="s">
        <v>1864</v>
      </c>
      <c r="D605" s="370" t="s">
        <v>122</v>
      </c>
      <c r="E605" s="370"/>
      <c r="F605" s="384">
        <f>'დეფექტური აქტი'!E141</f>
        <v>9</v>
      </c>
      <c r="G605" s="385"/>
      <c r="H605" s="602"/>
      <c r="I605" s="385"/>
      <c r="J605" s="385"/>
      <c r="K605" s="385"/>
      <c r="L605" s="385"/>
      <c r="M605" s="385"/>
    </row>
    <row r="606" spans="1:13" s="567" customFormat="1">
      <c r="A606" s="1231"/>
      <c r="B606" s="1514"/>
      <c r="C606" s="569" t="s">
        <v>209</v>
      </c>
      <c r="D606" s="371" t="s">
        <v>80</v>
      </c>
      <c r="E606" s="570">
        <v>0.58299999999999996</v>
      </c>
      <c r="F606" s="386">
        <f>F605*E606</f>
        <v>5.2469999999999999</v>
      </c>
      <c r="G606" s="386"/>
      <c r="H606" s="603"/>
      <c r="I606" s="386"/>
      <c r="J606" s="386"/>
      <c r="K606" s="386"/>
      <c r="L606" s="386"/>
      <c r="M606" s="386"/>
    </row>
    <row r="607" spans="1:13" s="567" customFormat="1">
      <c r="A607" s="1231"/>
      <c r="B607" s="1514"/>
      <c r="C607" s="569" t="s">
        <v>181</v>
      </c>
      <c r="D607" s="1224" t="s">
        <v>57</v>
      </c>
      <c r="E607" s="570">
        <v>4.8300000000000003E-2</v>
      </c>
      <c r="F607" s="386">
        <f>F605*E607</f>
        <v>0.43470000000000003</v>
      </c>
      <c r="G607" s="386"/>
      <c r="H607" s="386"/>
      <c r="I607" s="386"/>
      <c r="J607" s="386"/>
      <c r="K607" s="386"/>
      <c r="L607" s="386"/>
      <c r="M607" s="386"/>
    </row>
    <row r="608" spans="1:13" s="567" customFormat="1" hidden="1">
      <c r="A608" s="371"/>
      <c r="B608" s="1514"/>
      <c r="C608" s="365" t="s">
        <v>210</v>
      </c>
      <c r="D608" s="371"/>
      <c r="E608" s="570"/>
      <c r="F608" s="386"/>
      <c r="G608" s="386"/>
      <c r="H608" s="386"/>
      <c r="I608" s="386"/>
      <c r="J608" s="386"/>
      <c r="K608" s="386"/>
      <c r="L608" s="386"/>
      <c r="M608" s="386"/>
    </row>
    <row r="609" spans="1:13" s="567" customFormat="1">
      <c r="A609" s="1231"/>
      <c r="B609" s="1514"/>
      <c r="C609" s="569" t="s">
        <v>1865</v>
      </c>
      <c r="D609" s="371" t="s">
        <v>122</v>
      </c>
      <c r="E609" s="570">
        <v>1</v>
      </c>
      <c r="F609" s="386">
        <f>F605*E609</f>
        <v>9</v>
      </c>
      <c r="G609" s="439"/>
      <c r="H609" s="386"/>
      <c r="I609" s="386"/>
      <c r="J609" s="386"/>
      <c r="K609" s="386"/>
      <c r="L609" s="386"/>
      <c r="M609" s="386"/>
    </row>
    <row r="610" spans="1:13" s="567" customFormat="1">
      <c r="A610" s="1231"/>
      <c r="B610" s="1514"/>
      <c r="C610" s="569" t="s">
        <v>182</v>
      </c>
      <c r="D610" s="371" t="s">
        <v>97</v>
      </c>
      <c r="E610" s="570">
        <v>0.23499999999999999</v>
      </c>
      <c r="F610" s="386">
        <f>F605*E610</f>
        <v>2.1149999999999998</v>
      </c>
      <c r="G610" s="386"/>
      <c r="H610" s="386"/>
      <c r="I610" s="386"/>
      <c r="J610" s="386"/>
      <c r="K610" s="386"/>
      <c r="L610" s="386"/>
      <c r="M610" s="386"/>
    </row>
    <row r="611" spans="1:13" s="567" customFormat="1">
      <c r="A611" s="1231"/>
      <c r="B611" s="1515"/>
      <c r="C611" s="569" t="s">
        <v>214</v>
      </c>
      <c r="D611" s="1225" t="s">
        <v>57</v>
      </c>
      <c r="E611" s="570">
        <v>0.20799999999999999</v>
      </c>
      <c r="F611" s="386">
        <f>F605*E611</f>
        <v>1.8719999999999999</v>
      </c>
      <c r="G611" s="386"/>
      <c r="H611" s="386"/>
      <c r="I611" s="386"/>
      <c r="J611" s="386"/>
      <c r="K611" s="386"/>
      <c r="L611" s="386"/>
      <c r="M611" s="386"/>
    </row>
    <row r="612" spans="1:13" s="877" customFormat="1" ht="42" customHeight="1">
      <c r="A612" s="1229">
        <v>3</v>
      </c>
      <c r="B612" s="1427" t="s">
        <v>717</v>
      </c>
      <c r="C612" s="565" t="s">
        <v>1863</v>
      </c>
      <c r="D612" s="370" t="s">
        <v>78</v>
      </c>
      <c r="E612" s="370"/>
      <c r="F612" s="384">
        <f>'დეფექტური აქტი'!E142</f>
        <v>5</v>
      </c>
      <c r="G612" s="385"/>
      <c r="H612" s="385"/>
      <c r="I612" s="385"/>
      <c r="J612" s="385"/>
      <c r="K612" s="385"/>
      <c r="L612" s="385"/>
      <c r="M612" s="385"/>
    </row>
    <row r="613" spans="1:13" s="877" customFormat="1">
      <c r="A613" s="1248"/>
      <c r="B613" s="1428"/>
      <c r="C613" s="569" t="s">
        <v>209</v>
      </c>
      <c r="D613" s="371" t="s">
        <v>78</v>
      </c>
      <c r="E613" s="371">
        <v>1</v>
      </c>
      <c r="F613" s="386">
        <f>F612*E613</f>
        <v>5</v>
      </c>
      <c r="G613" s="386"/>
      <c r="H613" s="386"/>
      <c r="I613" s="386"/>
      <c r="J613" s="386"/>
      <c r="K613" s="386"/>
      <c r="L613" s="386"/>
      <c r="M613" s="386"/>
    </row>
    <row r="614" spans="1:13" s="877" customFormat="1">
      <c r="A614" s="1248"/>
      <c r="B614" s="1428"/>
      <c r="C614" s="569" t="s">
        <v>177</v>
      </c>
      <c r="D614" s="1224" t="s">
        <v>57</v>
      </c>
      <c r="E614" s="371">
        <v>0.105</v>
      </c>
      <c r="F614" s="386">
        <f>F612*E614</f>
        <v>0.52500000000000002</v>
      </c>
      <c r="G614" s="386"/>
      <c r="H614" s="386"/>
      <c r="I614" s="386"/>
      <c r="J614" s="386"/>
      <c r="K614" s="386"/>
      <c r="L614" s="386"/>
      <c r="M614" s="386"/>
    </row>
    <row r="615" spans="1:13" s="877" customFormat="1" hidden="1">
      <c r="A615" s="1249"/>
      <c r="B615" s="1428"/>
      <c r="C615" s="365" t="s">
        <v>210</v>
      </c>
      <c r="D615" s="371"/>
      <c r="E615" s="371"/>
      <c r="F615" s="386"/>
      <c r="G615" s="386"/>
      <c r="H615" s="386"/>
      <c r="I615" s="386"/>
      <c r="J615" s="386"/>
      <c r="K615" s="386"/>
      <c r="L615" s="386"/>
      <c r="M615" s="386"/>
    </row>
    <row r="616" spans="1:13" s="877" customFormat="1" ht="27">
      <c r="A616" s="1248"/>
      <c r="B616" s="1428"/>
      <c r="C616" s="569" t="s">
        <v>1099</v>
      </c>
      <c r="D616" s="371" t="s">
        <v>78</v>
      </c>
      <c r="E616" s="371">
        <v>1.03</v>
      </c>
      <c r="F616" s="386">
        <f>F612*E616</f>
        <v>5.15</v>
      </c>
      <c r="G616" s="439"/>
      <c r="H616" s="386"/>
      <c r="I616" s="386"/>
      <c r="J616" s="386"/>
      <c r="K616" s="386"/>
      <c r="L616" s="386"/>
      <c r="M616" s="386"/>
    </row>
    <row r="617" spans="1:13" s="877" customFormat="1">
      <c r="A617" s="1250"/>
      <c r="B617" s="1452"/>
      <c r="C617" s="898" t="s">
        <v>178</v>
      </c>
      <c r="D617" s="1225" t="s">
        <v>57</v>
      </c>
      <c r="E617" s="879">
        <v>0.95</v>
      </c>
      <c r="F617" s="387">
        <f>F612*E617</f>
        <v>4.75</v>
      </c>
      <c r="G617" s="387"/>
      <c r="H617" s="387"/>
      <c r="I617" s="387"/>
      <c r="J617" s="387"/>
      <c r="K617" s="387"/>
      <c r="L617" s="387"/>
      <c r="M617" s="387"/>
    </row>
    <row r="618" spans="1:13" s="45" customFormat="1" ht="27" hidden="1">
      <c r="A618" s="47">
        <v>10</v>
      </c>
      <c r="B618" s="1499" t="s">
        <v>847</v>
      </c>
      <c r="C618" s="46" t="s">
        <v>419</v>
      </c>
      <c r="D618" s="47" t="s">
        <v>78</v>
      </c>
      <c r="E618" s="47"/>
      <c r="F618" s="384">
        <f>'დეფექტური აქტი'!E143</f>
        <v>0</v>
      </c>
      <c r="G618" s="385"/>
      <c r="H618" s="385"/>
      <c r="I618" s="385"/>
      <c r="J618" s="385"/>
      <c r="K618" s="385"/>
      <c r="L618" s="385"/>
      <c r="M618" s="385"/>
    </row>
    <row r="619" spans="1:13" s="45" customFormat="1" hidden="1">
      <c r="A619" s="41"/>
      <c r="B619" s="1434"/>
      <c r="C619" s="84" t="s">
        <v>209</v>
      </c>
      <c r="D619" s="83" t="s">
        <v>80</v>
      </c>
      <c r="E619" s="83">
        <v>0.51600000000000001</v>
      </c>
      <c r="F619" s="386">
        <f>F618*E619</f>
        <v>0</v>
      </c>
      <c r="G619" s="386"/>
      <c r="H619" s="386"/>
      <c r="I619" s="386">
        <v>6</v>
      </c>
      <c r="J619" s="386">
        <f>F619*I619</f>
        <v>0</v>
      </c>
      <c r="K619" s="386"/>
      <c r="L619" s="386"/>
      <c r="M619" s="386">
        <f>H619+J619+L619</f>
        <v>0</v>
      </c>
    </row>
    <row r="620" spans="1:13" s="45" customFormat="1" hidden="1">
      <c r="A620" s="41"/>
      <c r="B620" s="1434"/>
      <c r="C620" s="15" t="s">
        <v>81</v>
      </c>
      <c r="D620" s="83" t="s">
        <v>57</v>
      </c>
      <c r="E620" s="41">
        <v>0.01</v>
      </c>
      <c r="F620" s="386">
        <f>F618*E620</f>
        <v>0</v>
      </c>
      <c r="G620" s="386"/>
      <c r="H620" s="386"/>
      <c r="I620" s="386"/>
      <c r="J620" s="386"/>
      <c r="K620" s="386">
        <v>3.2</v>
      </c>
      <c r="L620" s="386">
        <f>F620*K620</f>
        <v>0</v>
      </c>
      <c r="M620" s="386">
        <f>H620+J620+L620</f>
        <v>0</v>
      </c>
    </row>
    <row r="621" spans="1:13" s="45" customFormat="1" hidden="1">
      <c r="A621" s="41"/>
      <c r="B621" s="1434"/>
      <c r="C621" s="15" t="s">
        <v>210</v>
      </c>
      <c r="D621" s="41"/>
      <c r="E621" s="41"/>
      <c r="F621" s="386"/>
      <c r="G621" s="386"/>
      <c r="H621" s="386"/>
      <c r="I621" s="386"/>
      <c r="J621" s="386"/>
      <c r="K621" s="386"/>
      <c r="L621" s="386"/>
      <c r="M621" s="386"/>
    </row>
    <row r="622" spans="1:13" s="45" customFormat="1" hidden="1">
      <c r="A622" s="41"/>
      <c r="B622" s="1434"/>
      <c r="C622" s="15" t="s">
        <v>140</v>
      </c>
      <c r="D622" s="41" t="s">
        <v>97</v>
      </c>
      <c r="E622" s="41">
        <v>0.63</v>
      </c>
      <c r="F622" s="386">
        <f>F618*E622</f>
        <v>0</v>
      </c>
      <c r="G622" s="386">
        <v>3</v>
      </c>
      <c r="H622" s="386">
        <f>F622*G622</f>
        <v>0</v>
      </c>
      <c r="I622" s="386"/>
      <c r="J622" s="386"/>
      <c r="K622" s="386"/>
      <c r="L622" s="386"/>
      <c r="M622" s="386">
        <f>H622+J622+L622</f>
        <v>0</v>
      </c>
    </row>
    <row r="623" spans="1:13" s="45" customFormat="1" hidden="1">
      <c r="A623" s="41"/>
      <c r="B623" s="1434"/>
      <c r="C623" s="15" t="s">
        <v>134</v>
      </c>
      <c r="D623" s="41" t="s">
        <v>97</v>
      </c>
      <c r="E623" s="41">
        <v>0.55000000000000004</v>
      </c>
      <c r="F623" s="386">
        <f>F618*E623</f>
        <v>0</v>
      </c>
      <c r="G623" s="386">
        <v>0.5</v>
      </c>
      <c r="H623" s="386">
        <f>F623*G623</f>
        <v>0</v>
      </c>
      <c r="I623" s="386"/>
      <c r="J623" s="386"/>
      <c r="K623" s="386"/>
      <c r="L623" s="386"/>
      <c r="M623" s="386">
        <f>H623+J623+L623</f>
        <v>0</v>
      </c>
    </row>
    <row r="624" spans="1:13" s="45" customFormat="1" hidden="1">
      <c r="A624" s="41"/>
      <c r="B624" s="1463"/>
      <c r="C624" s="15" t="s">
        <v>214</v>
      </c>
      <c r="D624" s="86" t="s">
        <v>57</v>
      </c>
      <c r="E624" s="41">
        <v>7.0000000000000001E-3</v>
      </c>
      <c r="F624" s="386">
        <f>F618*E624</f>
        <v>0</v>
      </c>
      <c r="G624" s="386">
        <v>3.2</v>
      </c>
      <c r="H624" s="386">
        <f>F624*G624</f>
        <v>0</v>
      </c>
      <c r="I624" s="386"/>
      <c r="J624" s="386"/>
      <c r="K624" s="386"/>
      <c r="L624" s="386"/>
      <c r="M624" s="386">
        <f>H624+J624+L624</f>
        <v>0</v>
      </c>
    </row>
    <row r="625" spans="1:13" s="52" customFormat="1" ht="27" hidden="1">
      <c r="A625" s="47">
        <v>11</v>
      </c>
      <c r="B625" s="1449" t="s">
        <v>179</v>
      </c>
      <c r="C625" s="46" t="s">
        <v>180</v>
      </c>
      <c r="D625" s="47" t="s">
        <v>122</v>
      </c>
      <c r="E625" s="47"/>
      <c r="F625" s="384">
        <f>'დეფექტური აქტი'!E144</f>
        <v>0</v>
      </c>
      <c r="G625" s="385"/>
      <c r="H625" s="602"/>
      <c r="I625" s="385"/>
      <c r="J625" s="385"/>
      <c r="K625" s="385"/>
      <c r="L625" s="385"/>
      <c r="M625" s="385"/>
    </row>
    <row r="626" spans="1:13" s="52" customFormat="1" hidden="1">
      <c r="A626" s="41"/>
      <c r="B626" s="1450"/>
      <c r="C626" s="66" t="s">
        <v>209</v>
      </c>
      <c r="D626" s="41" t="s">
        <v>80</v>
      </c>
      <c r="E626" s="53">
        <v>0.58299999999999996</v>
      </c>
      <c r="F626" s="386">
        <f>F625*E626</f>
        <v>0</v>
      </c>
      <c r="G626" s="386"/>
      <c r="H626" s="603"/>
      <c r="I626" s="386">
        <v>4.5999999999999996</v>
      </c>
      <c r="J626" s="386">
        <f>F626*I626</f>
        <v>0</v>
      </c>
      <c r="K626" s="386"/>
      <c r="L626" s="386"/>
      <c r="M626" s="386">
        <f>H626+J626+L626</f>
        <v>0</v>
      </c>
    </row>
    <row r="627" spans="1:13" s="52" customFormat="1" hidden="1">
      <c r="A627" s="41"/>
      <c r="B627" s="1450"/>
      <c r="C627" s="66" t="s">
        <v>181</v>
      </c>
      <c r="D627" s="83" t="s">
        <v>57</v>
      </c>
      <c r="E627" s="53">
        <v>4.8300000000000003E-2</v>
      </c>
      <c r="F627" s="386">
        <f>F625*E627</f>
        <v>0</v>
      </c>
      <c r="G627" s="386"/>
      <c r="H627" s="386"/>
      <c r="I627" s="386"/>
      <c r="J627" s="386"/>
      <c r="K627" s="386">
        <v>3.2</v>
      </c>
      <c r="L627" s="386">
        <f>F627*K627</f>
        <v>0</v>
      </c>
      <c r="M627" s="386">
        <f>H627+J627+L627</f>
        <v>0</v>
      </c>
    </row>
    <row r="628" spans="1:13" s="52" customFormat="1" hidden="1">
      <c r="A628" s="41"/>
      <c r="B628" s="1450"/>
      <c r="C628" s="15" t="s">
        <v>210</v>
      </c>
      <c r="D628" s="41"/>
      <c r="E628" s="53"/>
      <c r="F628" s="386"/>
      <c r="G628" s="386"/>
      <c r="H628" s="386"/>
      <c r="I628" s="386"/>
      <c r="J628" s="386"/>
      <c r="K628" s="386"/>
      <c r="L628" s="386"/>
      <c r="M628" s="386"/>
    </row>
    <row r="629" spans="1:13" s="52" customFormat="1" hidden="1">
      <c r="A629" s="41"/>
      <c r="B629" s="1450"/>
      <c r="C629" s="66" t="s">
        <v>406</v>
      </c>
      <c r="D629" s="41" t="s">
        <v>122</v>
      </c>
      <c r="E629" s="53">
        <v>1</v>
      </c>
      <c r="F629" s="386">
        <f>F625*E629</f>
        <v>0</v>
      </c>
      <c r="G629" s="439">
        <v>29.7</v>
      </c>
      <c r="H629" s="386">
        <f>F629*G629</f>
        <v>0</v>
      </c>
      <c r="I629" s="386"/>
      <c r="J629" s="386"/>
      <c r="K629" s="386"/>
      <c r="L629" s="386"/>
      <c r="M629" s="386">
        <f>H629+J629+L629</f>
        <v>0</v>
      </c>
    </row>
    <row r="630" spans="1:13" s="52" customFormat="1" hidden="1">
      <c r="A630" s="41"/>
      <c r="B630" s="1450"/>
      <c r="C630" s="66" t="s">
        <v>182</v>
      </c>
      <c r="D630" s="41" t="s">
        <v>97</v>
      </c>
      <c r="E630" s="53">
        <v>0.23499999999999999</v>
      </c>
      <c r="F630" s="386">
        <f>F625*E630</f>
        <v>0</v>
      </c>
      <c r="G630" s="386">
        <v>3.5</v>
      </c>
      <c r="H630" s="386">
        <f>F630*G630</f>
        <v>0</v>
      </c>
      <c r="I630" s="386"/>
      <c r="J630" s="386"/>
      <c r="K630" s="386"/>
      <c r="L630" s="386"/>
      <c r="M630" s="386">
        <f>H630+J630+L630</f>
        <v>0</v>
      </c>
    </row>
    <row r="631" spans="1:13" s="52" customFormat="1" hidden="1">
      <c r="A631" s="41"/>
      <c r="B631" s="1512"/>
      <c r="C631" s="66" t="s">
        <v>214</v>
      </c>
      <c r="D631" s="86" t="s">
        <v>57</v>
      </c>
      <c r="E631" s="53">
        <v>0.20799999999999999</v>
      </c>
      <c r="F631" s="386">
        <f>F625*E631</f>
        <v>0</v>
      </c>
      <c r="G631" s="386">
        <v>3.2</v>
      </c>
      <c r="H631" s="386">
        <f>F631*G631</f>
        <v>0</v>
      </c>
      <c r="I631" s="386"/>
      <c r="J631" s="386"/>
      <c r="K631" s="386"/>
      <c r="L631" s="386"/>
      <c r="M631" s="386">
        <f>H631+J631+L631</f>
        <v>0</v>
      </c>
    </row>
    <row r="632" spans="1:13" s="55" customFormat="1">
      <c r="A632" s="1178"/>
      <c r="B632" s="138"/>
      <c r="C632" s="204" t="s">
        <v>123</v>
      </c>
      <c r="D632" s="48"/>
      <c r="E632" s="47"/>
      <c r="F632" s="385"/>
      <c r="G632" s="385"/>
      <c r="H632" s="385"/>
      <c r="I632" s="385"/>
      <c r="J632" s="385"/>
      <c r="K632" s="385"/>
      <c r="L632" s="385"/>
      <c r="M632" s="385"/>
    </row>
    <row r="633" spans="1:13" s="45" customFormat="1" ht="27">
      <c r="A633" s="1178">
        <v>1</v>
      </c>
      <c r="B633" s="1497" t="s">
        <v>1127</v>
      </c>
      <c r="C633" s="46" t="s">
        <v>1834</v>
      </c>
      <c r="D633" s="47" t="s">
        <v>78</v>
      </c>
      <c r="E633" s="47"/>
      <c r="F633" s="384">
        <f>'დეფექტური აქტი'!E146</f>
        <v>27.54</v>
      </c>
      <c r="G633" s="385"/>
      <c r="H633" s="385"/>
      <c r="I633" s="385"/>
      <c r="J633" s="385"/>
      <c r="K633" s="385"/>
      <c r="L633" s="385"/>
      <c r="M633" s="385"/>
    </row>
    <row r="634" spans="1:13" s="45" customFormat="1">
      <c r="A634" s="412"/>
      <c r="B634" s="1501"/>
      <c r="C634" s="15" t="s">
        <v>209</v>
      </c>
      <c r="D634" s="41" t="s">
        <v>78</v>
      </c>
      <c r="E634" s="41">
        <v>1</v>
      </c>
      <c r="F634" s="386">
        <f>F633*E634</f>
        <v>27.54</v>
      </c>
      <c r="G634" s="386"/>
      <c r="H634" s="386"/>
      <c r="I634" s="386"/>
      <c r="J634" s="386"/>
      <c r="K634" s="386"/>
      <c r="L634" s="386"/>
      <c r="M634" s="386"/>
    </row>
    <row r="635" spans="1:13" s="45" customFormat="1" hidden="1">
      <c r="A635" s="41"/>
      <c r="B635" s="1501"/>
      <c r="C635" s="15" t="s">
        <v>210</v>
      </c>
      <c r="D635" s="41"/>
      <c r="E635" s="41"/>
      <c r="F635" s="386"/>
      <c r="G635" s="386"/>
      <c r="H635" s="386"/>
      <c r="I635" s="386"/>
      <c r="J635" s="386"/>
      <c r="K635" s="386"/>
      <c r="L635" s="386"/>
      <c r="M635" s="386"/>
    </row>
    <row r="636" spans="1:13" s="45" customFormat="1">
      <c r="A636" s="412"/>
      <c r="B636" s="1501"/>
      <c r="C636" s="15" t="s">
        <v>1835</v>
      </c>
      <c r="D636" s="43" t="s">
        <v>78</v>
      </c>
      <c r="E636" s="41">
        <v>1</v>
      </c>
      <c r="F636" s="386">
        <f>F633*E636</f>
        <v>27.54</v>
      </c>
      <c r="G636" s="439"/>
      <c r="H636" s="386"/>
      <c r="I636" s="386"/>
      <c r="J636" s="386"/>
      <c r="K636" s="386"/>
      <c r="L636" s="386"/>
      <c r="M636" s="386"/>
    </row>
    <row r="637" spans="1:13" s="45" customFormat="1" ht="27" hidden="1">
      <c r="A637" s="47">
        <v>2</v>
      </c>
      <c r="B637" s="1497" t="s">
        <v>1127</v>
      </c>
      <c r="C637" s="46" t="s">
        <v>400</v>
      </c>
      <c r="D637" s="47" t="s">
        <v>78</v>
      </c>
      <c r="E637" s="47"/>
      <c r="F637" s="384">
        <f>'დეფექტური აქტი'!E147</f>
        <v>0</v>
      </c>
      <c r="G637" s="385"/>
      <c r="H637" s="385"/>
      <c r="I637" s="385"/>
      <c r="J637" s="385"/>
      <c r="K637" s="385"/>
      <c r="L637" s="385"/>
      <c r="M637" s="385"/>
    </row>
    <row r="638" spans="1:13" s="45" customFormat="1" hidden="1">
      <c r="A638" s="41"/>
      <c r="B638" s="1501"/>
      <c r="C638" s="15" t="s">
        <v>209</v>
      </c>
      <c r="D638" s="41" t="s">
        <v>78</v>
      </c>
      <c r="E638" s="41">
        <v>1</v>
      </c>
      <c r="F638" s="386">
        <f>F637*E638</f>
        <v>0</v>
      </c>
      <c r="G638" s="386"/>
      <c r="H638" s="386"/>
      <c r="I638" s="386">
        <v>5</v>
      </c>
      <c r="J638" s="386">
        <f>F638*I638</f>
        <v>0</v>
      </c>
      <c r="K638" s="386"/>
      <c r="L638" s="386"/>
      <c r="M638" s="386">
        <f>H638+J638+L638</f>
        <v>0</v>
      </c>
    </row>
    <row r="639" spans="1:13" s="45" customFormat="1" hidden="1">
      <c r="A639" s="41"/>
      <c r="B639" s="1501"/>
      <c r="C639" s="15" t="s">
        <v>210</v>
      </c>
      <c r="D639" s="41"/>
      <c r="E639" s="41"/>
      <c r="F639" s="386"/>
      <c r="G639" s="386"/>
      <c r="H639" s="386"/>
      <c r="I639" s="386"/>
      <c r="J639" s="386"/>
      <c r="K639" s="386"/>
      <c r="L639" s="386"/>
      <c r="M639" s="386"/>
    </row>
    <row r="640" spans="1:13" s="45" customFormat="1" hidden="1">
      <c r="A640" s="41"/>
      <c r="B640" s="1501"/>
      <c r="C640" s="15" t="s">
        <v>1097</v>
      </c>
      <c r="D640" s="43" t="s">
        <v>78</v>
      </c>
      <c r="E640" s="41">
        <v>1</v>
      </c>
      <c r="F640" s="386">
        <f>F637*E640</f>
        <v>0</v>
      </c>
      <c r="G640" s="439">
        <v>125</v>
      </c>
      <c r="H640" s="386">
        <f>F640*G640</f>
        <v>0</v>
      </c>
      <c r="I640" s="386"/>
      <c r="J640" s="386"/>
      <c r="K640" s="386"/>
      <c r="L640" s="386"/>
      <c r="M640" s="386">
        <f>H640+J640+L640</f>
        <v>0</v>
      </c>
    </row>
    <row r="641" spans="1:13" s="45" customFormat="1">
      <c r="A641" s="1178">
        <v>3</v>
      </c>
      <c r="B641" s="1435" t="s">
        <v>443</v>
      </c>
      <c r="C641" s="46" t="s">
        <v>947</v>
      </c>
      <c r="D641" s="47" t="s">
        <v>122</v>
      </c>
      <c r="E641" s="47"/>
      <c r="F641" s="384">
        <f>'დეფექტური აქტი'!E148</f>
        <v>64.2</v>
      </c>
      <c r="G641" s="385"/>
      <c r="H641" s="385"/>
      <c r="I641" s="385"/>
      <c r="J641" s="385"/>
      <c r="K641" s="385"/>
      <c r="L641" s="385"/>
      <c r="M641" s="385"/>
    </row>
    <row r="642" spans="1:13" s="45" customFormat="1">
      <c r="A642" s="412"/>
      <c r="B642" s="1436"/>
      <c r="C642" s="15" t="s">
        <v>209</v>
      </c>
      <c r="D642" s="41" t="s">
        <v>80</v>
      </c>
      <c r="E642" s="41">
        <v>0.129</v>
      </c>
      <c r="F642" s="386">
        <f>F641*E642</f>
        <v>8.2818000000000005</v>
      </c>
      <c r="G642" s="386"/>
      <c r="H642" s="386"/>
      <c r="I642" s="386"/>
      <c r="J642" s="386"/>
      <c r="K642" s="386"/>
      <c r="L642" s="386"/>
      <c r="M642" s="386"/>
    </row>
    <row r="643" spans="1:13" s="52" customFormat="1">
      <c r="A643" s="412"/>
      <c r="B643" s="1436"/>
      <c r="C643" s="66" t="s">
        <v>181</v>
      </c>
      <c r="D643" s="83" t="s">
        <v>57</v>
      </c>
      <c r="E643" s="53">
        <v>7.6700000000000004E-2</v>
      </c>
      <c r="F643" s="386">
        <f>F641*E643</f>
        <v>4.9241400000000004</v>
      </c>
      <c r="G643" s="386"/>
      <c r="H643" s="386"/>
      <c r="I643" s="386"/>
      <c r="J643" s="386"/>
      <c r="K643" s="386"/>
      <c r="L643" s="386"/>
      <c r="M643" s="386"/>
    </row>
    <row r="644" spans="1:13" s="45" customFormat="1" hidden="1">
      <c r="A644" s="41"/>
      <c r="B644" s="1436"/>
      <c r="C644" s="15" t="s">
        <v>210</v>
      </c>
      <c r="D644" s="41"/>
      <c r="E644" s="41"/>
      <c r="F644" s="386"/>
      <c r="G644" s="386"/>
      <c r="H644" s="386"/>
      <c r="I644" s="386"/>
      <c r="J644" s="386"/>
      <c r="K644" s="386"/>
      <c r="L644" s="386"/>
      <c r="M644" s="386"/>
    </row>
    <row r="645" spans="1:13" s="45" customFormat="1">
      <c r="A645" s="412"/>
      <c r="B645" s="1436"/>
      <c r="C645" s="15" t="s">
        <v>948</v>
      </c>
      <c r="D645" s="41" t="s">
        <v>122</v>
      </c>
      <c r="E645" s="41">
        <v>1.1200000000000001</v>
      </c>
      <c r="F645" s="386">
        <f>F641*E645</f>
        <v>71.904000000000011</v>
      </c>
      <c r="G645" s="439"/>
      <c r="H645" s="386"/>
      <c r="I645" s="386"/>
      <c r="J645" s="386"/>
      <c r="K645" s="386"/>
      <c r="L645" s="386"/>
      <c r="M645" s="386"/>
    </row>
    <row r="646" spans="1:13" s="45" customFormat="1">
      <c r="A646" s="412"/>
      <c r="B646" s="1436"/>
      <c r="C646" s="15" t="s">
        <v>270</v>
      </c>
      <c r="D646" s="43" t="s">
        <v>97</v>
      </c>
      <c r="E646" s="41">
        <v>1.7999999999999999E-2</v>
      </c>
      <c r="F646" s="386">
        <f>F641*E646</f>
        <v>1.1556</v>
      </c>
      <c r="G646" s="386"/>
      <c r="H646" s="386"/>
      <c r="I646" s="386"/>
      <c r="J646" s="386"/>
      <c r="K646" s="386"/>
      <c r="L646" s="386"/>
      <c r="M646" s="386"/>
    </row>
    <row r="647" spans="1:13" s="51" customFormat="1" hidden="1">
      <c r="A647" s="47">
        <v>4</v>
      </c>
      <c r="B647" s="1433" t="s">
        <v>183</v>
      </c>
      <c r="C647" s="46" t="s">
        <v>627</v>
      </c>
      <c r="D647" s="47" t="s">
        <v>78</v>
      </c>
      <c r="E647" s="47"/>
      <c r="F647" s="384">
        <f>'დეფექტური აქტი'!E149</f>
        <v>0</v>
      </c>
      <c r="G647" s="385"/>
      <c r="H647" s="385"/>
      <c r="I647" s="385"/>
      <c r="J647" s="385"/>
      <c r="K647" s="385"/>
      <c r="L647" s="385"/>
      <c r="M647" s="385"/>
    </row>
    <row r="648" spans="1:13" s="51" customFormat="1" hidden="1">
      <c r="A648" s="41"/>
      <c r="B648" s="1434"/>
      <c r="C648" s="15" t="s">
        <v>322</v>
      </c>
      <c r="D648" s="41" t="s">
        <v>80</v>
      </c>
      <c r="E648" s="41">
        <v>1.0054000000000001</v>
      </c>
      <c r="F648" s="386">
        <f>F647*E648</f>
        <v>0</v>
      </c>
      <c r="G648" s="386"/>
      <c r="H648" s="386"/>
      <c r="I648" s="386">
        <v>6</v>
      </c>
      <c r="J648" s="386">
        <f>F648*I648</f>
        <v>0</v>
      </c>
      <c r="K648" s="386"/>
      <c r="L648" s="386"/>
      <c r="M648" s="386">
        <f>H648+J648+L648</f>
        <v>0</v>
      </c>
    </row>
    <row r="649" spans="1:13" s="51" customFormat="1" hidden="1">
      <c r="A649" s="41"/>
      <c r="B649" s="1434"/>
      <c r="C649" s="15" t="s">
        <v>81</v>
      </c>
      <c r="D649" s="83" t="s">
        <v>57</v>
      </c>
      <c r="E649" s="41">
        <v>0.35299999999999998</v>
      </c>
      <c r="F649" s="386">
        <f>F647*E649</f>
        <v>0</v>
      </c>
      <c r="G649" s="386"/>
      <c r="H649" s="386"/>
      <c r="I649" s="386"/>
      <c r="J649" s="386"/>
      <c r="K649" s="386">
        <v>3.2</v>
      </c>
      <c r="L649" s="386">
        <f>F649*K649</f>
        <v>0</v>
      </c>
      <c r="M649" s="386">
        <f>H649+J649+L649</f>
        <v>0</v>
      </c>
    </row>
    <row r="650" spans="1:13" s="51" customFormat="1" hidden="1">
      <c r="A650" s="41"/>
      <c r="B650" s="1434"/>
      <c r="C650" s="15" t="s">
        <v>210</v>
      </c>
      <c r="D650" s="41"/>
      <c r="E650" s="41"/>
      <c r="F650" s="386"/>
      <c r="G650" s="386"/>
      <c r="H650" s="386"/>
      <c r="I650" s="386"/>
      <c r="J650" s="386"/>
      <c r="K650" s="386"/>
      <c r="L650" s="386"/>
      <c r="M650" s="386"/>
    </row>
    <row r="651" spans="1:13" s="51" customFormat="1" hidden="1">
      <c r="A651" s="41"/>
      <c r="B651" s="1434"/>
      <c r="C651" s="15" t="s">
        <v>985</v>
      </c>
      <c r="D651" s="41" t="s">
        <v>78</v>
      </c>
      <c r="E651" s="41">
        <v>1</v>
      </c>
      <c r="F651" s="386">
        <f>F647*E651</f>
        <v>0</v>
      </c>
      <c r="G651" s="792">
        <v>320</v>
      </c>
      <c r="H651" s="386">
        <f>F651*G651</f>
        <v>0</v>
      </c>
      <c r="I651" s="386"/>
      <c r="J651" s="386"/>
      <c r="K651" s="386"/>
      <c r="L651" s="386"/>
      <c r="M651" s="386">
        <f>H651+J651+L651</f>
        <v>0</v>
      </c>
    </row>
    <row r="652" spans="1:13" s="51" customFormat="1" hidden="1">
      <c r="A652" s="41"/>
      <c r="B652" s="1434"/>
      <c r="C652" s="15" t="s">
        <v>407</v>
      </c>
      <c r="D652" s="41" t="s">
        <v>88</v>
      </c>
      <c r="E652" s="41">
        <v>8.0000000000000004E-4</v>
      </c>
      <c r="F652" s="386">
        <f>F647*E652</f>
        <v>0</v>
      </c>
      <c r="G652" s="386">
        <v>375</v>
      </c>
      <c r="H652" s="386">
        <f>F652*G652</f>
        <v>0</v>
      </c>
      <c r="I652" s="386"/>
      <c r="J652" s="386"/>
      <c r="K652" s="386"/>
      <c r="L652" s="386"/>
      <c r="M652" s="386">
        <f>H652+J652+L652</f>
        <v>0</v>
      </c>
    </row>
    <row r="653" spans="1:13" s="51" customFormat="1" hidden="1">
      <c r="A653" s="41"/>
      <c r="B653" s="1434"/>
      <c r="C653" s="15" t="s">
        <v>184</v>
      </c>
      <c r="D653" s="41" t="s">
        <v>78</v>
      </c>
      <c r="E653" s="41">
        <v>0.89</v>
      </c>
      <c r="F653" s="386">
        <f>F647*E653</f>
        <v>0</v>
      </c>
      <c r="G653" s="386">
        <v>2.1</v>
      </c>
      <c r="H653" s="386">
        <f>F653*G653</f>
        <v>0</v>
      </c>
      <c r="I653" s="386"/>
      <c r="J653" s="386"/>
      <c r="K653" s="386"/>
      <c r="L653" s="386"/>
      <c r="M653" s="386">
        <f>H653+J653+L653</f>
        <v>0</v>
      </c>
    </row>
    <row r="654" spans="1:13" s="51" customFormat="1" hidden="1">
      <c r="A654" s="41"/>
      <c r="B654" s="1434"/>
      <c r="C654" s="15" t="s">
        <v>185</v>
      </c>
      <c r="D654" s="41" t="s">
        <v>4</v>
      </c>
      <c r="E654" s="41"/>
      <c r="F654" s="388">
        <f>'დეფექტური აქტი'!E150</f>
        <v>0</v>
      </c>
      <c r="G654" s="386">
        <v>20</v>
      </c>
      <c r="H654" s="386">
        <f>F654*G654</f>
        <v>0</v>
      </c>
      <c r="I654" s="386"/>
      <c r="J654" s="386"/>
      <c r="K654" s="386"/>
      <c r="L654" s="386"/>
      <c r="M654" s="386">
        <f>H654+J654+L654</f>
        <v>0</v>
      </c>
    </row>
    <row r="655" spans="1:13" s="51" customFormat="1" hidden="1">
      <c r="A655" s="41"/>
      <c r="B655" s="1434"/>
      <c r="C655" s="15" t="s">
        <v>214</v>
      </c>
      <c r="D655" s="86" t="s">
        <v>57</v>
      </c>
      <c r="E655" s="41">
        <v>0.27600000000000002</v>
      </c>
      <c r="F655" s="386">
        <f>F647*E655</f>
        <v>0</v>
      </c>
      <c r="G655" s="386">
        <v>3.2</v>
      </c>
      <c r="H655" s="386">
        <f>F655*G655</f>
        <v>0</v>
      </c>
      <c r="I655" s="386"/>
      <c r="J655" s="386"/>
      <c r="K655" s="386"/>
      <c r="L655" s="386"/>
      <c r="M655" s="386">
        <f>H655+J655+L655</f>
        <v>0</v>
      </c>
    </row>
    <row r="656" spans="1:13" s="45" customFormat="1" hidden="1">
      <c r="A656" s="47">
        <v>5</v>
      </c>
      <c r="B656" s="1497" t="s">
        <v>1127</v>
      </c>
      <c r="C656" s="46" t="s">
        <v>1096</v>
      </c>
      <c r="D656" s="47" t="s">
        <v>78</v>
      </c>
      <c r="E656" s="47"/>
      <c r="F656" s="384">
        <f>'დეფექტური აქტი'!E151</f>
        <v>0</v>
      </c>
      <c r="G656" s="385"/>
      <c r="H656" s="385"/>
      <c r="I656" s="385"/>
      <c r="J656" s="385"/>
      <c r="K656" s="385"/>
      <c r="L656" s="385"/>
      <c r="M656" s="385"/>
    </row>
    <row r="657" spans="1:13" s="88" customFormat="1" hidden="1">
      <c r="A657" s="83"/>
      <c r="B657" s="1501"/>
      <c r="C657" s="223" t="s">
        <v>209</v>
      </c>
      <c r="D657" s="211" t="s">
        <v>78</v>
      </c>
      <c r="E657" s="211">
        <v>1</v>
      </c>
      <c r="F657" s="386">
        <f>F656*E657</f>
        <v>0</v>
      </c>
      <c r="G657" s="225"/>
      <c r="H657" s="225"/>
      <c r="I657" s="386">
        <v>15</v>
      </c>
      <c r="J657" s="225">
        <f>F657*I657</f>
        <v>0</v>
      </c>
      <c r="K657" s="225"/>
      <c r="L657" s="225"/>
      <c r="M657" s="225">
        <f>H657+J657+L657</f>
        <v>0</v>
      </c>
    </row>
    <row r="658" spans="1:13" s="88" customFormat="1" hidden="1">
      <c r="A658" s="83"/>
      <c r="B658" s="1501"/>
      <c r="C658" s="15" t="s">
        <v>210</v>
      </c>
      <c r="D658" s="211"/>
      <c r="E658" s="211"/>
      <c r="F658" s="386"/>
      <c r="G658" s="225"/>
      <c r="H658" s="225"/>
      <c r="I658" s="225"/>
      <c r="J658" s="225"/>
      <c r="K658" s="225"/>
      <c r="L658" s="225"/>
      <c r="M658" s="225"/>
    </row>
    <row r="659" spans="1:13" s="88" customFormat="1" hidden="1">
      <c r="A659" s="83"/>
      <c r="B659" s="1501"/>
      <c r="C659" s="223" t="s">
        <v>363</v>
      </c>
      <c r="D659" s="41" t="s">
        <v>4</v>
      </c>
      <c r="E659" s="211"/>
      <c r="F659" s="388">
        <f>'დეფექტური აქტი'!E152</f>
        <v>0</v>
      </c>
      <c r="G659" s="225">
        <v>15</v>
      </c>
      <c r="H659" s="225">
        <f>G659*F659</f>
        <v>0</v>
      </c>
      <c r="I659" s="225"/>
      <c r="J659" s="225"/>
      <c r="K659" s="225"/>
      <c r="L659" s="225"/>
      <c r="M659" s="386">
        <f>H659+J659+L659</f>
        <v>0</v>
      </c>
    </row>
    <row r="660" spans="1:13" s="88" customFormat="1" hidden="1">
      <c r="A660" s="83"/>
      <c r="B660" s="1501"/>
      <c r="C660" s="223" t="s">
        <v>401</v>
      </c>
      <c r="D660" s="230" t="s">
        <v>78</v>
      </c>
      <c r="E660" s="211">
        <v>1</v>
      </c>
      <c r="F660" s="386">
        <f>F656*E660</f>
        <v>0</v>
      </c>
      <c r="G660" s="225">
        <v>5</v>
      </c>
      <c r="H660" s="225">
        <f>F660*G660</f>
        <v>0</v>
      </c>
      <c r="I660" s="225"/>
      <c r="J660" s="225"/>
      <c r="K660" s="225"/>
      <c r="L660" s="225"/>
      <c r="M660" s="225">
        <f>H660+J660+L660</f>
        <v>0</v>
      </c>
    </row>
    <row r="661" spans="1:13" s="51" customFormat="1" ht="40.5" hidden="1">
      <c r="A661" s="47">
        <v>6</v>
      </c>
      <c r="B661" s="1433" t="s">
        <v>1057</v>
      </c>
      <c r="C661" s="46" t="s">
        <v>41</v>
      </c>
      <c r="D661" s="47" t="s">
        <v>78</v>
      </c>
      <c r="E661" s="47"/>
      <c r="F661" s="384">
        <f>'დეფექტური აქტი'!E153</f>
        <v>0</v>
      </c>
      <c r="G661" s="385"/>
      <c r="H661" s="385"/>
      <c r="I661" s="385"/>
      <c r="J661" s="385"/>
      <c r="K661" s="385"/>
      <c r="L661" s="385"/>
      <c r="M661" s="385"/>
    </row>
    <row r="662" spans="1:13" s="51" customFormat="1" hidden="1">
      <c r="A662" s="41"/>
      <c r="B662" s="1434"/>
      <c r="C662" s="15" t="s">
        <v>1058</v>
      </c>
      <c r="D662" s="41" t="s">
        <v>80</v>
      </c>
      <c r="E662" s="41">
        <f>1.33*0.67</f>
        <v>0.89110000000000011</v>
      </c>
      <c r="F662" s="386">
        <f>F661*E662</f>
        <v>0</v>
      </c>
      <c r="G662" s="386"/>
      <c r="H662" s="386"/>
      <c r="I662" s="386">
        <v>6</v>
      </c>
      <c r="J662" s="386">
        <f>F662*I662</f>
        <v>0</v>
      </c>
      <c r="K662" s="386"/>
      <c r="L662" s="386"/>
      <c r="M662" s="386">
        <f>H662+J662+L662</f>
        <v>0</v>
      </c>
    </row>
    <row r="663" spans="1:13" s="51" customFormat="1" hidden="1">
      <c r="A663" s="41"/>
      <c r="B663" s="1434"/>
      <c r="C663" s="15" t="s">
        <v>1059</v>
      </c>
      <c r="D663" s="83" t="s">
        <v>57</v>
      </c>
      <c r="E663" s="41">
        <f>0.0094*0.67</f>
        <v>6.2980000000000006E-3</v>
      </c>
      <c r="F663" s="386">
        <f>F661*E663</f>
        <v>0</v>
      </c>
      <c r="G663" s="386"/>
      <c r="H663" s="386"/>
      <c r="I663" s="386"/>
      <c r="J663" s="386"/>
      <c r="K663" s="386">
        <v>3.2</v>
      </c>
      <c r="L663" s="386">
        <f>F663*K663</f>
        <v>0</v>
      </c>
      <c r="M663" s="386">
        <f>H663+J663+L663</f>
        <v>0</v>
      </c>
    </row>
    <row r="664" spans="1:13" s="51" customFormat="1" hidden="1">
      <c r="A664" s="41"/>
      <c r="B664" s="1434"/>
      <c r="C664" s="15" t="s">
        <v>210</v>
      </c>
      <c r="D664" s="41"/>
      <c r="E664" s="41"/>
      <c r="F664" s="386"/>
      <c r="G664" s="386"/>
      <c r="H664" s="386"/>
      <c r="I664" s="386"/>
      <c r="J664" s="386"/>
      <c r="K664" s="386"/>
      <c r="L664" s="386"/>
      <c r="M664" s="386"/>
    </row>
    <row r="665" spans="1:13" s="51" customFormat="1" hidden="1">
      <c r="A665" s="41"/>
      <c r="B665" s="1434"/>
      <c r="C665" s="15" t="s">
        <v>1060</v>
      </c>
      <c r="D665" s="41" t="s">
        <v>206</v>
      </c>
      <c r="E665" s="41">
        <f>0.0107*0.67</f>
        <v>7.169E-3</v>
      </c>
      <c r="F665" s="386">
        <f>F661*E665</f>
        <v>0</v>
      </c>
      <c r="G665" s="386">
        <v>1640</v>
      </c>
      <c r="H665" s="386">
        <f>F665*G665</f>
        <v>0</v>
      </c>
      <c r="I665" s="386"/>
      <c r="J665" s="386"/>
      <c r="K665" s="386"/>
      <c r="L665" s="386"/>
      <c r="M665" s="386">
        <f>H665+J665+L665</f>
        <v>0</v>
      </c>
    </row>
    <row r="666" spans="1:13" s="51" customFormat="1" hidden="1">
      <c r="A666" s="41"/>
      <c r="B666" s="1434"/>
      <c r="C666" s="15" t="s">
        <v>1068</v>
      </c>
      <c r="D666" s="86" t="s">
        <v>57</v>
      </c>
      <c r="E666" s="41">
        <f>0.085*0.67</f>
        <v>5.6950000000000008E-2</v>
      </c>
      <c r="F666" s="386">
        <f>F661*E666</f>
        <v>0</v>
      </c>
      <c r="G666" s="386">
        <v>3.2</v>
      </c>
      <c r="H666" s="386">
        <f>F666*G666</f>
        <v>0</v>
      </c>
      <c r="I666" s="386"/>
      <c r="J666" s="386"/>
      <c r="K666" s="386"/>
      <c r="L666" s="386"/>
      <c r="M666" s="386">
        <f>H666+J666+L666</f>
        <v>0</v>
      </c>
    </row>
    <row r="667" spans="1:13" s="92" customFormat="1" hidden="1">
      <c r="A667" s="140">
        <v>7</v>
      </c>
      <c r="B667" s="1446" t="s">
        <v>545</v>
      </c>
      <c r="C667" s="151" t="s">
        <v>1026</v>
      </c>
      <c r="D667" s="140" t="s">
        <v>206</v>
      </c>
      <c r="E667" s="140"/>
      <c r="F667" s="384">
        <f>F671*0.1</f>
        <v>0</v>
      </c>
      <c r="G667" s="422"/>
      <c r="H667" s="422"/>
      <c r="I667" s="422"/>
      <c r="J667" s="422"/>
      <c r="K667" s="422"/>
      <c r="L667" s="422"/>
      <c r="M667" s="422"/>
    </row>
    <row r="668" spans="1:13" s="92" customFormat="1" hidden="1">
      <c r="A668" s="83"/>
      <c r="B668" s="1432"/>
      <c r="C668" s="223" t="s">
        <v>209</v>
      </c>
      <c r="D668" s="211" t="s">
        <v>80</v>
      </c>
      <c r="E668" s="211">
        <v>63.4</v>
      </c>
      <c r="F668" s="386">
        <f>F667*E668</f>
        <v>0</v>
      </c>
      <c r="G668" s="225"/>
      <c r="H668" s="225"/>
      <c r="I668" s="225">
        <v>4.5999999999999996</v>
      </c>
      <c r="J668" s="225">
        <f>F668*I668</f>
        <v>0</v>
      </c>
      <c r="K668" s="225"/>
      <c r="L668" s="225"/>
      <c r="M668" s="225">
        <f>H668+J668+L668</f>
        <v>0</v>
      </c>
    </row>
    <row r="669" spans="1:13" s="92" customFormat="1" hidden="1">
      <c r="A669" s="83"/>
      <c r="B669" s="1432"/>
      <c r="C669" s="223" t="s">
        <v>81</v>
      </c>
      <c r="D669" s="83" t="s">
        <v>57</v>
      </c>
      <c r="E669" s="211">
        <v>0.17</v>
      </c>
      <c r="F669" s="386">
        <f>F667*E669</f>
        <v>0</v>
      </c>
      <c r="G669" s="225"/>
      <c r="H669" s="225"/>
      <c r="I669" s="225"/>
      <c r="J669" s="225"/>
      <c r="K669" s="225">
        <v>3.2</v>
      </c>
      <c r="L669" s="225">
        <f>F669*K669</f>
        <v>0</v>
      </c>
      <c r="M669" s="225">
        <f>H669+J669+L669</f>
        <v>0</v>
      </c>
    </row>
    <row r="670" spans="1:13" s="85" customFormat="1" hidden="1">
      <c r="A670" s="83"/>
      <c r="B670" s="1432"/>
      <c r="C670" s="15" t="s">
        <v>210</v>
      </c>
      <c r="D670" s="211"/>
      <c r="E670" s="211"/>
      <c r="F670" s="386"/>
      <c r="G670" s="225"/>
      <c r="H670" s="225"/>
      <c r="I670" s="225"/>
      <c r="J670" s="225"/>
      <c r="K670" s="225"/>
      <c r="L670" s="225"/>
      <c r="M670" s="225"/>
    </row>
    <row r="671" spans="1:13" s="85" customFormat="1" hidden="1">
      <c r="A671" s="83"/>
      <c r="B671" s="1432"/>
      <c r="C671" s="223" t="s">
        <v>1037</v>
      </c>
      <c r="D671" s="211" t="s">
        <v>78</v>
      </c>
      <c r="E671" s="211"/>
      <c r="F671" s="388">
        <f>'დეფექტური აქტი'!E154</f>
        <v>0</v>
      </c>
      <c r="G671" s="225">
        <v>230</v>
      </c>
      <c r="H671" s="225">
        <f>F671*G671</f>
        <v>0</v>
      </c>
      <c r="I671" s="225"/>
      <c r="J671" s="225"/>
      <c r="K671" s="225"/>
      <c r="L671" s="225"/>
      <c r="M671" s="225">
        <f>H671+J671+L671</f>
        <v>0</v>
      </c>
    </row>
    <row r="672" spans="1:13" s="89" customFormat="1" hidden="1">
      <c r="A672" s="83"/>
      <c r="B672" s="1432"/>
      <c r="C672" s="223" t="s">
        <v>542</v>
      </c>
      <c r="D672" s="211" t="s">
        <v>97</v>
      </c>
      <c r="E672" s="211">
        <v>5</v>
      </c>
      <c r="F672" s="386">
        <f>F667*E672</f>
        <v>0</v>
      </c>
      <c r="G672" s="610">
        <v>2.14</v>
      </c>
      <c r="H672" s="225">
        <f>F672*G672</f>
        <v>0</v>
      </c>
      <c r="I672" s="225"/>
      <c r="J672" s="225"/>
      <c r="K672" s="225"/>
      <c r="L672" s="225"/>
      <c r="M672" s="225">
        <f>H672+J672+L672</f>
        <v>0</v>
      </c>
    </row>
    <row r="673" spans="1:13" s="89" customFormat="1" hidden="1">
      <c r="A673" s="83"/>
      <c r="B673" s="1432"/>
      <c r="C673" s="223" t="s">
        <v>307</v>
      </c>
      <c r="D673" s="211" t="s">
        <v>97</v>
      </c>
      <c r="E673" s="211">
        <v>0.12</v>
      </c>
      <c r="F673" s="386">
        <f>F667*E673</f>
        <v>0</v>
      </c>
      <c r="G673" s="225">
        <v>3.75</v>
      </c>
      <c r="H673" s="225">
        <f>F673*G673</f>
        <v>0</v>
      </c>
      <c r="I673" s="225"/>
      <c r="J673" s="225"/>
      <c r="K673" s="225"/>
      <c r="L673" s="225"/>
      <c r="M673" s="225">
        <f>H673+J673+L673</f>
        <v>0</v>
      </c>
    </row>
    <row r="674" spans="1:13" s="89" customFormat="1" hidden="1">
      <c r="A674" s="83"/>
      <c r="B674" s="1437"/>
      <c r="C674" s="223" t="s">
        <v>214</v>
      </c>
      <c r="D674" s="86" t="s">
        <v>57</v>
      </c>
      <c r="E674" s="211">
        <v>2.78</v>
      </c>
      <c r="F674" s="386">
        <f>F667*E674</f>
        <v>0</v>
      </c>
      <c r="G674" s="225">
        <v>3.2</v>
      </c>
      <c r="H674" s="225">
        <f>F674*G674</f>
        <v>0</v>
      </c>
      <c r="I674" s="225"/>
      <c r="J674" s="225"/>
      <c r="K674" s="225"/>
      <c r="L674" s="225"/>
      <c r="M674" s="225">
        <f>H674+J674+L674</f>
        <v>0</v>
      </c>
    </row>
    <row r="675" spans="1:13" s="89" customFormat="1" ht="27" hidden="1">
      <c r="A675" s="140">
        <v>8</v>
      </c>
      <c r="B675" s="220" t="s">
        <v>325</v>
      </c>
      <c r="C675" s="151" t="s">
        <v>1027</v>
      </c>
      <c r="D675" s="140" t="s">
        <v>78</v>
      </c>
      <c r="E675" s="140"/>
      <c r="F675" s="384">
        <f>'დეფექტური აქტი'!E155</f>
        <v>0</v>
      </c>
      <c r="G675" s="422"/>
      <c r="H675" s="422"/>
      <c r="I675" s="422"/>
      <c r="J675" s="422"/>
      <c r="K675" s="422"/>
      <c r="L675" s="422"/>
      <c r="M675" s="422"/>
    </row>
    <row r="676" spans="1:13" s="89" customFormat="1" hidden="1">
      <c r="A676" s="83"/>
      <c r="B676" s="1457"/>
      <c r="C676" s="223" t="s">
        <v>209</v>
      </c>
      <c r="D676" s="211" t="s">
        <v>80</v>
      </c>
      <c r="E676" s="211">
        <v>0.68</v>
      </c>
      <c r="F676" s="386">
        <f>F675*E676</f>
        <v>0</v>
      </c>
      <c r="G676" s="225"/>
      <c r="H676" s="225"/>
      <c r="I676" s="225">
        <v>6</v>
      </c>
      <c r="J676" s="225">
        <f>F676*I676</f>
        <v>0</v>
      </c>
      <c r="K676" s="225"/>
      <c r="L676" s="225"/>
      <c r="M676" s="225">
        <f>H676+J676+L676</f>
        <v>0</v>
      </c>
    </row>
    <row r="677" spans="1:13" s="89" customFormat="1" hidden="1">
      <c r="A677" s="83"/>
      <c r="B677" s="1457"/>
      <c r="C677" s="223" t="s">
        <v>81</v>
      </c>
      <c r="D677" s="83" t="s">
        <v>57</v>
      </c>
      <c r="E677" s="211">
        <v>2.9999999999999997E-4</v>
      </c>
      <c r="F677" s="386">
        <f>F675*E677</f>
        <v>0</v>
      </c>
      <c r="G677" s="225"/>
      <c r="H677" s="225"/>
      <c r="I677" s="225"/>
      <c r="J677" s="225"/>
      <c r="K677" s="225">
        <v>3.2</v>
      </c>
      <c r="L677" s="225">
        <f>F677*K677</f>
        <v>0</v>
      </c>
      <c r="M677" s="225">
        <f>H677+J677+L677</f>
        <v>0</v>
      </c>
    </row>
    <row r="678" spans="1:13" s="89" customFormat="1" hidden="1">
      <c r="A678" s="83"/>
      <c r="B678" s="1457"/>
      <c r="C678" s="15" t="s">
        <v>210</v>
      </c>
      <c r="D678" s="211"/>
      <c r="E678" s="211"/>
      <c r="F678" s="386"/>
      <c r="G678" s="225"/>
      <c r="H678" s="225"/>
      <c r="I678" s="225"/>
      <c r="J678" s="225"/>
      <c r="K678" s="225"/>
      <c r="L678" s="225"/>
      <c r="M678" s="225"/>
    </row>
    <row r="679" spans="1:13" s="89" customFormat="1" hidden="1">
      <c r="A679" s="83"/>
      <c r="B679" s="1457"/>
      <c r="C679" s="223" t="s">
        <v>186</v>
      </c>
      <c r="D679" s="211" t="s">
        <v>97</v>
      </c>
      <c r="E679" s="211">
        <v>0.246</v>
      </c>
      <c r="F679" s="386">
        <f>F675*E679</f>
        <v>0</v>
      </c>
      <c r="G679" s="225">
        <v>4</v>
      </c>
      <c r="H679" s="225">
        <f>F679*G679</f>
        <v>0</v>
      </c>
      <c r="I679" s="225"/>
      <c r="J679" s="225"/>
      <c r="K679" s="225"/>
      <c r="L679" s="225"/>
      <c r="M679" s="225">
        <f>H679+J679+L679</f>
        <v>0</v>
      </c>
    </row>
    <row r="680" spans="1:13" s="89" customFormat="1" hidden="1">
      <c r="A680" s="83"/>
      <c r="B680" s="1457"/>
      <c r="C680" s="223" t="s">
        <v>138</v>
      </c>
      <c r="D680" s="211" t="s">
        <v>97</v>
      </c>
      <c r="E680" s="211">
        <v>2.7E-2</v>
      </c>
      <c r="F680" s="386">
        <f>F675*E680</f>
        <v>0</v>
      </c>
      <c r="G680" s="225">
        <v>3.5</v>
      </c>
      <c r="H680" s="225">
        <f>F680*G680</f>
        <v>0</v>
      </c>
      <c r="I680" s="225"/>
      <c r="J680" s="225"/>
      <c r="K680" s="225"/>
      <c r="L680" s="225"/>
      <c r="M680" s="225">
        <f>H680+J680+L680</f>
        <v>0</v>
      </c>
    </row>
    <row r="681" spans="1:13" s="89" customFormat="1" hidden="1">
      <c r="A681" s="83"/>
      <c r="B681" s="1458"/>
      <c r="C681" s="223" t="s">
        <v>214</v>
      </c>
      <c r="D681" s="86" t="s">
        <v>57</v>
      </c>
      <c r="E681" s="211">
        <v>1.9E-3</v>
      </c>
      <c r="F681" s="386">
        <f>F675*E681</f>
        <v>0</v>
      </c>
      <c r="G681" s="225">
        <v>3.2</v>
      </c>
      <c r="H681" s="225">
        <f>F681*G681</f>
        <v>0</v>
      </c>
      <c r="I681" s="225"/>
      <c r="J681" s="225"/>
      <c r="K681" s="225"/>
      <c r="L681" s="225"/>
      <c r="M681" s="225">
        <f>H681+J681+L681</f>
        <v>0</v>
      </c>
    </row>
    <row r="682" spans="1:13" s="63" customFormat="1" ht="27" hidden="1">
      <c r="A682" s="47">
        <v>9</v>
      </c>
      <c r="B682" s="1433" t="s">
        <v>187</v>
      </c>
      <c r="C682" s="46" t="s">
        <v>1067</v>
      </c>
      <c r="D682" s="47" t="s">
        <v>78</v>
      </c>
      <c r="E682" s="47"/>
      <c r="F682" s="384">
        <f>'დეფექტური აქტი'!E156</f>
        <v>0</v>
      </c>
      <c r="G682" s="385"/>
      <c r="H682" s="385"/>
      <c r="I682" s="385"/>
      <c r="J682" s="385"/>
      <c r="K682" s="385"/>
      <c r="L682" s="385"/>
      <c r="M682" s="385"/>
    </row>
    <row r="683" spans="1:13" s="63" customFormat="1" hidden="1">
      <c r="A683" s="41"/>
      <c r="B683" s="1434"/>
      <c r="C683" s="15" t="s">
        <v>209</v>
      </c>
      <c r="D683" s="41" t="s">
        <v>80</v>
      </c>
      <c r="E683" s="41">
        <v>2.72</v>
      </c>
      <c r="F683" s="386">
        <f>F682*E683</f>
        <v>0</v>
      </c>
      <c r="G683" s="386"/>
      <c r="H683" s="386"/>
      <c r="I683" s="386">
        <v>4.5999999999999996</v>
      </c>
      <c r="J683" s="386">
        <f>F683*I683</f>
        <v>0</v>
      </c>
      <c r="K683" s="386"/>
      <c r="L683" s="386"/>
      <c r="M683" s="386">
        <f>H683+J683+L683</f>
        <v>0</v>
      </c>
    </row>
    <row r="684" spans="1:13" s="63" customFormat="1" hidden="1">
      <c r="A684" s="41"/>
      <c r="B684" s="1434"/>
      <c r="C684" s="66" t="s">
        <v>81</v>
      </c>
      <c r="D684" s="83" t="s">
        <v>57</v>
      </c>
      <c r="E684" s="41">
        <v>0.65</v>
      </c>
      <c r="F684" s="386">
        <f>F682*E684</f>
        <v>0</v>
      </c>
      <c r="G684" s="386"/>
      <c r="H684" s="386"/>
      <c r="I684" s="386"/>
      <c r="J684" s="386"/>
      <c r="K684" s="386">
        <v>3.2</v>
      </c>
      <c r="L684" s="386">
        <f>F684*K684</f>
        <v>0</v>
      </c>
      <c r="M684" s="386">
        <f>H684+J684+L684</f>
        <v>0</v>
      </c>
    </row>
    <row r="685" spans="1:13" s="63" customFormat="1" hidden="1">
      <c r="A685" s="41"/>
      <c r="B685" s="1434"/>
      <c r="C685" s="15" t="s">
        <v>210</v>
      </c>
      <c r="D685" s="41"/>
      <c r="E685" s="41"/>
      <c r="F685" s="386"/>
      <c r="G685" s="386"/>
      <c r="H685" s="386"/>
      <c r="I685" s="386"/>
      <c r="J685" s="386"/>
      <c r="K685" s="386"/>
      <c r="L685" s="386"/>
      <c r="M685" s="386"/>
    </row>
    <row r="686" spans="1:13" s="63" customFormat="1" hidden="1">
      <c r="A686" s="41"/>
      <c r="B686" s="1434"/>
      <c r="C686" s="15" t="s">
        <v>1056</v>
      </c>
      <c r="D686" s="41" t="s">
        <v>78</v>
      </c>
      <c r="E686" s="41">
        <v>1</v>
      </c>
      <c r="F686" s="386">
        <f>F682*E686</f>
        <v>0</v>
      </c>
      <c r="G686" s="439">
        <v>250</v>
      </c>
      <c r="H686" s="386">
        <f>F686*G686</f>
        <v>0</v>
      </c>
      <c r="I686" s="386"/>
      <c r="J686" s="386"/>
      <c r="K686" s="386"/>
      <c r="L686" s="386"/>
      <c r="M686" s="386">
        <f>H686+J686+L686</f>
        <v>0</v>
      </c>
    </row>
    <row r="687" spans="1:13" s="63" customFormat="1" hidden="1">
      <c r="A687" s="41"/>
      <c r="B687" s="1434"/>
      <c r="C687" s="15" t="s">
        <v>214</v>
      </c>
      <c r="D687" s="86" t="s">
        <v>57</v>
      </c>
      <c r="E687" s="41">
        <v>0.65600000000000003</v>
      </c>
      <c r="F687" s="386">
        <f>F682*E687</f>
        <v>0</v>
      </c>
      <c r="G687" s="386">
        <v>3.2</v>
      </c>
      <c r="H687" s="386">
        <f>F687*G687</f>
        <v>0</v>
      </c>
      <c r="I687" s="386"/>
      <c r="J687" s="386"/>
      <c r="K687" s="386"/>
      <c r="L687" s="386"/>
      <c r="M687" s="386">
        <f>H687+J687+L687</f>
        <v>0</v>
      </c>
    </row>
    <row r="688" spans="1:13" s="63" customFormat="1" ht="27" hidden="1">
      <c r="A688" s="47">
        <v>10</v>
      </c>
      <c r="B688" s="1433" t="s">
        <v>187</v>
      </c>
      <c r="C688" s="46" t="s">
        <v>1054</v>
      </c>
      <c r="D688" s="47" t="s">
        <v>78</v>
      </c>
      <c r="E688" s="47"/>
      <c r="F688" s="384">
        <f>'დეფექტური აქტი'!E157</f>
        <v>0</v>
      </c>
      <c r="G688" s="385"/>
      <c r="H688" s="385"/>
      <c r="I688" s="385"/>
      <c r="J688" s="385"/>
      <c r="K688" s="385"/>
      <c r="L688" s="385"/>
      <c r="M688" s="385"/>
    </row>
    <row r="689" spans="1:13" s="63" customFormat="1" hidden="1">
      <c r="A689" s="41"/>
      <c r="B689" s="1434"/>
      <c r="C689" s="15" t="s">
        <v>209</v>
      </c>
      <c r="D689" s="41" t="s">
        <v>80</v>
      </c>
      <c r="E689" s="41">
        <v>2.72</v>
      </c>
      <c r="F689" s="386">
        <f>F688*E689</f>
        <v>0</v>
      </c>
      <c r="G689" s="386"/>
      <c r="H689" s="386"/>
      <c r="I689" s="386">
        <v>6</v>
      </c>
      <c r="J689" s="386">
        <f>F689*I689</f>
        <v>0</v>
      </c>
      <c r="K689" s="386"/>
      <c r="L689" s="386"/>
      <c r="M689" s="386">
        <f>H689+J689+L689</f>
        <v>0</v>
      </c>
    </row>
    <row r="690" spans="1:13" s="63" customFormat="1" hidden="1">
      <c r="A690" s="41"/>
      <c r="B690" s="1434"/>
      <c r="C690" s="66" t="s">
        <v>81</v>
      </c>
      <c r="D690" s="83" t="s">
        <v>57</v>
      </c>
      <c r="E690" s="41">
        <v>0.65</v>
      </c>
      <c r="F690" s="386">
        <f>F688*E690</f>
        <v>0</v>
      </c>
      <c r="G690" s="386"/>
      <c r="H690" s="386"/>
      <c r="I690" s="386"/>
      <c r="J690" s="386"/>
      <c r="K690" s="386">
        <v>3.2</v>
      </c>
      <c r="L690" s="386">
        <f>F690*K690</f>
        <v>0</v>
      </c>
      <c r="M690" s="386">
        <f>H690+J690+L690</f>
        <v>0</v>
      </c>
    </row>
    <row r="691" spans="1:13" s="63" customFormat="1" hidden="1">
      <c r="A691" s="41"/>
      <c r="B691" s="1434"/>
      <c r="C691" s="15" t="s">
        <v>210</v>
      </c>
      <c r="D691" s="41"/>
      <c r="E691" s="41"/>
      <c r="F691" s="386"/>
      <c r="G691" s="386"/>
      <c r="H691" s="386"/>
      <c r="I691" s="386"/>
      <c r="J691" s="386"/>
      <c r="K691" s="386"/>
      <c r="L691" s="386"/>
      <c r="M691" s="386"/>
    </row>
    <row r="692" spans="1:13" s="63" customFormat="1" hidden="1">
      <c r="A692" s="41"/>
      <c r="B692" s="1434"/>
      <c r="C692" s="15" t="s">
        <v>1055</v>
      </c>
      <c r="D692" s="41" t="s">
        <v>78</v>
      </c>
      <c r="E692" s="41">
        <v>1</v>
      </c>
      <c r="F692" s="386">
        <f>F688*E692</f>
        <v>0</v>
      </c>
      <c r="G692" s="439">
        <v>290</v>
      </c>
      <c r="H692" s="386">
        <f>F692*G692</f>
        <v>0</v>
      </c>
      <c r="I692" s="386"/>
      <c r="J692" s="386"/>
      <c r="K692" s="386"/>
      <c r="L692" s="386"/>
      <c r="M692" s="386">
        <f>H692+J692+L692</f>
        <v>0</v>
      </c>
    </row>
    <row r="693" spans="1:13" s="63" customFormat="1" hidden="1">
      <c r="A693" s="41"/>
      <c r="B693" s="1434"/>
      <c r="C693" s="15" t="s">
        <v>214</v>
      </c>
      <c r="D693" s="86" t="s">
        <v>57</v>
      </c>
      <c r="E693" s="41">
        <v>0.65600000000000003</v>
      </c>
      <c r="F693" s="386">
        <f>F688*E693</f>
        <v>0</v>
      </c>
      <c r="G693" s="386">
        <v>3.2</v>
      </c>
      <c r="H693" s="386">
        <f>F693*G693</f>
        <v>0</v>
      </c>
      <c r="I693" s="386"/>
      <c r="J693" s="386"/>
      <c r="K693" s="386"/>
      <c r="L693" s="386"/>
      <c r="M693" s="386">
        <f>H693+J693+L693</f>
        <v>0</v>
      </c>
    </row>
    <row r="694" spans="1:13" s="63" customFormat="1" ht="27" hidden="1">
      <c r="A694" s="47">
        <v>11</v>
      </c>
      <c r="B694" s="1433" t="s">
        <v>187</v>
      </c>
      <c r="C694" s="46" t="s">
        <v>245</v>
      </c>
      <c r="D694" s="47" t="s">
        <v>78</v>
      </c>
      <c r="E694" s="47"/>
      <c r="F694" s="384">
        <f>'დეფექტური აქტი'!E158</f>
        <v>0</v>
      </c>
      <c r="G694" s="385"/>
      <c r="H694" s="385"/>
      <c r="I694" s="385"/>
      <c r="J694" s="385"/>
      <c r="K694" s="385"/>
      <c r="L694" s="385"/>
      <c r="M694" s="385"/>
    </row>
    <row r="695" spans="1:13" s="63" customFormat="1" hidden="1">
      <c r="A695" s="41"/>
      <c r="B695" s="1434"/>
      <c r="C695" s="15" t="s">
        <v>209</v>
      </c>
      <c r="D695" s="41" t="s">
        <v>80</v>
      </c>
      <c r="E695" s="41">
        <v>2.72</v>
      </c>
      <c r="F695" s="386">
        <f>F694*E695</f>
        <v>0</v>
      </c>
      <c r="G695" s="386"/>
      <c r="H695" s="386"/>
      <c r="I695" s="386">
        <v>6</v>
      </c>
      <c r="J695" s="386">
        <f>F695*I695</f>
        <v>0</v>
      </c>
      <c r="K695" s="386"/>
      <c r="L695" s="386"/>
      <c r="M695" s="386">
        <f>H695+J695+L695</f>
        <v>0</v>
      </c>
    </row>
    <row r="696" spans="1:13" s="63" customFormat="1" hidden="1">
      <c r="A696" s="41"/>
      <c r="B696" s="1434"/>
      <c r="C696" s="66" t="s">
        <v>81</v>
      </c>
      <c r="D696" s="83" t="s">
        <v>57</v>
      </c>
      <c r="E696" s="41">
        <v>0.65</v>
      </c>
      <c r="F696" s="386">
        <f>F694*E696</f>
        <v>0</v>
      </c>
      <c r="G696" s="386"/>
      <c r="H696" s="386"/>
      <c r="I696" s="386"/>
      <c r="J696" s="386"/>
      <c r="K696" s="386">
        <v>3.2</v>
      </c>
      <c r="L696" s="386">
        <f>F696*K696</f>
        <v>0</v>
      </c>
      <c r="M696" s="386">
        <f>H696+J696+L696</f>
        <v>0</v>
      </c>
    </row>
    <row r="697" spans="1:13" s="63" customFormat="1" hidden="1">
      <c r="A697" s="41"/>
      <c r="B697" s="1434"/>
      <c r="C697" s="15" t="s">
        <v>210</v>
      </c>
      <c r="D697" s="41"/>
      <c r="E697" s="41"/>
      <c r="F697" s="386"/>
      <c r="G697" s="386"/>
      <c r="H697" s="386"/>
      <c r="I697" s="386"/>
      <c r="J697" s="386"/>
      <c r="K697" s="386"/>
      <c r="L697" s="386"/>
      <c r="M697" s="386"/>
    </row>
    <row r="698" spans="1:13" s="63" customFormat="1" hidden="1">
      <c r="A698" s="41"/>
      <c r="B698" s="1434"/>
      <c r="C698" s="15" t="s">
        <v>402</v>
      </c>
      <c r="D698" s="41" t="s">
        <v>78</v>
      </c>
      <c r="E698" s="41">
        <v>1</v>
      </c>
      <c r="F698" s="386">
        <f>F694*E698</f>
        <v>0</v>
      </c>
      <c r="G698" s="439">
        <v>270</v>
      </c>
      <c r="H698" s="386">
        <f>F698*G698</f>
        <v>0</v>
      </c>
      <c r="I698" s="386"/>
      <c r="J698" s="386"/>
      <c r="K698" s="386"/>
      <c r="L698" s="386"/>
      <c r="M698" s="386">
        <f>H698+J698+L698</f>
        <v>0</v>
      </c>
    </row>
    <row r="699" spans="1:13" s="63" customFormat="1" hidden="1">
      <c r="A699" s="41"/>
      <c r="B699" s="1434"/>
      <c r="C699" s="15" t="s">
        <v>214</v>
      </c>
      <c r="D699" s="86" t="s">
        <v>57</v>
      </c>
      <c r="E699" s="41">
        <v>0.65600000000000003</v>
      </c>
      <c r="F699" s="386">
        <f>F694*E699</f>
        <v>0</v>
      </c>
      <c r="G699" s="386">
        <v>3.2</v>
      </c>
      <c r="H699" s="386">
        <f>F699*G699</f>
        <v>0</v>
      </c>
      <c r="I699" s="386"/>
      <c r="J699" s="386"/>
      <c r="K699" s="386"/>
      <c r="L699" s="386"/>
      <c r="M699" s="386">
        <f>H699+J699+L699</f>
        <v>0</v>
      </c>
    </row>
    <row r="700" spans="1:13" s="63" customFormat="1" ht="27">
      <c r="A700" s="1178">
        <v>12</v>
      </c>
      <c r="B700" s="1433" t="s">
        <v>187</v>
      </c>
      <c r="C700" s="46" t="s">
        <v>1053</v>
      </c>
      <c r="D700" s="47" t="s">
        <v>78</v>
      </c>
      <c r="E700" s="47"/>
      <c r="F700" s="384">
        <f>'დეფექტური აქტი'!E159</f>
        <v>11.2</v>
      </c>
      <c r="G700" s="385"/>
      <c r="H700" s="385"/>
      <c r="I700" s="385"/>
      <c r="J700" s="385"/>
      <c r="K700" s="385"/>
      <c r="L700" s="385"/>
      <c r="M700" s="385"/>
    </row>
    <row r="701" spans="1:13" s="63" customFormat="1">
      <c r="A701" s="412"/>
      <c r="B701" s="1434"/>
      <c r="C701" s="15" t="s">
        <v>209</v>
      </c>
      <c r="D701" s="41" t="s">
        <v>80</v>
      </c>
      <c r="E701" s="41">
        <v>2.72</v>
      </c>
      <c r="F701" s="386">
        <f>F700*E701</f>
        <v>30.463999999999999</v>
      </c>
      <c r="G701" s="386"/>
      <c r="H701" s="386"/>
      <c r="I701" s="386"/>
      <c r="J701" s="386"/>
      <c r="K701" s="386"/>
      <c r="L701" s="386"/>
      <c r="M701" s="386"/>
    </row>
    <row r="702" spans="1:13" s="63" customFormat="1">
      <c r="A702" s="412"/>
      <c r="B702" s="1434"/>
      <c r="C702" s="66" t="s">
        <v>81</v>
      </c>
      <c r="D702" s="83" t="s">
        <v>57</v>
      </c>
      <c r="E702" s="41">
        <v>0.67</v>
      </c>
      <c r="F702" s="386">
        <f>F700*E702</f>
        <v>7.5039999999999996</v>
      </c>
      <c r="G702" s="386"/>
      <c r="H702" s="386"/>
      <c r="I702" s="386"/>
      <c r="J702" s="386"/>
      <c r="K702" s="386"/>
      <c r="L702" s="386"/>
      <c r="M702" s="386"/>
    </row>
    <row r="703" spans="1:13" s="63" customFormat="1" hidden="1">
      <c r="A703" s="41"/>
      <c r="B703" s="1434"/>
      <c r="C703" s="15" t="s">
        <v>210</v>
      </c>
      <c r="D703" s="41"/>
      <c r="E703" s="41"/>
      <c r="F703" s="386"/>
      <c r="G703" s="386"/>
      <c r="H703" s="386"/>
      <c r="I703" s="386"/>
      <c r="J703" s="386"/>
      <c r="K703" s="386"/>
      <c r="L703" s="386"/>
      <c r="M703" s="386"/>
    </row>
    <row r="704" spans="1:13" s="63" customFormat="1">
      <c r="A704" s="412"/>
      <c r="B704" s="1434"/>
      <c r="C704" s="15" t="s">
        <v>1600</v>
      </c>
      <c r="D704" s="41" t="s">
        <v>78</v>
      </c>
      <c r="E704" s="41">
        <v>1</v>
      </c>
      <c r="F704" s="386">
        <f>F700*E704</f>
        <v>11.2</v>
      </c>
      <c r="G704" s="386"/>
      <c r="H704" s="386"/>
      <c r="I704" s="386"/>
      <c r="J704" s="386"/>
      <c r="K704" s="386"/>
      <c r="L704" s="386"/>
      <c r="M704" s="386"/>
    </row>
    <row r="705" spans="1:13" s="63" customFormat="1">
      <c r="A705" s="412"/>
      <c r="B705" s="1434"/>
      <c r="C705" s="15" t="s">
        <v>214</v>
      </c>
      <c r="D705" s="86" t="s">
        <v>57</v>
      </c>
      <c r="E705" s="41">
        <v>0.65600000000000003</v>
      </c>
      <c r="F705" s="386">
        <f>F700*E705</f>
        <v>7.3472</v>
      </c>
      <c r="G705" s="386"/>
      <c r="H705" s="386"/>
      <c r="I705" s="386"/>
      <c r="J705" s="386"/>
      <c r="K705" s="386"/>
      <c r="L705" s="386"/>
      <c r="M705" s="386"/>
    </row>
    <row r="706" spans="1:13" s="63" customFormat="1" ht="27" customHeight="1">
      <c r="A706" s="1178">
        <v>13</v>
      </c>
      <c r="B706" s="1433" t="s">
        <v>187</v>
      </c>
      <c r="C706" s="46" t="s">
        <v>188</v>
      </c>
      <c r="D706" s="47" t="s">
        <v>78</v>
      </c>
      <c r="E706" s="47"/>
      <c r="F706" s="384">
        <f>'დეფექტური აქტი'!E160</f>
        <v>24.1</v>
      </c>
      <c r="G706" s="385"/>
      <c r="H706" s="385"/>
      <c r="I706" s="385"/>
      <c r="J706" s="385"/>
      <c r="K706" s="385"/>
      <c r="L706" s="385"/>
      <c r="M706" s="385"/>
    </row>
    <row r="707" spans="1:13" s="63" customFormat="1">
      <c r="A707" s="412"/>
      <c r="B707" s="1434"/>
      <c r="C707" s="15" t="s">
        <v>209</v>
      </c>
      <c r="D707" s="41" t="s">
        <v>80</v>
      </c>
      <c r="E707" s="41">
        <v>2.72</v>
      </c>
      <c r="F707" s="386">
        <f>F706*E707</f>
        <v>65.552000000000007</v>
      </c>
      <c r="G707" s="386"/>
      <c r="H707" s="386"/>
      <c r="I707" s="386"/>
      <c r="J707" s="386"/>
      <c r="K707" s="386"/>
      <c r="L707" s="386"/>
      <c r="M707" s="386"/>
    </row>
    <row r="708" spans="1:13" s="63" customFormat="1">
      <c r="A708" s="412"/>
      <c r="B708" s="1434"/>
      <c r="C708" s="66" t="s">
        <v>81</v>
      </c>
      <c r="D708" s="83" t="s">
        <v>57</v>
      </c>
      <c r="E708" s="41">
        <v>0.65</v>
      </c>
      <c r="F708" s="386">
        <f>F706*E708</f>
        <v>15.665000000000001</v>
      </c>
      <c r="G708" s="386"/>
      <c r="H708" s="386"/>
      <c r="I708" s="386"/>
      <c r="J708" s="386"/>
      <c r="K708" s="386"/>
      <c r="L708" s="386"/>
      <c r="M708" s="386"/>
    </row>
    <row r="709" spans="1:13" s="63" customFormat="1" hidden="1">
      <c r="A709" s="41"/>
      <c r="B709" s="1434"/>
      <c r="C709" s="15" t="s">
        <v>210</v>
      </c>
      <c r="D709" s="41"/>
      <c r="E709" s="41"/>
      <c r="F709" s="386"/>
      <c r="G709" s="386"/>
      <c r="H709" s="386"/>
      <c r="I709" s="386"/>
      <c r="J709" s="386"/>
      <c r="K709" s="386"/>
      <c r="L709" s="386"/>
      <c r="M709" s="386"/>
    </row>
    <row r="710" spans="1:13" s="63" customFormat="1">
      <c r="A710" s="412"/>
      <c r="B710" s="1434"/>
      <c r="C710" s="15" t="s">
        <v>189</v>
      </c>
      <c r="D710" s="41" t="s">
        <v>78</v>
      </c>
      <c r="E710" s="41">
        <v>1</v>
      </c>
      <c r="F710" s="386">
        <f>F706*E710</f>
        <v>24.1</v>
      </c>
      <c r="G710" s="439"/>
      <c r="H710" s="386"/>
      <c r="I710" s="386"/>
      <c r="J710" s="386"/>
      <c r="K710" s="386"/>
      <c r="L710" s="386"/>
      <c r="M710" s="386"/>
    </row>
    <row r="711" spans="1:13" s="63" customFormat="1">
      <c r="A711" s="412"/>
      <c r="B711" s="1434"/>
      <c r="C711" s="15" t="s">
        <v>214</v>
      </c>
      <c r="D711" s="86" t="s">
        <v>57</v>
      </c>
      <c r="E711" s="41">
        <v>0.65600000000000003</v>
      </c>
      <c r="F711" s="386">
        <f>F706*E711</f>
        <v>15.809600000000001</v>
      </c>
      <c r="G711" s="386"/>
      <c r="H711" s="386"/>
      <c r="I711" s="386"/>
      <c r="J711" s="386"/>
      <c r="K711" s="386"/>
      <c r="L711" s="386"/>
      <c r="M711" s="386"/>
    </row>
    <row r="712" spans="1:13" s="45" customFormat="1" ht="27" hidden="1">
      <c r="A712" s="47">
        <v>14</v>
      </c>
      <c r="B712" s="1497" t="s">
        <v>1127</v>
      </c>
      <c r="C712" s="46" t="s">
        <v>190</v>
      </c>
      <c r="D712" s="47" t="s">
        <v>78</v>
      </c>
      <c r="E712" s="47"/>
      <c r="F712" s="384">
        <f>'დეფექტური აქტი'!E161</f>
        <v>0</v>
      </c>
      <c r="G712" s="385"/>
      <c r="H712" s="385"/>
      <c r="I712" s="385"/>
      <c r="J712" s="385"/>
      <c r="K712" s="385"/>
      <c r="L712" s="385"/>
      <c r="M712" s="385"/>
    </row>
    <row r="713" spans="1:13" s="45" customFormat="1" hidden="1">
      <c r="A713" s="41"/>
      <c r="B713" s="1501"/>
      <c r="C713" s="15" t="s">
        <v>209</v>
      </c>
      <c r="D713" s="41" t="s">
        <v>78</v>
      </c>
      <c r="E713" s="41">
        <v>1</v>
      </c>
      <c r="F713" s="386">
        <f>F712*E713</f>
        <v>0</v>
      </c>
      <c r="G713" s="386"/>
      <c r="H713" s="386"/>
      <c r="I713" s="386">
        <v>20</v>
      </c>
      <c r="J713" s="386">
        <f>F713*I713</f>
        <v>0</v>
      </c>
      <c r="K713" s="386"/>
      <c r="L713" s="386"/>
      <c r="M713" s="386">
        <f>H713+J713+L713</f>
        <v>0</v>
      </c>
    </row>
    <row r="714" spans="1:13" s="45" customFormat="1" hidden="1">
      <c r="A714" s="41"/>
      <c r="B714" s="1501"/>
      <c r="C714" s="15" t="s">
        <v>210</v>
      </c>
      <c r="D714" s="41"/>
      <c r="E714" s="41"/>
      <c r="F714" s="386"/>
      <c r="G714" s="386"/>
      <c r="H714" s="386"/>
      <c r="I714" s="386"/>
      <c r="J714" s="386"/>
      <c r="K714" s="386"/>
      <c r="L714" s="386"/>
      <c r="M714" s="386"/>
    </row>
    <row r="715" spans="1:13" s="45" customFormat="1" ht="27" hidden="1">
      <c r="A715" s="41"/>
      <c r="B715" s="1501"/>
      <c r="C715" s="15" t="s">
        <v>191</v>
      </c>
      <c r="D715" s="43" t="s">
        <v>78</v>
      </c>
      <c r="E715" s="41">
        <v>1</v>
      </c>
      <c r="F715" s="386">
        <f>F712*E715</f>
        <v>0</v>
      </c>
      <c r="G715" s="386">
        <v>45</v>
      </c>
      <c r="H715" s="386">
        <f>F715*G715</f>
        <v>0</v>
      </c>
      <c r="I715" s="386"/>
      <c r="J715" s="386"/>
      <c r="K715" s="386"/>
      <c r="L715" s="386"/>
      <c r="M715" s="386">
        <f>H715+J715+L715</f>
        <v>0</v>
      </c>
    </row>
    <row r="716" spans="1:13" s="63" customFormat="1">
      <c r="A716" s="1178">
        <v>15</v>
      </c>
      <c r="B716" s="1435" t="s">
        <v>1127</v>
      </c>
      <c r="C716" s="46" t="s">
        <v>192</v>
      </c>
      <c r="D716" s="47" t="s">
        <v>122</v>
      </c>
      <c r="E716" s="47"/>
      <c r="F716" s="384">
        <f>'დეფექტური აქტი'!E162</f>
        <v>12</v>
      </c>
      <c r="G716" s="385"/>
      <c r="H716" s="385"/>
      <c r="I716" s="385"/>
      <c r="J716" s="385"/>
      <c r="K716" s="385"/>
      <c r="L716" s="385"/>
      <c r="M716" s="385"/>
    </row>
    <row r="717" spans="1:13" s="63" customFormat="1">
      <c r="A717" s="412"/>
      <c r="B717" s="1436"/>
      <c r="C717" s="15" t="s">
        <v>209</v>
      </c>
      <c r="D717" s="41" t="s">
        <v>122</v>
      </c>
      <c r="E717" s="41">
        <v>1</v>
      </c>
      <c r="F717" s="386">
        <f>F716*E717</f>
        <v>12</v>
      </c>
      <c r="G717" s="386"/>
      <c r="H717" s="386"/>
      <c r="I717" s="386"/>
      <c r="J717" s="386"/>
      <c r="K717" s="386"/>
      <c r="L717" s="386"/>
      <c r="M717" s="386"/>
    </row>
    <row r="718" spans="1:13" s="63" customFormat="1" hidden="1">
      <c r="A718" s="41"/>
      <c r="B718" s="1436"/>
      <c r="C718" s="15" t="s">
        <v>210</v>
      </c>
      <c r="D718" s="41"/>
      <c r="E718" s="41"/>
      <c r="F718" s="386"/>
      <c r="G718" s="386"/>
      <c r="H718" s="386"/>
      <c r="I718" s="386"/>
      <c r="J718" s="386"/>
      <c r="K718" s="386"/>
      <c r="L718" s="386"/>
      <c r="M718" s="386"/>
    </row>
    <row r="719" spans="1:13" s="63" customFormat="1">
      <c r="A719" s="412"/>
      <c r="B719" s="1436"/>
      <c r="C719" s="15" t="s">
        <v>193</v>
      </c>
      <c r="D719" s="43" t="s">
        <v>122</v>
      </c>
      <c r="E719" s="41">
        <v>1</v>
      </c>
      <c r="F719" s="386">
        <f>F716*E719</f>
        <v>12</v>
      </c>
      <c r="G719" s="386"/>
      <c r="H719" s="386"/>
      <c r="I719" s="386"/>
      <c r="J719" s="386"/>
      <c r="K719" s="386"/>
      <c r="L719" s="386"/>
      <c r="M719" s="386"/>
    </row>
    <row r="720" spans="1:13" s="63" customFormat="1" ht="27" hidden="1">
      <c r="A720" s="47">
        <v>16</v>
      </c>
      <c r="B720" s="1435" t="s">
        <v>719</v>
      </c>
      <c r="C720" s="46" t="s">
        <v>1008</v>
      </c>
      <c r="D720" s="47" t="s">
        <v>78</v>
      </c>
      <c r="E720" s="47"/>
      <c r="F720" s="384">
        <f>'დეფექტური აქტი'!E163</f>
        <v>0</v>
      </c>
      <c r="G720" s="385"/>
      <c r="H720" s="385"/>
      <c r="I720" s="385"/>
      <c r="J720" s="385"/>
      <c r="K720" s="385"/>
      <c r="L720" s="385"/>
      <c r="M720" s="385"/>
    </row>
    <row r="721" spans="1:13" s="63" customFormat="1" hidden="1">
      <c r="A721" s="41"/>
      <c r="B721" s="1436"/>
      <c r="C721" s="15" t="s">
        <v>256</v>
      </c>
      <c r="D721" s="41" t="s">
        <v>80</v>
      </c>
      <c r="E721" s="41">
        <v>3.222</v>
      </c>
      <c r="F721" s="386">
        <f>F720*E721</f>
        <v>0</v>
      </c>
      <c r="G721" s="386"/>
      <c r="H721" s="386"/>
      <c r="I721" s="386">
        <v>4.5999999999999996</v>
      </c>
      <c r="J721" s="386">
        <f>F721*I721</f>
        <v>0</v>
      </c>
      <c r="K721" s="386"/>
      <c r="L721" s="386"/>
      <c r="M721" s="386">
        <f>H721+J721+L721</f>
        <v>0</v>
      </c>
    </row>
    <row r="722" spans="1:13" s="63" customFormat="1" hidden="1">
      <c r="A722" s="41"/>
      <c r="B722" s="1436"/>
      <c r="C722" s="66" t="s">
        <v>257</v>
      </c>
      <c r="D722" s="83" t="s">
        <v>57</v>
      </c>
      <c r="E722" s="41">
        <v>2.8000000000000001E-2</v>
      </c>
      <c r="F722" s="386">
        <f>F720*E722</f>
        <v>0</v>
      </c>
      <c r="G722" s="386"/>
      <c r="H722" s="386"/>
      <c r="I722" s="386"/>
      <c r="J722" s="386"/>
      <c r="K722" s="386">
        <v>3.2</v>
      </c>
      <c r="L722" s="386">
        <f>F722*K722</f>
        <v>0</v>
      </c>
      <c r="M722" s="386">
        <f>H722+J722+L722</f>
        <v>0</v>
      </c>
    </row>
    <row r="723" spans="1:13" s="63" customFormat="1" hidden="1">
      <c r="A723" s="41"/>
      <c r="B723" s="1436"/>
      <c r="C723" s="15" t="s">
        <v>210</v>
      </c>
      <c r="D723" s="41"/>
      <c r="E723" s="41"/>
      <c r="F723" s="386"/>
      <c r="G723" s="386"/>
      <c r="H723" s="386"/>
      <c r="I723" s="386"/>
      <c r="J723" s="386"/>
      <c r="K723" s="386"/>
      <c r="L723" s="386"/>
      <c r="M723" s="386"/>
    </row>
    <row r="724" spans="1:13" s="63" customFormat="1" hidden="1">
      <c r="A724" s="41"/>
      <c r="B724" s="1436"/>
      <c r="C724" s="15" t="s">
        <v>408</v>
      </c>
      <c r="D724" s="41" t="s">
        <v>122</v>
      </c>
      <c r="E724" s="41">
        <v>4.17</v>
      </c>
      <c r="F724" s="386">
        <f>F720*E724</f>
        <v>0</v>
      </c>
      <c r="G724" s="598">
        <v>9</v>
      </c>
      <c r="H724" s="386">
        <f t="shared" ref="H724:H729" si="0">F724*G724</f>
        <v>0</v>
      </c>
      <c r="I724" s="386"/>
      <c r="J724" s="386"/>
      <c r="K724" s="386"/>
      <c r="L724" s="386"/>
      <c r="M724" s="386">
        <f t="shared" ref="M724:M729" si="1">H724+J724+L724</f>
        <v>0</v>
      </c>
    </row>
    <row r="725" spans="1:13" s="63" customFormat="1" hidden="1">
      <c r="A725" s="41"/>
      <c r="B725" s="1436"/>
      <c r="C725" s="15" t="s">
        <v>255</v>
      </c>
      <c r="D725" s="41" t="s">
        <v>206</v>
      </c>
      <c r="E725" s="41">
        <v>1.7000000000000001E-2</v>
      </c>
      <c r="F725" s="386">
        <f>F720*E725</f>
        <v>0</v>
      </c>
      <c r="G725" s="386">
        <v>250</v>
      </c>
      <c r="H725" s="386">
        <f t="shared" si="0"/>
        <v>0</v>
      </c>
      <c r="I725" s="386"/>
      <c r="J725" s="386"/>
      <c r="K725" s="386"/>
      <c r="L725" s="386"/>
      <c r="M725" s="386">
        <f t="shared" si="1"/>
        <v>0</v>
      </c>
    </row>
    <row r="726" spans="1:13" s="88" customFormat="1" hidden="1">
      <c r="A726" s="83"/>
      <c r="B726" s="1436"/>
      <c r="C726" s="84" t="s">
        <v>186</v>
      </c>
      <c r="D726" s="83" t="s">
        <v>97</v>
      </c>
      <c r="E726" s="83">
        <v>0.25</v>
      </c>
      <c r="F726" s="386">
        <f>F720*E726</f>
        <v>0</v>
      </c>
      <c r="G726" s="386">
        <v>4</v>
      </c>
      <c r="H726" s="386">
        <f t="shared" si="0"/>
        <v>0</v>
      </c>
      <c r="I726" s="386"/>
      <c r="J726" s="386"/>
      <c r="K726" s="386"/>
      <c r="L726" s="386"/>
      <c r="M726" s="386">
        <f t="shared" si="1"/>
        <v>0</v>
      </c>
    </row>
    <row r="727" spans="1:13" s="88" customFormat="1" hidden="1">
      <c r="A727" s="83"/>
      <c r="B727" s="1436"/>
      <c r="C727" s="84" t="s">
        <v>134</v>
      </c>
      <c r="D727" s="83" t="s">
        <v>97</v>
      </c>
      <c r="E727" s="83">
        <v>0.54</v>
      </c>
      <c r="F727" s="386">
        <f>F720*E727</f>
        <v>0</v>
      </c>
      <c r="G727" s="386">
        <v>0.5</v>
      </c>
      <c r="H727" s="386">
        <f t="shared" si="0"/>
        <v>0</v>
      </c>
      <c r="I727" s="386"/>
      <c r="J727" s="386"/>
      <c r="K727" s="386"/>
      <c r="L727" s="386"/>
      <c r="M727" s="386">
        <f t="shared" si="1"/>
        <v>0</v>
      </c>
    </row>
    <row r="728" spans="1:13" s="88" customFormat="1" hidden="1">
      <c r="A728" s="83"/>
      <c r="B728" s="1436"/>
      <c r="C728" s="84" t="s">
        <v>138</v>
      </c>
      <c r="D728" s="83" t="s">
        <v>97</v>
      </c>
      <c r="E728" s="83">
        <v>0.11600000000000001</v>
      </c>
      <c r="F728" s="386">
        <f>F720*E728</f>
        <v>0</v>
      </c>
      <c r="G728" s="386">
        <v>3.5</v>
      </c>
      <c r="H728" s="386">
        <f t="shared" si="0"/>
        <v>0</v>
      </c>
      <c r="I728" s="386"/>
      <c r="J728" s="386"/>
      <c r="K728" s="386"/>
      <c r="L728" s="386"/>
      <c r="M728" s="386">
        <f t="shared" si="1"/>
        <v>0</v>
      </c>
    </row>
    <row r="729" spans="1:13" s="63" customFormat="1" hidden="1">
      <c r="A729" s="41"/>
      <c r="B729" s="1436"/>
      <c r="C729" s="15" t="s">
        <v>258</v>
      </c>
      <c r="D729" s="86" t="s">
        <v>57</v>
      </c>
      <c r="E729" s="41">
        <v>4.1300000000000003E-2</v>
      </c>
      <c r="F729" s="386">
        <f>F720*E729</f>
        <v>0</v>
      </c>
      <c r="G729" s="386">
        <v>3.2</v>
      </c>
      <c r="H729" s="386">
        <f t="shared" si="0"/>
        <v>0</v>
      </c>
      <c r="I729" s="386"/>
      <c r="J729" s="386"/>
      <c r="K729" s="386"/>
      <c r="L729" s="386"/>
      <c r="M729" s="386">
        <f t="shared" si="1"/>
        <v>0</v>
      </c>
    </row>
    <row r="730" spans="1:13" s="63" customFormat="1" hidden="1">
      <c r="A730" s="47">
        <v>17</v>
      </c>
      <c r="B730" s="1435" t="s">
        <v>366</v>
      </c>
      <c r="C730" s="46" t="s">
        <v>365</v>
      </c>
      <c r="D730" s="47" t="s">
        <v>78</v>
      </c>
      <c r="E730" s="47"/>
      <c r="F730" s="384">
        <f>'დეფექტური აქტი'!E164</f>
        <v>0</v>
      </c>
      <c r="G730" s="385"/>
      <c r="H730" s="385"/>
      <c r="I730" s="385"/>
      <c r="J730" s="385"/>
      <c r="K730" s="385"/>
      <c r="L730" s="385"/>
      <c r="M730" s="385"/>
    </row>
    <row r="731" spans="1:13" s="88" customFormat="1" ht="13.5" hidden="1" customHeight="1">
      <c r="A731" s="83"/>
      <c r="B731" s="1436"/>
      <c r="C731" s="223" t="s">
        <v>209</v>
      </c>
      <c r="D731" s="211" t="s">
        <v>80</v>
      </c>
      <c r="E731" s="211">
        <v>0.49199999999999999</v>
      </c>
      <c r="F731" s="386">
        <f>F730*E731</f>
        <v>0</v>
      </c>
      <c r="G731" s="386"/>
      <c r="H731" s="386"/>
      <c r="I731" s="386">
        <v>6</v>
      </c>
      <c r="J731" s="386">
        <f>F731*I731</f>
        <v>0</v>
      </c>
      <c r="K731" s="386"/>
      <c r="L731" s="386"/>
      <c r="M731" s="386">
        <f>H731+J731+L731</f>
        <v>0</v>
      </c>
    </row>
    <row r="732" spans="1:13" s="63" customFormat="1" hidden="1">
      <c r="A732" s="41"/>
      <c r="B732" s="1436"/>
      <c r="C732" s="66" t="s">
        <v>133</v>
      </c>
      <c r="D732" s="83" t="s">
        <v>57</v>
      </c>
      <c r="E732" s="41">
        <v>8.0000000000000002E-3</v>
      </c>
      <c r="F732" s="386">
        <f>F730*E732</f>
        <v>0</v>
      </c>
      <c r="G732" s="386"/>
      <c r="H732" s="386"/>
      <c r="I732" s="386"/>
      <c r="J732" s="386"/>
      <c r="K732" s="386">
        <v>3.2</v>
      </c>
      <c r="L732" s="386">
        <f>F732*K732</f>
        <v>0</v>
      </c>
      <c r="M732" s="386">
        <f>H732+J732+L732</f>
        <v>0</v>
      </c>
    </row>
    <row r="733" spans="1:13" s="63" customFormat="1" hidden="1">
      <c r="A733" s="41"/>
      <c r="B733" s="1436"/>
      <c r="C733" s="15" t="s">
        <v>210</v>
      </c>
      <c r="D733" s="41"/>
      <c r="E733" s="41"/>
      <c r="F733" s="386"/>
      <c r="G733" s="386"/>
      <c r="H733" s="386"/>
      <c r="I733" s="386"/>
      <c r="J733" s="386"/>
      <c r="K733" s="386"/>
      <c r="L733" s="386"/>
      <c r="M733" s="386"/>
    </row>
    <row r="734" spans="1:13" s="88" customFormat="1" hidden="1">
      <c r="A734" s="83"/>
      <c r="B734" s="1436"/>
      <c r="C734" s="84" t="s">
        <v>186</v>
      </c>
      <c r="D734" s="83" t="s">
        <v>97</v>
      </c>
      <c r="E734" s="83">
        <v>0.25</v>
      </c>
      <c r="F734" s="386">
        <f>F730*E734</f>
        <v>0</v>
      </c>
      <c r="G734" s="386">
        <v>4</v>
      </c>
      <c r="H734" s="386">
        <f>F734*G734</f>
        <v>0</v>
      </c>
      <c r="I734" s="386"/>
      <c r="J734" s="386"/>
      <c r="K734" s="386"/>
      <c r="L734" s="386"/>
      <c r="M734" s="386">
        <f>H734+J734+L734</f>
        <v>0</v>
      </c>
    </row>
    <row r="735" spans="1:13" s="88" customFormat="1" hidden="1">
      <c r="A735" s="83"/>
      <c r="B735" s="1436"/>
      <c r="C735" s="84" t="s">
        <v>134</v>
      </c>
      <c r="D735" s="83" t="s">
        <v>97</v>
      </c>
      <c r="E735" s="83">
        <v>0.54</v>
      </c>
      <c r="F735" s="386">
        <f>F730*E735</f>
        <v>0</v>
      </c>
      <c r="G735" s="386">
        <v>0.5</v>
      </c>
      <c r="H735" s="386">
        <f>F735*G735</f>
        <v>0</v>
      </c>
      <c r="I735" s="386"/>
      <c r="J735" s="386"/>
      <c r="K735" s="386"/>
      <c r="L735" s="386"/>
      <c r="M735" s="386">
        <f>H735+J735+L735</f>
        <v>0</v>
      </c>
    </row>
    <row r="736" spans="1:13" s="88" customFormat="1" hidden="1">
      <c r="A736" s="83"/>
      <c r="B736" s="1436"/>
      <c r="C736" s="84" t="s">
        <v>138</v>
      </c>
      <c r="D736" s="83" t="s">
        <v>97</v>
      </c>
      <c r="E736" s="83">
        <v>0.11600000000000001</v>
      </c>
      <c r="F736" s="386">
        <f>F730*E736</f>
        <v>0</v>
      </c>
      <c r="G736" s="386">
        <v>3.5</v>
      </c>
      <c r="H736" s="386">
        <f>F736*G736</f>
        <v>0</v>
      </c>
      <c r="I736" s="386"/>
      <c r="J736" s="386"/>
      <c r="K736" s="386"/>
      <c r="L736" s="386"/>
      <c r="M736" s="386">
        <f>H736+J736+L736</f>
        <v>0</v>
      </c>
    </row>
    <row r="737" spans="1:13" s="63" customFormat="1" hidden="1">
      <c r="A737" s="41"/>
      <c r="B737" s="1436"/>
      <c r="C737" s="15" t="s">
        <v>367</v>
      </c>
      <c r="D737" s="86" t="s">
        <v>57</v>
      </c>
      <c r="E737" s="41">
        <v>7.0000000000000001E-3</v>
      </c>
      <c r="F737" s="386">
        <f>F730*E737</f>
        <v>0</v>
      </c>
      <c r="G737" s="386">
        <v>3.2</v>
      </c>
      <c r="H737" s="386">
        <f>F737*G737</f>
        <v>0</v>
      </c>
      <c r="I737" s="386"/>
      <c r="J737" s="386"/>
      <c r="K737" s="386"/>
      <c r="L737" s="386"/>
      <c r="M737" s="386">
        <f>H737+J737+L737</f>
        <v>0</v>
      </c>
    </row>
    <row r="738" spans="1:13" s="63" customFormat="1" hidden="1">
      <c r="A738" s="47">
        <v>18</v>
      </c>
      <c r="B738" s="1497" t="s">
        <v>99</v>
      </c>
      <c r="C738" s="46" t="s">
        <v>259</v>
      </c>
      <c r="D738" s="47" t="s">
        <v>78</v>
      </c>
      <c r="E738" s="47"/>
      <c r="F738" s="384">
        <f>'დეფექტური აქტი'!E165</f>
        <v>0</v>
      </c>
      <c r="G738" s="385"/>
      <c r="H738" s="385"/>
      <c r="I738" s="385"/>
      <c r="J738" s="385"/>
      <c r="K738" s="385"/>
      <c r="L738" s="385"/>
      <c r="M738" s="385"/>
    </row>
    <row r="739" spans="1:13" s="63" customFormat="1" hidden="1">
      <c r="A739" s="41"/>
      <c r="B739" s="1501"/>
      <c r="C739" s="15" t="s">
        <v>209</v>
      </c>
      <c r="D739" s="41" t="s">
        <v>78</v>
      </c>
      <c r="E739" s="41">
        <v>1</v>
      </c>
      <c r="F739" s="386">
        <f>F738*E739</f>
        <v>0</v>
      </c>
      <c r="G739" s="386"/>
      <c r="H739" s="386"/>
      <c r="I739" s="386">
        <v>2</v>
      </c>
      <c r="J739" s="386">
        <f>F739*I739</f>
        <v>0</v>
      </c>
      <c r="K739" s="386"/>
      <c r="L739" s="386"/>
      <c r="M739" s="386">
        <f>H739+J739+L739</f>
        <v>0</v>
      </c>
    </row>
    <row r="740" spans="1:13" s="63" customFormat="1" hidden="1">
      <c r="A740" s="41"/>
      <c r="B740" s="1501"/>
      <c r="C740" s="15" t="s">
        <v>210</v>
      </c>
      <c r="D740" s="41"/>
      <c r="E740" s="41"/>
      <c r="F740" s="386"/>
      <c r="G740" s="386"/>
      <c r="H740" s="386"/>
      <c r="I740" s="386"/>
      <c r="J740" s="386"/>
      <c r="K740" s="386"/>
      <c r="L740" s="386"/>
      <c r="M740" s="386"/>
    </row>
    <row r="741" spans="1:13" s="63" customFormat="1" hidden="1">
      <c r="A741" s="41"/>
      <c r="B741" s="1501"/>
      <c r="C741" s="15" t="s">
        <v>260</v>
      </c>
      <c r="D741" s="43" t="s">
        <v>78</v>
      </c>
      <c r="E741" s="41">
        <v>1</v>
      </c>
      <c r="F741" s="386">
        <f>F738*E741</f>
        <v>0</v>
      </c>
      <c r="G741" s="386">
        <v>4.5</v>
      </c>
      <c r="H741" s="386">
        <f>F741*G741</f>
        <v>0</v>
      </c>
      <c r="I741" s="386"/>
      <c r="J741" s="386"/>
      <c r="K741" s="386"/>
      <c r="L741" s="386"/>
      <c r="M741" s="386">
        <f>H741+J741+L741</f>
        <v>0</v>
      </c>
    </row>
    <row r="742" spans="1:13" s="51" customFormat="1" ht="27" hidden="1">
      <c r="A742" s="47">
        <v>19</v>
      </c>
      <c r="B742" s="1433" t="s">
        <v>194</v>
      </c>
      <c r="C742" s="46" t="s">
        <v>243</v>
      </c>
      <c r="D742" s="47" t="s">
        <v>78</v>
      </c>
      <c r="E742" s="47"/>
      <c r="F742" s="384">
        <f>'დეფექტური აქტი'!E166</f>
        <v>0</v>
      </c>
      <c r="G742" s="385"/>
      <c r="H742" s="385"/>
      <c r="I742" s="385"/>
      <c r="J742" s="385"/>
      <c r="K742" s="385"/>
      <c r="L742" s="385"/>
      <c r="M742" s="385"/>
    </row>
    <row r="743" spans="1:13" s="51" customFormat="1" hidden="1">
      <c r="A743" s="41"/>
      <c r="B743" s="1434"/>
      <c r="C743" s="84" t="s">
        <v>209</v>
      </c>
      <c r="D743" s="83" t="s">
        <v>80</v>
      </c>
      <c r="E743" s="83">
        <v>0.83</v>
      </c>
      <c r="F743" s="386">
        <f>F742*E743</f>
        <v>0</v>
      </c>
      <c r="G743" s="386"/>
      <c r="H743" s="386"/>
      <c r="I743" s="386">
        <v>6</v>
      </c>
      <c r="J743" s="386">
        <f>F743*I743</f>
        <v>0</v>
      </c>
      <c r="K743" s="386"/>
      <c r="L743" s="386"/>
      <c r="M743" s="386">
        <f>H743+J743+L743</f>
        <v>0</v>
      </c>
    </row>
    <row r="744" spans="1:13" s="51" customFormat="1" hidden="1">
      <c r="A744" s="41"/>
      <c r="B744" s="1434"/>
      <c r="C744" s="84" t="s">
        <v>81</v>
      </c>
      <c r="D744" s="83" t="s">
        <v>57</v>
      </c>
      <c r="E744" s="83">
        <v>4.1000000000000003E-3</v>
      </c>
      <c r="F744" s="386">
        <f>F742*E744</f>
        <v>0</v>
      </c>
      <c r="G744" s="386"/>
      <c r="H744" s="386"/>
      <c r="I744" s="386"/>
      <c r="J744" s="386"/>
      <c r="K744" s="386">
        <v>3.2</v>
      </c>
      <c r="L744" s="386">
        <f>F744*K744</f>
        <v>0</v>
      </c>
      <c r="M744" s="386">
        <f>H744+J744+L744</f>
        <v>0</v>
      </c>
    </row>
    <row r="745" spans="1:13" s="51" customFormat="1" hidden="1">
      <c r="A745" s="41"/>
      <c r="B745" s="1434"/>
      <c r="C745" s="15" t="s">
        <v>210</v>
      </c>
      <c r="D745" s="83"/>
      <c r="E745" s="83"/>
      <c r="F745" s="386"/>
      <c r="G745" s="386"/>
      <c r="H745" s="386"/>
      <c r="I745" s="386"/>
      <c r="J745" s="386"/>
      <c r="K745" s="386"/>
      <c r="L745" s="386"/>
      <c r="M745" s="386"/>
    </row>
    <row r="746" spans="1:13" s="51" customFormat="1" hidden="1">
      <c r="A746" s="41"/>
      <c r="B746" s="1434"/>
      <c r="C746" s="84" t="s">
        <v>1295</v>
      </c>
      <c r="D746" s="83" t="s">
        <v>206</v>
      </c>
      <c r="E746" s="83">
        <v>4.1000000000000003E-3</v>
      </c>
      <c r="F746" s="386">
        <f>F742*E746</f>
        <v>0</v>
      </c>
      <c r="G746" s="386">
        <f>9.1/0.0043</f>
        <v>2116.2790697674418</v>
      </c>
      <c r="H746" s="386">
        <f>F746*G746</f>
        <v>0</v>
      </c>
      <c r="I746" s="386"/>
      <c r="J746" s="386"/>
      <c r="K746" s="386"/>
      <c r="L746" s="386"/>
      <c r="M746" s="386">
        <f>H746+J746+L746</f>
        <v>0</v>
      </c>
    </row>
    <row r="747" spans="1:13" s="51" customFormat="1" hidden="1">
      <c r="A747" s="41"/>
      <c r="B747" s="1434"/>
      <c r="C747" s="84" t="s">
        <v>214</v>
      </c>
      <c r="D747" s="86" t="s">
        <v>57</v>
      </c>
      <c r="E747" s="83">
        <v>7.8E-2</v>
      </c>
      <c r="F747" s="386">
        <f>F742*E747</f>
        <v>0</v>
      </c>
      <c r="G747" s="386">
        <v>3.2</v>
      </c>
      <c r="H747" s="386">
        <f>F747*G747</f>
        <v>0</v>
      </c>
      <c r="I747" s="386"/>
      <c r="J747" s="386"/>
      <c r="K747" s="386"/>
      <c r="L747" s="386"/>
      <c r="M747" s="386">
        <f>H747+J747+L747</f>
        <v>0</v>
      </c>
    </row>
    <row r="748" spans="1:13" s="88" customFormat="1" ht="27" hidden="1">
      <c r="A748" s="140">
        <v>20</v>
      </c>
      <c r="B748" s="1431" t="s">
        <v>368</v>
      </c>
      <c r="C748" s="151" t="s">
        <v>369</v>
      </c>
      <c r="D748" s="140" t="s">
        <v>78</v>
      </c>
      <c r="E748" s="140"/>
      <c r="F748" s="384">
        <f>'დეფექტური აქტი'!E167</f>
        <v>0</v>
      </c>
      <c r="G748" s="422"/>
      <c r="H748" s="422"/>
      <c r="I748" s="422"/>
      <c r="J748" s="422"/>
      <c r="K748" s="422"/>
      <c r="L748" s="422"/>
      <c r="M748" s="422"/>
    </row>
    <row r="749" spans="1:13" s="88" customFormat="1" hidden="1">
      <c r="A749" s="83"/>
      <c r="B749" s="1432"/>
      <c r="C749" s="223" t="s">
        <v>209</v>
      </c>
      <c r="D749" s="211" t="s">
        <v>80</v>
      </c>
      <c r="E749" s="211">
        <v>0.88700000000000001</v>
      </c>
      <c r="F749" s="386">
        <f>F748*E749</f>
        <v>0</v>
      </c>
      <c r="G749" s="225"/>
      <c r="H749" s="225"/>
      <c r="I749" s="386">
        <v>6</v>
      </c>
      <c r="J749" s="225">
        <f>F749*I749</f>
        <v>0</v>
      </c>
      <c r="K749" s="225"/>
      <c r="L749" s="225"/>
      <c r="M749" s="225">
        <f>H749+J749+L749</f>
        <v>0</v>
      </c>
    </row>
    <row r="750" spans="1:13" s="88" customFormat="1" hidden="1">
      <c r="A750" s="83"/>
      <c r="B750" s="1432"/>
      <c r="C750" s="223" t="s">
        <v>81</v>
      </c>
      <c r="D750" s="83" t="s">
        <v>57</v>
      </c>
      <c r="E750" s="211">
        <v>8.0000000000000004E-4</v>
      </c>
      <c r="F750" s="386">
        <f>F748*E750</f>
        <v>0</v>
      </c>
      <c r="G750" s="225"/>
      <c r="H750" s="225"/>
      <c r="I750" s="225"/>
      <c r="J750" s="225"/>
      <c r="K750" s="225">
        <v>3.2</v>
      </c>
      <c r="L750" s="225">
        <f>F750*K750</f>
        <v>0</v>
      </c>
      <c r="M750" s="225">
        <f>H750+J750+L750</f>
        <v>0</v>
      </c>
    </row>
    <row r="751" spans="1:13" s="88" customFormat="1" hidden="1">
      <c r="A751" s="83"/>
      <c r="B751" s="1432"/>
      <c r="C751" s="15" t="s">
        <v>210</v>
      </c>
      <c r="D751" s="211"/>
      <c r="E751" s="211"/>
      <c r="F751" s="386"/>
      <c r="G751" s="225"/>
      <c r="H751" s="225"/>
      <c r="I751" s="225"/>
      <c r="J751" s="225"/>
      <c r="K751" s="225"/>
      <c r="L751" s="225"/>
      <c r="M751" s="225"/>
    </row>
    <row r="752" spans="1:13" s="88" customFormat="1" hidden="1">
      <c r="A752" s="83"/>
      <c r="B752" s="1432"/>
      <c r="C752" s="223" t="s">
        <v>186</v>
      </c>
      <c r="D752" s="211" t="s">
        <v>97</v>
      </c>
      <c r="E752" s="211">
        <v>0.24740000000000001</v>
      </c>
      <c r="F752" s="386">
        <f>F748*E752</f>
        <v>0</v>
      </c>
      <c r="G752" s="225">
        <v>4</v>
      </c>
      <c r="H752" s="225">
        <f>F752*G752</f>
        <v>0</v>
      </c>
      <c r="I752" s="225"/>
      <c r="J752" s="225"/>
      <c r="K752" s="225"/>
      <c r="L752" s="225"/>
      <c r="M752" s="225">
        <f>H752+J752+L752</f>
        <v>0</v>
      </c>
    </row>
    <row r="753" spans="1:14" s="88" customFormat="1" hidden="1">
      <c r="A753" s="83"/>
      <c r="B753" s="1432"/>
      <c r="C753" s="223" t="s">
        <v>134</v>
      </c>
      <c r="D753" s="211" t="s">
        <v>97</v>
      </c>
      <c r="E753" s="211">
        <v>0.41</v>
      </c>
      <c r="F753" s="386">
        <f>F748*E753</f>
        <v>0</v>
      </c>
      <c r="G753" s="225">
        <v>0.5</v>
      </c>
      <c r="H753" s="225">
        <f>F753*G753</f>
        <v>0</v>
      </c>
      <c r="I753" s="225"/>
      <c r="J753" s="225"/>
      <c r="K753" s="225"/>
      <c r="L753" s="225"/>
      <c r="M753" s="225">
        <f>H753+J753+L753</f>
        <v>0</v>
      </c>
    </row>
    <row r="754" spans="1:14" s="88" customFormat="1" hidden="1">
      <c r="A754" s="83"/>
      <c r="B754" s="1432"/>
      <c r="C754" s="223" t="s">
        <v>138</v>
      </c>
      <c r="D754" s="211" t="s">
        <v>97</v>
      </c>
      <c r="E754" s="211">
        <v>2.5000000000000001E-2</v>
      </c>
      <c r="F754" s="386">
        <f>F748*E754</f>
        <v>0</v>
      </c>
      <c r="G754" s="225">
        <v>3.5</v>
      </c>
      <c r="H754" s="225">
        <f>F754*G754</f>
        <v>0</v>
      </c>
      <c r="I754" s="225"/>
      <c r="J754" s="225"/>
      <c r="K754" s="225"/>
      <c r="L754" s="225"/>
      <c r="M754" s="225">
        <f>H754+J754+L754</f>
        <v>0</v>
      </c>
    </row>
    <row r="755" spans="1:14" s="88" customFormat="1" hidden="1">
      <c r="A755" s="86"/>
      <c r="B755" s="1437"/>
      <c r="C755" s="232" t="s">
        <v>214</v>
      </c>
      <c r="D755" s="86" t="s">
        <v>57</v>
      </c>
      <c r="E755" s="230">
        <v>7.0000000000000001E-3</v>
      </c>
      <c r="F755" s="387">
        <f>F748*E755</f>
        <v>0</v>
      </c>
      <c r="G755" s="393">
        <v>3.2</v>
      </c>
      <c r="H755" s="393">
        <f>F755*G755</f>
        <v>0</v>
      </c>
      <c r="I755" s="393"/>
      <c r="J755" s="393"/>
      <c r="K755" s="393"/>
      <c r="L755" s="393"/>
      <c r="M755" s="393">
        <f>H755+J755+L755</f>
        <v>0</v>
      </c>
    </row>
    <row r="756" spans="1:14" customFormat="1" ht="27" hidden="1">
      <c r="A756" s="330">
        <v>21</v>
      </c>
      <c r="B756" s="328" t="s">
        <v>923</v>
      </c>
      <c r="C756" s="329" t="s">
        <v>921</v>
      </c>
      <c r="D756" s="330" t="s">
        <v>206</v>
      </c>
      <c r="E756" s="330"/>
      <c r="F756" s="384">
        <f>F760*0.03</f>
        <v>0</v>
      </c>
      <c r="G756" s="389"/>
      <c r="H756" s="389"/>
      <c r="I756" s="389"/>
      <c r="J756" s="389"/>
      <c r="K756" s="389"/>
      <c r="L756" s="389"/>
      <c r="M756" s="389"/>
      <c r="N756" s="358"/>
    </row>
    <row r="757" spans="1:14" customFormat="1" ht="15.75" hidden="1" customHeight="1">
      <c r="A757" s="330"/>
      <c r="B757" s="328"/>
      <c r="C757" s="341" t="s">
        <v>209</v>
      </c>
      <c r="D757" s="336" t="s">
        <v>80</v>
      </c>
      <c r="E757" s="336">
        <v>34.9</v>
      </c>
      <c r="F757" s="389">
        <f>F756*E757</f>
        <v>0</v>
      </c>
      <c r="G757" s="389"/>
      <c r="H757" s="389"/>
      <c r="I757" s="389">
        <v>4.5999999999999996</v>
      </c>
      <c r="J757" s="389">
        <f>F757*I757</f>
        <v>0</v>
      </c>
      <c r="K757" s="389"/>
      <c r="L757" s="389"/>
      <c r="M757" s="389">
        <f>H757+J757+L757</f>
        <v>0</v>
      </c>
      <c r="N757" s="358"/>
    </row>
    <row r="758" spans="1:14" customFormat="1" ht="15" hidden="1">
      <c r="A758" s="330"/>
      <c r="B758" s="328"/>
      <c r="C758" s="341" t="s">
        <v>81</v>
      </c>
      <c r="D758" s="336" t="s">
        <v>57</v>
      </c>
      <c r="E758" s="336">
        <v>4.07</v>
      </c>
      <c r="F758" s="389">
        <f>F756*E758</f>
        <v>0</v>
      </c>
      <c r="G758" s="389"/>
      <c r="H758" s="389"/>
      <c r="I758" s="389"/>
      <c r="J758" s="389"/>
      <c r="K758" s="389">
        <v>3.2</v>
      </c>
      <c r="L758" s="389">
        <f>F758*K758</f>
        <v>0</v>
      </c>
      <c r="M758" s="389">
        <f>H758+J758+L758</f>
        <v>0</v>
      </c>
      <c r="N758" s="358"/>
    </row>
    <row r="759" spans="1:14" customFormat="1" ht="15" hidden="1">
      <c r="A759" s="330"/>
      <c r="B759" s="328"/>
      <c r="C759" s="341" t="s">
        <v>210</v>
      </c>
      <c r="D759" s="336"/>
      <c r="E759" s="336"/>
      <c r="F759" s="389"/>
      <c r="G759" s="389"/>
      <c r="H759" s="389"/>
      <c r="I759" s="389"/>
      <c r="J759" s="389"/>
      <c r="K759" s="389"/>
      <c r="L759" s="389"/>
      <c r="M759" s="389"/>
      <c r="N759" s="358"/>
    </row>
    <row r="760" spans="1:14" customFormat="1" ht="15" hidden="1">
      <c r="A760" s="330"/>
      <c r="B760" s="328"/>
      <c r="C760" s="341" t="s">
        <v>924</v>
      </c>
      <c r="D760" s="336" t="s">
        <v>78</v>
      </c>
      <c r="E760" s="336"/>
      <c r="F760" s="388">
        <f>'დეფექტური აქტი'!E168</f>
        <v>0</v>
      </c>
      <c r="G760" s="389">
        <v>50</v>
      </c>
      <c r="H760" s="389">
        <f>F760*G760</f>
        <v>0</v>
      </c>
      <c r="I760" s="389"/>
      <c r="J760" s="389"/>
      <c r="K760" s="389"/>
      <c r="L760" s="389"/>
      <c r="M760" s="389">
        <f>H760+J760+L760</f>
        <v>0</v>
      </c>
      <c r="N760" s="358"/>
    </row>
    <row r="761" spans="1:14" customFormat="1" ht="15" hidden="1">
      <c r="A761" s="330"/>
      <c r="B761" s="328"/>
      <c r="C761" s="341" t="s">
        <v>303</v>
      </c>
      <c r="D761" s="336" t="s">
        <v>97</v>
      </c>
      <c r="E761" s="336">
        <v>3.3</v>
      </c>
      <c r="F761" s="389">
        <f>F756*E761</f>
        <v>0</v>
      </c>
      <c r="G761" s="389">
        <v>2.5</v>
      </c>
      <c r="H761" s="389">
        <f>F761*G761</f>
        <v>0</v>
      </c>
      <c r="I761" s="389"/>
      <c r="J761" s="389"/>
      <c r="K761" s="389"/>
      <c r="L761" s="389"/>
      <c r="M761" s="389">
        <f>H761+J761+L761</f>
        <v>0</v>
      </c>
      <c r="N761" s="358"/>
    </row>
    <row r="762" spans="1:14" customFormat="1" ht="15" hidden="1">
      <c r="A762" s="330"/>
      <c r="B762" s="328"/>
      <c r="C762" s="341" t="s">
        <v>307</v>
      </c>
      <c r="D762" s="336" t="s">
        <v>97</v>
      </c>
      <c r="E762" s="336">
        <v>15.2</v>
      </c>
      <c r="F762" s="389">
        <f>F756*E762</f>
        <v>0</v>
      </c>
      <c r="G762" s="389">
        <v>2.83</v>
      </c>
      <c r="H762" s="389">
        <f>F762*G762</f>
        <v>0</v>
      </c>
      <c r="I762" s="389"/>
      <c r="J762" s="389"/>
      <c r="K762" s="389"/>
      <c r="L762" s="389"/>
      <c r="M762" s="389">
        <f>H762+J762+L762</f>
        <v>0</v>
      </c>
      <c r="N762" s="358"/>
    </row>
    <row r="763" spans="1:14" customFormat="1" ht="15" hidden="1">
      <c r="A763" s="330"/>
      <c r="B763" s="328"/>
      <c r="C763" s="341" t="s">
        <v>214</v>
      </c>
      <c r="D763" s="336" t="s">
        <v>57</v>
      </c>
      <c r="E763" s="336">
        <v>2.78</v>
      </c>
      <c r="F763" s="389">
        <f>F756*E763</f>
        <v>0</v>
      </c>
      <c r="G763" s="389">
        <v>3.2</v>
      </c>
      <c r="H763" s="389">
        <f>F763*G763</f>
        <v>0</v>
      </c>
      <c r="I763" s="389"/>
      <c r="J763" s="389"/>
      <c r="K763" s="389"/>
      <c r="L763" s="389"/>
      <c r="M763" s="389">
        <f>H763+J763+L763</f>
        <v>0</v>
      </c>
      <c r="N763" s="358"/>
    </row>
    <row r="764" spans="1:14" s="88" customFormat="1" ht="27" hidden="1">
      <c r="A764" s="140">
        <v>22</v>
      </c>
      <c r="B764" s="1511" t="s">
        <v>325</v>
      </c>
      <c r="C764" s="151" t="s">
        <v>922</v>
      </c>
      <c r="D764" s="168" t="s">
        <v>78</v>
      </c>
      <c r="E764" s="140"/>
      <c r="F764" s="384">
        <f>'დეფექტური აქტი'!E169</f>
        <v>0</v>
      </c>
      <c r="G764" s="422"/>
      <c r="H764" s="422"/>
      <c r="I764" s="422"/>
      <c r="J764" s="422"/>
      <c r="K764" s="422"/>
      <c r="L764" s="422"/>
      <c r="M764" s="422"/>
    </row>
    <row r="765" spans="1:14" s="88" customFormat="1" hidden="1">
      <c r="A765" s="83"/>
      <c r="B765" s="1432"/>
      <c r="C765" s="223" t="s">
        <v>209</v>
      </c>
      <c r="D765" s="211" t="s">
        <v>80</v>
      </c>
      <c r="E765" s="211">
        <v>0.68</v>
      </c>
      <c r="F765" s="386">
        <f>F764*E765</f>
        <v>0</v>
      </c>
      <c r="G765" s="225"/>
      <c r="H765" s="225"/>
      <c r="I765" s="386">
        <v>6</v>
      </c>
      <c r="J765" s="225">
        <f>F765*I765</f>
        <v>0</v>
      </c>
      <c r="K765" s="225"/>
      <c r="L765" s="225"/>
      <c r="M765" s="225">
        <f>H765+J765+L765</f>
        <v>0</v>
      </c>
    </row>
    <row r="766" spans="1:14" s="88" customFormat="1" hidden="1">
      <c r="A766" s="83"/>
      <c r="B766" s="1432"/>
      <c r="C766" s="223" t="s">
        <v>81</v>
      </c>
      <c r="D766" s="83" t="s">
        <v>57</v>
      </c>
      <c r="E766" s="211">
        <v>2.9999999999999997E-4</v>
      </c>
      <c r="F766" s="386">
        <f>F764*E766</f>
        <v>0</v>
      </c>
      <c r="G766" s="225"/>
      <c r="H766" s="225"/>
      <c r="I766" s="225"/>
      <c r="J766" s="225"/>
      <c r="K766" s="225">
        <v>3.2</v>
      </c>
      <c r="L766" s="225">
        <f>F766*K766</f>
        <v>0</v>
      </c>
      <c r="M766" s="225">
        <f>H766+J766+L766</f>
        <v>0</v>
      </c>
    </row>
    <row r="767" spans="1:14" s="88" customFormat="1" hidden="1">
      <c r="A767" s="83"/>
      <c r="B767" s="1432"/>
      <c r="C767" s="15" t="s">
        <v>210</v>
      </c>
      <c r="D767" s="211"/>
      <c r="E767" s="211"/>
      <c r="F767" s="386"/>
      <c r="G767" s="225"/>
      <c r="H767" s="225"/>
      <c r="I767" s="225"/>
      <c r="J767" s="225"/>
      <c r="K767" s="225"/>
      <c r="L767" s="225"/>
      <c r="M767" s="225"/>
    </row>
    <row r="768" spans="1:14" s="88" customFormat="1" hidden="1">
      <c r="A768" s="83"/>
      <c r="B768" s="1432"/>
      <c r="C768" s="223" t="s">
        <v>186</v>
      </c>
      <c r="D768" s="211" t="s">
        <v>97</v>
      </c>
      <c r="E768" s="211">
        <v>0.246</v>
      </c>
      <c r="F768" s="386">
        <f>F764*E768</f>
        <v>0</v>
      </c>
      <c r="G768" s="225">
        <v>5.0999999999999996</v>
      </c>
      <c r="H768" s="225">
        <f>F768*G768</f>
        <v>0</v>
      </c>
      <c r="I768" s="225"/>
      <c r="J768" s="225"/>
      <c r="K768" s="225"/>
      <c r="L768" s="225"/>
      <c r="M768" s="225">
        <f>H768+J768+L768</f>
        <v>0</v>
      </c>
    </row>
    <row r="769" spans="1:14" s="88" customFormat="1" hidden="1">
      <c r="A769" s="83"/>
      <c r="B769" s="1432"/>
      <c r="C769" s="223" t="s">
        <v>138</v>
      </c>
      <c r="D769" s="211" t="s">
        <v>97</v>
      </c>
      <c r="E769" s="211">
        <v>2.7E-2</v>
      </c>
      <c r="F769" s="386">
        <f>F764*E769</f>
        <v>0</v>
      </c>
      <c r="G769" s="225">
        <v>3.5</v>
      </c>
      <c r="H769" s="225">
        <f>F769*G769</f>
        <v>0</v>
      </c>
      <c r="I769" s="225"/>
      <c r="J769" s="225"/>
      <c r="K769" s="225"/>
      <c r="L769" s="225"/>
      <c r="M769" s="225">
        <f>H769+J769+L769</f>
        <v>0</v>
      </c>
    </row>
    <row r="770" spans="1:14" s="88" customFormat="1" hidden="1">
      <c r="A770" s="83"/>
      <c r="B770" s="1432"/>
      <c r="C770" s="223" t="s">
        <v>214</v>
      </c>
      <c r="D770" s="86" t="s">
        <v>57</v>
      </c>
      <c r="E770" s="211">
        <v>1.9E-3</v>
      </c>
      <c r="F770" s="386">
        <f>F764*E770</f>
        <v>0</v>
      </c>
      <c r="G770" s="225">
        <v>3.2</v>
      </c>
      <c r="H770" s="225">
        <f>F770*G770</f>
        <v>0</v>
      </c>
      <c r="I770" s="225"/>
      <c r="J770" s="225"/>
      <c r="K770" s="225"/>
      <c r="L770" s="225"/>
      <c r="M770" s="225">
        <f>H770+J770+L770</f>
        <v>0</v>
      </c>
    </row>
    <row r="771" spans="1:14" s="51" customFormat="1" ht="27" hidden="1">
      <c r="A771" s="47">
        <v>23</v>
      </c>
      <c r="B771" s="1433" t="s">
        <v>195</v>
      </c>
      <c r="C771" s="46" t="s">
        <v>196</v>
      </c>
      <c r="D771" s="47" t="s">
        <v>78</v>
      </c>
      <c r="E771" s="47"/>
      <c r="F771" s="384">
        <f>'დეფექტური აქტი'!E170</f>
        <v>0</v>
      </c>
      <c r="G771" s="385"/>
      <c r="H771" s="385"/>
      <c r="I771" s="385"/>
      <c r="J771" s="385"/>
      <c r="K771" s="385"/>
      <c r="L771" s="385"/>
      <c r="M771" s="385"/>
    </row>
    <row r="772" spans="1:14" s="51" customFormat="1" hidden="1">
      <c r="A772" s="41"/>
      <c r="B772" s="1434"/>
      <c r="C772" s="15" t="s">
        <v>209</v>
      </c>
      <c r="D772" s="41" t="s">
        <v>80</v>
      </c>
      <c r="E772" s="41">
        <v>3.91</v>
      </c>
      <c r="F772" s="386">
        <f>F771*E772</f>
        <v>0</v>
      </c>
      <c r="G772" s="386"/>
      <c r="H772" s="386"/>
      <c r="I772" s="386">
        <v>4.5999999999999996</v>
      </c>
      <c r="J772" s="386">
        <f>F772*I772</f>
        <v>0</v>
      </c>
      <c r="K772" s="386"/>
      <c r="L772" s="386"/>
      <c r="M772" s="386">
        <f>H772+J772+L772</f>
        <v>0</v>
      </c>
    </row>
    <row r="773" spans="1:14" s="51" customFormat="1" hidden="1">
      <c r="A773" s="41"/>
      <c r="B773" s="1434"/>
      <c r="C773" s="15" t="s">
        <v>81</v>
      </c>
      <c r="D773" s="83" t="s">
        <v>57</v>
      </c>
      <c r="E773" s="41">
        <v>4.8000000000000001E-2</v>
      </c>
      <c r="F773" s="386">
        <f>F771*E773</f>
        <v>0</v>
      </c>
      <c r="G773" s="386"/>
      <c r="H773" s="386"/>
      <c r="I773" s="386"/>
      <c r="J773" s="386"/>
      <c r="K773" s="386">
        <v>3.2</v>
      </c>
      <c r="L773" s="386">
        <f>F773*K773</f>
        <v>0</v>
      </c>
      <c r="M773" s="386">
        <f>H773+J773+L773</f>
        <v>0</v>
      </c>
    </row>
    <row r="774" spans="1:14" s="51" customFormat="1" hidden="1">
      <c r="A774" s="41"/>
      <c r="B774" s="1434"/>
      <c r="C774" s="15" t="s">
        <v>210</v>
      </c>
      <c r="D774" s="41"/>
      <c r="E774" s="41"/>
      <c r="F774" s="386"/>
      <c r="G774" s="386"/>
      <c r="H774" s="386"/>
      <c r="I774" s="386"/>
      <c r="J774" s="386"/>
      <c r="K774" s="386"/>
      <c r="L774" s="386"/>
      <c r="M774" s="386"/>
    </row>
    <row r="775" spans="1:14" s="51" customFormat="1" hidden="1">
      <c r="A775" s="41"/>
      <c r="B775" s="1434"/>
      <c r="C775" s="15" t="s">
        <v>1599</v>
      </c>
      <c r="D775" s="41" t="s">
        <v>78</v>
      </c>
      <c r="E775" s="41">
        <v>1</v>
      </c>
      <c r="F775" s="386">
        <f>F771*E775</f>
        <v>0</v>
      </c>
      <c r="G775" s="439">
        <v>50</v>
      </c>
      <c r="H775" s="386">
        <f>F775*G775</f>
        <v>0</v>
      </c>
      <c r="I775" s="386"/>
      <c r="J775" s="386"/>
      <c r="K775" s="386"/>
      <c r="L775" s="386"/>
      <c r="M775" s="386">
        <f>H775+J775+L775</f>
        <v>0</v>
      </c>
    </row>
    <row r="776" spans="1:14" s="51" customFormat="1" hidden="1">
      <c r="A776" s="41"/>
      <c r="B776" s="1434"/>
      <c r="C776" s="15" t="s">
        <v>218</v>
      </c>
      <c r="D776" s="41" t="s">
        <v>88</v>
      </c>
      <c r="E776" s="41">
        <v>2.5000000000000001E-2</v>
      </c>
      <c r="F776" s="386">
        <f>F771*E776</f>
        <v>0</v>
      </c>
      <c r="G776" s="386">
        <v>87</v>
      </c>
      <c r="H776" s="386">
        <f>F776*G776</f>
        <v>0</v>
      </c>
      <c r="I776" s="386"/>
      <c r="J776" s="386"/>
      <c r="K776" s="386"/>
      <c r="L776" s="386"/>
      <c r="M776" s="386">
        <f>H776+J776+L776</f>
        <v>0</v>
      </c>
    </row>
    <row r="777" spans="1:14" s="51" customFormat="1" hidden="1">
      <c r="A777" s="41"/>
      <c r="B777" s="1434"/>
      <c r="C777" s="15" t="s">
        <v>214</v>
      </c>
      <c r="D777" s="86" t="s">
        <v>57</v>
      </c>
      <c r="E777" s="41">
        <v>1.43</v>
      </c>
      <c r="F777" s="386">
        <f>F771*E777</f>
        <v>0</v>
      </c>
      <c r="G777" s="386">
        <v>3.2</v>
      </c>
      <c r="H777" s="386">
        <f>F777*G777</f>
        <v>0</v>
      </c>
      <c r="I777" s="386"/>
      <c r="J777" s="386"/>
      <c r="K777" s="386"/>
      <c r="L777" s="386"/>
      <c r="M777" s="386">
        <f>H777+J777+L777</f>
        <v>0</v>
      </c>
    </row>
    <row r="778" spans="1:14" s="63" customFormat="1" hidden="1">
      <c r="A778" s="47">
        <v>24</v>
      </c>
      <c r="B778" s="1497" t="s">
        <v>99</v>
      </c>
      <c r="C778" s="46" t="s">
        <v>360</v>
      </c>
      <c r="D778" s="47" t="s">
        <v>78</v>
      </c>
      <c r="E778" s="47"/>
      <c r="F778" s="384">
        <f>'დეფექტური აქტი'!E171</f>
        <v>0</v>
      </c>
      <c r="G778" s="385"/>
      <c r="H778" s="385"/>
      <c r="I778" s="385"/>
      <c r="J778" s="385"/>
      <c r="K778" s="385"/>
      <c r="L778" s="385"/>
      <c r="M778" s="385"/>
    </row>
    <row r="779" spans="1:14" s="63" customFormat="1" hidden="1">
      <c r="A779" s="41"/>
      <c r="B779" s="1501"/>
      <c r="C779" s="15" t="s">
        <v>209</v>
      </c>
      <c r="D779" s="41" t="s">
        <v>78</v>
      </c>
      <c r="E779" s="41">
        <v>1</v>
      </c>
      <c r="F779" s="386">
        <f>F778*E779</f>
        <v>0</v>
      </c>
      <c r="G779" s="386"/>
      <c r="H779" s="386"/>
      <c r="I779" s="386">
        <v>8</v>
      </c>
      <c r="J779" s="386">
        <f>F779*I779</f>
        <v>0</v>
      </c>
      <c r="K779" s="386"/>
      <c r="L779" s="386"/>
      <c r="M779" s="386">
        <f>H779+J779+L779</f>
        <v>0</v>
      </c>
    </row>
    <row r="780" spans="1:14" s="63" customFormat="1" hidden="1">
      <c r="A780" s="41"/>
      <c r="B780" s="1501"/>
      <c r="C780" s="15" t="s">
        <v>210</v>
      </c>
      <c r="D780" s="41"/>
      <c r="E780" s="41"/>
      <c r="F780" s="386"/>
      <c r="G780" s="386"/>
      <c r="H780" s="386"/>
      <c r="I780" s="386"/>
      <c r="J780" s="386"/>
      <c r="K780" s="386"/>
      <c r="L780" s="386"/>
      <c r="M780" s="386"/>
    </row>
    <row r="781" spans="1:14" s="63" customFormat="1" hidden="1">
      <c r="A781" s="43"/>
      <c r="B781" s="1498"/>
      <c r="C781" s="56" t="s">
        <v>361</v>
      </c>
      <c r="D781" s="43" t="s">
        <v>78</v>
      </c>
      <c r="E781" s="43">
        <v>1</v>
      </c>
      <c r="F781" s="387">
        <f>F778*E781</f>
        <v>0</v>
      </c>
      <c r="G781" s="1074">
        <v>21</v>
      </c>
      <c r="H781" s="387">
        <f>F781*G781</f>
        <v>0</v>
      </c>
      <c r="I781" s="387"/>
      <c r="J781" s="387"/>
      <c r="K781" s="387"/>
      <c r="L781" s="387"/>
      <c r="M781" s="387">
        <f>H781+J781+L781</f>
        <v>0</v>
      </c>
    </row>
    <row r="782" spans="1:14" customFormat="1" ht="17.25" hidden="1" customHeight="1">
      <c r="A782" s="546">
        <v>25</v>
      </c>
      <c r="B782" s="452" t="s">
        <v>1127</v>
      </c>
      <c r="C782" s="453" t="s">
        <v>1128</v>
      </c>
      <c r="D782" s="421" t="s">
        <v>78</v>
      </c>
      <c r="E782" s="454"/>
      <c r="F782" s="384">
        <f>'დეფექტური აქტი'!E172</f>
        <v>0</v>
      </c>
      <c r="G782" s="389">
        <v>9</v>
      </c>
      <c r="H782" s="389">
        <f>F782*G782</f>
        <v>0</v>
      </c>
      <c r="I782" s="389">
        <v>1</v>
      </c>
      <c r="J782" s="389">
        <f>F782*I782</f>
        <v>0</v>
      </c>
      <c r="K782" s="389"/>
      <c r="L782" s="389"/>
      <c r="M782" s="387">
        <f>H782+J782+L782</f>
        <v>0</v>
      </c>
      <c r="N782" s="348"/>
    </row>
    <row r="783" spans="1:14" s="45" customFormat="1" hidden="1">
      <c r="A783" s="47"/>
      <c r="B783" s="138"/>
      <c r="C783" s="204" t="s">
        <v>261</v>
      </c>
      <c r="D783" s="47"/>
      <c r="E783" s="47"/>
      <c r="F783" s="385"/>
      <c r="G783" s="385"/>
      <c r="H783" s="385"/>
      <c r="I783" s="385"/>
      <c r="J783" s="385"/>
      <c r="K783" s="385"/>
      <c r="L783" s="385"/>
      <c r="M783" s="385"/>
    </row>
    <row r="784" spans="1:14" s="89" customFormat="1" ht="27" hidden="1">
      <c r="A784" s="140">
        <v>1</v>
      </c>
      <c r="B784" s="1446" t="s">
        <v>538</v>
      </c>
      <c r="C784" s="151" t="s">
        <v>1545</v>
      </c>
      <c r="D784" s="140" t="s">
        <v>88</v>
      </c>
      <c r="E784" s="140"/>
      <c r="F784" s="384">
        <f>'დეფექტური აქტი'!E174*0.08</f>
        <v>0</v>
      </c>
      <c r="G784" s="422"/>
      <c r="H784" s="422"/>
      <c r="I784" s="422"/>
      <c r="J784" s="422"/>
      <c r="K784" s="422"/>
      <c r="L784" s="422"/>
      <c r="M784" s="422"/>
    </row>
    <row r="785" spans="1:13" s="89" customFormat="1" hidden="1">
      <c r="A785" s="83"/>
      <c r="B785" s="1432"/>
      <c r="C785" s="223" t="s">
        <v>209</v>
      </c>
      <c r="D785" s="211" t="s">
        <v>80</v>
      </c>
      <c r="E785" s="211">
        <v>8.5399999999999991</v>
      </c>
      <c r="F785" s="386">
        <f>F784*E785</f>
        <v>0</v>
      </c>
      <c r="G785" s="225"/>
      <c r="H785" s="225"/>
      <c r="I785" s="386">
        <v>4.5999999999999996</v>
      </c>
      <c r="J785" s="225">
        <f>F785*I785</f>
        <v>0</v>
      </c>
      <c r="K785" s="225"/>
      <c r="L785" s="225"/>
      <c r="M785" s="225">
        <f>H785+J785+L785</f>
        <v>0</v>
      </c>
    </row>
    <row r="786" spans="1:13" s="89" customFormat="1" hidden="1">
      <c r="A786" s="83"/>
      <c r="B786" s="1432"/>
      <c r="C786" s="223" t="s">
        <v>81</v>
      </c>
      <c r="D786" s="83" t="s">
        <v>57</v>
      </c>
      <c r="E786" s="211">
        <v>1.06</v>
      </c>
      <c r="F786" s="386">
        <f>F784*E786</f>
        <v>0</v>
      </c>
      <c r="G786" s="225"/>
      <c r="H786" s="225"/>
      <c r="I786" s="225"/>
      <c r="J786" s="225"/>
      <c r="K786" s="225">
        <v>3.2</v>
      </c>
      <c r="L786" s="225">
        <f>F786*K786</f>
        <v>0</v>
      </c>
      <c r="M786" s="225">
        <f>H786+J786+L786</f>
        <v>0</v>
      </c>
    </row>
    <row r="787" spans="1:13" s="89" customFormat="1" hidden="1">
      <c r="A787" s="83"/>
      <c r="B787" s="1432"/>
      <c r="C787" s="15" t="s">
        <v>210</v>
      </c>
      <c r="D787" s="211"/>
      <c r="E787" s="211"/>
      <c r="F787" s="386"/>
      <c r="G787" s="225"/>
      <c r="H787" s="225"/>
      <c r="I787" s="225"/>
      <c r="J787" s="225"/>
      <c r="K787" s="225"/>
      <c r="L787" s="225"/>
      <c r="M787" s="225"/>
    </row>
    <row r="788" spans="1:13" s="89" customFormat="1" hidden="1">
      <c r="A788" s="83"/>
      <c r="B788" s="1432"/>
      <c r="C788" s="223" t="s">
        <v>300</v>
      </c>
      <c r="D788" s="211" t="s">
        <v>88</v>
      </c>
      <c r="E788" s="211">
        <v>1.0149999999999999</v>
      </c>
      <c r="F788" s="386">
        <f>F784*E788</f>
        <v>0</v>
      </c>
      <c r="G788" s="225">
        <v>99</v>
      </c>
      <c r="H788" s="225">
        <f t="shared" ref="H788:H794" si="2">F788*G788</f>
        <v>0</v>
      </c>
      <c r="I788" s="225"/>
      <c r="J788" s="225"/>
      <c r="K788" s="225"/>
      <c r="L788" s="225"/>
      <c r="M788" s="225">
        <f t="shared" ref="M788:M794" si="3">H788+J788+L788</f>
        <v>0</v>
      </c>
    </row>
    <row r="789" spans="1:13" s="89" customFormat="1" hidden="1">
      <c r="A789" s="83"/>
      <c r="B789" s="1432"/>
      <c r="C789" s="223" t="s">
        <v>301</v>
      </c>
      <c r="D789" s="211" t="s">
        <v>78</v>
      </c>
      <c r="E789" s="211">
        <v>1.4</v>
      </c>
      <c r="F789" s="386">
        <f>F784*E789</f>
        <v>0</v>
      </c>
      <c r="G789" s="225">
        <v>10.5</v>
      </c>
      <c r="H789" s="225">
        <f t="shared" si="2"/>
        <v>0</v>
      </c>
      <c r="I789" s="225"/>
      <c r="J789" s="225"/>
      <c r="K789" s="225"/>
      <c r="L789" s="225"/>
      <c r="M789" s="225">
        <f t="shared" si="3"/>
        <v>0</v>
      </c>
    </row>
    <row r="790" spans="1:13" s="89" customFormat="1" hidden="1">
      <c r="A790" s="83"/>
      <c r="B790" s="1432"/>
      <c r="C790" s="223" t="s">
        <v>302</v>
      </c>
      <c r="D790" s="211" t="s">
        <v>88</v>
      </c>
      <c r="E790" s="211">
        <v>1.4500000000000001E-2</v>
      </c>
      <c r="F790" s="386">
        <f>F784*E790</f>
        <v>0</v>
      </c>
      <c r="G790" s="225">
        <v>403</v>
      </c>
      <c r="H790" s="225">
        <f t="shared" si="2"/>
        <v>0</v>
      </c>
      <c r="I790" s="225"/>
      <c r="J790" s="225"/>
      <c r="K790" s="225"/>
      <c r="L790" s="225"/>
      <c r="M790" s="225">
        <f t="shared" si="3"/>
        <v>0</v>
      </c>
    </row>
    <row r="791" spans="1:13" s="89" customFormat="1" hidden="1">
      <c r="A791" s="83"/>
      <c r="B791" s="1432"/>
      <c r="C791" s="223" t="s">
        <v>307</v>
      </c>
      <c r="D791" s="211" t="s">
        <v>97</v>
      </c>
      <c r="E791" s="211">
        <v>2.5</v>
      </c>
      <c r="F791" s="386">
        <f>F784*E791</f>
        <v>0</v>
      </c>
      <c r="G791" s="225">
        <v>3.75</v>
      </c>
      <c r="H791" s="225">
        <f t="shared" si="2"/>
        <v>0</v>
      </c>
      <c r="I791" s="225"/>
      <c r="J791" s="225"/>
      <c r="K791" s="225"/>
      <c r="L791" s="225"/>
      <c r="M791" s="225">
        <f t="shared" si="3"/>
        <v>0</v>
      </c>
    </row>
    <row r="792" spans="1:13" s="89" customFormat="1" hidden="1">
      <c r="A792" s="83"/>
      <c r="B792" s="1432"/>
      <c r="C792" s="223" t="s">
        <v>854</v>
      </c>
      <c r="D792" s="211" t="s">
        <v>97</v>
      </c>
      <c r="E792" s="211"/>
      <c r="F792" s="384">
        <f>'დეფექტური აქტი'!E174*2</f>
        <v>0</v>
      </c>
      <c r="G792" s="886">
        <v>1.0189999999999999</v>
      </c>
      <c r="H792" s="225">
        <f t="shared" si="2"/>
        <v>0</v>
      </c>
      <c r="I792" s="225"/>
      <c r="J792" s="225"/>
      <c r="K792" s="225"/>
      <c r="L792" s="225"/>
      <c r="M792" s="225">
        <f t="shared" si="3"/>
        <v>0</v>
      </c>
    </row>
    <row r="793" spans="1:13" s="89" customFormat="1" hidden="1">
      <c r="A793" s="83"/>
      <c r="B793" s="1432"/>
      <c r="C793" s="223" t="s">
        <v>501</v>
      </c>
      <c r="D793" s="211" t="s">
        <v>97</v>
      </c>
      <c r="E793" s="211"/>
      <c r="F793" s="384">
        <f>'დეფექტური აქტი'!E174*4</f>
        <v>0</v>
      </c>
      <c r="G793" s="886">
        <v>0.95299999999999996</v>
      </c>
      <c r="H793" s="225">
        <f t="shared" si="2"/>
        <v>0</v>
      </c>
      <c r="I793" s="225"/>
      <c r="J793" s="225"/>
      <c r="K793" s="225"/>
      <c r="L793" s="225"/>
      <c r="M793" s="225">
        <f t="shared" si="3"/>
        <v>0</v>
      </c>
    </row>
    <row r="794" spans="1:13" s="89" customFormat="1" hidden="1">
      <c r="A794" s="86"/>
      <c r="B794" s="1437"/>
      <c r="C794" s="232" t="s">
        <v>214</v>
      </c>
      <c r="D794" s="86" t="s">
        <v>57</v>
      </c>
      <c r="E794" s="230">
        <v>0.46</v>
      </c>
      <c r="F794" s="387">
        <f>F784*E794</f>
        <v>0</v>
      </c>
      <c r="G794" s="393">
        <v>3.2</v>
      </c>
      <c r="H794" s="393">
        <f t="shared" si="2"/>
        <v>0</v>
      </c>
      <c r="I794" s="393"/>
      <c r="J794" s="393"/>
      <c r="K794" s="393"/>
      <c r="L794" s="393"/>
      <c r="M794" s="393">
        <f t="shared" si="3"/>
        <v>0</v>
      </c>
    </row>
    <row r="795" spans="1:13" s="88" customFormat="1" hidden="1">
      <c r="A795" s="140">
        <v>2</v>
      </c>
      <c r="B795" s="1431" t="s">
        <v>262</v>
      </c>
      <c r="C795" s="180" t="s">
        <v>263</v>
      </c>
      <c r="D795" s="140" t="s">
        <v>88</v>
      </c>
      <c r="E795" s="168"/>
      <c r="F795" s="384">
        <f>'დეფექტური აქტი'!E175</f>
        <v>0</v>
      </c>
      <c r="G795" s="385"/>
      <c r="H795" s="385"/>
      <c r="I795" s="385"/>
      <c r="J795" s="385"/>
      <c r="K795" s="385"/>
      <c r="L795" s="385"/>
      <c r="M795" s="385"/>
    </row>
    <row r="796" spans="1:13" s="88" customFormat="1" hidden="1">
      <c r="A796" s="83"/>
      <c r="B796" s="1432"/>
      <c r="C796" s="181" t="s">
        <v>209</v>
      </c>
      <c r="D796" s="83" t="s">
        <v>80</v>
      </c>
      <c r="E796" s="183">
        <v>23.8</v>
      </c>
      <c r="F796" s="386">
        <f>F795*E796</f>
        <v>0</v>
      </c>
      <c r="G796" s="386"/>
      <c r="H796" s="386"/>
      <c r="I796" s="386">
        <v>6</v>
      </c>
      <c r="J796" s="386">
        <f>F796*I796</f>
        <v>0</v>
      </c>
      <c r="K796" s="386"/>
      <c r="L796" s="386"/>
      <c r="M796" s="386">
        <f>H796+J796+L796</f>
        <v>0</v>
      </c>
    </row>
    <row r="797" spans="1:13" s="88" customFormat="1" hidden="1">
      <c r="A797" s="83"/>
      <c r="B797" s="1432"/>
      <c r="C797" s="181" t="s">
        <v>81</v>
      </c>
      <c r="D797" s="83" t="s">
        <v>57</v>
      </c>
      <c r="E797" s="183">
        <v>2.1</v>
      </c>
      <c r="F797" s="386">
        <f>F795*E797</f>
        <v>0</v>
      </c>
      <c r="G797" s="386"/>
      <c r="H797" s="386"/>
      <c r="I797" s="386"/>
      <c r="J797" s="386"/>
      <c r="K797" s="386">
        <v>3.2</v>
      </c>
      <c r="L797" s="386">
        <f>F797*K797</f>
        <v>0</v>
      </c>
      <c r="M797" s="386">
        <f>H797+J797+L797</f>
        <v>0</v>
      </c>
    </row>
    <row r="798" spans="1:13" s="88" customFormat="1" hidden="1">
      <c r="A798" s="83"/>
      <c r="B798" s="1432"/>
      <c r="C798" s="182" t="s">
        <v>210</v>
      </c>
      <c r="D798" s="83"/>
      <c r="E798" s="183"/>
      <c r="F798" s="386"/>
      <c r="G798" s="386"/>
      <c r="H798" s="386"/>
      <c r="I798" s="386"/>
      <c r="J798" s="386"/>
      <c r="K798" s="386"/>
      <c r="L798" s="386"/>
      <c r="M798" s="386"/>
    </row>
    <row r="799" spans="1:13" s="88" customFormat="1" hidden="1">
      <c r="A799" s="83"/>
      <c r="B799" s="1432"/>
      <c r="C799" s="181" t="s">
        <v>264</v>
      </c>
      <c r="D799" s="83" t="s">
        <v>88</v>
      </c>
      <c r="E799" s="183">
        <v>0.22</v>
      </c>
      <c r="F799" s="386">
        <f>F795*E799</f>
        <v>0</v>
      </c>
      <c r="G799" s="386">
        <v>490</v>
      </c>
      <c r="H799" s="386">
        <f t="shared" ref="H799:H805" si="4">F799*G799</f>
        <v>0</v>
      </c>
      <c r="I799" s="386"/>
      <c r="J799" s="386"/>
      <c r="K799" s="386"/>
      <c r="L799" s="386"/>
      <c r="M799" s="386">
        <f t="shared" ref="M799:M805" si="5">H799+J799+L799</f>
        <v>0</v>
      </c>
    </row>
    <row r="800" spans="1:13" s="88" customFormat="1" hidden="1">
      <c r="A800" s="83"/>
      <c r="B800" s="1432"/>
      <c r="C800" s="181" t="s">
        <v>403</v>
      </c>
      <c r="D800" s="83" t="s">
        <v>88</v>
      </c>
      <c r="E800" s="183">
        <v>0.83</v>
      </c>
      <c r="F800" s="386">
        <f>F795*E800</f>
        <v>0</v>
      </c>
      <c r="G800" s="386">
        <v>485</v>
      </c>
      <c r="H800" s="386">
        <f t="shared" si="4"/>
        <v>0</v>
      </c>
      <c r="I800" s="386"/>
      <c r="J800" s="386"/>
      <c r="K800" s="386"/>
      <c r="L800" s="386"/>
      <c r="M800" s="386">
        <f t="shared" si="5"/>
        <v>0</v>
      </c>
    </row>
    <row r="801" spans="1:13" s="88" customFormat="1" hidden="1">
      <c r="A801" s="83"/>
      <c r="B801" s="1432"/>
      <c r="C801" s="181" t="s">
        <v>265</v>
      </c>
      <c r="D801" s="83" t="s">
        <v>97</v>
      </c>
      <c r="E801" s="183">
        <v>7.2</v>
      </c>
      <c r="F801" s="386">
        <f>F795*E801</f>
        <v>0</v>
      </c>
      <c r="G801" s="386">
        <v>2.4</v>
      </c>
      <c r="H801" s="386">
        <f t="shared" si="4"/>
        <v>0</v>
      </c>
      <c r="I801" s="386"/>
      <c r="J801" s="386"/>
      <c r="K801" s="386"/>
      <c r="L801" s="386"/>
      <c r="M801" s="386">
        <f t="shared" si="5"/>
        <v>0</v>
      </c>
    </row>
    <row r="802" spans="1:13" s="88" customFormat="1" hidden="1">
      <c r="A802" s="83"/>
      <c r="B802" s="1432"/>
      <c r="C802" s="181" t="s">
        <v>435</v>
      </c>
      <c r="D802" s="83" t="s">
        <v>97</v>
      </c>
      <c r="E802" s="183">
        <v>1.96</v>
      </c>
      <c r="F802" s="386">
        <f>F795*E802</f>
        <v>0</v>
      </c>
      <c r="G802" s="386">
        <v>5.5</v>
      </c>
      <c r="H802" s="386">
        <f t="shared" si="4"/>
        <v>0</v>
      </c>
      <c r="I802" s="386"/>
      <c r="J802" s="386"/>
      <c r="K802" s="386"/>
      <c r="L802" s="386"/>
      <c r="M802" s="386">
        <f t="shared" si="5"/>
        <v>0</v>
      </c>
    </row>
    <row r="803" spans="1:13" s="88" customFormat="1" hidden="1">
      <c r="A803" s="83"/>
      <c r="B803" s="1432"/>
      <c r="C803" s="181" t="s">
        <v>184</v>
      </c>
      <c r="D803" s="83" t="s">
        <v>78</v>
      </c>
      <c r="E803" s="183">
        <v>3.38</v>
      </c>
      <c r="F803" s="386">
        <f>F795*E803</f>
        <v>0</v>
      </c>
      <c r="G803" s="386">
        <v>2.1</v>
      </c>
      <c r="H803" s="386">
        <f t="shared" si="4"/>
        <v>0</v>
      </c>
      <c r="I803" s="386"/>
      <c r="J803" s="386"/>
      <c r="K803" s="386"/>
      <c r="L803" s="386"/>
      <c r="M803" s="386">
        <f t="shared" si="5"/>
        <v>0</v>
      </c>
    </row>
    <row r="804" spans="1:13" s="88" customFormat="1" hidden="1">
      <c r="A804" s="83"/>
      <c r="B804" s="1432"/>
      <c r="C804" s="181" t="s">
        <v>266</v>
      </c>
      <c r="D804" s="83" t="s">
        <v>97</v>
      </c>
      <c r="E804" s="183">
        <v>4.38</v>
      </c>
      <c r="F804" s="386">
        <f>F795*E804</f>
        <v>0</v>
      </c>
      <c r="G804" s="386">
        <v>1.1020000000000001</v>
      </c>
      <c r="H804" s="386">
        <f t="shared" si="4"/>
        <v>0</v>
      </c>
      <c r="I804" s="386"/>
      <c r="J804" s="386"/>
      <c r="K804" s="386"/>
      <c r="L804" s="386"/>
      <c r="M804" s="386">
        <f t="shared" si="5"/>
        <v>0</v>
      </c>
    </row>
    <row r="805" spans="1:13" s="88" customFormat="1" hidden="1">
      <c r="A805" s="83"/>
      <c r="B805" s="1432"/>
      <c r="C805" s="181" t="s">
        <v>214</v>
      </c>
      <c r="D805" s="86" t="s">
        <v>57</v>
      </c>
      <c r="E805" s="183">
        <v>3.44</v>
      </c>
      <c r="F805" s="386">
        <f>F795*E805</f>
        <v>0</v>
      </c>
      <c r="G805" s="386">
        <v>3.2</v>
      </c>
      <c r="H805" s="386">
        <f t="shared" si="4"/>
        <v>0</v>
      </c>
      <c r="I805" s="386"/>
      <c r="J805" s="386"/>
      <c r="K805" s="386"/>
      <c r="L805" s="386"/>
      <c r="M805" s="386">
        <f t="shared" si="5"/>
        <v>0</v>
      </c>
    </row>
    <row r="806" spans="1:13" s="88" customFormat="1" hidden="1">
      <c r="A806" s="140">
        <v>3</v>
      </c>
      <c r="B806" s="1431" t="s">
        <v>379</v>
      </c>
      <c r="C806" s="151" t="s">
        <v>380</v>
      </c>
      <c r="D806" s="140" t="s">
        <v>88</v>
      </c>
      <c r="E806" s="140"/>
      <c r="F806" s="384">
        <f>'დეფექტური აქტი'!E176</f>
        <v>0</v>
      </c>
      <c r="G806" s="385"/>
      <c r="H806" s="385"/>
      <c r="I806" s="385"/>
      <c r="J806" s="385"/>
      <c r="K806" s="385"/>
      <c r="L806" s="385"/>
      <c r="M806" s="385"/>
    </row>
    <row r="807" spans="1:13" s="88" customFormat="1" hidden="1">
      <c r="A807" s="83"/>
      <c r="B807" s="1432"/>
      <c r="C807" s="84" t="s">
        <v>209</v>
      </c>
      <c r="D807" s="83" t="s">
        <v>80</v>
      </c>
      <c r="E807" s="83">
        <v>0.87</v>
      </c>
      <c r="F807" s="386">
        <f>F806*E807</f>
        <v>0</v>
      </c>
      <c r="G807" s="386"/>
      <c r="H807" s="386"/>
      <c r="I807" s="386">
        <v>6</v>
      </c>
      <c r="J807" s="386">
        <f>F807*I807</f>
        <v>0</v>
      </c>
      <c r="K807" s="386"/>
      <c r="L807" s="386"/>
      <c r="M807" s="386">
        <f>H807+J807+L807</f>
        <v>0</v>
      </c>
    </row>
    <row r="808" spans="1:13" s="88" customFormat="1" hidden="1">
      <c r="A808" s="83"/>
      <c r="B808" s="1432"/>
      <c r="C808" s="84" t="s">
        <v>81</v>
      </c>
      <c r="D808" s="83" t="s">
        <v>57</v>
      </c>
      <c r="E808" s="83">
        <v>0.13</v>
      </c>
      <c r="F808" s="386">
        <f>F806*E808</f>
        <v>0</v>
      </c>
      <c r="G808" s="386"/>
      <c r="H808" s="386"/>
      <c r="I808" s="386"/>
      <c r="J808" s="386"/>
      <c r="K808" s="386">
        <v>3.2</v>
      </c>
      <c r="L808" s="386">
        <f>F808*K808</f>
        <v>0</v>
      </c>
      <c r="M808" s="386">
        <f>H808+J808+L808</f>
        <v>0</v>
      </c>
    </row>
    <row r="809" spans="1:13" s="88" customFormat="1" hidden="1">
      <c r="A809" s="83"/>
      <c r="B809" s="1432"/>
      <c r="C809" s="15" t="s">
        <v>210</v>
      </c>
      <c r="D809" s="83"/>
      <c r="E809" s="83"/>
      <c r="F809" s="386"/>
      <c r="G809" s="386"/>
      <c r="H809" s="386"/>
      <c r="I809" s="386"/>
      <c r="J809" s="386"/>
      <c r="K809" s="386"/>
      <c r="L809" s="386"/>
      <c r="M809" s="386"/>
    </row>
    <row r="810" spans="1:13" s="88" customFormat="1" hidden="1">
      <c r="A810" s="83"/>
      <c r="B810" s="1432"/>
      <c r="C810" s="84" t="s">
        <v>381</v>
      </c>
      <c r="D810" s="83" t="s">
        <v>97</v>
      </c>
      <c r="E810" s="83">
        <v>7.2</v>
      </c>
      <c r="F810" s="386">
        <f>F806*E810</f>
        <v>0</v>
      </c>
      <c r="G810" s="598">
        <v>0.8</v>
      </c>
      <c r="H810" s="386">
        <f>F810*G810</f>
        <v>0</v>
      </c>
      <c r="I810" s="386"/>
      <c r="J810" s="386"/>
      <c r="K810" s="386"/>
      <c r="L810" s="386"/>
      <c r="M810" s="386">
        <f>H810+J810+L810</f>
        <v>0</v>
      </c>
    </row>
    <row r="811" spans="1:13" s="88" customFormat="1" hidden="1">
      <c r="A811" s="83"/>
      <c r="B811" s="1432"/>
      <c r="C811" s="84" t="s">
        <v>382</v>
      </c>
      <c r="D811" s="83" t="s">
        <v>97</v>
      </c>
      <c r="E811" s="83">
        <v>1.79</v>
      </c>
      <c r="F811" s="386">
        <f>F806*E811</f>
        <v>0</v>
      </c>
      <c r="G811" s="598">
        <v>0.3</v>
      </c>
      <c r="H811" s="386">
        <f>F811*G811</f>
        <v>0</v>
      </c>
      <c r="I811" s="386"/>
      <c r="J811" s="386"/>
      <c r="K811" s="386"/>
      <c r="L811" s="386"/>
      <c r="M811" s="386">
        <f>H811+J811+L811</f>
        <v>0</v>
      </c>
    </row>
    <row r="812" spans="1:13" s="88" customFormat="1" hidden="1">
      <c r="A812" s="83"/>
      <c r="B812" s="1432"/>
      <c r="C812" s="84" t="s">
        <v>383</v>
      </c>
      <c r="D812" s="83" t="s">
        <v>97</v>
      </c>
      <c r="E812" s="83">
        <v>1.07</v>
      </c>
      <c r="F812" s="386">
        <f>F806*E812</f>
        <v>0</v>
      </c>
      <c r="G812" s="598">
        <v>0.4</v>
      </c>
      <c r="H812" s="386">
        <f>F812*G812</f>
        <v>0</v>
      </c>
      <c r="I812" s="386"/>
      <c r="J812" s="386"/>
      <c r="K812" s="386"/>
      <c r="L812" s="386"/>
      <c r="M812" s="386">
        <f>H812+J812+L812</f>
        <v>0</v>
      </c>
    </row>
    <row r="813" spans="1:13" s="88" customFormat="1" hidden="1">
      <c r="A813" s="86"/>
      <c r="B813" s="1437"/>
      <c r="C813" s="87" t="s">
        <v>214</v>
      </c>
      <c r="D813" s="86" t="s">
        <v>57</v>
      </c>
      <c r="E813" s="86">
        <v>0.1</v>
      </c>
      <c r="F813" s="387">
        <f>F806*E813</f>
        <v>0</v>
      </c>
      <c r="G813" s="387">
        <v>3.2</v>
      </c>
      <c r="H813" s="387">
        <f>F813*G813</f>
        <v>0</v>
      </c>
      <c r="I813" s="387"/>
      <c r="J813" s="387"/>
      <c r="K813" s="387"/>
      <c r="L813" s="387"/>
      <c r="M813" s="387">
        <f>H813+J813+L813</f>
        <v>0</v>
      </c>
    </row>
    <row r="814" spans="1:13" s="89" customFormat="1" hidden="1">
      <c r="A814" s="83">
        <v>4</v>
      </c>
      <c r="B814" s="1446" t="s">
        <v>456</v>
      </c>
      <c r="C814" s="84" t="s">
        <v>1533</v>
      </c>
      <c r="D814" s="140" t="s">
        <v>78</v>
      </c>
      <c r="E814" s="83"/>
      <c r="F814" s="388">
        <f>'დეფექტური აქტი'!E177</f>
        <v>0</v>
      </c>
      <c r="G814" s="225"/>
      <c r="H814" s="225"/>
      <c r="I814" s="225"/>
      <c r="J814" s="225"/>
      <c r="K814" s="225"/>
      <c r="L814" s="225"/>
      <c r="M814" s="225"/>
    </row>
    <row r="815" spans="1:13" s="88" customFormat="1" hidden="1">
      <c r="A815" s="83"/>
      <c r="B815" s="1432"/>
      <c r="C815" s="223" t="s">
        <v>209</v>
      </c>
      <c r="D815" s="211" t="s">
        <v>80</v>
      </c>
      <c r="E815" s="211">
        <v>0.24199999999999999</v>
      </c>
      <c r="F815" s="386">
        <f>F814*E815</f>
        <v>0</v>
      </c>
      <c r="G815" s="225"/>
      <c r="H815" s="225"/>
      <c r="I815" s="386">
        <v>6</v>
      </c>
      <c r="J815" s="225">
        <f>F815*I815</f>
        <v>0</v>
      </c>
      <c r="K815" s="225"/>
      <c r="L815" s="225"/>
      <c r="M815" s="225">
        <f>H815+J815+L815</f>
        <v>0</v>
      </c>
    </row>
    <row r="816" spans="1:13" s="89" customFormat="1" hidden="1">
      <c r="A816" s="83"/>
      <c r="B816" s="1432"/>
      <c r="C816" s="223" t="s">
        <v>81</v>
      </c>
      <c r="D816" s="83" t="s">
        <v>57</v>
      </c>
      <c r="E816" s="211">
        <v>4.2999999999999997E-2</v>
      </c>
      <c r="F816" s="386">
        <f>F814*E816</f>
        <v>0</v>
      </c>
      <c r="G816" s="225"/>
      <c r="H816" s="225"/>
      <c r="I816" s="225"/>
      <c r="J816" s="225"/>
      <c r="K816" s="225">
        <v>3.2</v>
      </c>
      <c r="L816" s="225">
        <f>F816*K816</f>
        <v>0</v>
      </c>
      <c r="M816" s="225">
        <f>H816+J816+L816</f>
        <v>0</v>
      </c>
    </row>
    <row r="817" spans="1:13" s="89" customFormat="1" hidden="1">
      <c r="A817" s="83"/>
      <c r="B817" s="1432"/>
      <c r="C817" s="15" t="s">
        <v>210</v>
      </c>
      <c r="D817" s="211"/>
      <c r="E817" s="211"/>
      <c r="F817" s="386"/>
      <c r="G817" s="225"/>
      <c r="H817" s="225"/>
      <c r="I817" s="225"/>
      <c r="J817" s="225"/>
      <c r="K817" s="225"/>
      <c r="L817" s="225"/>
      <c r="M817" s="225"/>
    </row>
    <row r="818" spans="1:13" s="89" customFormat="1" hidden="1">
      <c r="A818" s="83"/>
      <c r="B818" s="1432"/>
      <c r="C818" s="223" t="s">
        <v>819</v>
      </c>
      <c r="D818" s="211" t="s">
        <v>88</v>
      </c>
      <c r="E818" s="233">
        <v>2.1000000000000001E-2</v>
      </c>
      <c r="F818" s="386">
        <f>F814*E818</f>
        <v>0</v>
      </c>
      <c r="G818" s="386">
        <v>403</v>
      </c>
      <c r="H818" s="225">
        <f>F818*G818</f>
        <v>0</v>
      </c>
      <c r="I818" s="225"/>
      <c r="J818" s="225"/>
      <c r="K818" s="225"/>
      <c r="L818" s="225"/>
      <c r="M818" s="225">
        <f>H818+J818+L818</f>
        <v>0</v>
      </c>
    </row>
    <row r="819" spans="1:13" s="89" customFormat="1" hidden="1">
      <c r="A819" s="83"/>
      <c r="B819" s="1432"/>
      <c r="C819" s="223" t="s">
        <v>270</v>
      </c>
      <c r="D819" s="211" t="s">
        <v>97</v>
      </c>
      <c r="E819" s="211">
        <v>0.112</v>
      </c>
      <c r="F819" s="386">
        <f>F814*E819</f>
        <v>0</v>
      </c>
      <c r="G819" s="225">
        <v>2.4</v>
      </c>
      <c r="H819" s="225">
        <f>F819*G819</f>
        <v>0</v>
      </c>
      <c r="I819" s="225"/>
      <c r="J819" s="225"/>
      <c r="K819" s="225"/>
      <c r="L819" s="225"/>
      <c r="M819" s="225">
        <f>H819+J819+L819</f>
        <v>0</v>
      </c>
    </row>
    <row r="820" spans="1:13" s="89" customFormat="1" hidden="1">
      <c r="A820" s="83"/>
      <c r="B820" s="1437"/>
      <c r="C820" s="223" t="s">
        <v>214</v>
      </c>
      <c r="D820" s="86" t="s">
        <v>57</v>
      </c>
      <c r="E820" s="234">
        <v>4.8399999999999999E-2</v>
      </c>
      <c r="F820" s="386">
        <f>F814*E820</f>
        <v>0</v>
      </c>
      <c r="G820" s="225">
        <v>3.2</v>
      </c>
      <c r="H820" s="225">
        <f>F820*G820</f>
        <v>0</v>
      </c>
      <c r="I820" s="225"/>
      <c r="J820" s="225"/>
      <c r="K820" s="225"/>
      <c r="L820" s="225"/>
      <c r="M820" s="225">
        <f>H820+J820+L820</f>
        <v>0</v>
      </c>
    </row>
    <row r="821" spans="1:13" s="88" customFormat="1" hidden="1">
      <c r="A821" s="140">
        <v>5</v>
      </c>
      <c r="B821" s="1431" t="s">
        <v>384</v>
      </c>
      <c r="C821" s="151" t="s">
        <v>385</v>
      </c>
      <c r="D821" s="140" t="s">
        <v>78</v>
      </c>
      <c r="E821" s="140"/>
      <c r="F821" s="384">
        <f>'დეფექტური აქტი'!E178</f>
        <v>0</v>
      </c>
      <c r="G821" s="385"/>
      <c r="H821" s="385"/>
      <c r="I821" s="385"/>
      <c r="J821" s="385"/>
      <c r="K821" s="385"/>
      <c r="L821" s="385"/>
      <c r="M821" s="385"/>
    </row>
    <row r="822" spans="1:13" s="88" customFormat="1" hidden="1">
      <c r="A822" s="83"/>
      <c r="B822" s="1432"/>
      <c r="C822" s="84" t="s">
        <v>209</v>
      </c>
      <c r="D822" s="83" t="s">
        <v>80</v>
      </c>
      <c r="E822" s="83">
        <v>3.0300000000000001E-2</v>
      </c>
      <c r="F822" s="386">
        <f>F821*E822</f>
        <v>0</v>
      </c>
      <c r="G822" s="386"/>
      <c r="H822" s="386"/>
      <c r="I822" s="386">
        <v>6</v>
      </c>
      <c r="J822" s="386">
        <f>F822*I822</f>
        <v>0</v>
      </c>
      <c r="K822" s="386"/>
      <c r="L822" s="386"/>
      <c r="M822" s="386">
        <f>H822+J822+L822</f>
        <v>0</v>
      </c>
    </row>
    <row r="823" spans="1:13" s="88" customFormat="1" hidden="1">
      <c r="A823" s="83"/>
      <c r="B823" s="1432"/>
      <c r="C823" s="84" t="s">
        <v>81</v>
      </c>
      <c r="D823" s="83" t="s">
        <v>57</v>
      </c>
      <c r="E823" s="83">
        <v>4.1000000000000003E-3</v>
      </c>
      <c r="F823" s="386">
        <f>F821*E823</f>
        <v>0</v>
      </c>
      <c r="G823" s="386"/>
      <c r="H823" s="386"/>
      <c r="I823" s="386"/>
      <c r="J823" s="386"/>
      <c r="K823" s="386">
        <v>3.2</v>
      </c>
      <c r="L823" s="386">
        <f>F823*K823</f>
        <v>0</v>
      </c>
      <c r="M823" s="386">
        <f>H823+J823+L823</f>
        <v>0</v>
      </c>
    </row>
    <row r="824" spans="1:13" s="88" customFormat="1" hidden="1">
      <c r="A824" s="83"/>
      <c r="B824" s="1432"/>
      <c r="C824" s="15" t="s">
        <v>210</v>
      </c>
      <c r="D824" s="83"/>
      <c r="E824" s="83"/>
      <c r="F824" s="386"/>
      <c r="G824" s="386"/>
      <c r="H824" s="386"/>
      <c r="I824" s="386"/>
      <c r="J824" s="386"/>
      <c r="K824" s="386"/>
      <c r="L824" s="386"/>
      <c r="M824" s="386"/>
    </row>
    <row r="825" spans="1:13" s="88" customFormat="1" hidden="1">
      <c r="A825" s="83"/>
      <c r="B825" s="1432"/>
      <c r="C825" s="84" t="s">
        <v>381</v>
      </c>
      <c r="D825" s="83" t="s">
        <v>97</v>
      </c>
      <c r="E825" s="83">
        <v>0.23100000000000001</v>
      </c>
      <c r="F825" s="386">
        <f>F821*E825</f>
        <v>0</v>
      </c>
      <c r="G825" s="386">
        <v>0.8</v>
      </c>
      <c r="H825" s="386">
        <f>F825*G825</f>
        <v>0</v>
      </c>
      <c r="I825" s="386"/>
      <c r="J825" s="386"/>
      <c r="K825" s="386"/>
      <c r="L825" s="386"/>
      <c r="M825" s="386">
        <f>H825+J825+L825</f>
        <v>0</v>
      </c>
    </row>
    <row r="826" spans="1:13" s="88" customFormat="1" hidden="1">
      <c r="A826" s="83"/>
      <c r="B826" s="1432"/>
      <c r="C826" s="84" t="s">
        <v>382</v>
      </c>
      <c r="D826" s="83" t="s">
        <v>97</v>
      </c>
      <c r="E826" s="83">
        <v>5.8000000000000003E-2</v>
      </c>
      <c r="F826" s="386">
        <f>F821*E826</f>
        <v>0</v>
      </c>
      <c r="G826" s="386">
        <v>0.3</v>
      </c>
      <c r="H826" s="386">
        <f>F826*G826</f>
        <v>0</v>
      </c>
      <c r="I826" s="386"/>
      <c r="J826" s="386"/>
      <c r="K826" s="386"/>
      <c r="L826" s="386"/>
      <c r="M826" s="386">
        <f>H826+J826+L826</f>
        <v>0</v>
      </c>
    </row>
    <row r="827" spans="1:13" s="88" customFormat="1" hidden="1">
      <c r="A827" s="83"/>
      <c r="B827" s="1432"/>
      <c r="C827" s="84" t="s">
        <v>383</v>
      </c>
      <c r="D827" s="83" t="s">
        <v>97</v>
      </c>
      <c r="E827" s="83">
        <v>3.5000000000000003E-2</v>
      </c>
      <c r="F827" s="386">
        <f>F821*E827</f>
        <v>0</v>
      </c>
      <c r="G827" s="386">
        <v>0.4</v>
      </c>
      <c r="H827" s="386">
        <f>F827*G827</f>
        <v>0</v>
      </c>
      <c r="I827" s="386"/>
      <c r="J827" s="386"/>
      <c r="K827" s="386"/>
      <c r="L827" s="386"/>
      <c r="M827" s="386">
        <f>H827+J827+L827</f>
        <v>0</v>
      </c>
    </row>
    <row r="828" spans="1:13" s="88" customFormat="1" hidden="1">
      <c r="A828" s="83"/>
      <c r="B828" s="1432"/>
      <c r="C828" s="84" t="s">
        <v>214</v>
      </c>
      <c r="D828" s="86" t="s">
        <v>57</v>
      </c>
      <c r="E828" s="83">
        <v>4.0000000000000002E-4</v>
      </c>
      <c r="F828" s="386">
        <f>F821*E828</f>
        <v>0</v>
      </c>
      <c r="G828" s="386">
        <v>3.2</v>
      </c>
      <c r="H828" s="386">
        <f>F828*G828</f>
        <v>0</v>
      </c>
      <c r="I828" s="386"/>
      <c r="J828" s="386"/>
      <c r="K828" s="386"/>
      <c r="L828" s="386"/>
      <c r="M828" s="386">
        <f>H828+J828+L828</f>
        <v>0</v>
      </c>
    </row>
    <row r="829" spans="1:13" s="88" customFormat="1" hidden="1">
      <c r="A829" s="140">
        <v>6</v>
      </c>
      <c r="B829" s="1431" t="s">
        <v>1534</v>
      </c>
      <c r="C829" s="151" t="s">
        <v>386</v>
      </c>
      <c r="D829" s="140" t="s">
        <v>78</v>
      </c>
      <c r="E829" s="140"/>
      <c r="F829" s="384">
        <f>'დეფექტური აქტი'!E179</f>
        <v>0</v>
      </c>
      <c r="G829" s="385"/>
      <c r="H829" s="385"/>
      <c r="I829" s="385"/>
      <c r="J829" s="385"/>
      <c r="K829" s="385"/>
      <c r="L829" s="385"/>
      <c r="M829" s="385"/>
    </row>
    <row r="830" spans="1:13" s="88" customFormat="1" hidden="1">
      <c r="A830" s="83"/>
      <c r="B830" s="1432"/>
      <c r="C830" s="84" t="s">
        <v>209</v>
      </c>
      <c r="D830" s="83" t="s">
        <v>80</v>
      </c>
      <c r="E830" s="83">
        <v>6.9199999999999998E-2</v>
      </c>
      <c r="F830" s="386">
        <f>F829*E830</f>
        <v>0</v>
      </c>
      <c r="G830" s="386"/>
      <c r="H830" s="386"/>
      <c r="I830" s="386">
        <v>6</v>
      </c>
      <c r="J830" s="386">
        <f>F830*I830</f>
        <v>0</v>
      </c>
      <c r="K830" s="386"/>
      <c r="L830" s="386"/>
      <c r="M830" s="386">
        <f>H830+J830+L830</f>
        <v>0</v>
      </c>
    </row>
    <row r="831" spans="1:13" s="88" customFormat="1" hidden="1">
      <c r="A831" s="83"/>
      <c r="B831" s="1432"/>
      <c r="C831" s="84" t="s">
        <v>81</v>
      </c>
      <c r="D831" s="83" t="s">
        <v>57</v>
      </c>
      <c r="E831" s="83">
        <v>1.6000000000000001E-3</v>
      </c>
      <c r="F831" s="386">
        <f>F829*E831</f>
        <v>0</v>
      </c>
      <c r="G831" s="386"/>
      <c r="H831" s="386"/>
      <c r="I831" s="386"/>
      <c r="J831" s="386"/>
      <c r="K831" s="386">
        <v>3.2</v>
      </c>
      <c r="L831" s="386">
        <f>F831*K831</f>
        <v>0</v>
      </c>
      <c r="M831" s="386">
        <f>H831+J831+L831</f>
        <v>0</v>
      </c>
    </row>
    <row r="832" spans="1:13" s="88" customFormat="1" hidden="1">
      <c r="A832" s="83"/>
      <c r="B832" s="1432"/>
      <c r="C832" s="15" t="s">
        <v>210</v>
      </c>
      <c r="D832" s="83"/>
      <c r="E832" s="83"/>
      <c r="F832" s="386"/>
      <c r="G832" s="386"/>
      <c r="H832" s="386"/>
      <c r="I832" s="386"/>
      <c r="J832" s="386"/>
      <c r="K832" s="386"/>
      <c r="L832" s="386"/>
      <c r="M832" s="386"/>
    </row>
    <row r="833" spans="1:13" s="88" customFormat="1" hidden="1">
      <c r="A833" s="83"/>
      <c r="B833" s="1432"/>
      <c r="C833" s="84" t="s">
        <v>387</v>
      </c>
      <c r="D833" s="86" t="s">
        <v>97</v>
      </c>
      <c r="E833" s="83">
        <v>0.4</v>
      </c>
      <c r="F833" s="386">
        <f>F829*E833</f>
        <v>0</v>
      </c>
      <c r="G833" s="386">
        <v>5.5</v>
      </c>
      <c r="H833" s="386">
        <f>F833*G833</f>
        <v>0</v>
      </c>
      <c r="I833" s="386"/>
      <c r="J833" s="386"/>
      <c r="K833" s="386"/>
      <c r="L833" s="386"/>
      <c r="M833" s="386">
        <f>H833+J833+L833</f>
        <v>0</v>
      </c>
    </row>
    <row r="834" spans="1:13" s="88" customFormat="1" ht="17.25" hidden="1" customHeight="1">
      <c r="A834" s="140">
        <v>7</v>
      </c>
      <c r="B834" s="1431" t="s">
        <v>194</v>
      </c>
      <c r="C834" s="151" t="s">
        <v>388</v>
      </c>
      <c r="D834" s="140" t="s">
        <v>78</v>
      </c>
      <c r="E834" s="140"/>
      <c r="F834" s="384">
        <f>'დეფექტური აქტი'!E180</f>
        <v>0</v>
      </c>
      <c r="G834" s="385"/>
      <c r="H834" s="385"/>
      <c r="I834" s="385"/>
      <c r="J834" s="385"/>
      <c r="K834" s="385"/>
      <c r="L834" s="385"/>
      <c r="M834" s="385"/>
    </row>
    <row r="835" spans="1:13" s="88" customFormat="1" hidden="1">
      <c r="A835" s="83"/>
      <c r="B835" s="1432"/>
      <c r="C835" s="223" t="s">
        <v>209</v>
      </c>
      <c r="D835" s="211" t="s">
        <v>80</v>
      </c>
      <c r="E835" s="211">
        <v>0.83</v>
      </c>
      <c r="F835" s="386">
        <f>F834*E835</f>
        <v>0</v>
      </c>
      <c r="G835" s="386"/>
      <c r="H835" s="386"/>
      <c r="I835" s="386">
        <v>6</v>
      </c>
      <c r="J835" s="386">
        <f>F835*I835</f>
        <v>0</v>
      </c>
      <c r="K835" s="386"/>
      <c r="L835" s="386"/>
      <c r="M835" s="386">
        <f>H835+J835+L835</f>
        <v>0</v>
      </c>
    </row>
    <row r="836" spans="1:13" s="88" customFormat="1" hidden="1">
      <c r="A836" s="83"/>
      <c r="B836" s="1432"/>
      <c r="C836" s="84" t="s">
        <v>81</v>
      </c>
      <c r="D836" s="83" t="s">
        <v>57</v>
      </c>
      <c r="E836" s="83">
        <v>4.1000000000000003E-3</v>
      </c>
      <c r="F836" s="386">
        <f>F834*E836</f>
        <v>0</v>
      </c>
      <c r="G836" s="386"/>
      <c r="H836" s="386"/>
      <c r="I836" s="386"/>
      <c r="J836" s="386"/>
      <c r="K836" s="386">
        <v>3.2</v>
      </c>
      <c r="L836" s="386">
        <f>F836*K836</f>
        <v>0</v>
      </c>
      <c r="M836" s="386">
        <f>H836+J836+L836</f>
        <v>0</v>
      </c>
    </row>
    <row r="837" spans="1:13" s="88" customFormat="1" hidden="1">
      <c r="A837" s="83"/>
      <c r="B837" s="1432"/>
      <c r="C837" s="15" t="s">
        <v>210</v>
      </c>
      <c r="D837" s="83"/>
      <c r="E837" s="83"/>
      <c r="F837" s="386"/>
      <c r="G837" s="386"/>
      <c r="H837" s="386"/>
      <c r="I837" s="386"/>
      <c r="J837" s="386"/>
      <c r="K837" s="386"/>
      <c r="L837" s="386"/>
      <c r="M837" s="386"/>
    </row>
    <row r="838" spans="1:13" s="88" customFormat="1" hidden="1">
      <c r="A838" s="83"/>
      <c r="B838" s="1432"/>
      <c r="C838" s="84" t="s">
        <v>1295</v>
      </c>
      <c r="D838" s="83" t="s">
        <v>78</v>
      </c>
      <c r="E838" s="83">
        <v>1.22</v>
      </c>
      <c r="F838" s="386">
        <f>F834*E838</f>
        <v>0</v>
      </c>
      <c r="G838" s="386">
        <v>9.1</v>
      </c>
      <c r="H838" s="386">
        <f>F838*G838</f>
        <v>0</v>
      </c>
      <c r="I838" s="386"/>
      <c r="J838" s="386"/>
      <c r="K838" s="386"/>
      <c r="L838" s="386"/>
      <c r="M838" s="386">
        <f>H838+J838+L838</f>
        <v>0</v>
      </c>
    </row>
    <row r="839" spans="1:13" s="88" customFormat="1" hidden="1">
      <c r="A839" s="83"/>
      <c r="B839" s="1432"/>
      <c r="C839" s="84" t="s">
        <v>214</v>
      </c>
      <c r="D839" s="86" t="s">
        <v>57</v>
      </c>
      <c r="E839" s="83">
        <v>7.8E-2</v>
      </c>
      <c r="F839" s="386">
        <f>F834*E839</f>
        <v>0</v>
      </c>
      <c r="G839" s="386">
        <v>3.2</v>
      </c>
      <c r="H839" s="386">
        <f>F839*G839</f>
        <v>0</v>
      </c>
      <c r="I839" s="386"/>
      <c r="J839" s="386"/>
      <c r="K839" s="386"/>
      <c r="L839" s="386"/>
      <c r="M839" s="386">
        <f>H839+J839+L839</f>
        <v>0</v>
      </c>
    </row>
    <row r="840" spans="1:13" s="88" customFormat="1" ht="17.25" hidden="1" customHeight="1">
      <c r="A840" s="140">
        <v>8</v>
      </c>
      <c r="B840" s="1431" t="s">
        <v>194</v>
      </c>
      <c r="C840" s="151" t="s">
        <v>858</v>
      </c>
      <c r="D840" s="140" t="s">
        <v>78</v>
      </c>
      <c r="E840" s="140"/>
      <c r="F840" s="384">
        <f>'დეფექტური აქტი'!E181</f>
        <v>0</v>
      </c>
      <c r="G840" s="385"/>
      <c r="H840" s="385"/>
      <c r="I840" s="385"/>
      <c r="J840" s="385"/>
      <c r="K840" s="385"/>
      <c r="L840" s="385"/>
      <c r="M840" s="385"/>
    </row>
    <row r="841" spans="1:13" s="88" customFormat="1" hidden="1">
      <c r="A841" s="83"/>
      <c r="B841" s="1432"/>
      <c r="C841" s="223" t="s">
        <v>209</v>
      </c>
      <c r="D841" s="211" t="s">
        <v>80</v>
      </c>
      <c r="E841" s="211">
        <v>0.83</v>
      </c>
      <c r="F841" s="386">
        <f>F840*E841</f>
        <v>0</v>
      </c>
      <c r="G841" s="386"/>
      <c r="H841" s="386"/>
      <c r="I841" s="386">
        <v>6</v>
      </c>
      <c r="J841" s="386">
        <f>F841*I841</f>
        <v>0</v>
      </c>
      <c r="K841" s="386"/>
      <c r="L841" s="386"/>
      <c r="M841" s="386">
        <f>H841+J841+L841</f>
        <v>0</v>
      </c>
    </row>
    <row r="842" spans="1:13" s="88" customFormat="1" hidden="1">
      <c r="A842" s="83"/>
      <c r="B842" s="1432"/>
      <c r="C842" s="84" t="s">
        <v>81</v>
      </c>
      <c r="D842" s="83" t="s">
        <v>57</v>
      </c>
      <c r="E842" s="83">
        <v>4.1000000000000003E-3</v>
      </c>
      <c r="F842" s="386">
        <f>F840*E842</f>
        <v>0</v>
      </c>
      <c r="G842" s="386"/>
      <c r="H842" s="386"/>
      <c r="I842" s="386"/>
      <c r="J842" s="386"/>
      <c r="K842" s="386">
        <v>3.2</v>
      </c>
      <c r="L842" s="386">
        <f>F842*K842</f>
        <v>0</v>
      </c>
      <c r="M842" s="386">
        <f>H842+J842+L842</f>
        <v>0</v>
      </c>
    </row>
    <row r="843" spans="1:13" s="88" customFormat="1" hidden="1">
      <c r="A843" s="83"/>
      <c r="B843" s="1432"/>
      <c r="C843" s="15" t="s">
        <v>210</v>
      </c>
      <c r="D843" s="83"/>
      <c r="E843" s="83"/>
      <c r="F843" s="386"/>
      <c r="G843" s="386"/>
      <c r="H843" s="386"/>
      <c r="I843" s="386"/>
      <c r="J843" s="386"/>
      <c r="K843" s="386"/>
      <c r="L843" s="386"/>
      <c r="M843" s="386"/>
    </row>
    <row r="844" spans="1:13" s="88" customFormat="1" hidden="1">
      <c r="A844" s="83"/>
      <c r="B844" s="1432"/>
      <c r="C844" s="84" t="s">
        <v>1295</v>
      </c>
      <c r="D844" s="83" t="s">
        <v>78</v>
      </c>
      <c r="E844" s="83">
        <v>1.22</v>
      </c>
      <c r="F844" s="386">
        <f>F840*E844</f>
        <v>0</v>
      </c>
      <c r="G844" s="386">
        <v>9.1</v>
      </c>
      <c r="H844" s="386">
        <f>F844*G844</f>
        <v>0</v>
      </c>
      <c r="I844" s="386"/>
      <c r="J844" s="386"/>
      <c r="K844" s="386"/>
      <c r="L844" s="386"/>
      <c r="M844" s="386">
        <f>H844+J844+L844</f>
        <v>0</v>
      </c>
    </row>
    <row r="845" spans="1:13" s="88" customFormat="1" hidden="1">
      <c r="A845" s="83"/>
      <c r="B845" s="1432"/>
      <c r="C845" s="84" t="s">
        <v>214</v>
      </c>
      <c r="D845" s="86" t="s">
        <v>57</v>
      </c>
      <c r="E845" s="83">
        <v>7.8E-2</v>
      </c>
      <c r="F845" s="386">
        <f>F840*E845</f>
        <v>0</v>
      </c>
      <c r="G845" s="386">
        <v>3.2</v>
      </c>
      <c r="H845" s="386">
        <f>F845*G845</f>
        <v>0</v>
      </c>
      <c r="I845" s="386"/>
      <c r="J845" s="386"/>
      <c r="K845" s="386"/>
      <c r="L845" s="386"/>
      <c r="M845" s="386">
        <f>H845+J845+L845</f>
        <v>0</v>
      </c>
    </row>
    <row r="846" spans="1:13" s="88" customFormat="1" ht="40.5" hidden="1">
      <c r="A846" s="140">
        <v>9</v>
      </c>
      <c r="B846" s="1431" t="s">
        <v>194</v>
      </c>
      <c r="C846" s="151" t="s">
        <v>1314</v>
      </c>
      <c r="D846" s="140" t="s">
        <v>78</v>
      </c>
      <c r="E846" s="140"/>
      <c r="F846" s="384">
        <f>'დეფექტური აქტი'!E182</f>
        <v>0</v>
      </c>
      <c r="G846" s="385"/>
      <c r="H846" s="385"/>
      <c r="I846" s="385"/>
      <c r="J846" s="385"/>
      <c r="K846" s="385"/>
      <c r="L846" s="385"/>
      <c r="M846" s="385"/>
    </row>
    <row r="847" spans="1:13" s="88" customFormat="1" hidden="1">
      <c r="A847" s="83"/>
      <c r="B847" s="1432"/>
      <c r="C847" s="223" t="s">
        <v>209</v>
      </c>
      <c r="D847" s="211" t="s">
        <v>80</v>
      </c>
      <c r="E847" s="211">
        <v>0.83</v>
      </c>
      <c r="F847" s="386">
        <f>F846*E847</f>
        <v>0</v>
      </c>
      <c r="G847" s="386"/>
      <c r="H847" s="386"/>
      <c r="I847" s="386">
        <v>6</v>
      </c>
      <c r="J847" s="386">
        <f>F847*I847</f>
        <v>0</v>
      </c>
      <c r="K847" s="386"/>
      <c r="L847" s="386"/>
      <c r="M847" s="386">
        <f>H847+J847+L847</f>
        <v>0</v>
      </c>
    </row>
    <row r="848" spans="1:13" s="88" customFormat="1" hidden="1">
      <c r="A848" s="83"/>
      <c r="B848" s="1432"/>
      <c r="C848" s="84" t="s">
        <v>81</v>
      </c>
      <c r="D848" s="83" t="s">
        <v>57</v>
      </c>
      <c r="E848" s="83">
        <v>4.1000000000000003E-3</v>
      </c>
      <c r="F848" s="386">
        <f>F846*E848</f>
        <v>0</v>
      </c>
      <c r="G848" s="386"/>
      <c r="H848" s="386"/>
      <c r="I848" s="386"/>
      <c r="J848" s="386"/>
      <c r="K848" s="386">
        <v>3.2</v>
      </c>
      <c r="L848" s="386">
        <f>F848*K848</f>
        <v>0</v>
      </c>
      <c r="M848" s="386">
        <f>H848+J848+L848</f>
        <v>0</v>
      </c>
    </row>
    <row r="849" spans="1:13" s="88" customFormat="1" hidden="1">
      <c r="A849" s="83"/>
      <c r="B849" s="1432"/>
      <c r="C849" s="15" t="s">
        <v>210</v>
      </c>
      <c r="D849" s="83"/>
      <c r="E849" s="83"/>
      <c r="F849" s="386"/>
      <c r="G849" s="386"/>
      <c r="H849" s="386"/>
      <c r="I849" s="386"/>
      <c r="J849" s="386"/>
      <c r="K849" s="386"/>
      <c r="L849" s="386"/>
      <c r="M849" s="386"/>
    </row>
    <row r="850" spans="1:13" s="88" customFormat="1" ht="27" hidden="1">
      <c r="A850" s="83"/>
      <c r="B850" s="1432"/>
      <c r="C850" s="84" t="s">
        <v>1304</v>
      </c>
      <c r="D850" s="83" t="s">
        <v>78</v>
      </c>
      <c r="E850" s="83">
        <v>1.17</v>
      </c>
      <c r="F850" s="386">
        <f>F846*E850</f>
        <v>0</v>
      </c>
      <c r="G850" s="386">
        <v>9.9</v>
      </c>
      <c r="H850" s="386">
        <f>F850*G850</f>
        <v>0</v>
      </c>
      <c r="I850" s="386"/>
      <c r="J850" s="386"/>
      <c r="K850" s="386"/>
      <c r="L850" s="386"/>
      <c r="M850" s="386">
        <f>H850+J850+L850</f>
        <v>0</v>
      </c>
    </row>
    <row r="851" spans="1:13" s="88" customFormat="1" hidden="1">
      <c r="A851" s="86"/>
      <c r="B851" s="1437"/>
      <c r="C851" s="87" t="s">
        <v>214</v>
      </c>
      <c r="D851" s="86" t="s">
        <v>57</v>
      </c>
      <c r="E851" s="86">
        <v>7.8E-2</v>
      </c>
      <c r="F851" s="387">
        <f>F846*E851</f>
        <v>0</v>
      </c>
      <c r="G851" s="387">
        <v>3.2</v>
      </c>
      <c r="H851" s="387">
        <f>F851*G851</f>
        <v>0</v>
      </c>
      <c r="I851" s="387"/>
      <c r="J851" s="387"/>
      <c r="K851" s="387"/>
      <c r="L851" s="387"/>
      <c r="M851" s="387">
        <f>H851+J851+L851</f>
        <v>0</v>
      </c>
    </row>
    <row r="852" spans="1:13" s="88" customFormat="1" ht="27" hidden="1">
      <c r="A852" s="140">
        <v>10</v>
      </c>
      <c r="B852" s="1431" t="s">
        <v>194</v>
      </c>
      <c r="C852" s="151" t="s">
        <v>1299</v>
      </c>
      <c r="D852" s="140" t="s">
        <v>78</v>
      </c>
      <c r="E852" s="140"/>
      <c r="F852" s="384">
        <f>'დეფექტური აქტი'!E183</f>
        <v>0</v>
      </c>
      <c r="G852" s="385"/>
      <c r="H852" s="385"/>
      <c r="I852" s="385"/>
      <c r="J852" s="385"/>
      <c r="K852" s="385"/>
      <c r="L852" s="385"/>
      <c r="M852" s="385"/>
    </row>
    <row r="853" spans="1:13" s="88" customFormat="1" hidden="1">
      <c r="A853" s="83"/>
      <c r="B853" s="1432"/>
      <c r="C853" s="223" t="s">
        <v>209</v>
      </c>
      <c r="D853" s="211" t="s">
        <v>80</v>
      </c>
      <c r="E853" s="211">
        <v>0.83</v>
      </c>
      <c r="F853" s="386">
        <f>F852*E853</f>
        <v>0</v>
      </c>
      <c r="G853" s="386"/>
      <c r="H853" s="386"/>
      <c r="I853" s="386">
        <v>6</v>
      </c>
      <c r="J853" s="386">
        <f>F853*I853</f>
        <v>0</v>
      </c>
      <c r="K853" s="386"/>
      <c r="L853" s="386"/>
      <c r="M853" s="386">
        <f>H853+J853+L853</f>
        <v>0</v>
      </c>
    </row>
    <row r="854" spans="1:13" s="88" customFormat="1" hidden="1">
      <c r="A854" s="83"/>
      <c r="B854" s="1432"/>
      <c r="C854" s="84" t="s">
        <v>81</v>
      </c>
      <c r="D854" s="83" t="s">
        <v>57</v>
      </c>
      <c r="E854" s="83">
        <v>4.1000000000000003E-3</v>
      </c>
      <c r="F854" s="386">
        <f>F852*E854</f>
        <v>0</v>
      </c>
      <c r="G854" s="386"/>
      <c r="H854" s="386"/>
      <c r="I854" s="386"/>
      <c r="J854" s="386"/>
      <c r="K854" s="386">
        <v>3.2</v>
      </c>
      <c r="L854" s="386">
        <f>F854*K854</f>
        <v>0</v>
      </c>
      <c r="M854" s="386">
        <f>H854+J854+L854</f>
        <v>0</v>
      </c>
    </row>
    <row r="855" spans="1:13" s="88" customFormat="1" hidden="1">
      <c r="A855" s="83"/>
      <c r="B855" s="1432"/>
      <c r="C855" s="15" t="s">
        <v>210</v>
      </c>
      <c r="D855" s="83"/>
      <c r="E855" s="83"/>
      <c r="F855" s="386"/>
      <c r="G855" s="386"/>
      <c r="H855" s="386"/>
      <c r="I855" s="386"/>
      <c r="J855" s="386"/>
      <c r="K855" s="386"/>
      <c r="L855" s="386"/>
      <c r="M855" s="386"/>
    </row>
    <row r="856" spans="1:13" s="88" customFormat="1" ht="27" hidden="1">
      <c r="A856" s="83"/>
      <c r="B856" s="1432"/>
      <c r="C856" s="84" t="s">
        <v>1298</v>
      </c>
      <c r="D856" s="83" t="s">
        <v>78</v>
      </c>
      <c r="E856" s="83">
        <v>1.17</v>
      </c>
      <c r="F856" s="386">
        <f>F852*E856</f>
        <v>0</v>
      </c>
      <c r="G856" s="386">
        <v>10.130000000000001</v>
      </c>
      <c r="H856" s="386">
        <f>F856*G856</f>
        <v>0</v>
      </c>
      <c r="I856" s="386"/>
      <c r="J856" s="386"/>
      <c r="K856" s="386"/>
      <c r="L856" s="386"/>
      <c r="M856" s="386">
        <f>H856+J856+L856</f>
        <v>0</v>
      </c>
    </row>
    <row r="857" spans="1:13" s="88" customFormat="1" hidden="1">
      <c r="A857" s="86"/>
      <c r="B857" s="1437"/>
      <c r="C857" s="87" t="s">
        <v>214</v>
      </c>
      <c r="D857" s="86" t="s">
        <v>57</v>
      </c>
      <c r="E857" s="86">
        <v>7.8E-2</v>
      </c>
      <c r="F857" s="387">
        <f>F852*E857</f>
        <v>0</v>
      </c>
      <c r="G857" s="387">
        <v>3.2</v>
      </c>
      <c r="H857" s="387">
        <f>F857*G857</f>
        <v>0</v>
      </c>
      <c r="I857" s="387"/>
      <c r="J857" s="387"/>
      <c r="K857" s="387"/>
      <c r="L857" s="387"/>
      <c r="M857" s="387">
        <f>H857+J857+L857</f>
        <v>0</v>
      </c>
    </row>
    <row r="858" spans="1:13" s="88" customFormat="1" ht="27" hidden="1">
      <c r="A858" s="140">
        <v>11</v>
      </c>
      <c r="B858" s="1431" t="s">
        <v>194</v>
      </c>
      <c r="C858" s="151" t="s">
        <v>925</v>
      </c>
      <c r="D858" s="140" t="s">
        <v>78</v>
      </c>
      <c r="E858" s="140"/>
      <c r="F858" s="384">
        <f>'დეფექტური აქტი'!E184</f>
        <v>0</v>
      </c>
      <c r="G858" s="385"/>
      <c r="H858" s="385"/>
      <c r="I858" s="385"/>
      <c r="J858" s="385"/>
      <c r="K858" s="385"/>
      <c r="L858" s="385"/>
      <c r="M858" s="385"/>
    </row>
    <row r="859" spans="1:13" s="88" customFormat="1" hidden="1">
      <c r="A859" s="83"/>
      <c r="B859" s="1432"/>
      <c r="C859" s="223" t="s">
        <v>209</v>
      </c>
      <c r="D859" s="211" t="s">
        <v>80</v>
      </c>
      <c r="E859" s="211">
        <v>0.83</v>
      </c>
      <c r="F859" s="386">
        <f>F858*E859</f>
        <v>0</v>
      </c>
      <c r="G859" s="386"/>
      <c r="H859" s="386"/>
      <c r="I859" s="386">
        <v>6</v>
      </c>
      <c r="J859" s="386">
        <f>F859*I859</f>
        <v>0</v>
      </c>
      <c r="K859" s="386"/>
      <c r="L859" s="386"/>
      <c r="M859" s="386">
        <f>H859+J859+L859</f>
        <v>0</v>
      </c>
    </row>
    <row r="860" spans="1:13" s="88" customFormat="1" hidden="1">
      <c r="A860" s="83"/>
      <c r="B860" s="1432"/>
      <c r="C860" s="84" t="s">
        <v>81</v>
      </c>
      <c r="D860" s="83" t="s">
        <v>57</v>
      </c>
      <c r="E860" s="83">
        <v>4.1000000000000003E-3</v>
      </c>
      <c r="F860" s="386">
        <f>F858*E860</f>
        <v>0</v>
      </c>
      <c r="G860" s="386"/>
      <c r="H860" s="386"/>
      <c r="I860" s="386"/>
      <c r="J860" s="386"/>
      <c r="K860" s="386">
        <v>3.2</v>
      </c>
      <c r="L860" s="386">
        <f>F860*K860</f>
        <v>0</v>
      </c>
      <c r="M860" s="386">
        <f>H860+J860+L860</f>
        <v>0</v>
      </c>
    </row>
    <row r="861" spans="1:13" s="88" customFormat="1" hidden="1">
      <c r="A861" s="83"/>
      <c r="B861" s="1432"/>
      <c r="C861" s="15" t="s">
        <v>210</v>
      </c>
      <c r="D861" s="83"/>
      <c r="E861" s="83"/>
      <c r="F861" s="386"/>
      <c r="G861" s="386"/>
      <c r="H861" s="386"/>
      <c r="I861" s="386"/>
      <c r="J861" s="386"/>
      <c r="K861" s="386"/>
      <c r="L861" s="386"/>
      <c r="M861" s="386"/>
    </row>
    <row r="862" spans="1:13" s="88" customFormat="1" hidden="1">
      <c r="A862" s="83"/>
      <c r="B862" s="1432"/>
      <c r="C862" s="84" t="s">
        <v>1095</v>
      </c>
      <c r="D862" s="83" t="s">
        <v>78</v>
      </c>
      <c r="E862" s="83">
        <v>1.17</v>
      </c>
      <c r="F862" s="386">
        <f>F858*E862</f>
        <v>0</v>
      </c>
      <c r="G862" s="598">
        <v>13.6</v>
      </c>
      <c r="H862" s="386">
        <f>F862*G862</f>
        <v>0</v>
      </c>
      <c r="I862" s="386"/>
      <c r="J862" s="386"/>
      <c r="K862" s="386"/>
      <c r="L862" s="386"/>
      <c r="M862" s="386">
        <f>H862+J862+L862</f>
        <v>0</v>
      </c>
    </row>
    <row r="863" spans="1:13" s="88" customFormat="1" hidden="1">
      <c r="A863" s="86"/>
      <c r="B863" s="1437"/>
      <c r="C863" s="87" t="s">
        <v>214</v>
      </c>
      <c r="D863" s="86" t="s">
        <v>57</v>
      </c>
      <c r="E863" s="86">
        <v>7.8E-2</v>
      </c>
      <c r="F863" s="387">
        <f>F858*E863</f>
        <v>0</v>
      </c>
      <c r="G863" s="387">
        <v>3.2</v>
      </c>
      <c r="H863" s="387">
        <f>F863*G863</f>
        <v>0</v>
      </c>
      <c r="I863" s="387"/>
      <c r="J863" s="387"/>
      <c r="K863" s="387"/>
      <c r="L863" s="387"/>
      <c r="M863" s="387">
        <f>H863+J863+L863</f>
        <v>0</v>
      </c>
    </row>
    <row r="864" spans="1:13" s="88" customFormat="1" hidden="1">
      <c r="A864" s="140">
        <v>12</v>
      </c>
      <c r="B864" s="1431" t="s">
        <v>194</v>
      </c>
      <c r="C864" s="26" t="s">
        <v>1688</v>
      </c>
      <c r="D864" s="140" t="s">
        <v>78</v>
      </c>
      <c r="E864" s="140"/>
      <c r="F864" s="384">
        <f>'დეფექტური აქტი'!E185</f>
        <v>0</v>
      </c>
      <c r="G864" s="385"/>
      <c r="H864" s="385"/>
      <c r="I864" s="385"/>
      <c r="J864" s="385"/>
      <c r="K864" s="385"/>
      <c r="L864" s="385"/>
      <c r="M864" s="385"/>
    </row>
    <row r="865" spans="1:14" s="88" customFormat="1" hidden="1">
      <c r="A865" s="83"/>
      <c r="B865" s="1432"/>
      <c r="C865" s="223" t="s">
        <v>209</v>
      </c>
      <c r="D865" s="211" t="s">
        <v>80</v>
      </c>
      <c r="E865" s="211">
        <v>0.83</v>
      </c>
      <c r="F865" s="386">
        <f>F864*E865</f>
        <v>0</v>
      </c>
      <c r="G865" s="386"/>
      <c r="H865" s="386"/>
      <c r="I865" s="386">
        <v>6</v>
      </c>
      <c r="J865" s="386">
        <f>F865*I865</f>
        <v>0</v>
      </c>
      <c r="K865" s="386"/>
      <c r="L865" s="386"/>
      <c r="M865" s="386">
        <f>H865+J865+L865</f>
        <v>0</v>
      </c>
    </row>
    <row r="866" spans="1:14" s="88" customFormat="1" hidden="1">
      <c r="A866" s="83"/>
      <c r="B866" s="1432"/>
      <c r="C866" s="84" t="s">
        <v>81</v>
      </c>
      <c r="D866" s="83" t="s">
        <v>57</v>
      </c>
      <c r="E866" s="83">
        <v>4.1000000000000003E-3</v>
      </c>
      <c r="F866" s="386">
        <f>F864*E866</f>
        <v>0</v>
      </c>
      <c r="G866" s="386"/>
      <c r="H866" s="386"/>
      <c r="I866" s="386"/>
      <c r="J866" s="386"/>
      <c r="K866" s="386">
        <v>3.2</v>
      </c>
      <c r="L866" s="386">
        <f>F866*K866</f>
        <v>0</v>
      </c>
      <c r="M866" s="386">
        <f>H866+J866+L866</f>
        <v>0</v>
      </c>
    </row>
    <row r="867" spans="1:14" s="88" customFormat="1" hidden="1">
      <c r="A867" s="83"/>
      <c r="B867" s="1432"/>
      <c r="C867" s="15" t="s">
        <v>210</v>
      </c>
      <c r="D867" s="83"/>
      <c r="E867" s="83"/>
      <c r="F867" s="386"/>
      <c r="G867" s="386"/>
      <c r="H867" s="386"/>
      <c r="I867" s="386"/>
      <c r="J867" s="386"/>
      <c r="K867" s="386"/>
      <c r="L867" s="386"/>
      <c r="M867" s="386"/>
    </row>
    <row r="868" spans="1:14" s="88" customFormat="1" hidden="1">
      <c r="A868" s="83"/>
      <c r="B868" s="1432"/>
      <c r="C868" s="84" t="s">
        <v>1295</v>
      </c>
      <c r="D868" s="83" t="s">
        <v>78</v>
      </c>
      <c r="E868" s="83">
        <v>1.22</v>
      </c>
      <c r="F868" s="386">
        <f>F864*E868</f>
        <v>0</v>
      </c>
      <c r="G868" s="598">
        <v>13.6</v>
      </c>
      <c r="H868" s="386">
        <f>F868*G868</f>
        <v>0</v>
      </c>
      <c r="I868" s="386"/>
      <c r="J868" s="386"/>
      <c r="K868" s="386"/>
      <c r="L868" s="386"/>
      <c r="M868" s="386">
        <f>H868+J868+L868</f>
        <v>0</v>
      </c>
    </row>
    <row r="869" spans="1:14" s="88" customFormat="1" hidden="1">
      <c r="A869" s="86"/>
      <c r="B869" s="1437"/>
      <c r="C869" s="87" t="s">
        <v>214</v>
      </c>
      <c r="D869" s="86" t="s">
        <v>57</v>
      </c>
      <c r="E869" s="86">
        <v>7.8E-2</v>
      </c>
      <c r="F869" s="387">
        <f>F864*E869</f>
        <v>0</v>
      </c>
      <c r="G869" s="387">
        <v>3.2</v>
      </c>
      <c r="H869" s="387">
        <f>F869*G869</f>
        <v>0</v>
      </c>
      <c r="I869" s="387"/>
      <c r="J869" s="387"/>
      <c r="K869" s="387"/>
      <c r="L869" s="387"/>
      <c r="M869" s="387">
        <f>H869+J869+L869</f>
        <v>0</v>
      </c>
    </row>
    <row r="870" spans="1:14" s="88" customFormat="1" hidden="1">
      <c r="A870" s="83">
        <v>13</v>
      </c>
      <c r="B870" s="235" t="s">
        <v>814</v>
      </c>
      <c r="C870" s="226" t="s">
        <v>815</v>
      </c>
      <c r="D870" s="211" t="s">
        <v>816</v>
      </c>
      <c r="E870" s="211"/>
      <c r="F870" s="388">
        <f>'დეფექტური აქტი'!E186</f>
        <v>0</v>
      </c>
      <c r="G870" s="225"/>
      <c r="H870" s="225"/>
      <c r="I870" s="225"/>
      <c r="J870" s="225"/>
      <c r="K870" s="225"/>
      <c r="L870" s="225"/>
      <c r="M870" s="225"/>
      <c r="N870" s="236"/>
    </row>
    <row r="871" spans="1:14" s="88" customFormat="1" ht="15" hidden="1" customHeight="1">
      <c r="A871" s="96"/>
      <c r="B871" s="237"/>
      <c r="C871" s="226" t="s">
        <v>209</v>
      </c>
      <c r="D871" s="211" t="s">
        <v>80</v>
      </c>
      <c r="E871" s="211">
        <v>6.03</v>
      </c>
      <c r="F871" s="386">
        <f>F870*E871</f>
        <v>0</v>
      </c>
      <c r="G871" s="225"/>
      <c r="H871" s="225"/>
      <c r="I871" s="386">
        <v>6</v>
      </c>
      <c r="J871" s="225">
        <f>F871*I871</f>
        <v>0</v>
      </c>
      <c r="K871" s="225"/>
      <c r="L871" s="225"/>
      <c r="M871" s="225">
        <f>H871+J871+L871</f>
        <v>0</v>
      </c>
      <c r="N871" s="236"/>
    </row>
    <row r="872" spans="1:14" s="88" customFormat="1" hidden="1">
      <c r="A872" s="96"/>
      <c r="B872" s="238"/>
      <c r="C872" s="226" t="s">
        <v>81</v>
      </c>
      <c r="D872" s="211" t="s">
        <v>57</v>
      </c>
      <c r="E872" s="211">
        <v>0.33</v>
      </c>
      <c r="F872" s="386">
        <f>F870*E872</f>
        <v>0</v>
      </c>
      <c r="G872" s="225"/>
      <c r="H872" s="225"/>
      <c r="I872" s="225"/>
      <c r="J872" s="225"/>
      <c r="K872" s="225">
        <v>3.2</v>
      </c>
      <c r="L872" s="225">
        <f>F872*K872</f>
        <v>0</v>
      </c>
      <c r="M872" s="225">
        <f>H872+J872+L872</f>
        <v>0</v>
      </c>
      <c r="N872" s="236"/>
    </row>
    <row r="873" spans="1:14" s="88" customFormat="1" hidden="1">
      <c r="A873" s="96"/>
      <c r="B873" s="238"/>
      <c r="C873" s="226" t="s">
        <v>210</v>
      </c>
      <c r="D873" s="211"/>
      <c r="E873" s="211"/>
      <c r="F873" s="225"/>
      <c r="G873" s="225"/>
      <c r="H873" s="225"/>
      <c r="I873" s="225"/>
      <c r="J873" s="225"/>
      <c r="K873" s="225"/>
      <c r="L873" s="225"/>
      <c r="M873" s="225"/>
      <c r="N873" s="236"/>
    </row>
    <row r="874" spans="1:14" s="88" customFormat="1" hidden="1">
      <c r="A874" s="96"/>
      <c r="B874" s="235"/>
      <c r="C874" s="226" t="s">
        <v>1116</v>
      </c>
      <c r="D874" s="211" t="s">
        <v>78</v>
      </c>
      <c r="E874" s="211">
        <v>0.5</v>
      </c>
      <c r="F874" s="386">
        <f>F870*E874</f>
        <v>0</v>
      </c>
      <c r="G874" s="225">
        <v>90</v>
      </c>
      <c r="H874" s="225">
        <f t="shared" ref="H874:H879" si="6">F874*G874</f>
        <v>0</v>
      </c>
      <c r="I874" s="225"/>
      <c r="J874" s="225"/>
      <c r="K874" s="225"/>
      <c r="L874" s="225"/>
      <c r="M874" s="225">
        <f t="shared" ref="M874:M879" si="7">H874+J874+L874</f>
        <v>0</v>
      </c>
      <c r="N874" s="236"/>
    </row>
    <row r="875" spans="1:14" s="88" customFormat="1" hidden="1">
      <c r="A875" s="96"/>
      <c r="B875" s="235"/>
      <c r="C875" s="226" t="s">
        <v>817</v>
      </c>
      <c r="D875" s="211" t="s">
        <v>88</v>
      </c>
      <c r="E875" s="211">
        <v>0.06</v>
      </c>
      <c r="F875" s="386">
        <f>F870*E875</f>
        <v>0</v>
      </c>
      <c r="G875" s="600">
        <v>462</v>
      </c>
      <c r="H875" s="225">
        <f t="shared" si="6"/>
        <v>0</v>
      </c>
      <c r="I875" s="225"/>
      <c r="J875" s="225"/>
      <c r="K875" s="225"/>
      <c r="L875" s="225"/>
      <c r="M875" s="225">
        <f t="shared" si="7"/>
        <v>0</v>
      </c>
      <c r="N875" s="236"/>
    </row>
    <row r="876" spans="1:14" s="88" customFormat="1" hidden="1">
      <c r="A876" s="96"/>
      <c r="B876" s="239"/>
      <c r="C876" s="226" t="s">
        <v>818</v>
      </c>
      <c r="D876" s="211" t="s">
        <v>88</v>
      </c>
      <c r="E876" s="211">
        <v>0.06</v>
      </c>
      <c r="F876" s="386">
        <f>F870*E876</f>
        <v>0</v>
      </c>
      <c r="G876" s="225">
        <v>405</v>
      </c>
      <c r="H876" s="225">
        <f t="shared" si="6"/>
        <v>0</v>
      </c>
      <c r="I876" s="225"/>
      <c r="J876" s="225"/>
      <c r="K876" s="225"/>
      <c r="L876" s="225"/>
      <c r="M876" s="225">
        <f t="shared" si="7"/>
        <v>0</v>
      </c>
      <c r="N876" s="236"/>
    </row>
    <row r="877" spans="1:14" s="88" customFormat="1" hidden="1">
      <c r="A877" s="96"/>
      <c r="B877" s="239"/>
      <c r="C877" s="226" t="s">
        <v>819</v>
      </c>
      <c r="D877" s="211" t="s">
        <v>88</v>
      </c>
      <c r="E877" s="211">
        <v>0.1</v>
      </c>
      <c r="F877" s="386">
        <f>F870*E877</f>
        <v>0</v>
      </c>
      <c r="G877" s="225">
        <v>403</v>
      </c>
      <c r="H877" s="225">
        <f t="shared" si="6"/>
        <v>0</v>
      </c>
      <c r="I877" s="225"/>
      <c r="J877" s="225"/>
      <c r="K877" s="225"/>
      <c r="L877" s="225"/>
      <c r="M877" s="225">
        <f t="shared" si="7"/>
        <v>0</v>
      </c>
      <c r="N877" s="236"/>
    </row>
    <row r="878" spans="1:14" s="88" customFormat="1" hidden="1">
      <c r="A878" s="96"/>
      <c r="B878" s="235"/>
      <c r="C878" s="226" t="s">
        <v>820</v>
      </c>
      <c r="D878" s="211" t="s">
        <v>821</v>
      </c>
      <c r="E878" s="211">
        <v>1</v>
      </c>
      <c r="F878" s="386">
        <f>F870*E878</f>
        <v>0</v>
      </c>
      <c r="G878" s="225">
        <v>5</v>
      </c>
      <c r="H878" s="225">
        <f t="shared" si="6"/>
        <v>0</v>
      </c>
      <c r="I878" s="225"/>
      <c r="J878" s="225"/>
      <c r="K878" s="225"/>
      <c r="L878" s="225"/>
      <c r="M878" s="225">
        <f t="shared" si="7"/>
        <v>0</v>
      </c>
      <c r="N878" s="236"/>
    </row>
    <row r="879" spans="1:14" s="88" customFormat="1" ht="15" hidden="1" customHeight="1">
      <c r="A879" s="242"/>
      <c r="B879" s="337"/>
      <c r="C879" s="229" t="s">
        <v>214</v>
      </c>
      <c r="D879" s="230" t="s">
        <v>57</v>
      </c>
      <c r="E879" s="230">
        <v>0.5</v>
      </c>
      <c r="F879" s="387">
        <f>F870*E879</f>
        <v>0</v>
      </c>
      <c r="G879" s="393">
        <v>3.2</v>
      </c>
      <c r="H879" s="393">
        <f t="shared" si="6"/>
        <v>0</v>
      </c>
      <c r="I879" s="393"/>
      <c r="J879" s="393"/>
      <c r="K879" s="393"/>
      <c r="L879" s="393"/>
      <c r="M879" s="393">
        <f t="shared" si="7"/>
        <v>0</v>
      </c>
      <c r="N879" s="236"/>
    </row>
    <row r="880" spans="1:14" s="89" customFormat="1" hidden="1">
      <c r="A880" s="140">
        <v>14</v>
      </c>
      <c r="B880" s="373" t="s">
        <v>897</v>
      </c>
      <c r="C880" s="151" t="s">
        <v>894</v>
      </c>
      <c r="D880" s="140" t="s">
        <v>78</v>
      </c>
      <c r="E880" s="140"/>
      <c r="F880" s="384">
        <f>'დეფექტური აქტი'!E187</f>
        <v>0</v>
      </c>
      <c r="G880" s="422"/>
      <c r="H880" s="422"/>
      <c r="I880" s="422"/>
      <c r="J880" s="422"/>
      <c r="K880" s="422"/>
      <c r="L880" s="422"/>
      <c r="M880" s="422"/>
    </row>
    <row r="881" spans="1:14" s="88" customFormat="1" hidden="1">
      <c r="A881" s="83"/>
      <c r="B881" s="374"/>
      <c r="C881" s="223" t="s">
        <v>209</v>
      </c>
      <c r="D881" s="211" t="s">
        <v>80</v>
      </c>
      <c r="E881" s="211">
        <v>0.72499999999999998</v>
      </c>
      <c r="F881" s="386">
        <f>F880*E881</f>
        <v>0</v>
      </c>
      <c r="G881" s="225"/>
      <c r="H881" s="225"/>
      <c r="I881" s="386">
        <v>6</v>
      </c>
      <c r="J881" s="225">
        <f>F881*I881</f>
        <v>0</v>
      </c>
      <c r="K881" s="225"/>
      <c r="L881" s="225"/>
      <c r="M881" s="225">
        <f>H881+J881+L881</f>
        <v>0</v>
      </c>
    </row>
    <row r="882" spans="1:14" s="89" customFormat="1" hidden="1">
      <c r="A882" s="83"/>
      <c r="B882" s="374"/>
      <c r="C882" s="84" t="s">
        <v>81</v>
      </c>
      <c r="D882" s="83" t="s">
        <v>57</v>
      </c>
      <c r="E882" s="83">
        <v>3.5700000000000003E-2</v>
      </c>
      <c r="F882" s="386">
        <f>F880*E882</f>
        <v>0</v>
      </c>
      <c r="G882" s="225"/>
      <c r="H882" s="225"/>
      <c r="I882" s="225"/>
      <c r="J882" s="225"/>
      <c r="K882" s="225">
        <v>3.2</v>
      </c>
      <c r="L882" s="225">
        <f>F882*K882</f>
        <v>0</v>
      </c>
      <c r="M882" s="225">
        <f>H882+J882+L882</f>
        <v>0</v>
      </c>
    </row>
    <row r="883" spans="1:14" s="88" customFormat="1" ht="13.5" hidden="1" customHeight="1">
      <c r="A883" s="96"/>
      <c r="B883" s="221"/>
      <c r="C883" s="226" t="s">
        <v>210</v>
      </c>
      <c r="D883" s="211"/>
      <c r="E883" s="211"/>
      <c r="F883" s="225"/>
      <c r="G883" s="225"/>
      <c r="H883" s="225"/>
      <c r="I883" s="225"/>
      <c r="J883" s="225"/>
      <c r="K883" s="225"/>
      <c r="L883" s="225"/>
      <c r="M883" s="225"/>
      <c r="N883" s="236"/>
    </row>
    <row r="884" spans="1:14" s="89" customFormat="1" hidden="1">
      <c r="A884" s="83"/>
      <c r="B884" s="374"/>
      <c r="C884" s="84" t="s">
        <v>898</v>
      </c>
      <c r="D884" s="83" t="s">
        <v>88</v>
      </c>
      <c r="E884" s="83">
        <v>1.3599999999999999E-2</v>
      </c>
      <c r="F884" s="386">
        <v>0</v>
      </c>
      <c r="G884" s="386">
        <v>453</v>
      </c>
      <c r="H884" s="225">
        <f>F884*G884</f>
        <v>0</v>
      </c>
      <c r="I884" s="225"/>
      <c r="J884" s="225"/>
      <c r="K884" s="225"/>
      <c r="L884" s="225"/>
      <c r="M884" s="225">
        <f>H884+J884+L884</f>
        <v>0</v>
      </c>
    </row>
    <row r="885" spans="1:14" s="89" customFormat="1" ht="27" hidden="1">
      <c r="A885" s="83"/>
      <c r="B885" s="374"/>
      <c r="C885" s="84" t="s">
        <v>1684</v>
      </c>
      <c r="D885" s="83" t="s">
        <v>78</v>
      </c>
      <c r="E885" s="83">
        <v>1.03</v>
      </c>
      <c r="F885" s="386">
        <f>F880*E885</f>
        <v>0</v>
      </c>
      <c r="G885" s="386">
        <v>17.3</v>
      </c>
      <c r="H885" s="225">
        <f>F885*G885</f>
        <v>0</v>
      </c>
      <c r="I885" s="225"/>
      <c r="J885" s="225"/>
      <c r="K885" s="225"/>
      <c r="L885" s="225"/>
      <c r="M885" s="225">
        <f>H885+J885+L885</f>
        <v>0</v>
      </c>
    </row>
    <row r="886" spans="1:14" s="89" customFormat="1" hidden="1">
      <c r="A886" s="86"/>
      <c r="B886" s="375"/>
      <c r="C886" s="87" t="s">
        <v>214</v>
      </c>
      <c r="D886" s="86" t="s">
        <v>57</v>
      </c>
      <c r="E886" s="86">
        <v>3.2800000000000003E-2</v>
      </c>
      <c r="F886" s="387">
        <f>F880*E886</f>
        <v>0</v>
      </c>
      <c r="G886" s="393">
        <v>3.2</v>
      </c>
      <c r="H886" s="393">
        <f>F886*G886</f>
        <v>0</v>
      </c>
      <c r="I886" s="393"/>
      <c r="J886" s="393"/>
      <c r="K886" s="393"/>
      <c r="L886" s="393"/>
      <c r="M886" s="393">
        <f>H886+J886+L886</f>
        <v>0</v>
      </c>
    </row>
    <row r="887" spans="1:14" s="359" customFormat="1" hidden="1">
      <c r="A887" s="336"/>
      <c r="B887" s="328" t="s">
        <v>1689</v>
      </c>
      <c r="C887" s="357" t="s">
        <v>1691</v>
      </c>
      <c r="D887" s="330" t="s">
        <v>78</v>
      </c>
      <c r="E887" s="330"/>
      <c r="F887" s="384">
        <f>'დეფექტური აქტი'!E188</f>
        <v>0</v>
      </c>
      <c r="G887" s="330"/>
      <c r="H887" s="331"/>
      <c r="I887" s="331"/>
      <c r="J887" s="331"/>
      <c r="K887" s="331"/>
      <c r="L887" s="331"/>
      <c r="M887" s="331"/>
      <c r="N887" s="415"/>
    </row>
    <row r="888" spans="1:14" s="359" customFormat="1" ht="16.5" hidden="1" customHeight="1">
      <c r="A888" s="336"/>
      <c r="B888" s="416"/>
      <c r="C888" s="341" t="s">
        <v>209</v>
      </c>
      <c r="D888" s="336" t="s">
        <v>80</v>
      </c>
      <c r="E888" s="336">
        <v>0.42499999999999999</v>
      </c>
      <c r="F888" s="389">
        <f>F887*E888</f>
        <v>0</v>
      </c>
      <c r="G888" s="330"/>
      <c r="H888" s="331"/>
      <c r="I888" s="414">
        <v>6</v>
      </c>
      <c r="J888" s="331">
        <f>F888*I888</f>
        <v>0</v>
      </c>
      <c r="K888" s="414"/>
      <c r="L888" s="331"/>
      <c r="M888" s="331">
        <f>H888+J888+L888</f>
        <v>0</v>
      </c>
      <c r="N888" s="415"/>
    </row>
    <row r="889" spans="1:14" s="359" customFormat="1" ht="16.5" hidden="1" customHeight="1">
      <c r="A889" s="336"/>
      <c r="B889" s="416"/>
      <c r="C889" s="341" t="s">
        <v>81</v>
      </c>
      <c r="D889" s="336" t="s">
        <v>57</v>
      </c>
      <c r="E889" s="336">
        <v>2.0799999999999999E-2</v>
      </c>
      <c r="F889" s="389">
        <f>F887*E889</f>
        <v>0</v>
      </c>
      <c r="G889" s="330"/>
      <c r="H889" s="331"/>
      <c r="I889" s="414"/>
      <c r="J889" s="331"/>
      <c r="K889" s="414">
        <v>3.2</v>
      </c>
      <c r="L889" s="331">
        <f>F889*K889</f>
        <v>0</v>
      </c>
      <c r="M889" s="331">
        <f>H889+J889+L889</f>
        <v>0</v>
      </c>
      <c r="N889" s="415"/>
    </row>
    <row r="890" spans="1:14" s="359" customFormat="1" ht="16.5" hidden="1" customHeight="1">
      <c r="A890" s="336"/>
      <c r="B890" s="416"/>
      <c r="C890" s="341" t="s">
        <v>210</v>
      </c>
      <c r="D890" s="336"/>
      <c r="E890" s="336"/>
      <c r="F890" s="389">
        <f>E890*2353</f>
        <v>0</v>
      </c>
      <c r="G890" s="330"/>
      <c r="H890" s="331"/>
      <c r="I890" s="414"/>
      <c r="J890" s="331"/>
      <c r="K890" s="414"/>
      <c r="L890" s="331"/>
      <c r="M890" s="331"/>
      <c r="N890" s="415"/>
    </row>
    <row r="891" spans="1:14" s="359" customFormat="1" ht="16.5" hidden="1" customHeight="1">
      <c r="A891" s="342"/>
      <c r="B891" s="894"/>
      <c r="C891" s="344" t="s">
        <v>1690</v>
      </c>
      <c r="D891" s="342" t="s">
        <v>78</v>
      </c>
      <c r="E891" s="342">
        <v>1.03</v>
      </c>
      <c r="F891" s="392">
        <f>F887*E891</f>
        <v>0</v>
      </c>
      <c r="G891" s="419">
        <v>4.8</v>
      </c>
      <c r="H891" s="418">
        <f>F891*G891</f>
        <v>0</v>
      </c>
      <c r="I891" s="895"/>
      <c r="J891" s="418"/>
      <c r="K891" s="895"/>
      <c r="L891" s="418"/>
      <c r="M891" s="418">
        <f>H891+J891+L891</f>
        <v>0</v>
      </c>
      <c r="N891" s="415"/>
    </row>
    <row r="892" spans="1:14" s="89" customFormat="1" ht="27" hidden="1">
      <c r="A892" s="83">
        <v>15</v>
      </c>
      <c r="B892" s="1432" t="s">
        <v>849</v>
      </c>
      <c r="C892" s="84" t="s">
        <v>896</v>
      </c>
      <c r="D892" s="83" t="s">
        <v>78</v>
      </c>
      <c r="E892" s="83"/>
      <c r="F892" s="388">
        <f>'დეფექტური აქტი'!E189</f>
        <v>0</v>
      </c>
      <c r="G892" s="225"/>
      <c r="H892" s="225"/>
      <c r="I892" s="225"/>
      <c r="J892" s="225"/>
      <c r="K892" s="225"/>
      <c r="L892" s="225"/>
      <c r="M892" s="225"/>
    </row>
    <row r="893" spans="1:14" s="89" customFormat="1" hidden="1">
      <c r="A893" s="83"/>
      <c r="B893" s="1432"/>
      <c r="C893" s="223" t="s">
        <v>209</v>
      </c>
      <c r="D893" s="211" t="s">
        <v>80</v>
      </c>
      <c r="E893" s="211">
        <v>0.68799999999999994</v>
      </c>
      <c r="F893" s="386">
        <f>F892*E893</f>
        <v>0</v>
      </c>
      <c r="G893" s="225"/>
      <c r="H893" s="225"/>
      <c r="I893" s="386">
        <v>6</v>
      </c>
      <c r="J893" s="225">
        <f>F893*I893</f>
        <v>0</v>
      </c>
      <c r="K893" s="225"/>
      <c r="L893" s="225"/>
      <c r="M893" s="225">
        <f>H893+J893+L893</f>
        <v>0</v>
      </c>
    </row>
    <row r="894" spans="1:14" s="89" customFormat="1" hidden="1">
      <c r="A894" s="83"/>
      <c r="B894" s="1432"/>
      <c r="C894" s="223" t="s">
        <v>81</v>
      </c>
      <c r="D894" s="83" t="s">
        <v>57</v>
      </c>
      <c r="E894" s="211">
        <v>1.15E-2</v>
      </c>
      <c r="F894" s="386">
        <f>F892*E894</f>
        <v>0</v>
      </c>
      <c r="G894" s="225"/>
      <c r="H894" s="225"/>
      <c r="I894" s="225"/>
      <c r="J894" s="225"/>
      <c r="K894" s="225">
        <v>3.2</v>
      </c>
      <c r="L894" s="225">
        <f>F894*K894</f>
        <v>0</v>
      </c>
      <c r="M894" s="225">
        <f>H894+J894+L894</f>
        <v>0</v>
      </c>
    </row>
    <row r="895" spans="1:14" s="89" customFormat="1" hidden="1">
      <c r="A895" s="83"/>
      <c r="B895" s="1432"/>
      <c r="C895" s="15" t="s">
        <v>210</v>
      </c>
      <c r="D895" s="211"/>
      <c r="E895" s="211"/>
      <c r="F895" s="386"/>
      <c r="G895" s="225"/>
      <c r="H895" s="225"/>
      <c r="I895" s="225"/>
      <c r="J895" s="225"/>
      <c r="K895" s="225"/>
      <c r="L895" s="225"/>
      <c r="M895" s="225"/>
    </row>
    <row r="896" spans="1:14" s="89" customFormat="1" hidden="1">
      <c r="A896" s="83"/>
      <c r="B896" s="1432"/>
      <c r="C896" s="223" t="s">
        <v>186</v>
      </c>
      <c r="D896" s="211" t="s">
        <v>97</v>
      </c>
      <c r="E896" s="211">
        <v>0.29799999999999999</v>
      </c>
      <c r="F896" s="386">
        <f>F892*E896</f>
        <v>0</v>
      </c>
      <c r="G896" s="225">
        <v>5.0999999999999996</v>
      </c>
      <c r="H896" s="225">
        <f>F896*G896</f>
        <v>0</v>
      </c>
      <c r="I896" s="225"/>
      <c r="J896" s="225"/>
      <c r="K896" s="225"/>
      <c r="L896" s="225"/>
      <c r="M896" s="225">
        <f>H896+J896+L896</f>
        <v>0</v>
      </c>
    </row>
    <row r="897" spans="1:14" s="89" customFormat="1" hidden="1">
      <c r="A897" s="83"/>
      <c r="B897" s="1432"/>
      <c r="C897" s="223" t="s">
        <v>134</v>
      </c>
      <c r="D897" s="211" t="s">
        <v>97</v>
      </c>
      <c r="E897" s="211">
        <v>0.41</v>
      </c>
      <c r="F897" s="386">
        <f>F892*E897</f>
        <v>0</v>
      </c>
      <c r="G897" s="225">
        <v>0.5</v>
      </c>
      <c r="H897" s="225">
        <f>F897*G897</f>
        <v>0</v>
      </c>
      <c r="I897" s="225"/>
      <c r="J897" s="225"/>
      <c r="K897" s="225"/>
      <c r="L897" s="225"/>
      <c r="M897" s="225">
        <f>H897+J897+L897</f>
        <v>0</v>
      </c>
    </row>
    <row r="898" spans="1:14" s="89" customFormat="1" hidden="1">
      <c r="A898" s="83"/>
      <c r="B898" s="1432"/>
      <c r="C898" s="223" t="s">
        <v>138</v>
      </c>
      <c r="D898" s="211" t="s">
        <v>97</v>
      </c>
      <c r="E898" s="211">
        <v>0.1</v>
      </c>
      <c r="F898" s="386">
        <f>F892*E898</f>
        <v>0</v>
      </c>
      <c r="G898" s="225">
        <v>3.5</v>
      </c>
      <c r="H898" s="225">
        <f>F898*G898</f>
        <v>0</v>
      </c>
      <c r="I898" s="225"/>
      <c r="J898" s="225"/>
      <c r="K898" s="225"/>
      <c r="L898" s="225"/>
      <c r="M898" s="225">
        <f>H898+J898+L898</f>
        <v>0</v>
      </c>
    </row>
    <row r="899" spans="1:14" s="89" customFormat="1" hidden="1">
      <c r="A899" s="86"/>
      <c r="B899" s="1437"/>
      <c r="C899" s="232" t="s">
        <v>214</v>
      </c>
      <c r="D899" s="86" t="s">
        <v>57</v>
      </c>
      <c r="E899" s="211">
        <v>7.0000000000000001E-3</v>
      </c>
      <c r="F899" s="387">
        <f>F892*E899</f>
        <v>0</v>
      </c>
      <c r="G899" s="393">
        <v>3.2</v>
      </c>
      <c r="H899" s="393">
        <f>F899*G899</f>
        <v>0</v>
      </c>
      <c r="I899" s="393"/>
      <c r="J899" s="393"/>
      <c r="K899" s="393"/>
      <c r="L899" s="393"/>
      <c r="M899" s="393">
        <f>H899+J899+L899</f>
        <v>0</v>
      </c>
    </row>
    <row r="900" spans="1:14" s="88" customFormat="1" ht="27" hidden="1">
      <c r="A900" s="140">
        <v>16</v>
      </c>
      <c r="B900" s="1431" t="s">
        <v>734</v>
      </c>
      <c r="C900" s="151" t="s">
        <v>1242</v>
      </c>
      <c r="D900" s="47" t="s">
        <v>122</v>
      </c>
      <c r="E900" s="140"/>
      <c r="F900" s="384">
        <f>'დეფექტური აქტი'!E190</f>
        <v>0</v>
      </c>
      <c r="G900" s="385"/>
      <c r="H900" s="385"/>
      <c r="I900" s="385"/>
      <c r="J900" s="385"/>
      <c r="K900" s="385"/>
      <c r="L900" s="385"/>
      <c r="M900" s="385"/>
    </row>
    <row r="901" spans="1:14" s="88" customFormat="1" hidden="1">
      <c r="A901" s="83"/>
      <c r="B901" s="1432"/>
      <c r="C901" s="84" t="s">
        <v>209</v>
      </c>
      <c r="D901" s="83" t="s">
        <v>80</v>
      </c>
      <c r="E901" s="83">
        <v>0.28599999999999998</v>
      </c>
      <c r="F901" s="386">
        <f>F900*E901</f>
        <v>0</v>
      </c>
      <c r="G901" s="386"/>
      <c r="H901" s="386"/>
      <c r="I901" s="386">
        <v>6</v>
      </c>
      <c r="J901" s="386">
        <f>F901*I901</f>
        <v>0</v>
      </c>
      <c r="K901" s="386"/>
      <c r="L901" s="386"/>
      <c r="M901" s="386">
        <f>H901+J901+L901</f>
        <v>0</v>
      </c>
    </row>
    <row r="902" spans="1:14" s="88" customFormat="1" hidden="1">
      <c r="A902" s="83"/>
      <c r="B902" s="1432"/>
      <c r="C902" s="84" t="s">
        <v>81</v>
      </c>
      <c r="D902" s="83" t="s">
        <v>57</v>
      </c>
      <c r="E902" s="83">
        <v>4.1000000000000003E-3</v>
      </c>
      <c r="F902" s="386">
        <f>F900*E902</f>
        <v>0</v>
      </c>
      <c r="G902" s="386"/>
      <c r="H902" s="386"/>
      <c r="I902" s="386"/>
      <c r="J902" s="386"/>
      <c r="K902" s="386">
        <v>3.2</v>
      </c>
      <c r="L902" s="386">
        <f>F902*K902</f>
        <v>0</v>
      </c>
      <c r="M902" s="386">
        <f>H902+J902+L902</f>
        <v>0</v>
      </c>
    </row>
    <row r="903" spans="1:14" s="88" customFormat="1" hidden="1">
      <c r="A903" s="83"/>
      <c r="B903" s="1432"/>
      <c r="C903" s="15" t="s">
        <v>210</v>
      </c>
      <c r="D903" s="83"/>
      <c r="E903" s="83"/>
      <c r="F903" s="386"/>
      <c r="G903" s="386"/>
      <c r="H903" s="386"/>
      <c r="I903" s="386"/>
      <c r="J903" s="386"/>
      <c r="K903" s="386"/>
      <c r="L903" s="386"/>
      <c r="M903" s="386"/>
    </row>
    <row r="904" spans="1:14" s="88" customFormat="1" hidden="1">
      <c r="A904" s="83"/>
      <c r="B904" s="1432"/>
      <c r="C904" s="84" t="s">
        <v>1300</v>
      </c>
      <c r="D904" s="83" t="s">
        <v>206</v>
      </c>
      <c r="E904" s="83">
        <v>2.3E-3</v>
      </c>
      <c r="F904" s="386">
        <f>F900*E904</f>
        <v>0</v>
      </c>
      <c r="G904" s="386">
        <f>9.1/0.0043</f>
        <v>2116.2790697674418</v>
      </c>
      <c r="H904" s="386">
        <f>F904*G904</f>
        <v>0</v>
      </c>
      <c r="I904" s="386"/>
      <c r="J904" s="386"/>
      <c r="K904" s="386"/>
      <c r="L904" s="386"/>
      <c r="M904" s="386">
        <f>H904+J904+L904</f>
        <v>0</v>
      </c>
    </row>
    <row r="905" spans="1:14" s="88" customFormat="1" hidden="1">
      <c r="A905" s="83"/>
      <c r="B905" s="1432"/>
      <c r="C905" s="84" t="s">
        <v>270</v>
      </c>
      <c r="D905" s="83" t="s">
        <v>97</v>
      </c>
      <c r="E905" s="83">
        <v>3.7999999999999999E-2</v>
      </c>
      <c r="F905" s="386">
        <f>F900*E905</f>
        <v>0</v>
      </c>
      <c r="G905" s="386">
        <v>4.3</v>
      </c>
      <c r="H905" s="386">
        <f>F905*G905</f>
        <v>0</v>
      </c>
      <c r="I905" s="386"/>
      <c r="J905" s="386"/>
      <c r="K905" s="386"/>
      <c r="L905" s="386"/>
      <c r="M905" s="386">
        <f>H905+J905+L905</f>
        <v>0</v>
      </c>
    </row>
    <row r="906" spans="1:14" s="88" customFormat="1" hidden="1">
      <c r="A906" s="83"/>
      <c r="B906" s="1432"/>
      <c r="C906" s="84" t="s">
        <v>390</v>
      </c>
      <c r="D906" s="83" t="s">
        <v>97</v>
      </c>
      <c r="E906" s="83">
        <v>3.7999999999999999E-2</v>
      </c>
      <c r="F906" s="386">
        <f>F900*E906</f>
        <v>0</v>
      </c>
      <c r="G906" s="386">
        <v>2.5</v>
      </c>
      <c r="H906" s="386">
        <f>F906*G906</f>
        <v>0</v>
      </c>
      <c r="I906" s="386"/>
      <c r="J906" s="386"/>
      <c r="K906" s="386"/>
      <c r="L906" s="386"/>
      <c r="M906" s="386">
        <f>H906+J906+L906</f>
        <v>0</v>
      </c>
    </row>
    <row r="907" spans="1:14" s="88" customFormat="1" hidden="1">
      <c r="A907" s="83"/>
      <c r="B907" s="1432"/>
      <c r="C907" s="84" t="s">
        <v>391</v>
      </c>
      <c r="D907" s="83" t="s">
        <v>97</v>
      </c>
      <c r="E907" s="83">
        <v>1.69</v>
      </c>
      <c r="F907" s="386">
        <f>F900*E907</f>
        <v>0</v>
      </c>
      <c r="G907" s="386">
        <v>2.5</v>
      </c>
      <c r="H907" s="386">
        <f>F907*G907</f>
        <v>0</v>
      </c>
      <c r="I907" s="386"/>
      <c r="J907" s="386"/>
      <c r="K907" s="386"/>
      <c r="L907" s="386"/>
      <c r="M907" s="386">
        <f>H907+J907+L907</f>
        <v>0</v>
      </c>
    </row>
    <row r="908" spans="1:14" s="359" customFormat="1" ht="27" hidden="1">
      <c r="A908" s="473">
        <v>17</v>
      </c>
      <c r="B908" s="500" t="s">
        <v>389</v>
      </c>
      <c r="C908" s="420" t="s">
        <v>1302</v>
      </c>
      <c r="D908" s="47" t="s">
        <v>122</v>
      </c>
      <c r="E908" s="421"/>
      <c r="F908" s="384">
        <f>'დეფექტური აქტი'!E191</f>
        <v>0</v>
      </c>
      <c r="G908" s="421"/>
      <c r="H908" s="787"/>
      <c r="I908" s="786"/>
      <c r="J908" s="787"/>
      <c r="K908" s="786"/>
      <c r="L908" s="787"/>
      <c r="M908" s="787"/>
      <c r="N908" s="358"/>
    </row>
    <row r="909" spans="1:14" s="359" customFormat="1" ht="21" hidden="1" customHeight="1">
      <c r="A909" s="336"/>
      <c r="B909" s="328"/>
      <c r="C909" s="341" t="s">
        <v>209</v>
      </c>
      <c r="D909" s="336" t="s">
        <v>80</v>
      </c>
      <c r="E909" s="336">
        <v>0.74</v>
      </c>
      <c r="F909" s="386">
        <f>F908*E909</f>
        <v>0</v>
      </c>
      <c r="G909" s="330"/>
      <c r="H909" s="331"/>
      <c r="I909" s="414">
        <v>4.5999999999999996</v>
      </c>
      <c r="J909" s="331">
        <f>F909*I909</f>
        <v>0</v>
      </c>
      <c r="K909" s="414"/>
      <c r="L909" s="331"/>
      <c r="M909" s="386">
        <f>H909+J909+L909</f>
        <v>0</v>
      </c>
      <c r="N909" s="358"/>
    </row>
    <row r="910" spans="1:14" s="359" customFormat="1" hidden="1">
      <c r="A910" s="336"/>
      <c r="B910" s="328"/>
      <c r="C910" s="341" t="s">
        <v>81</v>
      </c>
      <c r="D910" s="336" t="s">
        <v>57</v>
      </c>
      <c r="E910" s="336">
        <v>6.6199999999999995E-2</v>
      </c>
      <c r="F910" s="386">
        <f>F908*E910</f>
        <v>0</v>
      </c>
      <c r="G910" s="330"/>
      <c r="H910" s="331"/>
      <c r="I910" s="414"/>
      <c r="J910" s="331"/>
      <c r="K910" s="414">
        <v>3.2</v>
      </c>
      <c r="L910" s="331">
        <f>F910*K910</f>
        <v>0</v>
      </c>
      <c r="M910" s="386">
        <f>H910+J910+L910</f>
        <v>0</v>
      </c>
      <c r="N910" s="358"/>
    </row>
    <row r="911" spans="1:14" s="359" customFormat="1" hidden="1">
      <c r="A911" s="336"/>
      <c r="B911" s="328"/>
      <c r="C911" s="341" t="s">
        <v>210</v>
      </c>
      <c r="D911" s="336"/>
      <c r="E911" s="336"/>
      <c r="F911" s="331">
        <f>E911*2353</f>
        <v>0</v>
      </c>
      <c r="G911" s="330"/>
      <c r="H911" s="331"/>
      <c r="I911" s="414"/>
      <c r="J911" s="331"/>
      <c r="K911" s="414"/>
      <c r="L911" s="331"/>
      <c r="M911" s="331"/>
      <c r="N911" s="358"/>
    </row>
    <row r="912" spans="1:14" s="359" customFormat="1" hidden="1">
      <c r="A912" s="336"/>
      <c r="B912" s="328"/>
      <c r="C912" s="341" t="s">
        <v>1301</v>
      </c>
      <c r="D912" s="336" t="s">
        <v>206</v>
      </c>
      <c r="E912" s="336">
        <v>6.7000000000000002E-3</v>
      </c>
      <c r="F912" s="386">
        <f>F908*E912</f>
        <v>0</v>
      </c>
      <c r="G912" s="386">
        <f>9.1/0.0043</f>
        <v>2116.2790697674418</v>
      </c>
      <c r="H912" s="331">
        <f>F912*G912</f>
        <v>0</v>
      </c>
      <c r="I912" s="414"/>
      <c r="J912" s="331"/>
      <c r="K912" s="414"/>
      <c r="L912" s="331"/>
      <c r="M912" s="386">
        <f>H912+J912+L912</f>
        <v>0</v>
      </c>
      <c r="N912" s="358"/>
    </row>
    <row r="913" spans="1:14" s="359" customFormat="1" hidden="1">
      <c r="A913" s="336"/>
      <c r="B913" s="328"/>
      <c r="C913" s="341" t="s">
        <v>270</v>
      </c>
      <c r="D913" s="336" t="s">
        <v>97</v>
      </c>
      <c r="E913" s="336">
        <v>0.128</v>
      </c>
      <c r="F913" s="386">
        <f>F908*E913</f>
        <v>0</v>
      </c>
      <c r="G913" s="330">
        <v>4.3</v>
      </c>
      <c r="H913" s="331">
        <f>F913*G913</f>
        <v>0</v>
      </c>
      <c r="I913" s="414"/>
      <c r="J913" s="331"/>
      <c r="K913" s="414"/>
      <c r="L913" s="331"/>
      <c r="M913" s="386">
        <f>H913+J913+L913</f>
        <v>0</v>
      </c>
      <c r="N913" s="358"/>
    </row>
    <row r="914" spans="1:14" s="359" customFormat="1" hidden="1">
      <c r="A914" s="336"/>
      <c r="B914" s="328"/>
      <c r="C914" s="341" t="s">
        <v>390</v>
      </c>
      <c r="D914" s="336" t="s">
        <v>97</v>
      </c>
      <c r="E914" s="336">
        <v>0.128</v>
      </c>
      <c r="F914" s="386">
        <f>F908*E914</f>
        <v>0</v>
      </c>
      <c r="G914" s="330">
        <v>2.5</v>
      </c>
      <c r="H914" s="331">
        <f>F914*G914</f>
        <v>0</v>
      </c>
      <c r="I914" s="414"/>
      <c r="J914" s="331"/>
      <c r="K914" s="414"/>
      <c r="L914" s="331"/>
      <c r="M914" s="386">
        <f>H914+J914+L914</f>
        <v>0</v>
      </c>
      <c r="N914" s="358"/>
    </row>
    <row r="915" spans="1:14" s="359" customFormat="1" hidden="1">
      <c r="A915" s="336"/>
      <c r="B915" s="328"/>
      <c r="C915" s="341" t="s">
        <v>391</v>
      </c>
      <c r="D915" s="336" t="s">
        <v>97</v>
      </c>
      <c r="E915" s="336">
        <v>4.0599999999999996</v>
      </c>
      <c r="F915" s="386">
        <f>F908*E915</f>
        <v>0</v>
      </c>
      <c r="G915" s="330">
        <v>2.5</v>
      </c>
      <c r="H915" s="331">
        <f>F915*G915</f>
        <v>0</v>
      </c>
      <c r="I915" s="414"/>
      <c r="J915" s="331"/>
      <c r="K915" s="414"/>
      <c r="L915" s="331"/>
      <c r="M915" s="386">
        <f>H915+J915+L915</f>
        <v>0</v>
      </c>
      <c r="N915" s="358"/>
    </row>
    <row r="916" spans="1:14" s="359" customFormat="1" hidden="1">
      <c r="A916" s="336"/>
      <c r="B916" s="328"/>
      <c r="C916" s="341" t="s">
        <v>214</v>
      </c>
      <c r="D916" s="336" t="s">
        <v>57</v>
      </c>
      <c r="E916" s="336">
        <v>0.13300000000000001</v>
      </c>
      <c r="F916" s="386">
        <f>F908*E916</f>
        <v>0</v>
      </c>
      <c r="G916" s="330">
        <v>3.2</v>
      </c>
      <c r="H916" s="331">
        <f>F916*G916</f>
        <v>0</v>
      </c>
      <c r="I916" s="414"/>
      <c r="J916" s="331"/>
      <c r="K916" s="414"/>
      <c r="L916" s="331"/>
      <c r="M916" s="386">
        <f>H916+J916+L916</f>
        <v>0</v>
      </c>
      <c r="N916" s="358"/>
    </row>
    <row r="917" spans="1:14" s="88" customFormat="1" hidden="1">
      <c r="A917" s="140">
        <v>18</v>
      </c>
      <c r="B917" s="1431" t="s">
        <v>389</v>
      </c>
      <c r="C917" s="151" t="s">
        <v>392</v>
      </c>
      <c r="D917" s="47" t="s">
        <v>122</v>
      </c>
      <c r="E917" s="140"/>
      <c r="F917" s="384">
        <f>'დეფექტური აქტი'!E192</f>
        <v>0</v>
      </c>
      <c r="G917" s="385"/>
      <c r="H917" s="385"/>
      <c r="I917" s="385"/>
      <c r="J917" s="385"/>
      <c r="K917" s="385"/>
      <c r="L917" s="385"/>
      <c r="M917" s="385"/>
    </row>
    <row r="918" spans="1:14" s="88" customFormat="1" hidden="1">
      <c r="A918" s="83"/>
      <c r="B918" s="1432"/>
      <c r="C918" s="84" t="s">
        <v>209</v>
      </c>
      <c r="D918" s="83" t="s">
        <v>80</v>
      </c>
      <c r="E918" s="83">
        <v>0.74</v>
      </c>
      <c r="F918" s="386">
        <f>F917*E918</f>
        <v>0</v>
      </c>
      <c r="G918" s="386"/>
      <c r="H918" s="386"/>
      <c r="I918" s="386">
        <v>6</v>
      </c>
      <c r="J918" s="386">
        <f>F918*I918</f>
        <v>0</v>
      </c>
      <c r="K918" s="386"/>
      <c r="L918" s="386"/>
      <c r="M918" s="386">
        <f>H918+J918+L918</f>
        <v>0</v>
      </c>
    </row>
    <row r="919" spans="1:14" s="88" customFormat="1" hidden="1">
      <c r="A919" s="83"/>
      <c r="B919" s="1432"/>
      <c r="C919" s="90" t="s">
        <v>393</v>
      </c>
      <c r="D919" s="83" t="s">
        <v>57</v>
      </c>
      <c r="E919" s="83">
        <v>6.6199999999999995E-2</v>
      </c>
      <c r="F919" s="386">
        <f>F917*E919</f>
        <v>0</v>
      </c>
      <c r="G919" s="386"/>
      <c r="H919" s="386"/>
      <c r="I919" s="386"/>
      <c r="J919" s="386"/>
      <c r="K919" s="386">
        <v>3.2</v>
      </c>
      <c r="L919" s="386">
        <f>F919*K919</f>
        <v>0</v>
      </c>
      <c r="M919" s="386">
        <f>H919+J919+L919</f>
        <v>0</v>
      </c>
    </row>
    <row r="920" spans="1:14" s="88" customFormat="1" hidden="1">
      <c r="A920" s="83"/>
      <c r="B920" s="1432"/>
      <c r="C920" s="15" t="s">
        <v>210</v>
      </c>
      <c r="D920" s="83"/>
      <c r="E920" s="83"/>
      <c r="F920" s="386"/>
      <c r="G920" s="386"/>
      <c r="H920" s="386"/>
      <c r="I920" s="386"/>
      <c r="J920" s="386"/>
      <c r="K920" s="386"/>
      <c r="L920" s="386"/>
      <c r="M920" s="386"/>
    </row>
    <row r="921" spans="1:14" s="88" customFormat="1" hidden="1">
      <c r="A921" s="83"/>
      <c r="B921" s="1432"/>
      <c r="C921" s="84" t="s">
        <v>394</v>
      </c>
      <c r="D921" s="41" t="s">
        <v>122</v>
      </c>
      <c r="E921" s="83">
        <v>1.05</v>
      </c>
      <c r="F921" s="386">
        <f>F917*E921</f>
        <v>0</v>
      </c>
      <c r="G921" s="386">
        <v>8</v>
      </c>
      <c r="H921" s="386">
        <f>F921*G921</f>
        <v>0</v>
      </c>
      <c r="I921" s="386"/>
      <c r="J921" s="386"/>
      <c r="K921" s="386"/>
      <c r="L921" s="386"/>
      <c r="M921" s="386">
        <f>H921+J921+L921</f>
        <v>0</v>
      </c>
    </row>
    <row r="922" spans="1:14" s="88" customFormat="1" hidden="1">
      <c r="A922" s="83"/>
      <c r="B922" s="1432"/>
      <c r="C922" s="84" t="s">
        <v>270</v>
      </c>
      <c r="D922" s="83" t="s">
        <v>97</v>
      </c>
      <c r="E922" s="83">
        <v>0.128</v>
      </c>
      <c r="F922" s="386">
        <f>F917*E922</f>
        <v>0</v>
      </c>
      <c r="G922" s="386">
        <v>4.3</v>
      </c>
      <c r="H922" s="386">
        <f>F922*G922</f>
        <v>0</v>
      </c>
      <c r="I922" s="386"/>
      <c r="J922" s="386"/>
      <c r="K922" s="386"/>
      <c r="L922" s="386"/>
      <c r="M922" s="386">
        <f>H922+J922+L922</f>
        <v>0</v>
      </c>
    </row>
    <row r="923" spans="1:14" s="88" customFormat="1" hidden="1">
      <c r="A923" s="83"/>
      <c r="B923" s="1432"/>
      <c r="C923" s="84" t="s">
        <v>390</v>
      </c>
      <c r="D923" s="83" t="s">
        <v>97</v>
      </c>
      <c r="E923" s="83">
        <v>0.128</v>
      </c>
      <c r="F923" s="386">
        <f>F917*E923</f>
        <v>0</v>
      </c>
      <c r="G923" s="386">
        <v>2.5</v>
      </c>
      <c r="H923" s="386">
        <f>F923*G923</f>
        <v>0</v>
      </c>
      <c r="I923" s="386"/>
      <c r="J923" s="386"/>
      <c r="K923" s="386"/>
      <c r="L923" s="386"/>
      <c r="M923" s="386">
        <f>H923+J923+L923</f>
        <v>0</v>
      </c>
    </row>
    <row r="924" spans="1:14" s="88" customFormat="1" hidden="1">
      <c r="A924" s="83"/>
      <c r="B924" s="1432"/>
      <c r="C924" s="84" t="s">
        <v>391</v>
      </c>
      <c r="D924" s="83" t="s">
        <v>97</v>
      </c>
      <c r="E924" s="83">
        <v>0.112</v>
      </c>
      <c r="F924" s="386">
        <f>F917*E924</f>
        <v>0</v>
      </c>
      <c r="G924" s="386">
        <v>2.5</v>
      </c>
      <c r="H924" s="386">
        <f>F924*G924</f>
        <v>0</v>
      </c>
      <c r="I924" s="386"/>
      <c r="J924" s="386"/>
      <c r="K924" s="386"/>
      <c r="L924" s="386"/>
      <c r="M924" s="386">
        <f>H924+J924+L924</f>
        <v>0</v>
      </c>
    </row>
    <row r="925" spans="1:14" s="88" customFormat="1" hidden="1">
      <c r="A925" s="83"/>
      <c r="B925" s="1432"/>
      <c r="C925" s="90" t="s">
        <v>144</v>
      </c>
      <c r="D925" s="86" t="s">
        <v>57</v>
      </c>
      <c r="E925" s="83">
        <v>0.13300000000000001</v>
      </c>
      <c r="F925" s="386">
        <f>F917*E925</f>
        <v>0</v>
      </c>
      <c r="G925" s="386">
        <v>3.2</v>
      </c>
      <c r="H925" s="386">
        <f>F925*G925</f>
        <v>0</v>
      </c>
      <c r="I925" s="386"/>
      <c r="J925" s="386"/>
      <c r="K925" s="386"/>
      <c r="L925" s="386"/>
      <c r="M925" s="386">
        <f>H925+J925+L925</f>
        <v>0</v>
      </c>
    </row>
    <row r="926" spans="1:14" s="88" customFormat="1" hidden="1">
      <c r="A926" s="140">
        <v>19</v>
      </c>
      <c r="B926" s="1431" t="s">
        <v>395</v>
      </c>
      <c r="C926" s="151" t="s">
        <v>396</v>
      </c>
      <c r="D926" s="140" t="s">
        <v>113</v>
      </c>
      <c r="E926" s="140"/>
      <c r="F926" s="384">
        <f>'დეფექტური აქტი'!E193</f>
        <v>0</v>
      </c>
      <c r="G926" s="385"/>
      <c r="H926" s="385"/>
      <c r="I926" s="385"/>
      <c r="J926" s="385"/>
      <c r="K926" s="385"/>
      <c r="L926" s="385"/>
      <c r="M926" s="385"/>
    </row>
    <row r="927" spans="1:14" s="88" customFormat="1" hidden="1">
      <c r="A927" s="83"/>
      <c r="B927" s="1432"/>
      <c r="C927" s="84" t="s">
        <v>209</v>
      </c>
      <c r="D927" s="83" t="s">
        <v>80</v>
      </c>
      <c r="E927" s="83">
        <v>1.51</v>
      </c>
      <c r="F927" s="386">
        <f>F926*E927</f>
        <v>0</v>
      </c>
      <c r="G927" s="386"/>
      <c r="H927" s="386"/>
      <c r="I927" s="386">
        <v>6</v>
      </c>
      <c r="J927" s="386">
        <f>F927*I927</f>
        <v>0</v>
      </c>
      <c r="K927" s="386"/>
      <c r="L927" s="386"/>
      <c r="M927" s="386">
        <f>H927+J927+L927</f>
        <v>0</v>
      </c>
    </row>
    <row r="928" spans="1:14" s="88" customFormat="1" hidden="1">
      <c r="A928" s="83"/>
      <c r="B928" s="1432"/>
      <c r="C928" s="90" t="s">
        <v>393</v>
      </c>
      <c r="D928" s="83" t="s">
        <v>57</v>
      </c>
      <c r="E928" s="83">
        <v>0.02</v>
      </c>
      <c r="F928" s="386">
        <f>F926*E928</f>
        <v>0</v>
      </c>
      <c r="G928" s="386"/>
      <c r="H928" s="386"/>
      <c r="I928" s="386"/>
      <c r="J928" s="386"/>
      <c r="K928" s="386">
        <v>3.2</v>
      </c>
      <c r="L928" s="386">
        <f>F928*K928</f>
        <v>0</v>
      </c>
      <c r="M928" s="386">
        <f>H928+J928+L928</f>
        <v>0</v>
      </c>
    </row>
    <row r="929" spans="1:13" s="88" customFormat="1" hidden="1">
      <c r="A929" s="83"/>
      <c r="B929" s="1432"/>
      <c r="C929" s="15" t="s">
        <v>210</v>
      </c>
      <c r="D929" s="83"/>
      <c r="E929" s="83"/>
      <c r="F929" s="386"/>
      <c r="G929" s="386"/>
      <c r="H929" s="386"/>
      <c r="I929" s="386"/>
      <c r="J929" s="386"/>
      <c r="K929" s="386"/>
      <c r="L929" s="386"/>
      <c r="M929" s="386"/>
    </row>
    <row r="930" spans="1:13" s="88" customFormat="1" hidden="1">
      <c r="A930" s="83"/>
      <c r="B930" s="1432"/>
      <c r="C930" s="84" t="s">
        <v>397</v>
      </c>
      <c r="D930" s="83" t="s">
        <v>113</v>
      </c>
      <c r="E930" s="83">
        <v>1</v>
      </c>
      <c r="F930" s="386">
        <f>F926*E930</f>
        <v>0</v>
      </c>
      <c r="G930" s="386">
        <v>6</v>
      </c>
      <c r="H930" s="386">
        <f>F930*G930</f>
        <v>0</v>
      </c>
      <c r="I930" s="386"/>
      <c r="J930" s="386"/>
      <c r="K930" s="386"/>
      <c r="L930" s="386"/>
      <c r="M930" s="386">
        <f>H930+J930+L930</f>
        <v>0</v>
      </c>
    </row>
    <row r="931" spans="1:13" s="88" customFormat="1" hidden="1">
      <c r="A931" s="83"/>
      <c r="B931" s="1432"/>
      <c r="C931" s="90" t="s">
        <v>144</v>
      </c>
      <c r="D931" s="86" t="s">
        <v>57</v>
      </c>
      <c r="E931" s="83">
        <v>0.28999999999999998</v>
      </c>
      <c r="F931" s="386">
        <f>F926*E931</f>
        <v>0</v>
      </c>
      <c r="G931" s="386">
        <v>3.2</v>
      </c>
      <c r="H931" s="386">
        <f>F931*G931</f>
        <v>0</v>
      </c>
      <c r="I931" s="386"/>
      <c r="J931" s="386"/>
      <c r="K931" s="386"/>
      <c r="L931" s="386"/>
      <c r="M931" s="386">
        <f>H931+J931+L931</f>
        <v>0</v>
      </c>
    </row>
    <row r="932" spans="1:13" s="88" customFormat="1" hidden="1">
      <c r="A932" s="140">
        <v>20</v>
      </c>
      <c r="B932" s="1431" t="s">
        <v>395</v>
      </c>
      <c r="C932" s="151" t="s">
        <v>398</v>
      </c>
      <c r="D932" s="140" t="s">
        <v>113</v>
      </c>
      <c r="E932" s="140"/>
      <c r="F932" s="384">
        <f>'დეფექტური აქტი'!E194</f>
        <v>0</v>
      </c>
      <c r="G932" s="385"/>
      <c r="H932" s="385"/>
      <c r="I932" s="385"/>
      <c r="J932" s="385"/>
      <c r="K932" s="385"/>
      <c r="L932" s="385"/>
      <c r="M932" s="385"/>
    </row>
    <row r="933" spans="1:13" s="88" customFormat="1" hidden="1">
      <c r="A933" s="83"/>
      <c r="B933" s="1432"/>
      <c r="C933" s="84" t="s">
        <v>209</v>
      </c>
      <c r="D933" s="83" t="s">
        <v>80</v>
      </c>
      <c r="E933" s="83">
        <v>1.51</v>
      </c>
      <c r="F933" s="386">
        <f>F932*E933</f>
        <v>0</v>
      </c>
      <c r="G933" s="386"/>
      <c r="H933" s="386"/>
      <c r="I933" s="386">
        <v>6</v>
      </c>
      <c r="J933" s="386">
        <f>F933*I933</f>
        <v>0</v>
      </c>
      <c r="K933" s="386"/>
      <c r="L933" s="386"/>
      <c r="M933" s="386">
        <f>H933+J933+L933</f>
        <v>0</v>
      </c>
    </row>
    <row r="934" spans="1:13" s="88" customFormat="1" hidden="1">
      <c r="A934" s="83"/>
      <c r="B934" s="1432"/>
      <c r="C934" s="90" t="s">
        <v>393</v>
      </c>
      <c r="D934" s="83" t="s">
        <v>57</v>
      </c>
      <c r="E934" s="83">
        <v>0.02</v>
      </c>
      <c r="F934" s="386">
        <f>F932*E934</f>
        <v>0</v>
      </c>
      <c r="G934" s="386"/>
      <c r="H934" s="386"/>
      <c r="I934" s="386"/>
      <c r="J934" s="386"/>
      <c r="K934" s="386">
        <v>3.2</v>
      </c>
      <c r="L934" s="386">
        <f>F934*K934</f>
        <v>0</v>
      </c>
      <c r="M934" s="386">
        <f>H934+J934+L934</f>
        <v>0</v>
      </c>
    </row>
    <row r="935" spans="1:13" s="88" customFormat="1" hidden="1">
      <c r="A935" s="83"/>
      <c r="B935" s="1432"/>
      <c r="C935" s="15" t="s">
        <v>210</v>
      </c>
      <c r="D935" s="83"/>
      <c r="E935" s="83"/>
      <c r="F935" s="386"/>
      <c r="G935" s="386"/>
      <c r="H935" s="386"/>
      <c r="I935" s="386"/>
      <c r="J935" s="386"/>
      <c r="K935" s="386"/>
      <c r="L935" s="386"/>
      <c r="M935" s="386"/>
    </row>
    <row r="936" spans="1:13" s="88" customFormat="1" hidden="1">
      <c r="A936" s="83"/>
      <c r="B936" s="1432"/>
      <c r="C936" s="84" t="s">
        <v>399</v>
      </c>
      <c r="D936" s="83" t="s">
        <v>113</v>
      </c>
      <c r="E936" s="83">
        <v>1</v>
      </c>
      <c r="F936" s="386">
        <f>F932*E936</f>
        <v>0</v>
      </c>
      <c r="G936" s="601">
        <v>6</v>
      </c>
      <c r="H936" s="386">
        <f>F936*G936</f>
        <v>0</v>
      </c>
      <c r="I936" s="386"/>
      <c r="J936" s="386"/>
      <c r="K936" s="386"/>
      <c r="L936" s="386"/>
      <c r="M936" s="386">
        <f>H936+J936+L936</f>
        <v>0</v>
      </c>
    </row>
    <row r="937" spans="1:13" s="88" customFormat="1" hidden="1">
      <c r="A937" s="83"/>
      <c r="B937" s="1432"/>
      <c r="C937" s="90" t="s">
        <v>144</v>
      </c>
      <c r="D937" s="86" t="s">
        <v>57</v>
      </c>
      <c r="E937" s="83">
        <v>0.28999999999999998</v>
      </c>
      <c r="F937" s="386">
        <f>F932*E937</f>
        <v>0</v>
      </c>
      <c r="G937" s="386">
        <v>3.2</v>
      </c>
      <c r="H937" s="386">
        <f>F937*G937</f>
        <v>0</v>
      </c>
      <c r="I937" s="386"/>
      <c r="J937" s="386"/>
      <c r="K937" s="386"/>
      <c r="L937" s="386"/>
      <c r="M937" s="386">
        <f>H937+J937+L937</f>
        <v>0</v>
      </c>
    </row>
    <row r="938" spans="1:13" s="88" customFormat="1" ht="28.5" hidden="1" customHeight="1">
      <c r="A938" s="140">
        <v>21</v>
      </c>
      <c r="B938" s="1431" t="s">
        <v>724</v>
      </c>
      <c r="C938" s="151" t="s">
        <v>926</v>
      </c>
      <c r="D938" s="140" t="s">
        <v>78</v>
      </c>
      <c r="E938" s="140"/>
      <c r="F938" s="384">
        <f>'დეფექტური აქტი'!E195</f>
        <v>0</v>
      </c>
      <c r="G938" s="385"/>
      <c r="H938" s="385"/>
      <c r="I938" s="385"/>
      <c r="J938" s="385"/>
      <c r="K938" s="385"/>
      <c r="L938" s="385"/>
      <c r="M938" s="385"/>
    </row>
    <row r="939" spans="1:13" s="88" customFormat="1" hidden="1">
      <c r="A939" s="83"/>
      <c r="B939" s="1432"/>
      <c r="C939" s="84" t="s">
        <v>927</v>
      </c>
      <c r="D939" s="83" t="s">
        <v>80</v>
      </c>
      <c r="E939" s="83">
        <v>0.14649999999999999</v>
      </c>
      <c r="F939" s="386">
        <f>F938*E939</f>
        <v>0</v>
      </c>
      <c r="G939" s="386"/>
      <c r="H939" s="386"/>
      <c r="I939" s="386">
        <v>6</v>
      </c>
      <c r="J939" s="386">
        <f>F939*I939</f>
        <v>0</v>
      </c>
      <c r="K939" s="386"/>
      <c r="L939" s="386"/>
      <c r="M939" s="386">
        <f>H939+J939+L939</f>
        <v>0</v>
      </c>
    </row>
    <row r="940" spans="1:13" s="88" customFormat="1" hidden="1">
      <c r="A940" s="83"/>
      <c r="B940" s="1432"/>
      <c r="C940" s="84" t="s">
        <v>928</v>
      </c>
      <c r="D940" s="83" t="s">
        <v>57</v>
      </c>
      <c r="E940" s="83">
        <v>9.9000000000000008E-3</v>
      </c>
      <c r="F940" s="386">
        <f>F938*E940</f>
        <v>0</v>
      </c>
      <c r="G940" s="386"/>
      <c r="H940" s="386"/>
      <c r="I940" s="386"/>
      <c r="J940" s="386"/>
      <c r="K940" s="386">
        <v>3.2</v>
      </c>
      <c r="L940" s="386">
        <f>F940*K940</f>
        <v>0</v>
      </c>
      <c r="M940" s="386">
        <f>H940+J940+L940</f>
        <v>0</v>
      </c>
    </row>
    <row r="941" spans="1:13" s="88" customFormat="1" hidden="1">
      <c r="A941" s="83"/>
      <c r="B941" s="1432"/>
      <c r="C941" s="365" t="s">
        <v>210</v>
      </c>
      <c r="D941" s="83"/>
      <c r="E941" s="83"/>
      <c r="F941" s="386"/>
      <c r="G941" s="386"/>
      <c r="H941" s="386"/>
      <c r="I941" s="386"/>
      <c r="J941" s="386"/>
      <c r="K941" s="386"/>
      <c r="L941" s="386"/>
      <c r="M941" s="386"/>
    </row>
    <row r="942" spans="1:13" s="88" customFormat="1" hidden="1">
      <c r="A942" s="83"/>
      <c r="B942" s="1432"/>
      <c r="C942" s="84" t="s">
        <v>929</v>
      </c>
      <c r="D942" s="83" t="s">
        <v>88</v>
      </c>
      <c r="E942" s="83">
        <v>2.1049999999999999E-2</v>
      </c>
      <c r="F942" s="386">
        <f>F938*E942</f>
        <v>0</v>
      </c>
      <c r="G942" s="386">
        <v>80</v>
      </c>
      <c r="H942" s="386">
        <f>F942*G942</f>
        <v>0</v>
      </c>
      <c r="I942" s="386"/>
      <c r="J942" s="386"/>
      <c r="K942" s="386"/>
      <c r="L942" s="386"/>
      <c r="M942" s="386">
        <f>H942+J942+L942</f>
        <v>0</v>
      </c>
    </row>
    <row r="943" spans="1:13" s="88" customFormat="1" hidden="1">
      <c r="A943" s="83"/>
      <c r="B943" s="1432"/>
      <c r="C943" s="84" t="s">
        <v>214</v>
      </c>
      <c r="D943" s="86" t="s">
        <v>57</v>
      </c>
      <c r="E943" s="83">
        <v>6.4000000000000001E-2</v>
      </c>
      <c r="F943" s="386">
        <f>F938*E943</f>
        <v>0</v>
      </c>
      <c r="G943" s="386">
        <v>3.2</v>
      </c>
      <c r="H943" s="386">
        <f>F943*G943</f>
        <v>0</v>
      </c>
      <c r="I943" s="386"/>
      <c r="J943" s="386"/>
      <c r="K943" s="386"/>
      <c r="L943" s="386"/>
      <c r="M943" s="386">
        <f>H943+J943+L943</f>
        <v>0</v>
      </c>
    </row>
    <row r="944" spans="1:13" s="89" customFormat="1" hidden="1">
      <c r="A944" s="140">
        <v>22</v>
      </c>
      <c r="B944" s="1431" t="s">
        <v>855</v>
      </c>
      <c r="C944" s="152" t="s">
        <v>857</v>
      </c>
      <c r="D944" s="140" t="s">
        <v>78</v>
      </c>
      <c r="E944" s="140"/>
      <c r="F944" s="384">
        <f>'დეფექტური აქტი'!E196</f>
        <v>0</v>
      </c>
      <c r="G944" s="385"/>
      <c r="H944" s="385"/>
      <c r="I944" s="385"/>
      <c r="J944" s="385"/>
      <c r="K944" s="385"/>
      <c r="L944" s="385"/>
      <c r="M944" s="385"/>
    </row>
    <row r="945" spans="1:13" s="88" customFormat="1" hidden="1">
      <c r="A945" s="83"/>
      <c r="B945" s="1432"/>
      <c r="C945" s="84" t="s">
        <v>209</v>
      </c>
      <c r="D945" s="83" t="s">
        <v>80</v>
      </c>
      <c r="E945" s="83">
        <v>0.16</v>
      </c>
      <c r="F945" s="386">
        <f>F944*E945</f>
        <v>0</v>
      </c>
      <c r="G945" s="386"/>
      <c r="H945" s="386"/>
      <c r="I945" s="386">
        <v>6</v>
      </c>
      <c r="J945" s="386">
        <f>F945*I945</f>
        <v>0</v>
      </c>
      <c r="K945" s="386"/>
      <c r="L945" s="386"/>
      <c r="M945" s="386">
        <f>H945+J945+L945</f>
        <v>0</v>
      </c>
    </row>
    <row r="946" spans="1:13" s="89" customFormat="1" hidden="1">
      <c r="A946" s="83"/>
      <c r="B946" s="1432"/>
      <c r="C946" s="84" t="s">
        <v>142</v>
      </c>
      <c r="D946" s="83" t="s">
        <v>57</v>
      </c>
      <c r="E946" s="83">
        <v>3.2000000000000002E-3</v>
      </c>
      <c r="F946" s="386">
        <f>F944*E946</f>
        <v>0</v>
      </c>
      <c r="G946" s="386"/>
      <c r="H946" s="386"/>
      <c r="I946" s="386"/>
      <c r="J946" s="386"/>
      <c r="K946" s="386">
        <v>3.2</v>
      </c>
      <c r="L946" s="386">
        <f>F946*K946</f>
        <v>0</v>
      </c>
      <c r="M946" s="386">
        <f>H946+J946+L946</f>
        <v>0</v>
      </c>
    </row>
    <row r="947" spans="1:13" s="89" customFormat="1" hidden="1">
      <c r="A947" s="83"/>
      <c r="B947" s="1432"/>
      <c r="C947" s="15" t="s">
        <v>210</v>
      </c>
      <c r="D947" s="83"/>
      <c r="E947" s="83"/>
      <c r="F947" s="386"/>
      <c r="G947" s="386"/>
      <c r="H947" s="386"/>
      <c r="I947" s="386"/>
      <c r="J947" s="386"/>
      <c r="K947" s="386"/>
      <c r="L947" s="386"/>
      <c r="M947" s="386"/>
    </row>
    <row r="948" spans="1:13" s="92" customFormat="1" hidden="1">
      <c r="A948" s="91"/>
      <c r="B948" s="1432"/>
      <c r="C948" s="90" t="s">
        <v>915</v>
      </c>
      <c r="D948" s="83" t="s">
        <v>78</v>
      </c>
      <c r="E948" s="83">
        <v>1.1100000000000001</v>
      </c>
      <c r="F948" s="386">
        <f>F944*E948</f>
        <v>0</v>
      </c>
      <c r="G948" s="386">
        <v>3.06</v>
      </c>
      <c r="H948" s="386">
        <f>F948*G948</f>
        <v>0</v>
      </c>
      <c r="I948" s="386"/>
      <c r="J948" s="386"/>
      <c r="K948" s="386"/>
      <c r="L948" s="386"/>
      <c r="M948" s="386">
        <f>H948+J948+L948</f>
        <v>0</v>
      </c>
    </row>
    <row r="949" spans="1:13" s="89" customFormat="1" hidden="1">
      <c r="A949" s="91"/>
      <c r="B949" s="1432"/>
      <c r="C949" s="90" t="s">
        <v>1556</v>
      </c>
      <c r="D949" s="83" t="s">
        <v>97</v>
      </c>
      <c r="E949" s="83">
        <v>0.5</v>
      </c>
      <c r="F949" s="386">
        <f>F944*E949</f>
        <v>0</v>
      </c>
      <c r="G949" s="917">
        <v>1.25</v>
      </c>
      <c r="H949" s="386">
        <f>F949*G949</f>
        <v>0</v>
      </c>
      <c r="I949" s="386"/>
      <c r="J949" s="386"/>
      <c r="K949" s="386"/>
      <c r="L949" s="386"/>
      <c r="M949" s="386">
        <f>H949+J949+L949</f>
        <v>0</v>
      </c>
    </row>
    <row r="950" spans="1:13" s="89" customFormat="1" hidden="1">
      <c r="A950" s="91"/>
      <c r="B950" s="219"/>
      <c r="C950" s="90" t="s">
        <v>283</v>
      </c>
      <c r="D950" s="86" t="s">
        <v>97</v>
      </c>
      <c r="E950" s="83">
        <v>3.5000000000000003E-2</v>
      </c>
      <c r="F950" s="386">
        <f>F944*E950</f>
        <v>0</v>
      </c>
      <c r="G950" s="386">
        <v>3.1</v>
      </c>
      <c r="H950" s="386">
        <f>F950*G950</f>
        <v>0</v>
      </c>
      <c r="I950" s="386"/>
      <c r="J950" s="386"/>
      <c r="K950" s="386"/>
      <c r="L950" s="386"/>
      <c r="M950" s="386">
        <f>H950+J950+L950</f>
        <v>0</v>
      </c>
    </row>
    <row r="951" spans="1:13" s="89" customFormat="1" hidden="1">
      <c r="A951" s="140">
        <v>23</v>
      </c>
      <c r="B951" s="1431" t="s">
        <v>282</v>
      </c>
      <c r="C951" s="151" t="s">
        <v>949</v>
      </c>
      <c r="D951" s="140" t="s">
        <v>88</v>
      </c>
      <c r="E951" s="140"/>
      <c r="F951" s="384">
        <f>'დეფექტური აქტი'!E197</f>
        <v>0</v>
      </c>
      <c r="G951" s="385"/>
      <c r="H951" s="385"/>
      <c r="I951" s="385"/>
      <c r="J951" s="385"/>
      <c r="K951" s="385"/>
      <c r="L951" s="385"/>
      <c r="M951" s="385"/>
    </row>
    <row r="952" spans="1:13" s="89" customFormat="1" hidden="1">
      <c r="A952" s="83"/>
      <c r="B952" s="1432"/>
      <c r="C952" s="84" t="s">
        <v>209</v>
      </c>
      <c r="D952" s="83" t="s">
        <v>80</v>
      </c>
      <c r="E952" s="83">
        <v>2.3199999999999998</v>
      </c>
      <c r="F952" s="386">
        <f>F951*E952</f>
        <v>0</v>
      </c>
      <c r="G952" s="386"/>
      <c r="H952" s="386"/>
      <c r="I952" s="386">
        <v>4.5999999999999996</v>
      </c>
      <c r="J952" s="386">
        <f>F952*I952</f>
        <v>0</v>
      </c>
      <c r="K952" s="386"/>
      <c r="L952" s="386"/>
      <c r="M952" s="386">
        <f>H952+J952+L952</f>
        <v>0</v>
      </c>
    </row>
    <row r="953" spans="1:13" s="89" customFormat="1" hidden="1">
      <c r="A953" s="83"/>
      <c r="B953" s="1432"/>
      <c r="C953" s="84" t="s">
        <v>81</v>
      </c>
      <c r="D953" s="83" t="s">
        <v>57</v>
      </c>
      <c r="E953" s="83">
        <v>1.08</v>
      </c>
      <c r="F953" s="386">
        <f>F951*E953</f>
        <v>0</v>
      </c>
      <c r="G953" s="386"/>
      <c r="H953" s="386"/>
      <c r="I953" s="386"/>
      <c r="J953" s="386"/>
      <c r="K953" s="386">
        <v>3.2</v>
      </c>
      <c r="L953" s="386">
        <f>F953*K953</f>
        <v>0</v>
      </c>
      <c r="M953" s="386">
        <f>H953+J953+L953</f>
        <v>0</v>
      </c>
    </row>
    <row r="954" spans="1:13" s="89" customFormat="1" hidden="1">
      <c r="A954" s="83"/>
      <c r="B954" s="1432"/>
      <c r="C954" s="15" t="s">
        <v>210</v>
      </c>
      <c r="D954" s="83"/>
      <c r="E954" s="83"/>
      <c r="F954" s="386"/>
      <c r="G954" s="386"/>
      <c r="H954" s="386"/>
      <c r="I954" s="386"/>
      <c r="J954" s="386"/>
      <c r="K954" s="386"/>
      <c r="L954" s="386"/>
      <c r="M954" s="386"/>
    </row>
    <row r="955" spans="1:13" s="89" customFormat="1" hidden="1">
      <c r="A955" s="83"/>
      <c r="B955" s="1432"/>
      <c r="C955" s="84" t="s">
        <v>950</v>
      </c>
      <c r="D955" s="86" t="s">
        <v>88</v>
      </c>
      <c r="E955" s="83">
        <v>1.1000000000000001</v>
      </c>
      <c r="F955" s="386">
        <f>F951*E955</f>
        <v>0</v>
      </c>
      <c r="G955" s="386">
        <v>40</v>
      </c>
      <c r="H955" s="386">
        <f>F955*G955</f>
        <v>0</v>
      </c>
      <c r="I955" s="386"/>
      <c r="J955" s="386"/>
      <c r="K955" s="386"/>
      <c r="L955" s="386"/>
      <c r="M955" s="386">
        <f>H955+J955+L955</f>
        <v>0</v>
      </c>
    </row>
    <row r="956" spans="1:13" s="88" customFormat="1" hidden="1">
      <c r="A956" s="140">
        <v>24</v>
      </c>
      <c r="B956" s="1431" t="s">
        <v>724</v>
      </c>
      <c r="C956" s="151" t="s">
        <v>155</v>
      </c>
      <c r="D956" s="140" t="s">
        <v>78</v>
      </c>
      <c r="E956" s="140"/>
      <c r="F956" s="384">
        <f>'დეფექტური აქტი'!E198</f>
        <v>0</v>
      </c>
      <c r="G956" s="385"/>
      <c r="H956" s="385"/>
      <c r="I956" s="385"/>
      <c r="J956" s="385"/>
      <c r="K956" s="385"/>
      <c r="L956" s="385"/>
      <c r="M956" s="385"/>
    </row>
    <row r="957" spans="1:13" s="88" customFormat="1" hidden="1">
      <c r="A957" s="83"/>
      <c r="B957" s="1432"/>
      <c r="C957" s="84" t="s">
        <v>851</v>
      </c>
      <c r="D957" s="83" t="s">
        <v>80</v>
      </c>
      <c r="E957" s="83">
        <v>0.1605</v>
      </c>
      <c r="F957" s="386">
        <f>F956*E957</f>
        <v>0</v>
      </c>
      <c r="G957" s="386"/>
      <c r="H957" s="386"/>
      <c r="I957" s="386">
        <v>6</v>
      </c>
      <c r="J957" s="386">
        <f>F957*I957</f>
        <v>0</v>
      </c>
      <c r="K957" s="386"/>
      <c r="L957" s="386"/>
      <c r="M957" s="386">
        <f>H957+J957+L957</f>
        <v>0</v>
      </c>
    </row>
    <row r="958" spans="1:13" s="88" customFormat="1" hidden="1">
      <c r="A958" s="83"/>
      <c r="B958" s="1432"/>
      <c r="C958" s="84" t="s">
        <v>852</v>
      </c>
      <c r="D958" s="83" t="s">
        <v>57</v>
      </c>
      <c r="E958" s="83">
        <v>1.9900000000000001E-2</v>
      </c>
      <c r="F958" s="386">
        <f>F956*E958</f>
        <v>0</v>
      </c>
      <c r="G958" s="386"/>
      <c r="H958" s="386"/>
      <c r="I958" s="386"/>
      <c r="J958" s="386"/>
      <c r="K958" s="386">
        <v>3.2</v>
      </c>
      <c r="L958" s="386">
        <f>F958*K958</f>
        <v>0</v>
      </c>
      <c r="M958" s="386">
        <f>H958+J958+L958</f>
        <v>0</v>
      </c>
    </row>
    <row r="959" spans="1:13" s="88" customFormat="1" hidden="1">
      <c r="A959" s="83"/>
      <c r="B959" s="1432"/>
      <c r="C959" s="15" t="s">
        <v>210</v>
      </c>
      <c r="D959" s="83"/>
      <c r="E959" s="83"/>
      <c r="F959" s="386"/>
      <c r="G959" s="386"/>
      <c r="H959" s="386"/>
      <c r="I959" s="386"/>
      <c r="J959" s="386"/>
      <c r="K959" s="386"/>
      <c r="L959" s="386"/>
      <c r="M959" s="386"/>
    </row>
    <row r="960" spans="1:13" s="88" customFormat="1" hidden="1">
      <c r="A960" s="83"/>
      <c r="B960" s="1432"/>
      <c r="C960" s="84" t="s">
        <v>853</v>
      </c>
      <c r="D960" s="83" t="s">
        <v>88</v>
      </c>
      <c r="E960" s="83">
        <v>4.2049999999999997E-2</v>
      </c>
      <c r="F960" s="386">
        <f>F956*E960</f>
        <v>0</v>
      </c>
      <c r="G960" s="386">
        <v>80</v>
      </c>
      <c r="H960" s="386">
        <f>F960*G960</f>
        <v>0</v>
      </c>
      <c r="I960" s="386"/>
      <c r="J960" s="386"/>
      <c r="K960" s="386"/>
      <c r="L960" s="386"/>
      <c r="M960" s="386">
        <f>H960+J960+L960</f>
        <v>0</v>
      </c>
    </row>
    <row r="961" spans="1:13" s="88" customFormat="1" hidden="1">
      <c r="A961" s="83"/>
      <c r="B961" s="1432"/>
      <c r="C961" s="84" t="s">
        <v>214</v>
      </c>
      <c r="D961" s="86" t="s">
        <v>57</v>
      </c>
      <c r="E961" s="83">
        <v>6.4000000000000001E-2</v>
      </c>
      <c r="F961" s="386">
        <f>F956*E961</f>
        <v>0</v>
      </c>
      <c r="G961" s="386">
        <v>3.2</v>
      </c>
      <c r="H961" s="386">
        <f>F961*G961</f>
        <v>0</v>
      </c>
      <c r="I961" s="386"/>
      <c r="J961" s="386"/>
      <c r="K961" s="386"/>
      <c r="L961" s="386"/>
      <c r="M961" s="386">
        <f>H961+J961+L961</f>
        <v>0</v>
      </c>
    </row>
    <row r="962" spans="1:13" s="89" customFormat="1" hidden="1">
      <c r="A962" s="140">
        <v>25</v>
      </c>
      <c r="B962" s="1431" t="s">
        <v>321</v>
      </c>
      <c r="C962" s="152" t="s">
        <v>913</v>
      </c>
      <c r="D962" s="140" t="s">
        <v>78</v>
      </c>
      <c r="E962" s="140"/>
      <c r="F962" s="384">
        <f>'დეფექტური აქტი'!E199</f>
        <v>0</v>
      </c>
      <c r="G962" s="385"/>
      <c r="H962" s="385"/>
      <c r="I962" s="385"/>
      <c r="J962" s="385"/>
      <c r="K962" s="385"/>
      <c r="L962" s="385"/>
      <c r="M962" s="385"/>
    </row>
    <row r="963" spans="1:13" s="89" customFormat="1" hidden="1">
      <c r="A963" s="83"/>
      <c r="B963" s="1432"/>
      <c r="C963" s="84" t="s">
        <v>79</v>
      </c>
      <c r="D963" s="83" t="s">
        <v>78</v>
      </c>
      <c r="E963" s="83">
        <v>1</v>
      </c>
      <c r="F963" s="386">
        <f>F962*E963</f>
        <v>0</v>
      </c>
      <c r="G963" s="386"/>
      <c r="H963" s="386"/>
      <c r="I963" s="386">
        <v>3</v>
      </c>
      <c r="J963" s="386">
        <f>F963*I963</f>
        <v>0</v>
      </c>
      <c r="K963" s="386"/>
      <c r="L963" s="386"/>
      <c r="M963" s="386">
        <f>H963+J963+L963</f>
        <v>0</v>
      </c>
    </row>
    <row r="964" spans="1:13" s="89" customFormat="1" hidden="1">
      <c r="A964" s="83"/>
      <c r="B964" s="1432"/>
      <c r="C964" s="84" t="s">
        <v>142</v>
      </c>
      <c r="D964" s="83" t="s">
        <v>57</v>
      </c>
      <c r="E964" s="83">
        <v>0.22</v>
      </c>
      <c r="F964" s="386">
        <f>F962*E964</f>
        <v>0</v>
      </c>
      <c r="G964" s="386"/>
      <c r="H964" s="386"/>
      <c r="I964" s="386"/>
      <c r="J964" s="386"/>
      <c r="K964" s="386">
        <v>3.2</v>
      </c>
      <c r="L964" s="386">
        <f>F964*K964</f>
        <v>0</v>
      </c>
      <c r="M964" s="386">
        <f>H964+J964+L964</f>
        <v>0</v>
      </c>
    </row>
    <row r="965" spans="1:13" s="89" customFormat="1" hidden="1">
      <c r="A965" s="83"/>
      <c r="B965" s="1432"/>
      <c r="C965" s="15" t="s">
        <v>210</v>
      </c>
      <c r="D965" s="83"/>
      <c r="E965" s="83"/>
      <c r="F965" s="386"/>
      <c r="G965" s="386"/>
      <c r="H965" s="386"/>
      <c r="I965" s="386"/>
      <c r="J965" s="386"/>
      <c r="K965" s="386"/>
      <c r="L965" s="386"/>
      <c r="M965" s="386"/>
    </row>
    <row r="966" spans="1:13" s="92" customFormat="1" hidden="1">
      <c r="A966" s="91"/>
      <c r="B966" s="1432"/>
      <c r="C966" s="90" t="s">
        <v>915</v>
      </c>
      <c r="D966" s="83" t="s">
        <v>78</v>
      </c>
      <c r="E966" s="83">
        <v>1.1499999999999999</v>
      </c>
      <c r="F966" s="386">
        <f>F962*E966</f>
        <v>0</v>
      </c>
      <c r="G966" s="386">
        <v>3.7</v>
      </c>
      <c r="H966" s="386">
        <f>F966*G966</f>
        <v>0</v>
      </c>
      <c r="I966" s="386"/>
      <c r="J966" s="386"/>
      <c r="K966" s="386"/>
      <c r="L966" s="386"/>
      <c r="M966" s="386">
        <f>H966+J966+L966</f>
        <v>0</v>
      </c>
    </row>
    <row r="967" spans="1:13" s="89" customFormat="1" hidden="1">
      <c r="A967" s="91"/>
      <c r="B967" s="1432"/>
      <c r="C967" s="90" t="s">
        <v>1556</v>
      </c>
      <c r="D967" s="83" t="s">
        <v>97</v>
      </c>
      <c r="E967" s="83">
        <v>0.5</v>
      </c>
      <c r="F967" s="386">
        <f>F962*E967</f>
        <v>0</v>
      </c>
      <c r="G967" s="386">
        <v>1.25</v>
      </c>
      <c r="H967" s="386">
        <f>F967*G967</f>
        <v>0</v>
      </c>
      <c r="I967" s="386"/>
      <c r="J967" s="386"/>
      <c r="K967" s="386"/>
      <c r="L967" s="386"/>
      <c r="M967" s="386">
        <f>H967+J967+L967</f>
        <v>0</v>
      </c>
    </row>
    <row r="968" spans="1:13" s="89" customFormat="1" hidden="1">
      <c r="A968" s="91"/>
      <c r="B968" s="1432"/>
      <c r="C968" s="90" t="s">
        <v>283</v>
      </c>
      <c r="D968" s="86" t="s">
        <v>97</v>
      </c>
      <c r="E968" s="83">
        <v>3.5000000000000003E-2</v>
      </c>
      <c r="F968" s="386">
        <f>F962*E968</f>
        <v>0</v>
      </c>
      <c r="G968" s="386">
        <v>3.1</v>
      </c>
      <c r="H968" s="386">
        <f>F968*G968</f>
        <v>0</v>
      </c>
      <c r="I968" s="386"/>
      <c r="J968" s="386"/>
      <c r="K968" s="386"/>
      <c r="L968" s="386"/>
      <c r="M968" s="386">
        <f>H968+J968+L968</f>
        <v>0</v>
      </c>
    </row>
    <row r="969" spans="1:13" s="89" customFormat="1" hidden="1">
      <c r="A969" s="140">
        <v>26</v>
      </c>
      <c r="B969" s="1431" t="s">
        <v>720</v>
      </c>
      <c r="C969" s="152" t="s">
        <v>914</v>
      </c>
      <c r="D969" s="140" t="s">
        <v>78</v>
      </c>
      <c r="E969" s="140"/>
      <c r="F969" s="384">
        <f>'დეფექტური აქტი'!E200</f>
        <v>0</v>
      </c>
      <c r="G969" s="385"/>
      <c r="H969" s="385"/>
      <c r="I969" s="385"/>
      <c r="J969" s="385"/>
      <c r="K969" s="385"/>
      <c r="L969" s="385"/>
      <c r="M969" s="385"/>
    </row>
    <row r="970" spans="1:13" s="89" customFormat="1" hidden="1">
      <c r="A970" s="83"/>
      <c r="B970" s="1432"/>
      <c r="C970" s="84" t="s">
        <v>79</v>
      </c>
      <c r="D970" s="83" t="s">
        <v>78</v>
      </c>
      <c r="E970" s="83">
        <v>1</v>
      </c>
      <c r="F970" s="386">
        <f>F969*E970</f>
        <v>0</v>
      </c>
      <c r="G970" s="386"/>
      <c r="H970" s="386"/>
      <c r="I970" s="386">
        <v>5</v>
      </c>
      <c r="J970" s="386">
        <f>F970*I970</f>
        <v>0</v>
      </c>
      <c r="K970" s="386"/>
      <c r="L970" s="386"/>
      <c r="M970" s="386">
        <f>H970+J970+L970</f>
        <v>0</v>
      </c>
    </row>
    <row r="971" spans="1:13" s="89" customFormat="1" hidden="1">
      <c r="A971" s="83"/>
      <c r="B971" s="1432"/>
      <c r="C971" s="84" t="s">
        <v>142</v>
      </c>
      <c r="D971" s="83" t="s">
        <v>57</v>
      </c>
      <c r="E971" s="83">
        <v>0.22</v>
      </c>
      <c r="F971" s="386">
        <f>F969*E971</f>
        <v>0</v>
      </c>
      <c r="G971" s="386"/>
      <c r="H971" s="386"/>
      <c r="I971" s="386"/>
      <c r="J971" s="386"/>
      <c r="K971" s="386">
        <v>3.2</v>
      </c>
      <c r="L971" s="386">
        <f>F971*K971</f>
        <v>0</v>
      </c>
      <c r="M971" s="386">
        <f>H971+J971+L971</f>
        <v>0</v>
      </c>
    </row>
    <row r="972" spans="1:13" s="89" customFormat="1" hidden="1">
      <c r="A972" s="83"/>
      <c r="B972" s="1432"/>
      <c r="C972" s="15" t="s">
        <v>210</v>
      </c>
      <c r="D972" s="83"/>
      <c r="E972" s="83"/>
      <c r="F972" s="386"/>
      <c r="G972" s="386"/>
      <c r="H972" s="386"/>
      <c r="I972" s="386"/>
      <c r="J972" s="386"/>
      <c r="K972" s="386"/>
      <c r="L972" s="386"/>
      <c r="M972" s="386"/>
    </row>
    <row r="973" spans="1:13" s="92" customFormat="1" hidden="1">
      <c r="A973" s="91"/>
      <c r="B973" s="1432"/>
      <c r="C973" s="90" t="s">
        <v>986</v>
      </c>
      <c r="D973" s="83" t="s">
        <v>78</v>
      </c>
      <c r="E973" s="83">
        <v>1.1499999999999999</v>
      </c>
      <c r="F973" s="386">
        <f>F969*E973</f>
        <v>0</v>
      </c>
      <c r="G973" s="386">
        <v>2.8</v>
      </c>
      <c r="H973" s="386">
        <f>F973*G973</f>
        <v>0</v>
      </c>
      <c r="I973" s="386"/>
      <c r="J973" s="386"/>
      <c r="K973" s="386"/>
      <c r="L973" s="386"/>
      <c r="M973" s="386">
        <f>H973+J973+L973</f>
        <v>0</v>
      </c>
    </row>
    <row r="974" spans="1:13" s="92" customFormat="1" hidden="1">
      <c r="A974" s="91"/>
      <c r="B974" s="1432"/>
      <c r="C974" s="90" t="s">
        <v>987</v>
      </c>
      <c r="D974" s="83" t="s">
        <v>78</v>
      </c>
      <c r="E974" s="83">
        <v>1.1499999999999999</v>
      </c>
      <c r="F974" s="386">
        <f>F969*E974</f>
        <v>0</v>
      </c>
      <c r="G974" s="386">
        <v>3.7</v>
      </c>
      <c r="H974" s="386">
        <f>F974*G974</f>
        <v>0</v>
      </c>
      <c r="I974" s="386"/>
      <c r="J974" s="386"/>
      <c r="K974" s="386"/>
      <c r="L974" s="386"/>
      <c r="M974" s="386">
        <f>H974+J974+L974</f>
        <v>0</v>
      </c>
    </row>
    <row r="975" spans="1:13" s="89" customFormat="1" hidden="1">
      <c r="A975" s="91"/>
      <c r="B975" s="1432"/>
      <c r="C975" s="90" t="s">
        <v>1556</v>
      </c>
      <c r="D975" s="83" t="s">
        <v>97</v>
      </c>
      <c r="E975" s="83">
        <v>0.5</v>
      </c>
      <c r="F975" s="386">
        <f>F969*E975</f>
        <v>0</v>
      </c>
      <c r="G975" s="795">
        <v>1.25</v>
      </c>
      <c r="H975" s="386">
        <f>F975*G975</f>
        <v>0</v>
      </c>
      <c r="I975" s="386"/>
      <c r="J975" s="386"/>
      <c r="K975" s="386"/>
      <c r="L975" s="386"/>
      <c r="M975" s="386">
        <f>H975+J975+L975</f>
        <v>0</v>
      </c>
    </row>
    <row r="976" spans="1:13" s="89" customFormat="1" hidden="1">
      <c r="A976" s="91"/>
      <c r="B976" s="1432"/>
      <c r="C976" s="90" t="s">
        <v>283</v>
      </c>
      <c r="D976" s="86" t="s">
        <v>97</v>
      </c>
      <c r="E976" s="83">
        <v>7.0000000000000007E-2</v>
      </c>
      <c r="F976" s="386">
        <f>F969*E976</f>
        <v>0</v>
      </c>
      <c r="G976" s="386">
        <v>3.1</v>
      </c>
      <c r="H976" s="386">
        <f>F976*G976</f>
        <v>0</v>
      </c>
      <c r="I976" s="386"/>
      <c r="J976" s="386"/>
      <c r="K976" s="386"/>
      <c r="L976" s="386"/>
      <c r="M976" s="386">
        <f>H976+J976+L976</f>
        <v>0</v>
      </c>
    </row>
    <row r="977" spans="1:13" s="89" customFormat="1" hidden="1">
      <c r="A977" s="140">
        <v>27</v>
      </c>
      <c r="B977" s="1431" t="s">
        <v>321</v>
      </c>
      <c r="C977" s="152" t="s">
        <v>319</v>
      </c>
      <c r="D977" s="140" t="s">
        <v>78</v>
      </c>
      <c r="E977" s="140"/>
      <c r="F977" s="384">
        <f>'დეფექტური აქტი'!E201</f>
        <v>0</v>
      </c>
      <c r="G977" s="385"/>
      <c r="H977" s="385"/>
      <c r="I977" s="385"/>
      <c r="J977" s="385"/>
      <c r="K977" s="385"/>
      <c r="L977" s="385"/>
      <c r="M977" s="385"/>
    </row>
    <row r="978" spans="1:13" s="89" customFormat="1" hidden="1">
      <c r="A978" s="83"/>
      <c r="B978" s="1432"/>
      <c r="C978" s="84" t="s">
        <v>79</v>
      </c>
      <c r="D978" s="83" t="s">
        <v>78</v>
      </c>
      <c r="E978" s="83">
        <v>1</v>
      </c>
      <c r="F978" s="386">
        <f>F977*E978</f>
        <v>0</v>
      </c>
      <c r="G978" s="386"/>
      <c r="H978" s="386"/>
      <c r="I978" s="386">
        <v>3</v>
      </c>
      <c r="J978" s="386">
        <f>F978*I978</f>
        <v>0</v>
      </c>
      <c r="K978" s="386"/>
      <c r="L978" s="386"/>
      <c r="M978" s="386">
        <f>H978+J978+L978</f>
        <v>0</v>
      </c>
    </row>
    <row r="979" spans="1:13" s="89" customFormat="1" hidden="1">
      <c r="A979" s="83"/>
      <c r="B979" s="1432"/>
      <c r="C979" s="84" t="s">
        <v>142</v>
      </c>
      <c r="D979" s="83" t="s">
        <v>57</v>
      </c>
      <c r="E979" s="83">
        <v>0.22</v>
      </c>
      <c r="F979" s="386">
        <f>F977*E979</f>
        <v>0</v>
      </c>
      <c r="G979" s="386"/>
      <c r="H979" s="386"/>
      <c r="I979" s="386"/>
      <c r="J979" s="386"/>
      <c r="K979" s="386">
        <v>3.2</v>
      </c>
      <c r="L979" s="386">
        <f>F979*K979</f>
        <v>0</v>
      </c>
      <c r="M979" s="386">
        <f>H979+J979+L979</f>
        <v>0</v>
      </c>
    </row>
    <row r="980" spans="1:13" s="89" customFormat="1" hidden="1">
      <c r="A980" s="83"/>
      <c r="B980" s="1432"/>
      <c r="C980" s="15" t="s">
        <v>210</v>
      </c>
      <c r="D980" s="83"/>
      <c r="E980" s="83"/>
      <c r="F980" s="386"/>
      <c r="G980" s="386"/>
      <c r="H980" s="386"/>
      <c r="I980" s="386"/>
      <c r="J980" s="386"/>
      <c r="K980" s="386"/>
      <c r="L980" s="386"/>
      <c r="M980" s="386"/>
    </row>
    <row r="981" spans="1:13" s="92" customFormat="1" hidden="1">
      <c r="A981" s="91"/>
      <c r="B981" s="1432"/>
      <c r="C981" s="90" t="s">
        <v>1454</v>
      </c>
      <c r="D981" s="83" t="s">
        <v>78</v>
      </c>
      <c r="E981" s="83">
        <v>1.1499999999999999</v>
      </c>
      <c r="F981" s="386">
        <f>F977*E981</f>
        <v>0</v>
      </c>
      <c r="G981" s="386">
        <v>3.9</v>
      </c>
      <c r="H981" s="386">
        <f>F981*G981</f>
        <v>0</v>
      </c>
      <c r="I981" s="386"/>
      <c r="J981" s="386"/>
      <c r="K981" s="386"/>
      <c r="L981" s="386"/>
      <c r="M981" s="386">
        <f>H981+J981+L981</f>
        <v>0</v>
      </c>
    </row>
    <row r="982" spans="1:13" s="89" customFormat="1" hidden="1">
      <c r="A982" s="91"/>
      <c r="B982" s="1432"/>
      <c r="C982" s="90" t="s">
        <v>1556</v>
      </c>
      <c r="D982" s="83" t="s">
        <v>97</v>
      </c>
      <c r="E982" s="83">
        <v>0.5</v>
      </c>
      <c r="F982" s="386">
        <f>F977*E982</f>
        <v>0</v>
      </c>
      <c r="G982" s="795">
        <v>1.25</v>
      </c>
      <c r="H982" s="386">
        <f>F982*G982</f>
        <v>0</v>
      </c>
      <c r="I982" s="386"/>
      <c r="J982" s="386"/>
      <c r="K982" s="386"/>
      <c r="L982" s="386"/>
      <c r="M982" s="386">
        <f>H982+J982+L982</f>
        <v>0</v>
      </c>
    </row>
    <row r="983" spans="1:13" s="89" customFormat="1" hidden="1">
      <c r="A983" s="91"/>
      <c r="B983" s="1432"/>
      <c r="C983" s="90" t="s">
        <v>283</v>
      </c>
      <c r="D983" s="86" t="s">
        <v>97</v>
      </c>
      <c r="E983" s="83">
        <v>3.5000000000000003E-2</v>
      </c>
      <c r="F983" s="386">
        <f>F977*E983</f>
        <v>0</v>
      </c>
      <c r="G983" s="386">
        <v>3.1</v>
      </c>
      <c r="H983" s="386">
        <f>F983*G983</f>
        <v>0</v>
      </c>
      <c r="I983" s="386"/>
      <c r="J983" s="386"/>
      <c r="K983" s="386"/>
      <c r="L983" s="386"/>
      <c r="M983" s="386">
        <f>H983+J983+L983</f>
        <v>0</v>
      </c>
    </row>
    <row r="984" spans="1:13" s="89" customFormat="1" hidden="1">
      <c r="A984" s="140">
        <v>28</v>
      </c>
      <c r="B984" s="1431" t="s">
        <v>720</v>
      </c>
      <c r="C984" s="152" t="s">
        <v>320</v>
      </c>
      <c r="D984" s="140" t="s">
        <v>78</v>
      </c>
      <c r="E984" s="140"/>
      <c r="F984" s="384">
        <f>'დეფექტური აქტი'!E202</f>
        <v>0</v>
      </c>
      <c r="G984" s="385"/>
      <c r="H984" s="385"/>
      <c r="I984" s="385"/>
      <c r="J984" s="385"/>
      <c r="K984" s="385"/>
      <c r="L984" s="385"/>
      <c r="M984" s="385"/>
    </row>
    <row r="985" spans="1:13" s="89" customFormat="1" hidden="1">
      <c r="A985" s="83"/>
      <c r="B985" s="1432"/>
      <c r="C985" s="84" t="s">
        <v>79</v>
      </c>
      <c r="D985" s="83" t="s">
        <v>78</v>
      </c>
      <c r="E985" s="83">
        <v>1</v>
      </c>
      <c r="F985" s="386">
        <f>F984*E985</f>
        <v>0</v>
      </c>
      <c r="G985" s="386"/>
      <c r="H985" s="386"/>
      <c r="I985" s="386">
        <v>5</v>
      </c>
      <c r="J985" s="386">
        <f>F985*I985</f>
        <v>0</v>
      </c>
      <c r="K985" s="386"/>
      <c r="L985" s="386"/>
      <c r="M985" s="386">
        <f>H985+J985+L985</f>
        <v>0</v>
      </c>
    </row>
    <row r="986" spans="1:13" s="89" customFormat="1" hidden="1">
      <c r="A986" s="83"/>
      <c r="B986" s="1432"/>
      <c r="C986" s="84" t="s">
        <v>142</v>
      </c>
      <c r="D986" s="83" t="s">
        <v>57</v>
      </c>
      <c r="E986" s="83">
        <v>0.22</v>
      </c>
      <c r="F986" s="386">
        <f>F984*E986</f>
        <v>0</v>
      </c>
      <c r="G986" s="386"/>
      <c r="H986" s="386"/>
      <c r="I986" s="386"/>
      <c r="J986" s="386"/>
      <c r="K986" s="386">
        <v>3.2</v>
      </c>
      <c r="L986" s="386">
        <f>F986*K986</f>
        <v>0</v>
      </c>
      <c r="M986" s="386">
        <f>H986+J986+L986</f>
        <v>0</v>
      </c>
    </row>
    <row r="987" spans="1:13" s="89" customFormat="1" hidden="1">
      <c r="A987" s="83"/>
      <c r="B987" s="1432"/>
      <c r="C987" s="15" t="s">
        <v>210</v>
      </c>
      <c r="D987" s="83"/>
      <c r="E987" s="83"/>
      <c r="F987" s="386"/>
      <c r="G987" s="386"/>
      <c r="H987" s="386"/>
      <c r="I987" s="386"/>
      <c r="J987" s="386"/>
      <c r="K987" s="386"/>
      <c r="L987" s="386"/>
      <c r="M987" s="386"/>
    </row>
    <row r="988" spans="1:13" s="92" customFormat="1" hidden="1">
      <c r="A988" s="91"/>
      <c r="B988" s="1432"/>
      <c r="C988" s="90" t="s">
        <v>1334</v>
      </c>
      <c r="D988" s="83" t="s">
        <v>78</v>
      </c>
      <c r="E988" s="83">
        <v>1.1499999999999999</v>
      </c>
      <c r="F988" s="386">
        <f>F984*E988</f>
        <v>0</v>
      </c>
      <c r="G988" s="386">
        <v>2.8</v>
      </c>
      <c r="H988" s="386">
        <f>F988*G988</f>
        <v>0</v>
      </c>
      <c r="I988" s="386"/>
      <c r="J988" s="386"/>
      <c r="K988" s="386"/>
      <c r="L988" s="386"/>
      <c r="M988" s="386">
        <f>H988+J988+L988</f>
        <v>0</v>
      </c>
    </row>
    <row r="989" spans="1:13" s="92" customFormat="1" hidden="1">
      <c r="A989" s="91"/>
      <c r="B989" s="1432"/>
      <c r="C989" s="90" t="s">
        <v>807</v>
      </c>
      <c r="D989" s="83" t="s">
        <v>78</v>
      </c>
      <c r="E989" s="83">
        <v>1.1499999999999999</v>
      </c>
      <c r="F989" s="386">
        <f>F984*E989</f>
        <v>0</v>
      </c>
      <c r="G989" s="598">
        <v>3.9</v>
      </c>
      <c r="H989" s="386">
        <f>F989*G989</f>
        <v>0</v>
      </c>
      <c r="I989" s="386"/>
      <c r="J989" s="386"/>
      <c r="K989" s="386"/>
      <c r="L989" s="386"/>
      <c r="M989" s="386">
        <f>H989+J989+L989</f>
        <v>0</v>
      </c>
    </row>
    <row r="990" spans="1:13" s="89" customFormat="1" hidden="1">
      <c r="A990" s="91"/>
      <c r="B990" s="1432"/>
      <c r="C990" s="90" t="s">
        <v>1556</v>
      </c>
      <c r="D990" s="83" t="s">
        <v>97</v>
      </c>
      <c r="E990" s="83">
        <v>0.5</v>
      </c>
      <c r="F990" s="386">
        <f>F984*E990</f>
        <v>0</v>
      </c>
      <c r="G990" s="795">
        <v>1.25</v>
      </c>
      <c r="H990" s="386">
        <f>F990*G990</f>
        <v>0</v>
      </c>
      <c r="I990" s="386"/>
      <c r="J990" s="386"/>
      <c r="K990" s="386"/>
      <c r="L990" s="386"/>
      <c r="M990" s="386">
        <f>H990+J990+L990</f>
        <v>0</v>
      </c>
    </row>
    <row r="991" spans="1:13" s="89" customFormat="1" hidden="1">
      <c r="A991" s="91"/>
      <c r="B991" s="1437"/>
      <c r="C991" s="90" t="s">
        <v>283</v>
      </c>
      <c r="D991" s="86" t="s">
        <v>97</v>
      </c>
      <c r="E991" s="83">
        <v>7.0000000000000007E-2</v>
      </c>
      <c r="F991" s="386">
        <f>F984*E991</f>
        <v>0</v>
      </c>
      <c r="G991" s="386">
        <v>3.1</v>
      </c>
      <c r="H991" s="386">
        <f>F991*G991</f>
        <v>0</v>
      </c>
      <c r="I991" s="386"/>
      <c r="J991" s="386"/>
      <c r="K991" s="386"/>
      <c r="L991" s="386"/>
      <c r="M991" s="386">
        <f>H991+J991+L991</f>
        <v>0</v>
      </c>
    </row>
    <row r="992" spans="1:13" s="88" customFormat="1" ht="19.5" hidden="1" customHeight="1">
      <c r="A992" s="140">
        <v>29</v>
      </c>
      <c r="B992" s="1431" t="s">
        <v>734</v>
      </c>
      <c r="C992" s="151" t="s">
        <v>1076</v>
      </c>
      <c r="D992" s="47" t="s">
        <v>122</v>
      </c>
      <c r="E992" s="140"/>
      <c r="F992" s="384">
        <f>'დეფექტური აქტი'!E203</f>
        <v>0</v>
      </c>
      <c r="G992" s="385"/>
      <c r="H992" s="385"/>
      <c r="I992" s="385"/>
      <c r="J992" s="385"/>
      <c r="K992" s="385"/>
      <c r="L992" s="385"/>
      <c r="M992" s="385"/>
    </row>
    <row r="993" spans="1:14" s="88" customFormat="1" hidden="1">
      <c r="A993" s="83"/>
      <c r="B993" s="1432"/>
      <c r="C993" s="84" t="s">
        <v>209</v>
      </c>
      <c r="D993" s="83" t="s">
        <v>80</v>
      </c>
      <c r="E993" s="83">
        <v>0.28599999999999998</v>
      </c>
      <c r="F993" s="386">
        <f>F992*E993</f>
        <v>0</v>
      </c>
      <c r="G993" s="386"/>
      <c r="H993" s="386"/>
      <c r="I993" s="386">
        <v>6</v>
      </c>
      <c r="J993" s="386">
        <f>F993*I993</f>
        <v>0</v>
      </c>
      <c r="K993" s="386"/>
      <c r="L993" s="386"/>
      <c r="M993" s="386">
        <f>H993+J993+L993</f>
        <v>0</v>
      </c>
    </row>
    <row r="994" spans="1:14" s="88" customFormat="1" hidden="1">
      <c r="A994" s="83"/>
      <c r="B994" s="1432"/>
      <c r="C994" s="84" t="s">
        <v>81</v>
      </c>
      <c r="D994" s="83" t="s">
        <v>57</v>
      </c>
      <c r="E994" s="83">
        <v>4.1000000000000003E-3</v>
      </c>
      <c r="F994" s="386">
        <f>F992*E994</f>
        <v>0</v>
      </c>
      <c r="G994" s="386"/>
      <c r="H994" s="386"/>
      <c r="I994" s="386"/>
      <c r="J994" s="386"/>
      <c r="K994" s="386">
        <v>3.2</v>
      </c>
      <c r="L994" s="386">
        <f>F994*K994</f>
        <v>0</v>
      </c>
      <c r="M994" s="386">
        <f>H994+J994+L994</f>
        <v>0</v>
      </c>
    </row>
    <row r="995" spans="1:14" s="88" customFormat="1" hidden="1">
      <c r="A995" s="83"/>
      <c r="B995" s="1432"/>
      <c r="C995" s="15" t="s">
        <v>210</v>
      </c>
      <c r="D995" s="83"/>
      <c r="E995" s="83"/>
      <c r="F995" s="386"/>
      <c r="G995" s="386"/>
      <c r="H995" s="386"/>
      <c r="I995" s="386"/>
      <c r="J995" s="386"/>
      <c r="K995" s="386"/>
      <c r="L995" s="386"/>
      <c r="M995" s="386"/>
    </row>
    <row r="996" spans="1:14" s="88" customFormat="1" hidden="1">
      <c r="A996" s="83"/>
      <c r="B996" s="1432"/>
      <c r="C996" s="84" t="s">
        <v>1300</v>
      </c>
      <c r="D996" s="83" t="s">
        <v>206</v>
      </c>
      <c r="E996" s="83">
        <v>2.3E-3</v>
      </c>
      <c r="F996" s="386">
        <f>F992*E996</f>
        <v>0</v>
      </c>
      <c r="G996" s="386">
        <f>9.1/0.0043</f>
        <v>2116.2790697674418</v>
      </c>
      <c r="H996" s="386">
        <f>F996*G996</f>
        <v>0</v>
      </c>
      <c r="I996" s="386"/>
      <c r="J996" s="386"/>
      <c r="K996" s="386"/>
      <c r="L996" s="386"/>
      <c r="M996" s="386">
        <f>H996+J996+L996</f>
        <v>0</v>
      </c>
    </row>
    <row r="997" spans="1:14" s="88" customFormat="1" hidden="1">
      <c r="A997" s="83"/>
      <c r="B997" s="1432"/>
      <c r="C997" s="84" t="s">
        <v>270</v>
      </c>
      <c r="D997" s="83" t="s">
        <v>97</v>
      </c>
      <c r="E997" s="83">
        <v>3.7999999999999999E-2</v>
      </c>
      <c r="F997" s="386">
        <f>F992*E997</f>
        <v>0</v>
      </c>
      <c r="G997" s="386">
        <v>4.3</v>
      </c>
      <c r="H997" s="386">
        <f>F997*G997</f>
        <v>0</v>
      </c>
      <c r="I997" s="386"/>
      <c r="J997" s="386"/>
      <c r="K997" s="386"/>
      <c r="L997" s="386"/>
      <c r="M997" s="386">
        <f>H997+J997+L997</f>
        <v>0</v>
      </c>
    </row>
    <row r="998" spans="1:14" s="88" customFormat="1" hidden="1">
      <c r="A998" s="83"/>
      <c r="B998" s="1432"/>
      <c r="C998" s="84" t="s">
        <v>390</v>
      </c>
      <c r="D998" s="83" t="s">
        <v>97</v>
      </c>
      <c r="E998" s="83">
        <v>3.7999999999999999E-2</v>
      </c>
      <c r="F998" s="386">
        <f>F992*E998</f>
        <v>0</v>
      </c>
      <c r="G998" s="386">
        <v>2.5</v>
      </c>
      <c r="H998" s="386">
        <f>F998*G998</f>
        <v>0</v>
      </c>
      <c r="I998" s="386"/>
      <c r="J998" s="386"/>
      <c r="K998" s="386"/>
      <c r="L998" s="386"/>
      <c r="M998" s="386">
        <f>H998+J998+L998</f>
        <v>0</v>
      </c>
    </row>
    <row r="999" spans="1:14" s="88" customFormat="1" hidden="1">
      <c r="A999" s="86"/>
      <c r="B999" s="1437"/>
      <c r="C999" s="87" t="s">
        <v>391</v>
      </c>
      <c r="D999" s="86" t="s">
        <v>97</v>
      </c>
      <c r="E999" s="86">
        <v>1.69</v>
      </c>
      <c r="F999" s="387">
        <f>F992*E999</f>
        <v>0</v>
      </c>
      <c r="G999" s="387">
        <v>2.5</v>
      </c>
      <c r="H999" s="387">
        <f>F999*G999</f>
        <v>0</v>
      </c>
      <c r="I999" s="387"/>
      <c r="J999" s="387"/>
      <c r="K999" s="387"/>
      <c r="L999" s="387"/>
      <c r="M999" s="387">
        <f>H999+J999+L999</f>
        <v>0</v>
      </c>
    </row>
    <row r="1000" spans="1:14" s="88" customFormat="1" hidden="1">
      <c r="A1000" s="83">
        <v>30</v>
      </c>
      <c r="B1000" s="221"/>
      <c r="C1000" s="87" t="s">
        <v>892</v>
      </c>
      <c r="D1000" s="338" t="s">
        <v>113</v>
      </c>
      <c r="E1000" s="83"/>
      <c r="F1000" s="384">
        <f>'დეფექტური აქტი'!E204</f>
        <v>0</v>
      </c>
      <c r="G1000" s="386">
        <v>0.5</v>
      </c>
      <c r="H1000" s="386">
        <f>F1000*G1000</f>
        <v>0</v>
      </c>
      <c r="I1000" s="386"/>
      <c r="J1000" s="386"/>
      <c r="K1000" s="386"/>
      <c r="L1000" s="386"/>
      <c r="M1000" s="386">
        <f>H1000+J1000+L1000</f>
        <v>0</v>
      </c>
    </row>
    <row r="1001" spans="1:14" s="45" customFormat="1" hidden="1">
      <c r="A1001" s="47"/>
      <c r="B1001" s="138"/>
      <c r="C1001" s="204" t="s">
        <v>45</v>
      </c>
      <c r="D1001" s="47"/>
      <c r="E1001" s="47"/>
      <c r="F1001" s="385"/>
      <c r="G1001" s="385"/>
      <c r="H1001" s="385"/>
      <c r="I1001" s="385"/>
      <c r="J1001" s="385"/>
      <c r="K1001" s="385"/>
      <c r="L1001" s="385"/>
      <c r="M1001" s="385"/>
      <c r="N1001" s="212"/>
    </row>
    <row r="1002" spans="1:14" s="89" customFormat="1" ht="27" hidden="1">
      <c r="A1002" s="140">
        <v>1</v>
      </c>
      <c r="B1002" s="914" t="s">
        <v>700</v>
      </c>
      <c r="C1002" s="151" t="s">
        <v>1121</v>
      </c>
      <c r="D1002" s="140" t="s">
        <v>88</v>
      </c>
      <c r="E1002" s="140"/>
      <c r="F1002" s="384">
        <f>'დეფექტური აქტი'!E206*0.06</f>
        <v>0</v>
      </c>
      <c r="G1002" s="422"/>
      <c r="H1002" s="422"/>
      <c r="I1002" s="422"/>
      <c r="J1002" s="422"/>
      <c r="K1002" s="422"/>
      <c r="L1002" s="422"/>
      <c r="M1002" s="422"/>
    </row>
    <row r="1003" spans="1:14" s="89" customFormat="1" hidden="1">
      <c r="A1003" s="83"/>
      <c r="B1003" s="915"/>
      <c r="C1003" s="223" t="s">
        <v>209</v>
      </c>
      <c r="D1003" s="211" t="s">
        <v>80</v>
      </c>
      <c r="E1003" s="211">
        <v>8.44</v>
      </c>
      <c r="F1003" s="386">
        <f>F1002*E1003</f>
        <v>0</v>
      </c>
      <c r="G1003" s="225"/>
      <c r="H1003" s="225"/>
      <c r="I1003" s="386">
        <v>4.5999999999999996</v>
      </c>
      <c r="J1003" s="225">
        <f>F1003*I1003</f>
        <v>0</v>
      </c>
      <c r="K1003" s="225"/>
      <c r="L1003" s="225"/>
      <c r="M1003" s="225">
        <f>H1003+J1003+L1003</f>
        <v>0</v>
      </c>
    </row>
    <row r="1004" spans="1:14" s="89" customFormat="1" hidden="1">
      <c r="A1004" s="83"/>
      <c r="B1004" s="915"/>
      <c r="C1004" s="223" t="s">
        <v>81</v>
      </c>
      <c r="D1004" s="83" t="s">
        <v>57</v>
      </c>
      <c r="E1004" s="211">
        <v>1.1000000000000001</v>
      </c>
      <c r="F1004" s="386">
        <f>F1002*E1004</f>
        <v>0</v>
      </c>
      <c r="G1004" s="225"/>
      <c r="H1004" s="225"/>
      <c r="I1004" s="225"/>
      <c r="J1004" s="225"/>
      <c r="K1004" s="225">
        <v>3.2</v>
      </c>
      <c r="L1004" s="225">
        <f>F1004*K1004</f>
        <v>0</v>
      </c>
      <c r="M1004" s="225">
        <f>H1004+J1004+L1004</f>
        <v>0</v>
      </c>
    </row>
    <row r="1005" spans="1:14" s="89" customFormat="1" hidden="1">
      <c r="A1005" s="83"/>
      <c r="B1005" s="915"/>
      <c r="C1005" s="15" t="s">
        <v>210</v>
      </c>
      <c r="D1005" s="211"/>
      <c r="E1005" s="211"/>
      <c r="F1005" s="386"/>
      <c r="G1005" s="225"/>
      <c r="H1005" s="225"/>
      <c r="I1005" s="225"/>
      <c r="J1005" s="225"/>
      <c r="K1005" s="225"/>
      <c r="L1005" s="225"/>
      <c r="M1005" s="225"/>
    </row>
    <row r="1006" spans="1:14" s="89" customFormat="1" hidden="1">
      <c r="A1006" s="83"/>
      <c r="B1006" s="915"/>
      <c r="C1006" s="223" t="s">
        <v>1122</v>
      </c>
      <c r="D1006" s="211" t="s">
        <v>88</v>
      </c>
      <c r="E1006" s="211">
        <v>1.0149999999999999</v>
      </c>
      <c r="F1006" s="386">
        <f>F1002*E1006</f>
        <v>0</v>
      </c>
      <c r="G1006" s="225">
        <v>110</v>
      </c>
      <c r="H1006" s="225">
        <f t="shared" ref="H1006:H1014" si="8">F1006*G1006</f>
        <v>0</v>
      </c>
      <c r="I1006" s="225"/>
      <c r="J1006" s="225"/>
      <c r="K1006" s="225"/>
      <c r="L1006" s="225"/>
      <c r="M1006" s="225">
        <f t="shared" ref="M1006:M1014" si="9">H1006+J1006+L1006</f>
        <v>0</v>
      </c>
    </row>
    <row r="1007" spans="1:14" s="89" customFormat="1" hidden="1">
      <c r="A1007" s="83"/>
      <c r="B1007" s="915"/>
      <c r="C1007" s="223" t="s">
        <v>301</v>
      </c>
      <c r="D1007" s="211" t="s">
        <v>78</v>
      </c>
      <c r="E1007" s="211">
        <v>1.84</v>
      </c>
      <c r="F1007" s="386">
        <f>F1002*E1007</f>
        <v>0</v>
      </c>
      <c r="G1007" s="225">
        <v>10.5</v>
      </c>
      <c r="H1007" s="225">
        <f t="shared" si="8"/>
        <v>0</v>
      </c>
      <c r="I1007" s="225"/>
      <c r="J1007" s="225"/>
      <c r="K1007" s="225"/>
      <c r="L1007" s="225"/>
      <c r="M1007" s="225">
        <f t="shared" si="9"/>
        <v>0</v>
      </c>
    </row>
    <row r="1008" spans="1:14" s="89" customFormat="1" hidden="1">
      <c r="A1008" s="83"/>
      <c r="B1008" s="915"/>
      <c r="C1008" s="223" t="s">
        <v>264</v>
      </c>
      <c r="D1008" s="211" t="s">
        <v>88</v>
      </c>
      <c r="E1008" s="211">
        <v>3.3999999999999998E-3</v>
      </c>
      <c r="F1008" s="386">
        <f>F1002*E1008</f>
        <v>0</v>
      </c>
      <c r="G1008" s="225">
        <v>490</v>
      </c>
      <c r="H1008" s="225">
        <f t="shared" si="8"/>
        <v>0</v>
      </c>
      <c r="I1008" s="225"/>
      <c r="J1008" s="225"/>
      <c r="K1008" s="225"/>
      <c r="L1008" s="225"/>
      <c r="M1008" s="225">
        <f t="shared" si="9"/>
        <v>0</v>
      </c>
    </row>
    <row r="1009" spans="1:13" s="89" customFormat="1" hidden="1">
      <c r="A1009" s="83"/>
      <c r="B1009" s="915"/>
      <c r="C1009" s="223" t="s">
        <v>302</v>
      </c>
      <c r="D1009" s="211" t="s">
        <v>88</v>
      </c>
      <c r="E1009" s="211">
        <v>3.9100000000000003E-2</v>
      </c>
      <c r="F1009" s="386">
        <f>F1002*E1009</f>
        <v>0</v>
      </c>
      <c r="G1009" s="225">
        <v>403</v>
      </c>
      <c r="H1009" s="225">
        <f t="shared" si="8"/>
        <v>0</v>
      </c>
      <c r="I1009" s="225"/>
      <c r="J1009" s="225"/>
      <c r="K1009" s="225"/>
      <c r="L1009" s="225"/>
      <c r="M1009" s="225">
        <f t="shared" si="9"/>
        <v>0</v>
      </c>
    </row>
    <row r="1010" spans="1:13" s="89" customFormat="1" hidden="1">
      <c r="A1010" s="83"/>
      <c r="B1010" s="915"/>
      <c r="C1010" s="223" t="s">
        <v>303</v>
      </c>
      <c r="D1010" s="211" t="s">
        <v>97</v>
      </c>
      <c r="E1010" s="211">
        <v>2.2000000000000002</v>
      </c>
      <c r="F1010" s="386">
        <f>F1002*E1010</f>
        <v>0</v>
      </c>
      <c r="G1010" s="225">
        <v>2.5</v>
      </c>
      <c r="H1010" s="225">
        <f t="shared" si="8"/>
        <v>0</v>
      </c>
      <c r="I1010" s="225"/>
      <c r="J1010" s="225"/>
      <c r="K1010" s="225"/>
      <c r="L1010" s="225"/>
      <c r="M1010" s="225">
        <f t="shared" si="9"/>
        <v>0</v>
      </c>
    </row>
    <row r="1011" spans="1:13" s="89" customFormat="1" hidden="1">
      <c r="A1011" s="83"/>
      <c r="B1011" s="915"/>
      <c r="C1011" s="223" t="s">
        <v>307</v>
      </c>
      <c r="D1011" s="211" t="s">
        <v>97</v>
      </c>
      <c r="E1011" s="211">
        <v>1</v>
      </c>
      <c r="F1011" s="386">
        <f>F1002*E1011</f>
        <v>0</v>
      </c>
      <c r="G1011" s="610">
        <v>3.75</v>
      </c>
      <c r="H1011" s="225">
        <f t="shared" si="8"/>
        <v>0</v>
      </c>
      <c r="I1011" s="225"/>
      <c r="J1011" s="225"/>
      <c r="K1011" s="225"/>
      <c r="L1011" s="225"/>
      <c r="M1011" s="225">
        <f t="shared" si="9"/>
        <v>0</v>
      </c>
    </row>
    <row r="1012" spans="1:13" s="89" customFormat="1" hidden="1">
      <c r="A1012" s="83"/>
      <c r="B1012" s="915"/>
      <c r="C1012" s="223" t="s">
        <v>854</v>
      </c>
      <c r="D1012" s="211" t="s">
        <v>97</v>
      </c>
      <c r="E1012" s="211"/>
      <c r="F1012" s="394">
        <f>'დეფექტური აქტი'!E206*0.63</f>
        <v>0</v>
      </c>
      <c r="G1012" s="886">
        <v>1.0189999999999999</v>
      </c>
      <c r="H1012" s="225">
        <f t="shared" si="8"/>
        <v>0</v>
      </c>
      <c r="I1012" s="225"/>
      <c r="J1012" s="225"/>
      <c r="K1012" s="225"/>
      <c r="L1012" s="225"/>
      <c r="M1012" s="225">
        <f t="shared" si="9"/>
        <v>0</v>
      </c>
    </row>
    <row r="1013" spans="1:13" s="89" customFormat="1" hidden="1">
      <c r="A1013" s="83"/>
      <c r="B1013" s="915"/>
      <c r="C1013" s="223" t="s">
        <v>501</v>
      </c>
      <c r="D1013" s="211" t="s">
        <v>97</v>
      </c>
      <c r="E1013" s="211"/>
      <c r="F1013" s="394">
        <f>'დეფექტური აქტი'!E206*1.38</f>
        <v>0</v>
      </c>
      <c r="G1013" s="886">
        <v>0.95299999999999996</v>
      </c>
      <c r="H1013" s="225">
        <f t="shared" si="8"/>
        <v>0</v>
      </c>
      <c r="I1013" s="225"/>
      <c r="J1013" s="225"/>
      <c r="K1013" s="225"/>
      <c r="L1013" s="225"/>
      <c r="M1013" s="225">
        <f t="shared" si="9"/>
        <v>0</v>
      </c>
    </row>
    <row r="1014" spans="1:13" s="89" customFormat="1" hidden="1">
      <c r="A1014" s="86"/>
      <c r="B1014" s="916"/>
      <c r="C1014" s="232" t="s">
        <v>214</v>
      </c>
      <c r="D1014" s="86" t="s">
        <v>57</v>
      </c>
      <c r="E1014" s="230">
        <v>0.46</v>
      </c>
      <c r="F1014" s="387">
        <f>F1002*E1014</f>
        <v>0</v>
      </c>
      <c r="G1014" s="393">
        <v>3.2</v>
      </c>
      <c r="H1014" s="393">
        <f t="shared" si="8"/>
        <v>0</v>
      </c>
      <c r="I1014" s="393"/>
      <c r="J1014" s="393"/>
      <c r="K1014" s="393"/>
      <c r="L1014" s="393"/>
      <c r="M1014" s="393">
        <f t="shared" si="9"/>
        <v>0</v>
      </c>
    </row>
    <row r="1015" spans="1:13" s="57" customFormat="1" hidden="1">
      <c r="A1015" s="47">
        <v>2</v>
      </c>
      <c r="B1015" s="1431" t="s">
        <v>515</v>
      </c>
      <c r="C1015" s="46" t="s">
        <v>197</v>
      </c>
      <c r="D1015" s="47" t="s">
        <v>122</v>
      </c>
      <c r="E1015" s="47"/>
      <c r="F1015" s="384">
        <f>'დეფექტური აქტი'!E207</f>
        <v>0</v>
      </c>
      <c r="G1015" s="385"/>
      <c r="H1015" s="385"/>
      <c r="I1015" s="385"/>
      <c r="J1015" s="385"/>
      <c r="K1015" s="385"/>
      <c r="L1015" s="385"/>
      <c r="M1015" s="385"/>
    </row>
    <row r="1016" spans="1:13" s="57" customFormat="1" hidden="1">
      <c r="A1016" s="80"/>
      <c r="B1016" s="1432"/>
      <c r="C1016" s="226" t="s">
        <v>209</v>
      </c>
      <c r="D1016" s="211" t="s">
        <v>80</v>
      </c>
      <c r="E1016" s="211">
        <v>1.38</v>
      </c>
      <c r="F1016" s="386">
        <f>F1015*E1016</f>
        <v>0</v>
      </c>
      <c r="G1016" s="386"/>
      <c r="H1016" s="386"/>
      <c r="I1016" s="386">
        <v>4.5999999999999996</v>
      </c>
      <c r="J1016" s="386">
        <f>F1016*I1016</f>
        <v>0</v>
      </c>
      <c r="K1016" s="386"/>
      <c r="L1016" s="386"/>
      <c r="M1016" s="386">
        <f>H1016+J1016+L1016</f>
        <v>0</v>
      </c>
    </row>
    <row r="1017" spans="1:13" s="57" customFormat="1" hidden="1">
      <c r="A1017" s="80"/>
      <c r="B1017" s="1432"/>
      <c r="C1017" s="226" t="s">
        <v>81</v>
      </c>
      <c r="D1017" s="83" t="s">
        <v>57</v>
      </c>
      <c r="E1017" s="211">
        <v>5.8999999999999997E-2</v>
      </c>
      <c r="F1017" s="386">
        <f>F1015*E1017</f>
        <v>0</v>
      </c>
      <c r="G1017" s="386"/>
      <c r="H1017" s="386"/>
      <c r="I1017" s="386"/>
      <c r="J1017" s="386"/>
      <c r="K1017" s="386">
        <v>3.2</v>
      </c>
      <c r="L1017" s="386">
        <f>F1017*K1017</f>
        <v>0</v>
      </c>
      <c r="M1017" s="386">
        <f>H1017+J1017+L1017</f>
        <v>0</v>
      </c>
    </row>
    <row r="1018" spans="1:13" s="57" customFormat="1" hidden="1">
      <c r="A1018" s="80"/>
      <c r="B1018" s="1432"/>
      <c r="C1018" s="15" t="s">
        <v>210</v>
      </c>
      <c r="D1018" s="211"/>
      <c r="E1018" s="211"/>
      <c r="F1018" s="386"/>
      <c r="G1018" s="386"/>
      <c r="H1018" s="386"/>
      <c r="I1018" s="386"/>
      <c r="J1018" s="386"/>
      <c r="K1018" s="386"/>
      <c r="L1018" s="386"/>
      <c r="M1018" s="386"/>
    </row>
    <row r="1019" spans="1:13" s="57" customFormat="1" hidden="1">
      <c r="A1019" s="80"/>
      <c r="B1019" s="1432"/>
      <c r="C1019" s="226" t="s">
        <v>513</v>
      </c>
      <c r="D1019" s="211" t="s">
        <v>88</v>
      </c>
      <c r="E1019" s="211">
        <v>2.5000000000000001E-3</v>
      </c>
      <c r="F1019" s="386">
        <f>F1015*E1019</f>
        <v>0</v>
      </c>
      <c r="G1019" s="386">
        <v>77</v>
      </c>
      <c r="H1019" s="386">
        <f>F1019*G1019</f>
        <v>0</v>
      </c>
      <c r="I1019" s="386"/>
      <c r="J1019" s="386"/>
      <c r="K1019" s="386"/>
      <c r="L1019" s="386"/>
      <c r="M1019" s="386">
        <f>H1019+J1019+L1019</f>
        <v>0</v>
      </c>
    </row>
    <row r="1020" spans="1:13" s="57" customFormat="1" hidden="1">
      <c r="A1020" s="80"/>
      <c r="B1020" s="1432"/>
      <c r="C1020" s="226" t="s">
        <v>514</v>
      </c>
      <c r="D1020" s="41" t="s">
        <v>122</v>
      </c>
      <c r="E1020" s="211">
        <v>1</v>
      </c>
      <c r="F1020" s="386">
        <f>F1015*E1020</f>
        <v>0</v>
      </c>
      <c r="G1020" s="386">
        <v>28</v>
      </c>
      <c r="H1020" s="386">
        <f>F1020*G1020</f>
        <v>0</v>
      </c>
      <c r="I1020" s="386"/>
      <c r="J1020" s="386"/>
      <c r="K1020" s="386"/>
      <c r="L1020" s="386"/>
      <c r="M1020" s="386">
        <f>H1020+J1020+L1020</f>
        <v>0</v>
      </c>
    </row>
    <row r="1021" spans="1:13" s="57" customFormat="1" hidden="1">
      <c r="A1021" s="80"/>
      <c r="B1021" s="1432"/>
      <c r="C1021" s="226" t="s">
        <v>214</v>
      </c>
      <c r="D1021" s="86" t="s">
        <v>57</v>
      </c>
      <c r="E1021" s="211">
        <v>3.0000000000000001E-3</v>
      </c>
      <c r="F1021" s="386">
        <f>F1015*E1021</f>
        <v>0</v>
      </c>
      <c r="G1021" s="386">
        <v>3.2</v>
      </c>
      <c r="H1021" s="386">
        <f>F1021*G1021</f>
        <v>0</v>
      </c>
      <c r="I1021" s="386"/>
      <c r="J1021" s="386"/>
      <c r="K1021" s="386"/>
      <c r="L1021" s="386"/>
      <c r="M1021" s="386">
        <f>H1021+J1021+L1021</f>
        <v>0</v>
      </c>
    </row>
    <row r="1022" spans="1:13" s="45" customFormat="1" ht="27" hidden="1">
      <c r="A1022" s="47">
        <v>3</v>
      </c>
      <c r="B1022" s="1433" t="s">
        <v>199</v>
      </c>
      <c r="C1022" s="46" t="s">
        <v>200</v>
      </c>
      <c r="D1022" s="47" t="s">
        <v>78</v>
      </c>
      <c r="E1022" s="47"/>
      <c r="F1022" s="384">
        <f>'დეფექტური აქტი'!E208</f>
        <v>0</v>
      </c>
      <c r="G1022" s="385"/>
      <c r="H1022" s="385"/>
      <c r="I1022" s="385"/>
      <c r="J1022" s="385"/>
      <c r="K1022" s="385"/>
      <c r="L1022" s="385"/>
      <c r="M1022" s="385"/>
    </row>
    <row r="1023" spans="1:13" s="45" customFormat="1" hidden="1">
      <c r="A1023" s="41"/>
      <c r="B1023" s="1434"/>
      <c r="C1023" s="15" t="s">
        <v>209</v>
      </c>
      <c r="D1023" s="41" t="s">
        <v>80</v>
      </c>
      <c r="E1023" s="41">
        <v>5.75</v>
      </c>
      <c r="F1023" s="386">
        <f>F1022*E1023</f>
        <v>0</v>
      </c>
      <c r="G1023" s="386"/>
      <c r="H1023" s="386"/>
      <c r="I1023" s="386">
        <v>4.5999999999999996</v>
      </c>
      <c r="J1023" s="386">
        <f>F1023*I1023</f>
        <v>0</v>
      </c>
      <c r="K1023" s="386"/>
      <c r="L1023" s="386"/>
      <c r="M1023" s="386">
        <f>H1023+J1023+L1023</f>
        <v>0</v>
      </c>
    </row>
    <row r="1024" spans="1:13" s="45" customFormat="1" hidden="1">
      <c r="A1024" s="41"/>
      <c r="B1024" s="1434"/>
      <c r="C1024" s="15" t="s">
        <v>133</v>
      </c>
      <c r="D1024" s="83" t="s">
        <v>57</v>
      </c>
      <c r="E1024" s="41">
        <v>3.4000000000000002E-2</v>
      </c>
      <c r="F1024" s="386">
        <f>F1022*E1024</f>
        <v>0</v>
      </c>
      <c r="G1024" s="386"/>
      <c r="H1024" s="386"/>
      <c r="I1024" s="386"/>
      <c r="J1024" s="386"/>
      <c r="K1024" s="386">
        <v>3.2</v>
      </c>
      <c r="L1024" s="386">
        <f>F1024*K1024</f>
        <v>0</v>
      </c>
      <c r="M1024" s="386">
        <f>H1024+J1024+L1024</f>
        <v>0</v>
      </c>
    </row>
    <row r="1025" spans="1:13" s="45" customFormat="1" hidden="1">
      <c r="A1025" s="41"/>
      <c r="B1025" s="1434"/>
      <c r="C1025" s="15" t="s">
        <v>210</v>
      </c>
      <c r="D1025" s="41"/>
      <c r="E1025" s="41"/>
      <c r="F1025" s="386"/>
      <c r="G1025" s="386"/>
      <c r="H1025" s="386"/>
      <c r="I1025" s="386"/>
      <c r="J1025" s="386"/>
      <c r="K1025" s="386"/>
      <c r="L1025" s="386"/>
      <c r="M1025" s="386"/>
    </row>
    <row r="1026" spans="1:13" s="45" customFormat="1" hidden="1">
      <c r="A1026" s="41"/>
      <c r="B1026" s="1434"/>
      <c r="C1026" s="15" t="s">
        <v>201</v>
      </c>
      <c r="D1026" s="41" t="s">
        <v>78</v>
      </c>
      <c r="E1026" s="41">
        <v>1.01</v>
      </c>
      <c r="F1026" s="386">
        <f>F1022*E1026</f>
        <v>0</v>
      </c>
      <c r="G1026" s="386">
        <v>50</v>
      </c>
      <c r="H1026" s="386">
        <f>F1026*G1026</f>
        <v>0</v>
      </c>
      <c r="I1026" s="386"/>
      <c r="J1026" s="386"/>
      <c r="K1026" s="386"/>
      <c r="L1026" s="386"/>
      <c r="M1026" s="386">
        <f>H1026+J1026+L1026</f>
        <v>0</v>
      </c>
    </row>
    <row r="1027" spans="1:13" s="45" customFormat="1" hidden="1">
      <c r="A1027" s="41"/>
      <c r="B1027" s="1434"/>
      <c r="C1027" s="15" t="s">
        <v>218</v>
      </c>
      <c r="D1027" s="41" t="s">
        <v>88</v>
      </c>
      <c r="E1027" s="41">
        <v>0.02</v>
      </c>
      <c r="F1027" s="386">
        <f>F1022*E1027</f>
        <v>0</v>
      </c>
      <c r="G1027" s="386">
        <v>87</v>
      </c>
      <c r="H1027" s="386">
        <f>F1027*G1027</f>
        <v>0</v>
      </c>
      <c r="I1027" s="386"/>
      <c r="J1027" s="386"/>
      <c r="K1027" s="386"/>
      <c r="L1027" s="386"/>
      <c r="M1027" s="386">
        <f>H1027+J1027+L1027</f>
        <v>0</v>
      </c>
    </row>
    <row r="1028" spans="1:13" s="45" customFormat="1" hidden="1">
      <c r="A1028" s="41"/>
      <c r="B1028" s="1434"/>
      <c r="C1028" s="15" t="s">
        <v>214</v>
      </c>
      <c r="D1028" s="86" t="s">
        <v>57</v>
      </c>
      <c r="E1028" s="41">
        <v>0.24</v>
      </c>
      <c r="F1028" s="386">
        <f>F1022*E1028</f>
        <v>0</v>
      </c>
      <c r="G1028" s="386">
        <v>3.2</v>
      </c>
      <c r="H1028" s="598">
        <f>F1028*G1028</f>
        <v>0</v>
      </c>
      <c r="I1028" s="386"/>
      <c r="J1028" s="386"/>
      <c r="K1028" s="386"/>
      <c r="L1028" s="386"/>
      <c r="M1028" s="386">
        <f>H1028+J1028+L1028</f>
        <v>0</v>
      </c>
    </row>
    <row r="1029" spans="1:13" s="45" customFormat="1" ht="27" hidden="1">
      <c r="A1029" s="47">
        <v>4</v>
      </c>
      <c r="B1029" s="1433" t="s">
        <v>199</v>
      </c>
      <c r="C1029" s="46" t="s">
        <v>244</v>
      </c>
      <c r="D1029" s="47" t="s">
        <v>78</v>
      </c>
      <c r="E1029" s="47"/>
      <c r="F1029" s="384">
        <f>'დეფექტური აქტი'!E209</f>
        <v>0</v>
      </c>
      <c r="G1029" s="385"/>
      <c r="H1029" s="385"/>
      <c r="I1029" s="385"/>
      <c r="J1029" s="385"/>
      <c r="K1029" s="385"/>
      <c r="L1029" s="385"/>
      <c r="M1029" s="385"/>
    </row>
    <row r="1030" spans="1:13" s="45" customFormat="1" hidden="1">
      <c r="A1030" s="41"/>
      <c r="B1030" s="1434"/>
      <c r="C1030" s="15" t="s">
        <v>209</v>
      </c>
      <c r="D1030" s="41" t="s">
        <v>80</v>
      </c>
      <c r="E1030" s="41">
        <v>5.75</v>
      </c>
      <c r="F1030" s="386">
        <f>F1029*E1030</f>
        <v>0</v>
      </c>
      <c r="G1030" s="386"/>
      <c r="H1030" s="386"/>
      <c r="I1030" s="386">
        <v>4.5999999999999996</v>
      </c>
      <c r="J1030" s="386">
        <f>F1030*I1030</f>
        <v>0</v>
      </c>
      <c r="K1030" s="386"/>
      <c r="L1030" s="386"/>
      <c r="M1030" s="386">
        <f>H1030+J1030+L1030</f>
        <v>0</v>
      </c>
    </row>
    <row r="1031" spans="1:13" s="45" customFormat="1" hidden="1">
      <c r="A1031" s="41"/>
      <c r="B1031" s="1434"/>
      <c r="C1031" s="15" t="s">
        <v>133</v>
      </c>
      <c r="D1031" s="83" t="s">
        <v>57</v>
      </c>
      <c r="E1031" s="41">
        <v>3.4000000000000002E-2</v>
      </c>
      <c r="F1031" s="386">
        <f>F1029*E1031</f>
        <v>0</v>
      </c>
      <c r="G1031" s="598"/>
      <c r="H1031" s="386"/>
      <c r="I1031" s="386"/>
      <c r="J1031" s="386"/>
      <c r="K1031" s="386">
        <v>3.2</v>
      </c>
      <c r="L1031" s="386">
        <f>F1031*K1031</f>
        <v>0</v>
      </c>
      <c r="M1031" s="386">
        <f>H1031+J1031+L1031</f>
        <v>0</v>
      </c>
    </row>
    <row r="1032" spans="1:13" s="45" customFormat="1" hidden="1">
      <c r="A1032" s="41"/>
      <c r="B1032" s="1434"/>
      <c r="C1032" s="15" t="s">
        <v>210</v>
      </c>
      <c r="D1032" s="41"/>
      <c r="E1032" s="41"/>
      <c r="F1032" s="386"/>
      <c r="G1032" s="386"/>
      <c r="H1032" s="386"/>
      <c r="I1032" s="386"/>
      <c r="J1032" s="386"/>
      <c r="K1032" s="386"/>
      <c r="L1032" s="386"/>
      <c r="M1032" s="386"/>
    </row>
    <row r="1033" spans="1:13" s="45" customFormat="1" hidden="1">
      <c r="A1033" s="41"/>
      <c r="B1033" s="1434"/>
      <c r="C1033" s="15" t="s">
        <v>276</v>
      </c>
      <c r="D1033" s="41" t="s">
        <v>78</v>
      </c>
      <c r="E1033" s="41">
        <v>1.01</v>
      </c>
      <c r="F1033" s="386">
        <f>F1029*E1033</f>
        <v>0</v>
      </c>
      <c r="G1033" s="386">
        <v>26</v>
      </c>
      <c r="H1033" s="386">
        <f>F1033*G1033</f>
        <v>0</v>
      </c>
      <c r="I1033" s="386"/>
      <c r="J1033" s="386"/>
      <c r="K1033" s="386"/>
      <c r="L1033" s="386"/>
      <c r="M1033" s="386">
        <f>H1033+J1033+L1033</f>
        <v>0</v>
      </c>
    </row>
    <row r="1034" spans="1:13" s="45" customFormat="1" hidden="1">
      <c r="A1034" s="41"/>
      <c r="B1034" s="1434"/>
      <c r="C1034" s="15" t="s">
        <v>218</v>
      </c>
      <c r="D1034" s="41" t="s">
        <v>88</v>
      </c>
      <c r="E1034" s="41">
        <v>0.02</v>
      </c>
      <c r="F1034" s="386">
        <f>F1029*E1034</f>
        <v>0</v>
      </c>
      <c r="G1034" s="386">
        <v>87</v>
      </c>
      <c r="H1034" s="386">
        <f>F1034*G1034</f>
        <v>0</v>
      </c>
      <c r="I1034" s="386"/>
      <c r="J1034" s="386"/>
      <c r="K1034" s="386"/>
      <c r="L1034" s="386"/>
      <c r="M1034" s="386">
        <f>H1034+J1034+L1034</f>
        <v>0</v>
      </c>
    </row>
    <row r="1035" spans="1:13" s="45" customFormat="1" hidden="1">
      <c r="A1035" s="41"/>
      <c r="B1035" s="1434"/>
      <c r="C1035" s="15" t="s">
        <v>214</v>
      </c>
      <c r="D1035" s="86" t="s">
        <v>57</v>
      </c>
      <c r="E1035" s="41">
        <v>0.24</v>
      </c>
      <c r="F1035" s="386">
        <f>F1029*E1035</f>
        <v>0</v>
      </c>
      <c r="G1035" s="386">
        <v>3.2</v>
      </c>
      <c r="H1035" s="386">
        <f>F1035*G1035</f>
        <v>0</v>
      </c>
      <c r="I1035" s="386"/>
      <c r="J1035" s="386"/>
      <c r="K1035" s="386"/>
      <c r="L1035" s="386"/>
      <c r="M1035" s="386">
        <f>H1035+J1035+L1035</f>
        <v>0</v>
      </c>
    </row>
    <row r="1036" spans="1:13" s="45" customFormat="1" ht="31.5" hidden="1" customHeight="1">
      <c r="A1036" s="47">
        <v>5</v>
      </c>
      <c r="B1036" s="1503" t="s">
        <v>277</v>
      </c>
      <c r="C1036" s="46" t="s">
        <v>278</v>
      </c>
      <c r="D1036" s="47" t="s">
        <v>122</v>
      </c>
      <c r="E1036" s="47"/>
      <c r="F1036" s="384">
        <f>'დეფექტური აქტი'!E210</f>
        <v>0</v>
      </c>
      <c r="G1036" s="385"/>
      <c r="H1036" s="385"/>
      <c r="I1036" s="385"/>
      <c r="J1036" s="385"/>
      <c r="K1036" s="385"/>
      <c r="L1036" s="385"/>
      <c r="M1036" s="385"/>
    </row>
    <row r="1037" spans="1:13" s="45" customFormat="1" hidden="1">
      <c r="A1037" s="41"/>
      <c r="B1037" s="1504"/>
      <c r="C1037" s="15" t="s">
        <v>209</v>
      </c>
      <c r="D1037" s="41" t="s">
        <v>80</v>
      </c>
      <c r="E1037" s="83">
        <v>0.26900000000000002</v>
      </c>
      <c r="F1037" s="386">
        <f>F1036*E1037</f>
        <v>0</v>
      </c>
      <c r="G1037" s="386"/>
      <c r="H1037" s="386"/>
      <c r="I1037" s="386">
        <v>6</v>
      </c>
      <c r="J1037" s="386">
        <f>F1037*I1037</f>
        <v>0</v>
      </c>
      <c r="K1037" s="386"/>
      <c r="L1037" s="386"/>
      <c r="M1037" s="386">
        <f>H1037+J1037+L1037</f>
        <v>0</v>
      </c>
    </row>
    <row r="1038" spans="1:13" s="45" customFormat="1" hidden="1">
      <c r="A1038" s="41"/>
      <c r="B1038" s="1504"/>
      <c r="C1038" s="15" t="s">
        <v>81</v>
      </c>
      <c r="D1038" s="83" t="s">
        <v>57</v>
      </c>
      <c r="E1038" s="83">
        <v>1.1599999999999999E-2</v>
      </c>
      <c r="F1038" s="386">
        <f>F1036*E1038</f>
        <v>0</v>
      </c>
      <c r="G1038" s="386"/>
      <c r="H1038" s="386"/>
      <c r="I1038" s="386"/>
      <c r="J1038" s="386"/>
      <c r="K1038" s="386">
        <v>3.2</v>
      </c>
      <c r="L1038" s="386">
        <f>F1038*K1038</f>
        <v>0</v>
      </c>
      <c r="M1038" s="386">
        <f>H1038+J1038+L1038</f>
        <v>0</v>
      </c>
    </row>
    <row r="1039" spans="1:13" s="45" customFormat="1" hidden="1">
      <c r="A1039" s="41"/>
      <c r="B1039" s="1504"/>
      <c r="C1039" s="15" t="s">
        <v>210</v>
      </c>
      <c r="D1039" s="41"/>
      <c r="E1039" s="83"/>
      <c r="F1039" s="386"/>
      <c r="G1039" s="386"/>
      <c r="H1039" s="386"/>
      <c r="I1039" s="386"/>
      <c r="J1039" s="386"/>
      <c r="K1039" s="386"/>
      <c r="L1039" s="386"/>
      <c r="M1039" s="386"/>
    </row>
    <row r="1040" spans="1:13" s="45" customFormat="1" hidden="1">
      <c r="A1040" s="41"/>
      <c r="B1040" s="1504"/>
      <c r="C1040" s="15" t="s">
        <v>276</v>
      </c>
      <c r="D1040" s="41" t="s">
        <v>78</v>
      </c>
      <c r="E1040" s="83">
        <v>0.157</v>
      </c>
      <c r="F1040" s="386">
        <f>F1036*E1040</f>
        <v>0</v>
      </c>
      <c r="G1040" s="386">
        <v>26</v>
      </c>
      <c r="H1040" s="386">
        <f>F1040*G1040</f>
        <v>0</v>
      </c>
      <c r="I1040" s="386"/>
      <c r="J1040" s="386"/>
      <c r="K1040" s="386"/>
      <c r="L1040" s="386"/>
      <c r="M1040" s="386">
        <f>H1040+J1040+L1040</f>
        <v>0</v>
      </c>
    </row>
    <row r="1041" spans="1:13" s="45" customFormat="1" hidden="1">
      <c r="A1041" s="41"/>
      <c r="B1041" s="1504"/>
      <c r="C1041" s="15" t="s">
        <v>143</v>
      </c>
      <c r="D1041" s="43" t="s">
        <v>97</v>
      </c>
      <c r="E1041" s="83">
        <v>1.8E-3</v>
      </c>
      <c r="F1041" s="386">
        <f>F1036*E1041</f>
        <v>0</v>
      </c>
      <c r="G1041" s="386">
        <v>0.34</v>
      </c>
      <c r="H1041" s="386">
        <f>F1041*G1041</f>
        <v>0</v>
      </c>
      <c r="I1041" s="386"/>
      <c r="J1041" s="386"/>
      <c r="K1041" s="386"/>
      <c r="L1041" s="386"/>
      <c r="M1041" s="386">
        <f>H1041+J1041+L1041</f>
        <v>0</v>
      </c>
    </row>
    <row r="1042" spans="1:13" s="63" customFormat="1" hidden="1">
      <c r="A1042" s="47">
        <v>6</v>
      </c>
      <c r="B1042" s="1435" t="s">
        <v>99</v>
      </c>
      <c r="C1042" s="46" t="s">
        <v>47</v>
      </c>
      <c r="D1042" s="47" t="s">
        <v>122</v>
      </c>
      <c r="E1042" s="47"/>
      <c r="F1042" s="384">
        <f>'დეფექტური აქტი'!E211</f>
        <v>0</v>
      </c>
      <c r="G1042" s="385"/>
      <c r="H1042" s="385"/>
      <c r="I1042" s="385"/>
      <c r="J1042" s="385"/>
      <c r="K1042" s="385"/>
      <c r="L1042" s="385"/>
      <c r="M1042" s="385"/>
    </row>
    <row r="1043" spans="1:13" s="63" customFormat="1" hidden="1">
      <c r="A1043" s="41"/>
      <c r="B1043" s="1436"/>
      <c r="C1043" s="15" t="s">
        <v>209</v>
      </c>
      <c r="D1043" s="41" t="s">
        <v>122</v>
      </c>
      <c r="E1043" s="41">
        <v>1</v>
      </c>
      <c r="F1043" s="386">
        <f>F1042*E1043</f>
        <v>0</v>
      </c>
      <c r="G1043" s="386"/>
      <c r="H1043" s="386"/>
      <c r="I1043" s="386">
        <v>10</v>
      </c>
      <c r="J1043" s="386">
        <f>F1043*I1043</f>
        <v>0</v>
      </c>
      <c r="K1043" s="386"/>
      <c r="L1043" s="386"/>
      <c r="M1043" s="386">
        <f>H1043+J1043+L1043</f>
        <v>0</v>
      </c>
    </row>
    <row r="1044" spans="1:13" s="63" customFormat="1" hidden="1">
      <c r="A1044" s="41"/>
      <c r="B1044" s="1436"/>
      <c r="C1044" s="15" t="s">
        <v>210</v>
      </c>
      <c r="D1044" s="41"/>
      <c r="E1044" s="41"/>
      <c r="F1044" s="386"/>
      <c r="G1044" s="386"/>
      <c r="H1044" s="386"/>
      <c r="I1044" s="386"/>
      <c r="J1044" s="386"/>
      <c r="K1044" s="386"/>
      <c r="L1044" s="386"/>
      <c r="M1044" s="386"/>
    </row>
    <row r="1045" spans="1:13" s="63" customFormat="1" hidden="1">
      <c r="A1045" s="41"/>
      <c r="B1045" s="1436"/>
      <c r="C1045" s="15" t="s">
        <v>202</v>
      </c>
      <c r="D1045" s="43" t="s">
        <v>122</v>
      </c>
      <c r="E1045" s="41">
        <v>1</v>
      </c>
      <c r="F1045" s="386">
        <f>F1042*E1045</f>
        <v>0</v>
      </c>
      <c r="G1045" s="792">
        <v>40</v>
      </c>
      <c r="H1045" s="386">
        <f>F1045*G1045</f>
        <v>0</v>
      </c>
      <c r="I1045" s="386"/>
      <c r="J1045" s="386"/>
      <c r="K1045" s="386"/>
      <c r="L1045" s="386"/>
      <c r="M1045" s="386">
        <f>H1045+J1045+L1045</f>
        <v>0</v>
      </c>
    </row>
    <row r="1046" spans="1:13" s="63" customFormat="1" hidden="1">
      <c r="A1046" s="47">
        <v>7</v>
      </c>
      <c r="B1046" s="1435" t="s">
        <v>99</v>
      </c>
      <c r="C1046" s="46" t="s">
        <v>48</v>
      </c>
      <c r="D1046" s="47" t="s">
        <v>122</v>
      </c>
      <c r="E1046" s="47"/>
      <c r="F1046" s="384">
        <f>'დეფექტური აქტი'!E212</f>
        <v>0</v>
      </c>
      <c r="G1046" s="385"/>
      <c r="H1046" s="385"/>
      <c r="I1046" s="385"/>
      <c r="J1046" s="385"/>
      <c r="K1046" s="385"/>
      <c r="L1046" s="385"/>
      <c r="M1046" s="385"/>
    </row>
    <row r="1047" spans="1:13" s="63" customFormat="1" hidden="1">
      <c r="A1047" s="41"/>
      <c r="B1047" s="1436"/>
      <c r="C1047" s="15" t="s">
        <v>209</v>
      </c>
      <c r="D1047" s="41" t="s">
        <v>122</v>
      </c>
      <c r="E1047" s="41">
        <v>1</v>
      </c>
      <c r="F1047" s="386">
        <f>F1046*E1047</f>
        <v>0</v>
      </c>
      <c r="G1047" s="386"/>
      <c r="H1047" s="386"/>
      <c r="I1047" s="386">
        <v>10</v>
      </c>
      <c r="J1047" s="386">
        <f>F1047*I1047</f>
        <v>0</v>
      </c>
      <c r="K1047" s="386"/>
      <c r="L1047" s="386"/>
      <c r="M1047" s="386">
        <f>H1047+J1047+L1047</f>
        <v>0</v>
      </c>
    </row>
    <row r="1048" spans="1:13" s="63" customFormat="1" hidden="1">
      <c r="A1048" s="41"/>
      <c r="B1048" s="1436"/>
      <c r="C1048" s="15" t="s">
        <v>210</v>
      </c>
      <c r="D1048" s="41"/>
      <c r="E1048" s="41"/>
      <c r="F1048" s="386"/>
      <c r="G1048" s="386"/>
      <c r="H1048" s="386"/>
      <c r="I1048" s="386"/>
      <c r="J1048" s="386"/>
      <c r="K1048" s="386"/>
      <c r="L1048" s="386"/>
      <c r="M1048" s="386"/>
    </row>
    <row r="1049" spans="1:13" s="63" customFormat="1" hidden="1">
      <c r="A1049" s="41"/>
      <c r="B1049" s="1436"/>
      <c r="C1049" s="15" t="s">
        <v>202</v>
      </c>
      <c r="D1049" s="43" t="s">
        <v>122</v>
      </c>
      <c r="E1049" s="41">
        <v>1</v>
      </c>
      <c r="F1049" s="386">
        <f>F1046*E1049</f>
        <v>0</v>
      </c>
      <c r="G1049" s="792">
        <v>15</v>
      </c>
      <c r="H1049" s="386">
        <f>F1049*G1049</f>
        <v>0</v>
      </c>
      <c r="I1049" s="386"/>
      <c r="J1049" s="386"/>
      <c r="K1049" s="386"/>
      <c r="L1049" s="386"/>
      <c r="M1049" s="386">
        <f>H1049+J1049+L1049</f>
        <v>0</v>
      </c>
    </row>
    <row r="1050" spans="1:13" s="45" customFormat="1" hidden="1">
      <c r="A1050" s="47">
        <v>8</v>
      </c>
      <c r="B1050" s="1505" t="s">
        <v>203</v>
      </c>
      <c r="C1050" s="46" t="s">
        <v>46</v>
      </c>
      <c r="D1050" s="47" t="s">
        <v>78</v>
      </c>
      <c r="E1050" s="47"/>
      <c r="F1050" s="384">
        <f>'დეფექტური აქტი'!E213</f>
        <v>0</v>
      </c>
      <c r="G1050" s="385"/>
      <c r="H1050" s="385"/>
      <c r="I1050" s="385"/>
      <c r="J1050" s="385"/>
      <c r="K1050" s="385"/>
      <c r="L1050" s="385"/>
      <c r="M1050" s="385"/>
    </row>
    <row r="1051" spans="1:13" s="45" customFormat="1" hidden="1">
      <c r="A1051" s="41"/>
      <c r="B1051" s="1506"/>
      <c r="C1051" s="15" t="s">
        <v>209</v>
      </c>
      <c r="D1051" s="41" t="s">
        <v>80</v>
      </c>
      <c r="E1051" s="41">
        <v>0.115</v>
      </c>
      <c r="F1051" s="386">
        <f>F1050*E1051</f>
        <v>0</v>
      </c>
      <c r="G1051" s="386"/>
      <c r="H1051" s="386"/>
      <c r="I1051" s="386">
        <v>6</v>
      </c>
      <c r="J1051" s="386">
        <f>F1051*I1051</f>
        <v>0</v>
      </c>
      <c r="K1051" s="386"/>
      <c r="L1051" s="386"/>
      <c r="M1051" s="386">
        <f>H1051+J1051+L1051</f>
        <v>0</v>
      </c>
    </row>
    <row r="1052" spans="1:13" s="45" customFormat="1" hidden="1">
      <c r="A1052" s="41"/>
      <c r="B1052" s="1506"/>
      <c r="C1052" s="15" t="s">
        <v>81</v>
      </c>
      <c r="D1052" s="83" t="s">
        <v>57</v>
      </c>
      <c r="E1052" s="41">
        <v>1E-4</v>
      </c>
      <c r="F1052" s="386">
        <f>F1050*E1052</f>
        <v>0</v>
      </c>
      <c r="G1052" s="386"/>
      <c r="H1052" s="386"/>
      <c r="I1052" s="386"/>
      <c r="J1052" s="386"/>
      <c r="K1052" s="386">
        <v>3.2</v>
      </c>
      <c r="L1052" s="386">
        <f>F1052*K1052</f>
        <v>0</v>
      </c>
      <c r="M1052" s="386">
        <f>H1052+J1052+L1052</f>
        <v>0</v>
      </c>
    </row>
    <row r="1053" spans="1:13" s="45" customFormat="1" hidden="1">
      <c r="A1053" s="41"/>
      <c r="B1053" s="1506"/>
      <c r="C1053" s="15" t="s">
        <v>210</v>
      </c>
      <c r="D1053" s="41"/>
      <c r="E1053" s="41"/>
      <c r="F1053" s="386"/>
      <c r="G1053" s="386"/>
      <c r="H1053" s="386"/>
      <c r="I1053" s="599"/>
      <c r="J1053" s="386"/>
      <c r="K1053" s="386"/>
      <c r="L1053" s="386"/>
      <c r="M1053" s="386"/>
    </row>
    <row r="1054" spans="1:13" s="45" customFormat="1" hidden="1">
      <c r="A1054" s="41"/>
      <c r="B1054" s="1506"/>
      <c r="C1054" s="66" t="s">
        <v>134</v>
      </c>
      <c r="D1054" s="41" t="s">
        <v>97</v>
      </c>
      <c r="E1054" s="41">
        <v>0.16</v>
      </c>
      <c r="F1054" s="386">
        <f>F1050*E1054</f>
        <v>0</v>
      </c>
      <c r="G1054" s="386">
        <v>0.5</v>
      </c>
      <c r="H1054" s="386">
        <f>F1054*G1054</f>
        <v>0</v>
      </c>
      <c r="I1054" s="386"/>
      <c r="J1054" s="386"/>
      <c r="K1054" s="386"/>
      <c r="L1054" s="386"/>
      <c r="M1054" s="386">
        <f>H1054+J1054+L1054</f>
        <v>0</v>
      </c>
    </row>
    <row r="1055" spans="1:13" s="45" customFormat="1" hidden="1">
      <c r="A1055" s="41"/>
      <c r="B1055" s="1506"/>
      <c r="C1055" s="66" t="s">
        <v>204</v>
      </c>
      <c r="D1055" s="86" t="s">
        <v>57</v>
      </c>
      <c r="E1055" s="41">
        <v>4.1999999999999997E-3</v>
      </c>
      <c r="F1055" s="386">
        <f>F1050*E1055</f>
        <v>0</v>
      </c>
      <c r="G1055" s="386">
        <v>3.2</v>
      </c>
      <c r="H1055" s="386">
        <f>F1055*G1055</f>
        <v>0</v>
      </c>
      <c r="I1055" s="386"/>
      <c r="J1055" s="386"/>
      <c r="K1055" s="386"/>
      <c r="L1055" s="386"/>
      <c r="M1055" s="386">
        <f>H1055+J1055+L1055</f>
        <v>0</v>
      </c>
    </row>
    <row r="1056" spans="1:13" s="45" customFormat="1" hidden="1">
      <c r="A1056" s="47">
        <v>9</v>
      </c>
      <c r="B1056" s="1505" t="s">
        <v>721</v>
      </c>
      <c r="C1056" s="46" t="s">
        <v>50</v>
      </c>
      <c r="D1056" s="47" t="s">
        <v>78</v>
      </c>
      <c r="E1056" s="47"/>
      <c r="F1056" s="384">
        <f>'დეფექტური აქტი'!E214</f>
        <v>0</v>
      </c>
      <c r="G1056" s="385"/>
      <c r="H1056" s="385"/>
      <c r="I1056" s="385"/>
      <c r="J1056" s="385"/>
      <c r="K1056" s="385"/>
      <c r="L1056" s="385"/>
      <c r="M1056" s="385"/>
    </row>
    <row r="1057" spans="1:13" s="45" customFormat="1" hidden="1">
      <c r="A1057" s="41"/>
      <c r="B1057" s="1506"/>
      <c r="C1057" s="15" t="s">
        <v>209</v>
      </c>
      <c r="D1057" s="41" t="s">
        <v>80</v>
      </c>
      <c r="E1057" s="41">
        <v>0.16400000000000001</v>
      </c>
      <c r="F1057" s="386">
        <f>F1056*E1057</f>
        <v>0</v>
      </c>
      <c r="G1057" s="386"/>
      <c r="H1057" s="386"/>
      <c r="I1057" s="386">
        <v>4.5999999999999996</v>
      </c>
      <c r="J1057" s="386">
        <f>F1057*I1057</f>
        <v>0</v>
      </c>
      <c r="K1057" s="386"/>
      <c r="L1057" s="386"/>
      <c r="M1057" s="386">
        <f>H1057+J1057+L1057</f>
        <v>0</v>
      </c>
    </row>
    <row r="1058" spans="1:13" s="45" customFormat="1" hidden="1">
      <c r="A1058" s="41"/>
      <c r="B1058" s="1506"/>
      <c r="C1058" s="15" t="s">
        <v>210</v>
      </c>
      <c r="D1058" s="41"/>
      <c r="E1058" s="41"/>
      <c r="F1058" s="386"/>
      <c r="G1058" s="386"/>
      <c r="H1058" s="386"/>
      <c r="I1058" s="599"/>
      <c r="J1058" s="386"/>
      <c r="K1058" s="386"/>
      <c r="L1058" s="386"/>
      <c r="M1058" s="386"/>
    </row>
    <row r="1059" spans="1:13" s="45" customFormat="1" hidden="1">
      <c r="A1059" s="41"/>
      <c r="B1059" s="1506"/>
      <c r="C1059" s="66" t="s">
        <v>274</v>
      </c>
      <c r="D1059" s="41" t="s">
        <v>97</v>
      </c>
      <c r="E1059" s="41">
        <v>0.318</v>
      </c>
      <c r="F1059" s="386">
        <f>F1056*E1059</f>
        <v>0</v>
      </c>
      <c r="G1059" s="386">
        <v>5.0999999999999996</v>
      </c>
      <c r="H1059" s="386">
        <f>F1059*G1059</f>
        <v>0</v>
      </c>
      <c r="I1059" s="386"/>
      <c r="J1059" s="386"/>
      <c r="K1059" s="386"/>
      <c r="L1059" s="386"/>
      <c r="M1059" s="386">
        <f>H1059+J1059+L1059</f>
        <v>0</v>
      </c>
    </row>
    <row r="1060" spans="1:13" s="45" customFormat="1" hidden="1">
      <c r="A1060" s="41"/>
      <c r="B1060" s="1506"/>
      <c r="C1060" s="66" t="s">
        <v>144</v>
      </c>
      <c r="D1060" s="86" t="s">
        <v>57</v>
      </c>
      <c r="E1060" s="41">
        <v>2E-3</v>
      </c>
      <c r="F1060" s="386">
        <f>F1056*E1060</f>
        <v>0</v>
      </c>
      <c r="G1060" s="386">
        <v>3.2</v>
      </c>
      <c r="H1060" s="386">
        <f>F1060*G1060</f>
        <v>0</v>
      </c>
      <c r="I1060" s="386"/>
      <c r="J1060" s="386"/>
      <c r="K1060" s="386"/>
      <c r="L1060" s="386"/>
      <c r="M1060" s="386">
        <f>H1060+J1060+L1060</f>
        <v>0</v>
      </c>
    </row>
    <row r="1061" spans="1:13" s="45" customFormat="1" ht="27" hidden="1">
      <c r="A1061" s="47">
        <v>10</v>
      </c>
      <c r="B1061" s="1433" t="s">
        <v>323</v>
      </c>
      <c r="C1061" s="46" t="s">
        <v>324</v>
      </c>
      <c r="D1061" s="47" t="s">
        <v>78</v>
      </c>
      <c r="E1061" s="47"/>
      <c r="F1061" s="384">
        <f>'დეფექტური აქტი'!E215</f>
        <v>0</v>
      </c>
      <c r="G1061" s="385"/>
      <c r="H1061" s="385"/>
      <c r="I1061" s="385"/>
      <c r="J1061" s="385"/>
      <c r="K1061" s="385"/>
      <c r="L1061" s="385"/>
      <c r="M1061" s="385"/>
    </row>
    <row r="1062" spans="1:13" s="45" customFormat="1" hidden="1">
      <c r="A1062" s="41"/>
      <c r="B1062" s="1434"/>
      <c r="C1062" s="15" t="s">
        <v>209</v>
      </c>
      <c r="D1062" s="41" t="s">
        <v>80</v>
      </c>
      <c r="E1062" s="41">
        <v>0.56000000000000005</v>
      </c>
      <c r="F1062" s="386">
        <f>F1061*E1062</f>
        <v>0</v>
      </c>
      <c r="G1062" s="386"/>
      <c r="H1062" s="386"/>
      <c r="I1062" s="386">
        <v>6</v>
      </c>
      <c r="J1062" s="386">
        <f>F1062*I1062</f>
        <v>0</v>
      </c>
      <c r="K1062" s="386"/>
      <c r="L1062" s="386"/>
      <c r="M1062" s="386">
        <f>H1062+J1062+L1062</f>
        <v>0</v>
      </c>
    </row>
    <row r="1063" spans="1:13" s="45" customFormat="1" hidden="1">
      <c r="A1063" s="41"/>
      <c r="B1063" s="1434"/>
      <c r="C1063" s="15" t="s">
        <v>133</v>
      </c>
      <c r="D1063" s="83" t="s">
        <v>57</v>
      </c>
      <c r="E1063" s="41">
        <v>6.8999999999999999E-3</v>
      </c>
      <c r="F1063" s="386">
        <f>F1061*E1063</f>
        <v>0</v>
      </c>
      <c r="G1063" s="386"/>
      <c r="H1063" s="386"/>
      <c r="I1063" s="386"/>
      <c r="J1063" s="386"/>
      <c r="K1063" s="386">
        <v>3.2</v>
      </c>
      <c r="L1063" s="386">
        <f>F1063*K1063</f>
        <v>0</v>
      </c>
      <c r="M1063" s="386">
        <f>H1063+J1063+L1063</f>
        <v>0</v>
      </c>
    </row>
    <row r="1064" spans="1:13" s="45" customFormat="1" hidden="1">
      <c r="A1064" s="41"/>
      <c r="B1064" s="1434"/>
      <c r="C1064" s="15" t="s">
        <v>210</v>
      </c>
      <c r="D1064" s="41"/>
      <c r="E1064" s="41"/>
      <c r="F1064" s="386"/>
      <c r="G1064" s="386"/>
      <c r="H1064" s="386"/>
      <c r="I1064" s="386"/>
      <c r="J1064" s="386"/>
      <c r="K1064" s="386"/>
      <c r="L1064" s="386"/>
      <c r="M1064" s="386"/>
    </row>
    <row r="1065" spans="1:13" s="45" customFormat="1" hidden="1">
      <c r="A1065" s="41"/>
      <c r="B1065" s="1434"/>
      <c r="C1065" s="15" t="s">
        <v>186</v>
      </c>
      <c r="D1065" s="41" t="s">
        <v>97</v>
      </c>
      <c r="E1065" s="41">
        <v>0.25800000000000001</v>
      </c>
      <c r="F1065" s="386">
        <f>F1061*E1065</f>
        <v>0</v>
      </c>
      <c r="G1065" s="386">
        <v>4</v>
      </c>
      <c r="H1065" s="386">
        <f>F1065*G1065</f>
        <v>0</v>
      </c>
      <c r="I1065" s="386"/>
      <c r="J1065" s="386"/>
      <c r="K1065" s="386"/>
      <c r="L1065" s="386"/>
      <c r="M1065" s="386">
        <f>H1065+J1065+L1065</f>
        <v>0</v>
      </c>
    </row>
    <row r="1066" spans="1:13" s="45" customFormat="1" hidden="1">
      <c r="A1066" s="41"/>
      <c r="B1066" s="1434"/>
      <c r="C1066" s="15" t="s">
        <v>134</v>
      </c>
      <c r="D1066" s="41" t="s">
        <v>97</v>
      </c>
      <c r="E1066" s="41">
        <v>0.41</v>
      </c>
      <c r="F1066" s="386">
        <f>F1061*E1066</f>
        <v>0</v>
      </c>
      <c r="G1066" s="386">
        <v>0.5</v>
      </c>
      <c r="H1066" s="386">
        <f>F1066*G1066</f>
        <v>0</v>
      </c>
      <c r="I1066" s="386"/>
      <c r="J1066" s="386"/>
      <c r="K1066" s="386"/>
      <c r="L1066" s="386"/>
      <c r="M1066" s="386">
        <f>H1066+J1066+L1066</f>
        <v>0</v>
      </c>
    </row>
    <row r="1067" spans="1:13" s="45" customFormat="1" hidden="1">
      <c r="A1067" s="41"/>
      <c r="B1067" s="1434"/>
      <c r="C1067" s="15" t="s">
        <v>138</v>
      </c>
      <c r="D1067" s="41" t="s">
        <v>97</v>
      </c>
      <c r="E1067" s="41">
        <v>9.0999999999999998E-2</v>
      </c>
      <c r="F1067" s="386">
        <f>F1061*E1067</f>
        <v>0</v>
      </c>
      <c r="G1067" s="386">
        <v>3.5</v>
      </c>
      <c r="H1067" s="386">
        <f>F1067*G1067</f>
        <v>0</v>
      </c>
      <c r="I1067" s="386"/>
      <c r="J1067" s="386"/>
      <c r="K1067" s="386"/>
      <c r="L1067" s="386"/>
      <c r="M1067" s="386">
        <f>H1067+J1067+L1067</f>
        <v>0</v>
      </c>
    </row>
    <row r="1068" spans="1:13" s="45" customFormat="1" hidden="1">
      <c r="A1068" s="41"/>
      <c r="B1068" s="1434"/>
      <c r="C1068" s="15" t="s">
        <v>214</v>
      </c>
      <c r="D1068" s="86" t="s">
        <v>57</v>
      </c>
      <c r="E1068" s="41">
        <v>7.0000000000000001E-3</v>
      </c>
      <c r="F1068" s="386">
        <f>F1061*E1068</f>
        <v>0</v>
      </c>
      <c r="G1068" s="386">
        <v>3.2</v>
      </c>
      <c r="H1068" s="386">
        <f>F1068*G1068</f>
        <v>0</v>
      </c>
      <c r="I1068" s="386"/>
      <c r="J1068" s="386"/>
      <c r="K1068" s="386"/>
      <c r="L1068" s="386"/>
      <c r="M1068" s="386">
        <f>H1068+J1068+L1068</f>
        <v>0</v>
      </c>
    </row>
    <row r="1069" spans="1:13" s="63" customFormat="1" ht="27" hidden="1">
      <c r="A1069" s="47">
        <v>11</v>
      </c>
      <c r="B1069" s="1433" t="s">
        <v>722</v>
      </c>
      <c r="C1069" s="46" t="s">
        <v>446</v>
      </c>
      <c r="D1069" s="47" t="s">
        <v>122</v>
      </c>
      <c r="E1069" s="47"/>
      <c r="F1069" s="384">
        <f>'დეფექტური აქტი'!E216</f>
        <v>0</v>
      </c>
      <c r="G1069" s="385"/>
      <c r="H1069" s="385"/>
      <c r="I1069" s="385"/>
      <c r="J1069" s="385"/>
      <c r="K1069" s="385"/>
      <c r="L1069" s="385"/>
      <c r="M1069" s="385"/>
    </row>
    <row r="1070" spans="1:13" s="63" customFormat="1" hidden="1">
      <c r="A1070" s="77"/>
      <c r="B1070" s="1434"/>
      <c r="C1070" s="66" t="s">
        <v>209</v>
      </c>
      <c r="D1070" s="41" t="s">
        <v>80</v>
      </c>
      <c r="E1070" s="41">
        <v>1.4510000000000001</v>
      </c>
      <c r="F1070" s="386">
        <f>F1069*E1070</f>
        <v>0</v>
      </c>
      <c r="G1070" s="386"/>
      <c r="H1070" s="386"/>
      <c r="I1070" s="386">
        <v>4.5999999999999996</v>
      </c>
      <c r="J1070" s="386">
        <f>F1070*I1070</f>
        <v>0</v>
      </c>
      <c r="K1070" s="386"/>
      <c r="L1070" s="386"/>
      <c r="M1070" s="386">
        <f>H1070+J1070+L1070</f>
        <v>0</v>
      </c>
    </row>
    <row r="1071" spans="1:13" s="63" customFormat="1" hidden="1">
      <c r="A1071" s="77"/>
      <c r="B1071" s="1434"/>
      <c r="C1071" s="66" t="s">
        <v>81</v>
      </c>
      <c r="D1071" s="83" t="s">
        <v>57</v>
      </c>
      <c r="E1071" s="41">
        <v>8.0000000000000002E-3</v>
      </c>
      <c r="F1071" s="386">
        <f>F1069*E1071</f>
        <v>0</v>
      </c>
      <c r="G1071" s="386"/>
      <c r="H1071" s="386"/>
      <c r="I1071" s="386"/>
      <c r="J1071" s="386"/>
      <c r="K1071" s="386">
        <v>3.2</v>
      </c>
      <c r="L1071" s="386">
        <f>F1071*K1071</f>
        <v>0</v>
      </c>
      <c r="M1071" s="386">
        <f>H1071+J1071+L1071</f>
        <v>0</v>
      </c>
    </row>
    <row r="1072" spans="1:13" s="63" customFormat="1" hidden="1">
      <c r="A1072" s="77"/>
      <c r="B1072" s="1434"/>
      <c r="C1072" s="15" t="s">
        <v>210</v>
      </c>
      <c r="D1072" s="41"/>
      <c r="E1072" s="41"/>
      <c r="F1072" s="386"/>
      <c r="G1072" s="386"/>
      <c r="H1072" s="386"/>
      <c r="I1072" s="386"/>
      <c r="J1072" s="386"/>
      <c r="K1072" s="386"/>
      <c r="L1072" s="386"/>
      <c r="M1072" s="386"/>
    </row>
    <row r="1073" spans="1:14" s="448" customFormat="1" ht="18.75" hidden="1" customHeight="1">
      <c r="A1073" s="446"/>
      <c r="B1073" s="1434"/>
      <c r="C1073" s="447" t="s">
        <v>445</v>
      </c>
      <c r="D1073" s="53" t="s">
        <v>122</v>
      </c>
      <c r="E1073" s="53">
        <v>1.02</v>
      </c>
      <c r="F1073" s="386">
        <f>F1069*E1073</f>
        <v>0</v>
      </c>
      <c r="G1073" s="386">
        <v>10</v>
      </c>
      <c r="H1073" s="386">
        <f>F1073*G1073</f>
        <v>0</v>
      </c>
      <c r="I1073" s="386"/>
      <c r="J1073" s="386"/>
      <c r="K1073" s="386"/>
      <c r="L1073" s="386"/>
      <c r="M1073" s="386">
        <f>H1073+J1073+L1073</f>
        <v>0</v>
      </c>
    </row>
    <row r="1074" spans="1:14" s="63" customFormat="1" hidden="1">
      <c r="A1074" s="77"/>
      <c r="B1074" s="1434"/>
      <c r="C1074" s="66" t="s">
        <v>214</v>
      </c>
      <c r="D1074" s="86" t="s">
        <v>57</v>
      </c>
      <c r="E1074" s="41">
        <v>0.432</v>
      </c>
      <c r="F1074" s="386">
        <f>F1069*E1074</f>
        <v>0</v>
      </c>
      <c r="G1074" s="386">
        <v>3.2</v>
      </c>
      <c r="H1074" s="386">
        <f>F1074*G1074</f>
        <v>0</v>
      </c>
      <c r="I1074" s="386"/>
      <c r="J1074" s="386"/>
      <c r="K1074" s="386"/>
      <c r="L1074" s="386"/>
      <c r="M1074" s="386">
        <f>H1074+J1074+L1074</f>
        <v>0</v>
      </c>
    </row>
    <row r="1075" spans="1:14" s="93" customFormat="1" hidden="1">
      <c r="A1075" s="47">
        <v>12</v>
      </c>
      <c r="B1075" s="1431" t="s">
        <v>425</v>
      </c>
      <c r="C1075" s="151" t="s">
        <v>431</v>
      </c>
      <c r="D1075" s="47" t="s">
        <v>122</v>
      </c>
      <c r="E1075" s="140"/>
      <c r="F1075" s="384">
        <f>'დეფექტური აქტი'!E217</f>
        <v>0</v>
      </c>
      <c r="G1075" s="422"/>
      <c r="H1075" s="422"/>
      <c r="I1075" s="422"/>
      <c r="J1075" s="422"/>
      <c r="K1075" s="422"/>
      <c r="L1075" s="422"/>
      <c r="M1075" s="422"/>
    </row>
    <row r="1076" spans="1:14" s="93" customFormat="1" hidden="1">
      <c r="A1076" s="96"/>
      <c r="B1076" s="1432"/>
      <c r="C1076" s="226" t="s">
        <v>209</v>
      </c>
      <c r="D1076" s="211" t="s">
        <v>80</v>
      </c>
      <c r="E1076" s="211">
        <v>0.379</v>
      </c>
      <c r="F1076" s="386">
        <f>F1075*E1076</f>
        <v>0</v>
      </c>
      <c r="G1076" s="225"/>
      <c r="H1076" s="225"/>
      <c r="I1076" s="386">
        <v>6</v>
      </c>
      <c r="J1076" s="386">
        <f>F1076*I1076</f>
        <v>0</v>
      </c>
      <c r="K1076" s="225"/>
      <c r="L1076" s="225"/>
      <c r="M1076" s="386">
        <f>H1076+J1076+L1076</f>
        <v>0</v>
      </c>
    </row>
    <row r="1077" spans="1:14" s="93" customFormat="1" hidden="1">
      <c r="A1077" s="96"/>
      <c r="B1077" s="1432"/>
      <c r="C1077" s="226" t="s">
        <v>81</v>
      </c>
      <c r="D1077" s="83" t="s">
        <v>57</v>
      </c>
      <c r="E1077" s="211">
        <v>2.8000000000000001E-2</v>
      </c>
      <c r="F1077" s="386">
        <f>F1075*E1077</f>
        <v>0</v>
      </c>
      <c r="G1077" s="225"/>
      <c r="H1077" s="225"/>
      <c r="I1077" s="225"/>
      <c r="J1077" s="225"/>
      <c r="K1077" s="225">
        <v>3.2</v>
      </c>
      <c r="L1077" s="386">
        <f>F1077*K1077</f>
        <v>0</v>
      </c>
      <c r="M1077" s="386">
        <f>H1077+J1077+L1077</f>
        <v>0</v>
      </c>
    </row>
    <row r="1078" spans="1:14" s="93" customFormat="1" hidden="1">
      <c r="A1078" s="96"/>
      <c r="B1078" s="1432"/>
      <c r="C1078" s="15" t="s">
        <v>210</v>
      </c>
      <c r="D1078" s="211"/>
      <c r="E1078" s="211"/>
      <c r="F1078" s="386"/>
      <c r="G1078" s="225"/>
      <c r="H1078" s="225"/>
      <c r="I1078" s="225"/>
      <c r="J1078" s="225"/>
      <c r="K1078" s="225"/>
      <c r="L1078" s="225"/>
      <c r="M1078" s="225"/>
    </row>
    <row r="1079" spans="1:14" s="93" customFormat="1" hidden="1">
      <c r="A1079" s="96"/>
      <c r="B1079" s="1432"/>
      <c r="C1079" s="226" t="s">
        <v>426</v>
      </c>
      <c r="D1079" s="41" t="s">
        <v>122</v>
      </c>
      <c r="E1079" s="211">
        <v>1</v>
      </c>
      <c r="F1079" s="386">
        <f>F1075*E1079</f>
        <v>0</v>
      </c>
      <c r="G1079" s="610">
        <v>35</v>
      </c>
      <c r="H1079" s="386">
        <f>F1079*G1079</f>
        <v>0</v>
      </c>
      <c r="I1079" s="225"/>
      <c r="J1079" s="225"/>
      <c r="K1079" s="225"/>
      <c r="L1079" s="225"/>
      <c r="M1079" s="386">
        <f>H1079+J1079+L1079</f>
        <v>0</v>
      </c>
      <c r="N1079" s="887"/>
    </row>
    <row r="1080" spans="1:14" s="93" customFormat="1" hidden="1">
      <c r="A1080" s="96"/>
      <c r="B1080" s="1432"/>
      <c r="C1080" s="226" t="s">
        <v>427</v>
      </c>
      <c r="D1080" s="230" t="s">
        <v>206</v>
      </c>
      <c r="E1080" s="211">
        <v>1.5E-3</v>
      </c>
      <c r="F1080" s="386">
        <f>F1075*E1080</f>
        <v>0</v>
      </c>
      <c r="G1080" s="610">
        <v>145</v>
      </c>
      <c r="H1080" s="386">
        <f>F1080*G1080</f>
        <v>0</v>
      </c>
      <c r="I1080" s="225"/>
      <c r="J1080" s="225"/>
      <c r="K1080" s="225"/>
      <c r="L1080" s="225"/>
      <c r="M1080" s="386">
        <f>H1080+J1080+L1080</f>
        <v>0</v>
      </c>
    </row>
    <row r="1081" spans="1:14" s="45" customFormat="1" ht="27" hidden="1">
      <c r="A1081" s="47">
        <v>13</v>
      </c>
      <c r="B1081" s="1499" t="s">
        <v>325</v>
      </c>
      <c r="C1081" s="46" t="s">
        <v>326</v>
      </c>
      <c r="D1081" s="47" t="s">
        <v>78</v>
      </c>
      <c r="E1081" s="47"/>
      <c r="F1081" s="384">
        <f>'დეფექტური აქტი'!E218</f>
        <v>0</v>
      </c>
      <c r="G1081" s="385"/>
      <c r="H1081" s="385"/>
      <c r="I1081" s="385"/>
      <c r="J1081" s="385"/>
      <c r="K1081" s="385"/>
      <c r="L1081" s="385"/>
      <c r="M1081" s="385"/>
    </row>
    <row r="1082" spans="1:14" s="45" customFormat="1" hidden="1">
      <c r="A1082" s="41"/>
      <c r="B1082" s="1434"/>
      <c r="C1082" s="15" t="s">
        <v>209</v>
      </c>
      <c r="D1082" s="211" t="s">
        <v>80</v>
      </c>
      <c r="E1082" s="41">
        <v>0.68</v>
      </c>
      <c r="F1082" s="386">
        <f>F1081*E1082</f>
        <v>0</v>
      </c>
      <c r="G1082" s="386"/>
      <c r="H1082" s="386"/>
      <c r="I1082" s="386">
        <v>6</v>
      </c>
      <c r="J1082" s="386">
        <f>F1082*I1082</f>
        <v>0</v>
      </c>
      <c r="K1082" s="386"/>
      <c r="L1082" s="386"/>
      <c r="M1082" s="386">
        <f>H1082+J1082+L1082</f>
        <v>0</v>
      </c>
    </row>
    <row r="1083" spans="1:14" s="45" customFormat="1" hidden="1">
      <c r="A1083" s="41"/>
      <c r="B1083" s="1434"/>
      <c r="C1083" s="15" t="s">
        <v>81</v>
      </c>
      <c r="D1083" s="83" t="s">
        <v>57</v>
      </c>
      <c r="E1083" s="41">
        <v>2.9999999999999997E-4</v>
      </c>
      <c r="F1083" s="386">
        <f>F1081*E1083</f>
        <v>0</v>
      </c>
      <c r="G1083" s="386"/>
      <c r="H1083" s="386"/>
      <c r="I1083" s="386"/>
      <c r="J1083" s="386"/>
      <c r="K1083" s="386">
        <v>3.2</v>
      </c>
      <c r="L1083" s="386">
        <f>F1083*K1083</f>
        <v>0</v>
      </c>
      <c r="M1083" s="386">
        <f>H1083+J1083+L1083</f>
        <v>0</v>
      </c>
    </row>
    <row r="1084" spans="1:14" s="45" customFormat="1" hidden="1">
      <c r="A1084" s="41"/>
      <c r="B1084" s="1434"/>
      <c r="C1084" s="15" t="s">
        <v>210</v>
      </c>
      <c r="D1084" s="41"/>
      <c r="E1084" s="41"/>
      <c r="F1084" s="386"/>
      <c r="G1084" s="386"/>
      <c r="H1084" s="386"/>
      <c r="I1084" s="386"/>
      <c r="J1084" s="386"/>
      <c r="K1084" s="386"/>
      <c r="L1084" s="386"/>
      <c r="M1084" s="386"/>
    </row>
    <row r="1085" spans="1:14" s="45" customFormat="1" hidden="1">
      <c r="A1085" s="41"/>
      <c r="B1085" s="1434"/>
      <c r="C1085" s="15" t="s">
        <v>186</v>
      </c>
      <c r="D1085" s="41" t="s">
        <v>97</v>
      </c>
      <c r="E1085" s="41">
        <v>0.246</v>
      </c>
      <c r="F1085" s="386">
        <f>F1081*E1085</f>
        <v>0</v>
      </c>
      <c r="G1085" s="386">
        <v>4</v>
      </c>
      <c r="H1085" s="386">
        <f>F1085*G1085</f>
        <v>0</v>
      </c>
      <c r="I1085" s="386"/>
      <c r="J1085" s="386"/>
      <c r="K1085" s="386"/>
      <c r="L1085" s="386"/>
      <c r="M1085" s="386">
        <f>H1085+J1085+L1085</f>
        <v>0</v>
      </c>
    </row>
    <row r="1086" spans="1:14" s="45" customFormat="1" hidden="1">
      <c r="A1086" s="41"/>
      <c r="B1086" s="1434"/>
      <c r="C1086" s="15" t="s">
        <v>138</v>
      </c>
      <c r="D1086" s="41" t="s">
        <v>97</v>
      </c>
      <c r="E1086" s="41">
        <v>2.7E-2</v>
      </c>
      <c r="F1086" s="386">
        <f>F1081*E1086</f>
        <v>0</v>
      </c>
      <c r="G1086" s="386">
        <v>3.5</v>
      </c>
      <c r="H1086" s="386">
        <f>F1086*G1086</f>
        <v>0</v>
      </c>
      <c r="I1086" s="386"/>
      <c r="J1086" s="386"/>
      <c r="K1086" s="386"/>
      <c r="L1086" s="386"/>
      <c r="M1086" s="386">
        <f>H1086+J1086+L1086</f>
        <v>0</v>
      </c>
    </row>
    <row r="1087" spans="1:14" s="45" customFormat="1" hidden="1">
      <c r="A1087" s="43"/>
      <c r="B1087" s="1463"/>
      <c r="C1087" s="56" t="s">
        <v>214</v>
      </c>
      <c r="D1087" s="86" t="s">
        <v>57</v>
      </c>
      <c r="E1087" s="43">
        <v>1.9E-3</v>
      </c>
      <c r="F1087" s="387">
        <f>F1081*E1087</f>
        <v>0</v>
      </c>
      <c r="G1087" s="387">
        <v>3.2</v>
      </c>
      <c r="H1087" s="387">
        <f>F1087*G1087</f>
        <v>0</v>
      </c>
      <c r="I1087" s="387"/>
      <c r="J1087" s="387"/>
      <c r="K1087" s="387"/>
      <c r="L1087" s="387"/>
      <c r="M1087" s="387">
        <f>H1087+J1087+L1087</f>
        <v>0</v>
      </c>
    </row>
    <row r="1088" spans="1:14" s="877" customFormat="1" ht="27" hidden="1">
      <c r="A1088" s="370">
        <v>14</v>
      </c>
      <c r="B1088" s="1427" t="s">
        <v>271</v>
      </c>
      <c r="C1088" s="26" t="s">
        <v>1512</v>
      </c>
      <c r="D1088" s="370" t="s">
        <v>122</v>
      </c>
      <c r="E1088" s="370"/>
      <c r="F1088" s="385">
        <f>'დეფექტური აქტი'!E219</f>
        <v>0</v>
      </c>
      <c r="G1088" s="385"/>
      <c r="H1088" s="385"/>
      <c r="I1088" s="385"/>
      <c r="J1088" s="385"/>
      <c r="K1088" s="385"/>
      <c r="L1088" s="385"/>
      <c r="M1088" s="385"/>
    </row>
    <row r="1089" spans="1:13" s="877" customFormat="1" ht="13.5" hidden="1" customHeight="1">
      <c r="A1089" s="371"/>
      <c r="B1089" s="1428"/>
      <c r="C1089" s="365" t="s">
        <v>209</v>
      </c>
      <c r="D1089" s="371" t="s">
        <v>80</v>
      </c>
      <c r="E1089" s="371">
        <v>0.15</v>
      </c>
      <c r="F1089" s="386">
        <f>F1088*E1089</f>
        <v>0</v>
      </c>
      <c r="G1089" s="386"/>
      <c r="H1089" s="386"/>
      <c r="I1089" s="386">
        <v>4.5999999999999996</v>
      </c>
      <c r="J1089" s="386">
        <f>F1089*I1089</f>
        <v>0</v>
      </c>
      <c r="K1089" s="386"/>
      <c r="L1089" s="386"/>
      <c r="M1089" s="386">
        <f>H1089+J1089+L1089</f>
        <v>0</v>
      </c>
    </row>
    <row r="1090" spans="1:13" s="877" customFormat="1" ht="13.5" hidden="1" customHeight="1">
      <c r="A1090" s="371"/>
      <c r="B1090" s="1428"/>
      <c r="C1090" s="365" t="s">
        <v>81</v>
      </c>
      <c r="D1090" s="83" t="s">
        <v>57</v>
      </c>
      <c r="E1090" s="371">
        <v>2E-3</v>
      </c>
      <c r="F1090" s="386">
        <f>F1088*E1090</f>
        <v>0</v>
      </c>
      <c r="G1090" s="386"/>
      <c r="H1090" s="386"/>
      <c r="I1090" s="386"/>
      <c r="J1090" s="386"/>
      <c r="K1090" s="386">
        <v>3.2</v>
      </c>
      <c r="L1090" s="386">
        <f>F1090*K1090</f>
        <v>0</v>
      </c>
      <c r="M1090" s="386">
        <f>H1090+J1090+L1090</f>
        <v>0</v>
      </c>
    </row>
    <row r="1091" spans="1:13" s="877" customFormat="1" ht="13.5" hidden="1" customHeight="1">
      <c r="A1091" s="371"/>
      <c r="B1091" s="1428"/>
      <c r="C1091" s="365" t="s">
        <v>210</v>
      </c>
      <c r="D1091" s="371"/>
      <c r="E1091" s="371"/>
      <c r="F1091" s="386"/>
      <c r="G1091" s="386"/>
      <c r="H1091" s="386"/>
      <c r="I1091" s="386"/>
      <c r="J1091" s="386"/>
      <c r="K1091" s="386"/>
      <c r="L1091" s="386"/>
      <c r="M1091" s="386"/>
    </row>
    <row r="1092" spans="1:13" s="877" customFormat="1" ht="13.5" hidden="1" customHeight="1">
      <c r="A1092" s="371"/>
      <c r="B1092" s="1428"/>
      <c r="C1092" s="365" t="s">
        <v>1513</v>
      </c>
      <c r="D1092" s="371" t="s">
        <v>122</v>
      </c>
      <c r="E1092" s="371">
        <v>1.01</v>
      </c>
      <c r="F1092" s="386">
        <f>F1088*E1092</f>
        <v>0</v>
      </c>
      <c r="G1092" s="386">
        <v>3.5</v>
      </c>
      <c r="H1092" s="386">
        <f>F1092*G1092</f>
        <v>0</v>
      </c>
      <c r="I1092" s="386"/>
      <c r="J1092" s="386"/>
      <c r="K1092" s="386"/>
      <c r="L1092" s="386"/>
      <c r="M1092" s="386">
        <f>H1092+J1092+L1092</f>
        <v>0</v>
      </c>
    </row>
    <row r="1093" spans="1:13" s="877" customFormat="1" ht="13.5" hidden="1" customHeight="1">
      <c r="A1093" s="371"/>
      <c r="B1093" s="1428"/>
      <c r="C1093" s="365" t="s">
        <v>214</v>
      </c>
      <c r="D1093" s="86" t="s">
        <v>57</v>
      </c>
      <c r="E1093" s="371">
        <v>2E-3</v>
      </c>
      <c r="F1093" s="386">
        <f>F1088*E1093</f>
        <v>0</v>
      </c>
      <c r="G1093" s="386">
        <v>3.2</v>
      </c>
      <c r="H1093" s="386">
        <f>F1093*G1093</f>
        <v>0</v>
      </c>
      <c r="I1093" s="386"/>
      <c r="J1093" s="386"/>
      <c r="K1093" s="386"/>
      <c r="L1093" s="386"/>
      <c r="M1093" s="386">
        <f>H1093+J1093+L1093</f>
        <v>0</v>
      </c>
    </row>
    <row r="1094" spans="1:13" s="45" customFormat="1" hidden="1">
      <c r="A1094" s="48"/>
      <c r="B1094" s="54"/>
      <c r="C1094" s="107" t="s">
        <v>610</v>
      </c>
      <c r="D1094" s="48"/>
      <c r="E1094" s="48"/>
      <c r="F1094" s="390"/>
      <c r="G1094" s="390"/>
      <c r="H1094" s="390"/>
      <c r="I1094" s="390"/>
      <c r="J1094" s="390"/>
      <c r="K1094" s="390"/>
      <c r="L1094" s="390"/>
      <c r="M1094" s="390"/>
    </row>
    <row r="1095" spans="1:13" s="88" customFormat="1" hidden="1">
      <c r="A1095" s="140">
        <v>1</v>
      </c>
      <c r="B1095" s="1429" t="s">
        <v>530</v>
      </c>
      <c r="C1095" s="227" t="s">
        <v>519</v>
      </c>
      <c r="D1095" s="228" t="s">
        <v>88</v>
      </c>
      <c r="E1095" s="248"/>
      <c r="F1095" s="456">
        <v>0</v>
      </c>
      <c r="G1095" s="422"/>
      <c r="H1095" s="422"/>
      <c r="I1095" s="422"/>
      <c r="J1095" s="422"/>
      <c r="K1095" s="422"/>
      <c r="L1095" s="422"/>
      <c r="M1095" s="422">
        <f t="shared" ref="M1095:M1101" si="10">H1095+J1095+L1095</f>
        <v>0</v>
      </c>
    </row>
    <row r="1096" spans="1:13" s="88" customFormat="1" hidden="1">
      <c r="A1096" s="83"/>
      <c r="B1096" s="1430"/>
      <c r="C1096" s="226" t="s">
        <v>79</v>
      </c>
      <c r="D1096" s="230" t="s">
        <v>80</v>
      </c>
      <c r="E1096" s="94">
        <v>2.06</v>
      </c>
      <c r="F1096" s="60">
        <f>F1095*E1096</f>
        <v>0</v>
      </c>
      <c r="G1096" s="225"/>
      <c r="H1096" s="604"/>
      <c r="I1096" s="225">
        <v>4.5999999999999996</v>
      </c>
      <c r="J1096" s="225">
        <f>F1096*I1096</f>
        <v>0</v>
      </c>
      <c r="K1096" s="225"/>
      <c r="L1096" s="225"/>
      <c r="M1096" s="225">
        <f t="shared" si="10"/>
        <v>0</v>
      </c>
    </row>
    <row r="1097" spans="1:13" s="88" customFormat="1" hidden="1">
      <c r="A1097" s="140">
        <v>2</v>
      </c>
      <c r="B1097" s="1429" t="s">
        <v>890</v>
      </c>
      <c r="C1097" s="227" t="s">
        <v>433</v>
      </c>
      <c r="D1097" s="228" t="s">
        <v>88</v>
      </c>
      <c r="E1097" s="248"/>
      <c r="F1097" s="456">
        <f>'დეფექტური აქტი'!E222</f>
        <v>0</v>
      </c>
      <c r="G1097" s="422"/>
      <c r="H1097" s="422"/>
      <c r="I1097" s="422"/>
      <c r="J1097" s="422"/>
      <c r="K1097" s="422"/>
      <c r="L1097" s="422"/>
      <c r="M1097" s="422">
        <f t="shared" si="10"/>
        <v>0</v>
      </c>
    </row>
    <row r="1098" spans="1:13" s="88" customFormat="1" hidden="1">
      <c r="A1098" s="83"/>
      <c r="B1098" s="1430"/>
      <c r="C1098" s="229" t="s">
        <v>209</v>
      </c>
      <c r="D1098" s="230" t="s">
        <v>80</v>
      </c>
      <c r="E1098" s="250">
        <v>1.21</v>
      </c>
      <c r="F1098" s="61">
        <f>F1097*E1098</f>
        <v>0</v>
      </c>
      <c r="G1098" s="393"/>
      <c r="H1098" s="605"/>
      <c r="I1098" s="393">
        <v>4.5999999999999996</v>
      </c>
      <c r="J1098" s="393">
        <f>F1098*I1098</f>
        <v>0</v>
      </c>
      <c r="K1098" s="393"/>
      <c r="L1098" s="393"/>
      <c r="M1098" s="393">
        <f t="shared" si="10"/>
        <v>0</v>
      </c>
    </row>
    <row r="1099" spans="1:13" s="95" customFormat="1" ht="27" hidden="1">
      <c r="A1099" s="140">
        <v>3</v>
      </c>
      <c r="B1099" s="1447"/>
      <c r="C1099" s="152" t="s">
        <v>1117</v>
      </c>
      <c r="D1099" s="140" t="s">
        <v>206</v>
      </c>
      <c r="E1099" s="153"/>
      <c r="F1099" s="384">
        <f>'დეფექტური აქტი'!E223*1.95</f>
        <v>0</v>
      </c>
      <c r="G1099" s="385"/>
      <c r="H1099" s="385"/>
      <c r="I1099" s="385"/>
      <c r="J1099" s="385"/>
      <c r="K1099" s="385"/>
      <c r="L1099" s="385"/>
      <c r="M1099" s="385">
        <f t="shared" si="10"/>
        <v>0</v>
      </c>
    </row>
    <row r="1100" spans="1:13" s="95" customFormat="1" hidden="1">
      <c r="A1100" s="83"/>
      <c r="B1100" s="1448"/>
      <c r="C1100" s="90" t="s">
        <v>209</v>
      </c>
      <c r="D1100" s="86" t="s">
        <v>80</v>
      </c>
      <c r="E1100" s="94">
        <v>0.53</v>
      </c>
      <c r="F1100" s="386">
        <f>F1099*E1100</f>
        <v>0</v>
      </c>
      <c r="G1100" s="386"/>
      <c r="H1100" s="603"/>
      <c r="I1100" s="387">
        <v>4.5999999999999996</v>
      </c>
      <c r="J1100" s="386">
        <f>F1100*I1100</f>
        <v>0</v>
      </c>
      <c r="K1100" s="386"/>
      <c r="L1100" s="386"/>
      <c r="M1100" s="386">
        <f t="shared" si="10"/>
        <v>0</v>
      </c>
    </row>
    <row r="1101" spans="1:13" s="93" customFormat="1" hidden="1">
      <c r="A1101" s="24">
        <v>4</v>
      </c>
      <c r="B1101" s="175"/>
      <c r="C1101" s="26" t="s">
        <v>735</v>
      </c>
      <c r="D1101" s="24" t="s">
        <v>206</v>
      </c>
      <c r="E1101" s="24"/>
      <c r="F1101" s="397">
        <f>'დეფექტური აქტი'!E224*1.95</f>
        <v>0</v>
      </c>
      <c r="G1101" s="390"/>
      <c r="H1101" s="390"/>
      <c r="I1101" s="390"/>
      <c r="J1101" s="390"/>
      <c r="K1101" s="390">
        <v>3.02</v>
      </c>
      <c r="L1101" s="390">
        <f>F1101*K1101</f>
        <v>0</v>
      </c>
      <c r="M1101" s="390">
        <f t="shared" si="10"/>
        <v>0</v>
      </c>
    </row>
    <row r="1102" spans="1:13" s="88" customFormat="1" ht="27" hidden="1">
      <c r="A1102" s="140">
        <v>5</v>
      </c>
      <c r="B1102" s="1446" t="s">
        <v>531</v>
      </c>
      <c r="C1102" s="151" t="s">
        <v>500</v>
      </c>
      <c r="D1102" s="140" t="s">
        <v>88</v>
      </c>
      <c r="E1102" s="140"/>
      <c r="F1102" s="456">
        <f>'დეფექტური აქტი'!E225</f>
        <v>0</v>
      </c>
      <c r="G1102" s="422"/>
      <c r="H1102" s="422"/>
      <c r="I1102" s="422"/>
      <c r="J1102" s="422"/>
      <c r="K1102" s="422"/>
      <c r="L1102" s="422"/>
      <c r="M1102" s="422"/>
    </row>
    <row r="1103" spans="1:13" s="88" customFormat="1" hidden="1">
      <c r="A1103" s="83"/>
      <c r="B1103" s="1432"/>
      <c r="C1103" s="223" t="s">
        <v>209</v>
      </c>
      <c r="D1103" s="211" t="s">
        <v>80</v>
      </c>
      <c r="E1103" s="211">
        <v>0.89</v>
      </c>
      <c r="F1103" s="60">
        <f>F1102*E1103</f>
        <v>0</v>
      </c>
      <c r="G1103" s="225"/>
      <c r="H1103" s="225"/>
      <c r="I1103" s="225">
        <v>6</v>
      </c>
      <c r="J1103" s="225">
        <f>F1103*I1103</f>
        <v>0</v>
      </c>
      <c r="K1103" s="225"/>
      <c r="L1103" s="225"/>
      <c r="M1103" s="225">
        <f>H1103+J1103+L1103</f>
        <v>0</v>
      </c>
    </row>
    <row r="1104" spans="1:13" s="88" customFormat="1" hidden="1">
      <c r="A1104" s="83"/>
      <c r="B1104" s="1432"/>
      <c r="C1104" s="223" t="s">
        <v>81</v>
      </c>
      <c r="D1104" s="83" t="s">
        <v>57</v>
      </c>
      <c r="E1104" s="211">
        <v>0.37</v>
      </c>
      <c r="F1104" s="60">
        <f>F1102*E1104</f>
        <v>0</v>
      </c>
      <c r="G1104" s="225"/>
      <c r="H1104" s="225"/>
      <c r="I1104" s="225"/>
      <c r="J1104" s="225"/>
      <c r="K1104" s="225">
        <v>3.2</v>
      </c>
      <c r="L1104" s="225">
        <f>F1104*K1104</f>
        <v>0</v>
      </c>
      <c r="M1104" s="225">
        <f>H1104+J1104+L1104</f>
        <v>0</v>
      </c>
    </row>
    <row r="1105" spans="1:14" s="88" customFormat="1" hidden="1">
      <c r="A1105" s="83"/>
      <c r="B1105" s="1432"/>
      <c r="C1105" s="365" t="s">
        <v>210</v>
      </c>
      <c r="D1105" s="211"/>
      <c r="E1105" s="211"/>
      <c r="F1105" s="386"/>
      <c r="G1105" s="225"/>
      <c r="H1105" s="225"/>
      <c r="I1105" s="225"/>
      <c r="J1105" s="225"/>
      <c r="K1105" s="225"/>
      <c r="L1105" s="225"/>
      <c r="M1105" s="225"/>
    </row>
    <row r="1106" spans="1:14" s="88" customFormat="1" hidden="1">
      <c r="A1106" s="83"/>
      <c r="B1106" s="1432"/>
      <c r="C1106" s="223" t="s">
        <v>532</v>
      </c>
      <c r="D1106" s="211" t="s">
        <v>88</v>
      </c>
      <c r="E1106" s="211">
        <v>1.1499999999999999</v>
      </c>
      <c r="F1106" s="60">
        <f>F1102*E1106</f>
        <v>0</v>
      </c>
      <c r="G1106" s="610">
        <v>16.100000000000001</v>
      </c>
      <c r="H1106" s="225">
        <f>F1106*G1106</f>
        <v>0</v>
      </c>
      <c r="I1106" s="225"/>
      <c r="J1106" s="225"/>
      <c r="K1106" s="225"/>
      <c r="L1106" s="225"/>
      <c r="M1106" s="225">
        <f>H1106+J1106+L1106</f>
        <v>0</v>
      </c>
    </row>
    <row r="1107" spans="1:14" s="88" customFormat="1" hidden="1">
      <c r="A1107" s="86"/>
      <c r="B1107" s="1437"/>
      <c r="C1107" s="232" t="s">
        <v>214</v>
      </c>
      <c r="D1107" s="86" t="s">
        <v>57</v>
      </c>
      <c r="E1107" s="230">
        <v>0.02</v>
      </c>
      <c r="F1107" s="61">
        <f>F1102*E1107</f>
        <v>0</v>
      </c>
      <c r="G1107" s="393">
        <v>3.2</v>
      </c>
      <c r="H1107" s="393">
        <f>F1107*G1107</f>
        <v>0</v>
      </c>
      <c r="I1107" s="393"/>
      <c r="J1107" s="393"/>
      <c r="K1107" s="393"/>
      <c r="L1107" s="393"/>
      <c r="M1107" s="393">
        <f>H1107+J1107+L1107</f>
        <v>0</v>
      </c>
    </row>
    <row r="1108" spans="1:14" s="88" customFormat="1" ht="27" hidden="1">
      <c r="A1108" s="83">
        <v>6</v>
      </c>
      <c r="B1108" s="1432" t="s">
        <v>700</v>
      </c>
      <c r="C1108" s="84" t="s">
        <v>1129</v>
      </c>
      <c r="D1108" s="83" t="s">
        <v>88</v>
      </c>
      <c r="E1108" s="83"/>
      <c r="F1108" s="457">
        <f>'დეფექტური აქტი'!E226</f>
        <v>0</v>
      </c>
      <c r="G1108" s="225"/>
      <c r="H1108" s="225"/>
      <c r="I1108" s="225"/>
      <c r="J1108" s="225"/>
      <c r="K1108" s="225"/>
      <c r="L1108" s="225"/>
      <c r="M1108" s="225"/>
    </row>
    <row r="1109" spans="1:14" s="88" customFormat="1" hidden="1">
      <c r="A1109" s="83"/>
      <c r="B1109" s="1432"/>
      <c r="C1109" s="223" t="s">
        <v>209</v>
      </c>
      <c r="D1109" s="211" t="s">
        <v>80</v>
      </c>
      <c r="E1109" s="211">
        <v>8.44</v>
      </c>
      <c r="F1109" s="60">
        <f>F1108*E1109</f>
        <v>0</v>
      </c>
      <c r="G1109" s="225"/>
      <c r="H1109" s="225"/>
      <c r="I1109" s="386">
        <v>4.5999999999999996</v>
      </c>
      <c r="J1109" s="225">
        <f>F1109*I1109</f>
        <v>0</v>
      </c>
      <c r="K1109" s="225"/>
      <c r="L1109" s="225"/>
      <c r="M1109" s="225">
        <f>H1109+J1109+L1109</f>
        <v>0</v>
      </c>
    </row>
    <row r="1110" spans="1:14" s="88" customFormat="1" hidden="1">
      <c r="A1110" s="83"/>
      <c r="B1110" s="1432"/>
      <c r="C1110" s="223" t="s">
        <v>81</v>
      </c>
      <c r="D1110" s="83" t="s">
        <v>57</v>
      </c>
      <c r="E1110" s="211">
        <v>1.1000000000000001</v>
      </c>
      <c r="F1110" s="60">
        <f>F1108*E1110</f>
        <v>0</v>
      </c>
      <c r="G1110" s="225"/>
      <c r="H1110" s="225"/>
      <c r="I1110" s="225"/>
      <c r="J1110" s="225"/>
      <c r="K1110" s="225">
        <v>3.2</v>
      </c>
      <c r="L1110" s="225">
        <f>F1110*K1110</f>
        <v>0</v>
      </c>
      <c r="M1110" s="225">
        <f>H1110+J1110+L1110</f>
        <v>0</v>
      </c>
    </row>
    <row r="1111" spans="1:14" s="88" customFormat="1" hidden="1">
      <c r="A1111" s="83"/>
      <c r="B1111" s="1432"/>
      <c r="C1111" s="365" t="s">
        <v>210</v>
      </c>
      <c r="D1111" s="211"/>
      <c r="E1111" s="211"/>
      <c r="F1111" s="386"/>
      <c r="G1111" s="225"/>
      <c r="H1111" s="225"/>
      <c r="I1111" s="225"/>
      <c r="J1111" s="225"/>
      <c r="K1111" s="225"/>
      <c r="L1111" s="225"/>
      <c r="M1111" s="225"/>
    </row>
    <row r="1112" spans="1:14" s="88" customFormat="1" hidden="1">
      <c r="A1112" s="83"/>
      <c r="B1112" s="1432"/>
      <c r="C1112" s="223" t="s">
        <v>1130</v>
      </c>
      <c r="D1112" s="211" t="s">
        <v>88</v>
      </c>
      <c r="E1112" s="211">
        <v>1.0149999999999999</v>
      </c>
      <c r="F1112" s="60">
        <f>F1108*E1112</f>
        <v>0</v>
      </c>
      <c r="G1112" s="386">
        <v>110</v>
      </c>
      <c r="H1112" s="225">
        <f t="shared" ref="H1112:H1120" si="11">F1112*G1112</f>
        <v>0</v>
      </c>
      <c r="I1112" s="225"/>
      <c r="J1112" s="225"/>
      <c r="K1112" s="225"/>
      <c r="L1112" s="225"/>
      <c r="M1112" s="225">
        <f t="shared" ref="M1112:M1120" si="12">H1112+J1112+L1112</f>
        <v>0</v>
      </c>
    </row>
    <row r="1113" spans="1:14" s="88" customFormat="1" hidden="1">
      <c r="A1113" s="83"/>
      <c r="B1113" s="1432"/>
      <c r="C1113" s="223" t="s">
        <v>301</v>
      </c>
      <c r="D1113" s="211" t="s">
        <v>78</v>
      </c>
      <c r="E1113" s="211">
        <v>1.84</v>
      </c>
      <c r="F1113" s="60">
        <f>F1108*E1113</f>
        <v>0</v>
      </c>
      <c r="G1113" s="386">
        <v>10.5</v>
      </c>
      <c r="H1113" s="225">
        <f t="shared" si="11"/>
        <v>0</v>
      </c>
      <c r="I1113" s="225"/>
      <c r="J1113" s="225"/>
      <c r="K1113" s="225"/>
      <c r="L1113" s="225"/>
      <c r="M1113" s="225">
        <f t="shared" si="12"/>
        <v>0</v>
      </c>
    </row>
    <row r="1114" spans="1:14" s="88" customFormat="1" hidden="1">
      <c r="A1114" s="83"/>
      <c r="B1114" s="1432"/>
      <c r="C1114" s="223" t="s">
        <v>264</v>
      </c>
      <c r="D1114" s="211" t="s">
        <v>88</v>
      </c>
      <c r="E1114" s="211">
        <v>3.3999999999999998E-3</v>
      </c>
      <c r="F1114" s="60">
        <f>F1108*E1114</f>
        <v>0</v>
      </c>
      <c r="G1114" s="386">
        <v>490</v>
      </c>
      <c r="H1114" s="225">
        <f t="shared" si="11"/>
        <v>0</v>
      </c>
      <c r="I1114" s="225"/>
      <c r="J1114" s="225"/>
      <c r="K1114" s="225"/>
      <c r="L1114" s="225"/>
      <c r="M1114" s="225">
        <f t="shared" si="12"/>
        <v>0</v>
      </c>
      <c r="N1114" s="793"/>
    </row>
    <row r="1115" spans="1:14" s="88" customFormat="1" hidden="1">
      <c r="A1115" s="83"/>
      <c r="B1115" s="1432"/>
      <c r="C1115" s="223" t="s">
        <v>302</v>
      </c>
      <c r="D1115" s="211" t="s">
        <v>88</v>
      </c>
      <c r="E1115" s="211">
        <v>3.9100000000000003E-2</v>
      </c>
      <c r="F1115" s="60">
        <f>F1108*E1115</f>
        <v>0</v>
      </c>
      <c r="G1115" s="386">
        <v>403</v>
      </c>
      <c r="H1115" s="225">
        <f t="shared" si="11"/>
        <v>0</v>
      </c>
      <c r="I1115" s="225"/>
      <c r="J1115" s="225"/>
      <c r="K1115" s="225"/>
      <c r="L1115" s="225"/>
      <c r="M1115" s="225">
        <f t="shared" si="12"/>
        <v>0</v>
      </c>
    </row>
    <row r="1116" spans="1:14" s="88" customFormat="1" hidden="1">
      <c r="A1116" s="83"/>
      <c r="B1116" s="1432"/>
      <c r="C1116" s="223" t="s">
        <v>303</v>
      </c>
      <c r="D1116" s="211" t="s">
        <v>97</v>
      </c>
      <c r="E1116" s="211">
        <v>2.2000000000000002</v>
      </c>
      <c r="F1116" s="60">
        <f>F1108*E1116</f>
        <v>0</v>
      </c>
      <c r="G1116" s="386">
        <v>2.5</v>
      </c>
      <c r="H1116" s="225">
        <f t="shared" si="11"/>
        <v>0</v>
      </c>
      <c r="I1116" s="225"/>
      <c r="J1116" s="225"/>
      <c r="K1116" s="225"/>
      <c r="L1116" s="225"/>
      <c r="M1116" s="225">
        <f t="shared" si="12"/>
        <v>0</v>
      </c>
    </row>
    <row r="1117" spans="1:14" s="88" customFormat="1" hidden="1">
      <c r="A1117" s="83">
        <v>7</v>
      </c>
      <c r="B1117" s="1432"/>
      <c r="C1117" s="223" t="s">
        <v>884</v>
      </c>
      <c r="D1117" s="211" t="s">
        <v>97</v>
      </c>
      <c r="E1117" s="211"/>
      <c r="F1117" s="458">
        <f>'დეფექტური აქტი'!E228</f>
        <v>0</v>
      </c>
      <c r="G1117" s="795">
        <v>1.0189999999999999</v>
      </c>
      <c r="H1117" s="225">
        <f t="shared" si="11"/>
        <v>0</v>
      </c>
      <c r="I1117" s="225"/>
      <c r="J1117" s="225"/>
      <c r="K1117" s="225"/>
      <c r="L1117" s="225"/>
      <c r="M1117" s="225">
        <f t="shared" si="12"/>
        <v>0</v>
      </c>
    </row>
    <row r="1118" spans="1:14" s="88" customFormat="1" hidden="1">
      <c r="A1118" s="83">
        <v>8</v>
      </c>
      <c r="B1118" s="1432"/>
      <c r="C1118" s="223" t="s">
        <v>501</v>
      </c>
      <c r="D1118" s="211" t="s">
        <v>97</v>
      </c>
      <c r="E1118" s="211"/>
      <c r="F1118" s="458">
        <f>'დეფექტური აქტი'!E227</f>
        <v>0</v>
      </c>
      <c r="G1118" s="795">
        <v>0.95299999999999996</v>
      </c>
      <c r="H1118" s="225">
        <f t="shared" si="11"/>
        <v>0</v>
      </c>
      <c r="I1118" s="225"/>
      <c r="J1118" s="225"/>
      <c r="K1118" s="225"/>
      <c r="L1118" s="225"/>
      <c r="M1118" s="225">
        <f t="shared" si="12"/>
        <v>0</v>
      </c>
    </row>
    <row r="1119" spans="1:14" s="88" customFormat="1" hidden="1">
      <c r="A1119" s="83"/>
      <c r="B1119" s="1432"/>
      <c r="C1119" s="223" t="s">
        <v>307</v>
      </c>
      <c r="D1119" s="211" t="s">
        <v>97</v>
      </c>
      <c r="E1119" s="211">
        <v>1</v>
      </c>
      <c r="F1119" s="60">
        <f>F1108*E1119</f>
        <v>0</v>
      </c>
      <c r="G1119" s="386">
        <v>3.75</v>
      </c>
      <c r="H1119" s="225">
        <f t="shared" si="11"/>
        <v>0</v>
      </c>
      <c r="I1119" s="225"/>
      <c r="J1119" s="225"/>
      <c r="K1119" s="225"/>
      <c r="L1119" s="225"/>
      <c r="M1119" s="225">
        <f t="shared" si="12"/>
        <v>0</v>
      </c>
    </row>
    <row r="1120" spans="1:14" s="88" customFormat="1" hidden="1">
      <c r="A1120" s="86"/>
      <c r="B1120" s="1437"/>
      <c r="C1120" s="232" t="s">
        <v>214</v>
      </c>
      <c r="D1120" s="86" t="s">
        <v>57</v>
      </c>
      <c r="E1120" s="230">
        <v>0.46</v>
      </c>
      <c r="F1120" s="61">
        <f>F1108*E1120</f>
        <v>0</v>
      </c>
      <c r="G1120" s="387">
        <v>3.2</v>
      </c>
      <c r="H1120" s="225">
        <f t="shared" si="11"/>
        <v>0</v>
      </c>
      <c r="I1120" s="393"/>
      <c r="J1120" s="393"/>
      <c r="K1120" s="393"/>
      <c r="L1120" s="393"/>
      <c r="M1120" s="225">
        <f t="shared" si="12"/>
        <v>0</v>
      </c>
    </row>
    <row r="1121" spans="1:14" s="359" customFormat="1" ht="27" hidden="1">
      <c r="A1121" s="336">
        <v>9</v>
      </c>
      <c r="B1121" s="328" t="s">
        <v>1247</v>
      </c>
      <c r="C1121" s="329" t="s">
        <v>1248</v>
      </c>
      <c r="D1121" s="330" t="s">
        <v>206</v>
      </c>
      <c r="E1121" s="330"/>
      <c r="F1121" s="457">
        <f>'დეფექტური აქტი'!E229/1000</f>
        <v>0</v>
      </c>
      <c r="G1121" s="788"/>
      <c r="H1121" s="787"/>
      <c r="I1121" s="790"/>
      <c r="J1121" s="331"/>
      <c r="K1121" s="414"/>
      <c r="L1121" s="787"/>
      <c r="M1121" s="422"/>
      <c r="N1121" s="358"/>
    </row>
    <row r="1122" spans="1:14" s="359" customFormat="1" ht="15.75" hidden="1" customHeight="1">
      <c r="A1122" s="336"/>
      <c r="B1122" s="328"/>
      <c r="C1122" s="341" t="s">
        <v>209</v>
      </c>
      <c r="D1122" s="336" t="s">
        <v>80</v>
      </c>
      <c r="E1122" s="336">
        <v>123</v>
      </c>
      <c r="F1122" s="60">
        <f>F1121*E1122</f>
        <v>0</v>
      </c>
      <c r="G1122" s="788"/>
      <c r="H1122" s="331"/>
      <c r="I1122" s="414">
        <v>4.5999999999999996</v>
      </c>
      <c r="J1122" s="225">
        <f>F1122*I1122</f>
        <v>0</v>
      </c>
      <c r="K1122" s="790"/>
      <c r="L1122" s="331"/>
      <c r="M1122" s="225">
        <f>H1122+J1122+L1122</f>
        <v>0</v>
      </c>
      <c r="N1122" s="358"/>
    </row>
    <row r="1123" spans="1:14" s="359" customFormat="1" hidden="1">
      <c r="A1123" s="336"/>
      <c r="B1123" s="328"/>
      <c r="C1123" s="341" t="s">
        <v>81</v>
      </c>
      <c r="D1123" s="336" t="s">
        <v>57</v>
      </c>
      <c r="E1123" s="336">
        <v>2.2000000000000002</v>
      </c>
      <c r="F1123" s="60">
        <f>F1121*E1123</f>
        <v>0</v>
      </c>
      <c r="G1123" s="788"/>
      <c r="H1123" s="331"/>
      <c r="I1123" s="790"/>
      <c r="J1123" s="331"/>
      <c r="K1123" s="414">
        <v>3.2</v>
      </c>
      <c r="L1123" s="225">
        <f>F1123*K1123</f>
        <v>0</v>
      </c>
      <c r="M1123" s="225">
        <f>H1123+J1123+L1123</f>
        <v>0</v>
      </c>
      <c r="N1123" s="358"/>
    </row>
    <row r="1124" spans="1:14" s="359" customFormat="1" hidden="1">
      <c r="A1124" s="336"/>
      <c r="B1124" s="328"/>
      <c r="C1124" s="341" t="s">
        <v>210</v>
      </c>
      <c r="D1124" s="336"/>
      <c r="E1124" s="336"/>
      <c r="F1124" s="331">
        <f>E1124*2353</f>
        <v>0</v>
      </c>
      <c r="G1124" s="788"/>
      <c r="H1124" s="331"/>
      <c r="I1124" s="790"/>
      <c r="J1124" s="331"/>
      <c r="K1124" s="414"/>
      <c r="L1124" s="331"/>
      <c r="M1124" s="331"/>
      <c r="N1124" s="358"/>
    </row>
    <row r="1125" spans="1:14" s="359" customFormat="1" hidden="1">
      <c r="A1125" s="336"/>
      <c r="B1125" s="328"/>
      <c r="C1125" s="341" t="s">
        <v>1249</v>
      </c>
      <c r="D1125" s="336" t="s">
        <v>206</v>
      </c>
      <c r="E1125" s="336">
        <v>1</v>
      </c>
      <c r="F1125" s="60">
        <f>F1121*E1125</f>
        <v>0</v>
      </c>
      <c r="G1125" s="788">
        <v>2500</v>
      </c>
      <c r="H1125" s="225">
        <f>F1125*G1125</f>
        <v>0</v>
      </c>
      <c r="I1125" s="790"/>
      <c r="J1125" s="331"/>
      <c r="K1125" s="414"/>
      <c r="L1125" s="331"/>
      <c r="M1125" s="225">
        <f>H1125+J1125+L1125</f>
        <v>0</v>
      </c>
      <c r="N1125" s="358"/>
    </row>
    <row r="1126" spans="1:14" s="359" customFormat="1" hidden="1">
      <c r="A1126" s="336"/>
      <c r="B1126" s="328"/>
      <c r="C1126" s="341" t="s">
        <v>1250</v>
      </c>
      <c r="D1126" s="336" t="s">
        <v>57</v>
      </c>
      <c r="E1126" s="336">
        <v>19</v>
      </c>
      <c r="F1126" s="60">
        <f>F1121*E1126</f>
        <v>0</v>
      </c>
      <c r="G1126" s="788">
        <v>3.2</v>
      </c>
      <c r="H1126" s="225">
        <f>F1126*G1126</f>
        <v>0</v>
      </c>
      <c r="I1126" s="790"/>
      <c r="J1126" s="331"/>
      <c r="K1126" s="414"/>
      <c r="L1126" s="331"/>
      <c r="M1126" s="225">
        <f>H1126+J1126+L1126</f>
        <v>0</v>
      </c>
      <c r="N1126" s="358"/>
    </row>
    <row r="1127" spans="1:14" s="359" customFormat="1" hidden="1">
      <c r="A1127" s="336"/>
      <c r="B1127" s="328"/>
      <c r="C1127" s="341" t="s">
        <v>1251</v>
      </c>
      <c r="D1127" s="336" t="s">
        <v>206</v>
      </c>
      <c r="E1127" s="336">
        <v>0.09</v>
      </c>
      <c r="F1127" s="60">
        <f>F1121*E1127</f>
        <v>0</v>
      </c>
      <c r="G1127" s="1081">
        <v>953</v>
      </c>
      <c r="H1127" s="225">
        <f>F1127*G1127</f>
        <v>0</v>
      </c>
      <c r="I1127" s="790"/>
      <c r="J1127" s="331"/>
      <c r="K1127" s="414"/>
      <c r="L1127" s="331"/>
      <c r="M1127" s="225">
        <f>H1127+J1127+L1127</f>
        <v>0</v>
      </c>
      <c r="N1127" s="358"/>
    </row>
    <row r="1128" spans="1:14" s="359" customFormat="1" hidden="1">
      <c r="A1128" s="336"/>
      <c r="B1128" s="328"/>
      <c r="C1128" s="341" t="s">
        <v>214</v>
      </c>
      <c r="D1128" s="336" t="s">
        <v>57</v>
      </c>
      <c r="E1128" s="336">
        <v>0.4</v>
      </c>
      <c r="F1128" s="60">
        <f>F1121*E1128</f>
        <v>0</v>
      </c>
      <c r="G1128" s="789">
        <v>3.2</v>
      </c>
      <c r="H1128" s="225">
        <f>F1128*G1128</f>
        <v>0</v>
      </c>
      <c r="I1128" s="790"/>
      <c r="J1128" s="331"/>
      <c r="K1128" s="414"/>
      <c r="L1128" s="418"/>
      <c r="M1128" s="225">
        <f>H1128+J1128+L1128</f>
        <v>0</v>
      </c>
      <c r="N1128" s="358"/>
    </row>
    <row r="1129" spans="1:14" s="95" customFormat="1" hidden="1">
      <c r="A1129" s="140">
        <v>10</v>
      </c>
      <c r="B1129" s="1456" t="s">
        <v>525</v>
      </c>
      <c r="C1129" s="227" t="s">
        <v>495</v>
      </c>
      <c r="D1129" s="140" t="s">
        <v>113</v>
      </c>
      <c r="E1129" s="248"/>
      <c r="F1129" s="406">
        <f>'დეფექტური აქტი'!E230</f>
        <v>0</v>
      </c>
      <c r="G1129" s="608"/>
      <c r="H1129" s="422"/>
      <c r="I1129" s="422"/>
      <c r="J1129" s="422"/>
      <c r="K1129" s="422"/>
      <c r="L1129" s="422"/>
      <c r="M1129" s="422"/>
    </row>
    <row r="1130" spans="1:14" s="95" customFormat="1" hidden="1">
      <c r="A1130" s="83"/>
      <c r="B1130" s="1457"/>
      <c r="C1130" s="226" t="s">
        <v>209</v>
      </c>
      <c r="D1130" s="211" t="s">
        <v>80</v>
      </c>
      <c r="E1130" s="94">
        <v>1</v>
      </c>
      <c r="F1130" s="386">
        <f>F1129*E1130</f>
        <v>0</v>
      </c>
      <c r="G1130" s="523"/>
      <c r="H1130" s="604"/>
      <c r="I1130" s="386">
        <v>4.5999999999999996</v>
      </c>
      <c r="J1130" s="225">
        <f>F1130*I1130</f>
        <v>0</v>
      </c>
      <c r="K1130" s="225"/>
      <c r="L1130" s="225"/>
      <c r="M1130" s="225">
        <f>H1130+J1130+L1130</f>
        <v>0</v>
      </c>
    </row>
    <row r="1131" spans="1:14" s="95" customFormat="1" hidden="1">
      <c r="A1131" s="86"/>
      <c r="B1131" s="1458"/>
      <c r="C1131" s="229" t="s">
        <v>133</v>
      </c>
      <c r="D1131" s="86" t="s">
        <v>57</v>
      </c>
      <c r="E1131" s="241">
        <v>0.49299999999999999</v>
      </c>
      <c r="F1131" s="387">
        <f>F1129*E1131</f>
        <v>0</v>
      </c>
      <c r="G1131" s="606"/>
      <c r="H1131" s="393"/>
      <c r="I1131" s="393"/>
      <c r="J1131" s="393"/>
      <c r="K1131" s="393">
        <v>3.2</v>
      </c>
      <c r="L1131" s="393">
        <f>F1131*K1131</f>
        <v>0</v>
      </c>
      <c r="M1131" s="393">
        <f>H1131+J1131+L1131</f>
        <v>0</v>
      </c>
    </row>
    <row r="1132" spans="1:14" s="92" customFormat="1" ht="27" hidden="1">
      <c r="A1132" s="83">
        <v>11</v>
      </c>
      <c r="B1132" s="1446" t="s">
        <v>615</v>
      </c>
      <c r="C1132" s="84" t="s">
        <v>611</v>
      </c>
      <c r="D1132" s="140" t="s">
        <v>206</v>
      </c>
      <c r="E1132" s="83"/>
      <c r="F1132" s="388">
        <f>'დეფექტური აქტი'!E231</f>
        <v>0</v>
      </c>
      <c r="G1132" s="225"/>
      <c r="H1132" s="600"/>
      <c r="I1132" s="225"/>
      <c r="J1132" s="225"/>
      <c r="K1132" s="225"/>
      <c r="L1132" s="225"/>
      <c r="M1132" s="225"/>
    </row>
    <row r="1133" spans="1:14" s="92" customFormat="1" hidden="1">
      <c r="A1133" s="83"/>
      <c r="B1133" s="1432"/>
      <c r="C1133" s="223" t="s">
        <v>209</v>
      </c>
      <c r="D1133" s="211" t="s">
        <v>80</v>
      </c>
      <c r="E1133" s="211">
        <v>53.8</v>
      </c>
      <c r="F1133" s="386">
        <f>F1132*E1133</f>
        <v>0</v>
      </c>
      <c r="G1133" s="225"/>
      <c r="H1133" s="225"/>
      <c r="I1133" s="386">
        <v>6</v>
      </c>
      <c r="J1133" s="225">
        <f>F1133*I1133</f>
        <v>0</v>
      </c>
      <c r="K1133" s="225"/>
      <c r="L1133" s="225"/>
      <c r="M1133" s="225">
        <f>H1133+J1133+L1133</f>
        <v>0</v>
      </c>
    </row>
    <row r="1134" spans="1:14" s="92" customFormat="1" hidden="1">
      <c r="A1134" s="83"/>
      <c r="B1134" s="1432"/>
      <c r="C1134" s="223" t="s">
        <v>81</v>
      </c>
      <c r="D1134" s="83" t="s">
        <v>57</v>
      </c>
      <c r="E1134" s="211">
        <v>20</v>
      </c>
      <c r="F1134" s="386">
        <f>F1132*E1134</f>
        <v>0</v>
      </c>
      <c r="G1134" s="225"/>
      <c r="H1134" s="225"/>
      <c r="I1134" s="225"/>
      <c r="J1134" s="225"/>
      <c r="K1134" s="225">
        <v>3.2</v>
      </c>
      <c r="L1134" s="225">
        <f>F1134*K1134</f>
        <v>0</v>
      </c>
      <c r="M1134" s="225">
        <f>H1134+J1134+L1134</f>
        <v>0</v>
      </c>
    </row>
    <row r="1135" spans="1:14" s="92" customFormat="1" hidden="1">
      <c r="A1135" s="83"/>
      <c r="B1135" s="1432"/>
      <c r="C1135" s="15" t="s">
        <v>210</v>
      </c>
      <c r="D1135" s="211"/>
      <c r="E1135" s="211"/>
      <c r="F1135" s="386"/>
      <c r="G1135" s="225"/>
      <c r="H1135" s="225"/>
      <c r="I1135" s="225"/>
      <c r="J1135" s="225"/>
      <c r="K1135" s="225"/>
      <c r="L1135" s="225"/>
      <c r="M1135" s="225"/>
    </row>
    <row r="1136" spans="1:14" s="92" customFormat="1" hidden="1">
      <c r="A1136" s="83"/>
      <c r="B1136" s="1432"/>
      <c r="C1136" s="15" t="s">
        <v>1303</v>
      </c>
      <c r="D1136" s="179" t="s">
        <v>206</v>
      </c>
      <c r="E1136" s="211">
        <v>1</v>
      </c>
      <c r="F1136" s="386">
        <f>F1132*E1136</f>
        <v>0</v>
      </c>
      <c r="G1136" s="610">
        <v>2140</v>
      </c>
      <c r="H1136" s="225">
        <f>G1136*F1136</f>
        <v>0</v>
      </c>
      <c r="I1136" s="225"/>
      <c r="J1136" s="225"/>
      <c r="K1136" s="225"/>
      <c r="L1136" s="225"/>
      <c r="M1136" s="225">
        <f>H1136</f>
        <v>0</v>
      </c>
    </row>
    <row r="1137" spans="1:13" s="92" customFormat="1" hidden="1">
      <c r="A1137" s="83"/>
      <c r="B1137" s="1432"/>
      <c r="C1137" s="84" t="s">
        <v>1331</v>
      </c>
      <c r="D1137" s="179" t="s">
        <v>206</v>
      </c>
      <c r="E1137" s="211"/>
      <c r="F1137" s="388">
        <f>'დეფექტური აქტი'!E232*0.00754</f>
        <v>0</v>
      </c>
      <c r="G1137" s="225">
        <v>1620</v>
      </c>
      <c r="H1137" s="225">
        <f>G1137*F1137</f>
        <v>0</v>
      </c>
      <c r="I1137" s="225"/>
      <c r="J1137" s="225"/>
      <c r="K1137" s="225"/>
      <c r="L1137" s="225"/>
      <c r="M1137" s="225">
        <f>H1137</f>
        <v>0</v>
      </c>
    </row>
    <row r="1138" spans="1:13" s="92" customFormat="1" hidden="1">
      <c r="A1138" s="83"/>
      <c r="B1138" s="1432"/>
      <c r="C1138" s="84" t="s">
        <v>1332</v>
      </c>
      <c r="D1138" s="179" t="s">
        <v>206</v>
      </c>
      <c r="E1138" s="211"/>
      <c r="F1138" s="388">
        <f>'დეფექტური აქტი'!E233*0.00476</f>
        <v>0</v>
      </c>
      <c r="G1138" s="225">
        <v>1620</v>
      </c>
      <c r="H1138" s="225">
        <f>G1138*F1138</f>
        <v>0</v>
      </c>
      <c r="I1138" s="225"/>
      <c r="J1138" s="225"/>
      <c r="K1138" s="225"/>
      <c r="L1138" s="225"/>
      <c r="M1138" s="225">
        <f>H1138</f>
        <v>0</v>
      </c>
    </row>
    <row r="1139" spans="1:13" s="92" customFormat="1" hidden="1">
      <c r="A1139" s="83"/>
      <c r="B1139" s="1432"/>
      <c r="C1139" s="84" t="s">
        <v>1333</v>
      </c>
      <c r="D1139" s="179" t="s">
        <v>206</v>
      </c>
      <c r="E1139" s="211"/>
      <c r="F1139" s="388">
        <f>'დეფექტური აქტი'!E234*0.00414</f>
        <v>0</v>
      </c>
      <c r="G1139" s="225">
        <v>1620</v>
      </c>
      <c r="H1139" s="225">
        <f>G1139*F1139</f>
        <v>0</v>
      </c>
      <c r="I1139" s="225"/>
      <c r="J1139" s="225"/>
      <c r="K1139" s="225"/>
      <c r="L1139" s="225"/>
      <c r="M1139" s="225">
        <f>H1139</f>
        <v>0</v>
      </c>
    </row>
    <row r="1140" spans="1:13" s="92" customFormat="1" hidden="1">
      <c r="A1140" s="83"/>
      <c r="B1140" s="1432"/>
      <c r="C1140" s="26" t="s">
        <v>766</v>
      </c>
      <c r="D1140" s="29" t="s">
        <v>124</v>
      </c>
      <c r="E1140" s="211"/>
      <c r="F1140" s="388">
        <f>'დეფექტური აქტი'!E235</f>
        <v>0</v>
      </c>
      <c r="G1140" s="225">
        <v>28.8</v>
      </c>
      <c r="H1140" s="225">
        <f>G1140*F1140</f>
        <v>0</v>
      </c>
      <c r="I1140" s="225"/>
      <c r="J1140" s="225"/>
      <c r="K1140" s="225"/>
      <c r="L1140" s="225"/>
      <c r="M1140" s="225">
        <f>H1140</f>
        <v>0</v>
      </c>
    </row>
    <row r="1141" spans="1:13" s="92" customFormat="1" hidden="1">
      <c r="A1141" s="83"/>
      <c r="B1141" s="1432"/>
      <c r="C1141" s="223" t="s">
        <v>307</v>
      </c>
      <c r="D1141" s="211" t="s">
        <v>97</v>
      </c>
      <c r="E1141" s="211">
        <v>24.4</v>
      </c>
      <c r="F1141" s="386">
        <f>F1132*E1141</f>
        <v>0</v>
      </c>
      <c r="G1141" s="225">
        <v>3.75</v>
      </c>
      <c r="H1141" s="225">
        <f>F1141*G1141</f>
        <v>0</v>
      </c>
      <c r="I1141" s="225"/>
      <c r="J1141" s="225"/>
      <c r="K1141" s="225"/>
      <c r="L1141" s="225"/>
      <c r="M1141" s="225">
        <f>H1141+J1141+L1141</f>
        <v>0</v>
      </c>
    </row>
    <row r="1142" spans="1:13" s="92" customFormat="1" hidden="1">
      <c r="A1142" s="86"/>
      <c r="B1142" s="1437"/>
      <c r="C1142" s="232" t="s">
        <v>214</v>
      </c>
      <c r="D1142" s="86" t="s">
        <v>57</v>
      </c>
      <c r="E1142" s="230">
        <v>2.78</v>
      </c>
      <c r="F1142" s="387">
        <f>F1132*E1142</f>
        <v>0</v>
      </c>
      <c r="G1142" s="393">
        <v>3.2</v>
      </c>
      <c r="H1142" s="393">
        <f>F1142*G1142</f>
        <v>0</v>
      </c>
      <c r="I1142" s="393"/>
      <c r="J1142" s="393"/>
      <c r="K1142" s="393"/>
      <c r="L1142" s="393"/>
      <c r="M1142" s="393">
        <f>H1142+J1142+L1142</f>
        <v>0</v>
      </c>
    </row>
    <row r="1143" spans="1:13" s="92" customFormat="1" ht="27" hidden="1">
      <c r="A1143" s="83">
        <v>12</v>
      </c>
      <c r="B1143" s="1446"/>
      <c r="C1143" s="84" t="s">
        <v>613</v>
      </c>
      <c r="D1143" s="140" t="s">
        <v>206</v>
      </c>
      <c r="E1143" s="83"/>
      <c r="F1143" s="388">
        <f>'დეფექტური აქტი'!E236</f>
        <v>0</v>
      </c>
      <c r="G1143" s="225"/>
      <c r="H1143" s="225"/>
      <c r="I1143" s="225"/>
      <c r="J1143" s="225"/>
      <c r="K1143" s="225"/>
      <c r="L1143" s="225"/>
      <c r="M1143" s="225"/>
    </row>
    <row r="1144" spans="1:13" s="92" customFormat="1" hidden="1">
      <c r="A1144" s="83"/>
      <c r="B1144" s="1432"/>
      <c r="C1144" s="223" t="s">
        <v>209</v>
      </c>
      <c r="D1144" s="211" t="s">
        <v>80</v>
      </c>
      <c r="E1144" s="211">
        <v>7.96</v>
      </c>
      <c r="F1144" s="386">
        <f>F1143*E1144</f>
        <v>0</v>
      </c>
      <c r="G1144" s="225"/>
      <c r="H1144" s="225"/>
      <c r="I1144" s="386">
        <v>6</v>
      </c>
      <c r="J1144" s="225">
        <f>F1144*I1144</f>
        <v>0</v>
      </c>
      <c r="K1144" s="225"/>
      <c r="L1144" s="225"/>
      <c r="M1144" s="225">
        <f>H1144+J1144+L1144</f>
        <v>0</v>
      </c>
    </row>
    <row r="1145" spans="1:13" s="92" customFormat="1" hidden="1">
      <c r="A1145" s="83"/>
      <c r="B1145" s="1432"/>
      <c r="C1145" s="15" t="s">
        <v>210</v>
      </c>
      <c r="D1145" s="211"/>
      <c r="E1145" s="211"/>
      <c r="F1145" s="386"/>
      <c r="G1145" s="225"/>
      <c r="H1145" s="225"/>
      <c r="I1145" s="225"/>
      <c r="J1145" s="225"/>
      <c r="K1145" s="225"/>
      <c r="L1145" s="225"/>
      <c r="M1145" s="225"/>
    </row>
    <row r="1146" spans="1:13" s="92" customFormat="1" hidden="1">
      <c r="A1146" s="86"/>
      <c r="B1146" s="1437"/>
      <c r="C1146" s="232" t="s">
        <v>617</v>
      </c>
      <c r="D1146" s="230" t="s">
        <v>97</v>
      </c>
      <c r="E1146" s="230">
        <v>4.5</v>
      </c>
      <c r="F1146" s="387">
        <f>F1143*E1146</f>
        <v>0</v>
      </c>
      <c r="G1146" s="393">
        <v>5</v>
      </c>
      <c r="H1146" s="393">
        <f>F1146*G1146</f>
        <v>0</v>
      </c>
      <c r="I1146" s="393"/>
      <c r="J1146" s="393"/>
      <c r="K1146" s="393"/>
      <c r="L1146" s="393"/>
      <c r="M1146" s="393">
        <f>H1146+J1146+L1146</f>
        <v>0</v>
      </c>
    </row>
    <row r="1147" spans="1:13" s="89" customFormat="1" hidden="1">
      <c r="A1147" s="83">
        <v>13</v>
      </c>
      <c r="B1147" s="1446" t="s">
        <v>618</v>
      </c>
      <c r="C1147" s="84" t="s">
        <v>612</v>
      </c>
      <c r="D1147" s="140" t="s">
        <v>88</v>
      </c>
      <c r="E1147" s="83"/>
      <c r="F1147" s="388">
        <f>'დეფექტური აქტი'!E237</f>
        <v>0</v>
      </c>
      <c r="G1147" s="225"/>
      <c r="H1147" s="225"/>
      <c r="I1147" s="225"/>
      <c r="J1147" s="225"/>
      <c r="K1147" s="225"/>
      <c r="L1147" s="225"/>
      <c r="M1147" s="225"/>
    </row>
    <row r="1148" spans="1:13" s="89" customFormat="1" hidden="1">
      <c r="A1148" s="83"/>
      <c r="B1148" s="1432"/>
      <c r="C1148" s="226" t="s">
        <v>209</v>
      </c>
      <c r="D1148" s="211" t="s">
        <v>80</v>
      </c>
      <c r="E1148" s="211">
        <v>74.2</v>
      </c>
      <c r="F1148" s="386">
        <f>F1147*E1148</f>
        <v>0</v>
      </c>
      <c r="G1148" s="225"/>
      <c r="H1148" s="225"/>
      <c r="I1148" s="386">
        <v>4.5999999999999996</v>
      </c>
      <c r="J1148" s="225">
        <f>F1148*I1148</f>
        <v>0</v>
      </c>
      <c r="K1148" s="225"/>
      <c r="L1148" s="225"/>
      <c r="M1148" s="225">
        <f>H1148+J1148+L1148</f>
        <v>0</v>
      </c>
    </row>
    <row r="1149" spans="1:13" s="89" customFormat="1" hidden="1">
      <c r="A1149" s="83"/>
      <c r="B1149" s="1432"/>
      <c r="C1149" s="226" t="s">
        <v>133</v>
      </c>
      <c r="D1149" s="83" t="s">
        <v>57</v>
      </c>
      <c r="E1149" s="211">
        <v>1.1000000000000001</v>
      </c>
      <c r="F1149" s="386">
        <f>F1147*E1149</f>
        <v>0</v>
      </c>
      <c r="G1149" s="225"/>
      <c r="H1149" s="225"/>
      <c r="I1149" s="225"/>
      <c r="J1149" s="225"/>
      <c r="K1149" s="225">
        <v>3.2</v>
      </c>
      <c r="L1149" s="225">
        <f>F1149*K1149</f>
        <v>0</v>
      </c>
      <c r="M1149" s="225">
        <f>H1149+J1149+L1149</f>
        <v>0</v>
      </c>
    </row>
    <row r="1150" spans="1:13" s="89" customFormat="1" hidden="1">
      <c r="A1150" s="83"/>
      <c r="B1150" s="1432"/>
      <c r="C1150" s="15" t="s">
        <v>210</v>
      </c>
      <c r="D1150" s="211"/>
      <c r="E1150" s="211"/>
      <c r="F1150" s="386"/>
      <c r="G1150" s="225"/>
      <c r="H1150" s="225"/>
      <c r="I1150" s="225"/>
      <c r="J1150" s="225"/>
      <c r="K1150" s="225"/>
      <c r="L1150" s="225"/>
      <c r="M1150" s="225"/>
    </row>
    <row r="1151" spans="1:13" s="89" customFormat="1" hidden="1">
      <c r="A1151" s="83"/>
      <c r="B1151" s="1432"/>
      <c r="C1151" s="226" t="s">
        <v>1310</v>
      </c>
      <c r="D1151" s="211" t="s">
        <v>88</v>
      </c>
      <c r="E1151" s="211">
        <v>1.02</v>
      </c>
      <c r="F1151" s="386">
        <f>F1147*E1151</f>
        <v>0</v>
      </c>
      <c r="G1151" s="225">
        <v>107</v>
      </c>
      <c r="H1151" s="225">
        <f t="shared" ref="H1151:H1156" si="13">F1151*G1151</f>
        <v>0</v>
      </c>
      <c r="I1151" s="225"/>
      <c r="J1151" s="225"/>
      <c r="K1151" s="225"/>
      <c r="L1151" s="225"/>
      <c r="M1151" s="225">
        <f t="shared" ref="M1151:M1156" si="14">H1151+J1151+L1151</f>
        <v>0</v>
      </c>
    </row>
    <row r="1152" spans="1:13" s="89" customFormat="1" hidden="1">
      <c r="A1152" s="83"/>
      <c r="B1152" s="1432"/>
      <c r="C1152" s="226" t="s">
        <v>532</v>
      </c>
      <c r="D1152" s="211" t="s">
        <v>88</v>
      </c>
      <c r="E1152" s="211">
        <v>0.04</v>
      </c>
      <c r="F1152" s="386">
        <f>F1147*E1152</f>
        <v>0</v>
      </c>
      <c r="G1152" s="225">
        <v>16.100000000000001</v>
      </c>
      <c r="H1152" s="225">
        <f t="shared" si="13"/>
        <v>0</v>
      </c>
      <c r="I1152" s="225"/>
      <c r="J1152" s="225"/>
      <c r="K1152" s="225"/>
      <c r="L1152" s="225"/>
      <c r="M1152" s="225">
        <f t="shared" si="14"/>
        <v>0</v>
      </c>
    </row>
    <row r="1153" spans="1:13" s="89" customFormat="1" hidden="1">
      <c r="A1153" s="83"/>
      <c r="B1153" s="1432"/>
      <c r="C1153" s="226" t="s">
        <v>619</v>
      </c>
      <c r="D1153" s="211" t="s">
        <v>78</v>
      </c>
      <c r="E1153" s="211">
        <v>0.80300000000000005</v>
      </c>
      <c r="F1153" s="386">
        <f>F1147*E1153</f>
        <v>0</v>
      </c>
      <c r="G1153" s="225">
        <v>10.5</v>
      </c>
      <c r="H1153" s="225">
        <f t="shared" si="13"/>
        <v>0</v>
      </c>
      <c r="I1153" s="225"/>
      <c r="J1153" s="225"/>
      <c r="K1153" s="225"/>
      <c r="L1153" s="225"/>
      <c r="M1153" s="225">
        <f t="shared" si="14"/>
        <v>0</v>
      </c>
    </row>
    <row r="1154" spans="1:13" s="89" customFormat="1" hidden="1">
      <c r="A1154" s="83"/>
      <c r="B1154" s="1432"/>
      <c r="C1154" s="226" t="s">
        <v>620</v>
      </c>
      <c r="D1154" s="211" t="s">
        <v>88</v>
      </c>
      <c r="E1154" s="211">
        <v>4.0000000000000001E-3</v>
      </c>
      <c r="F1154" s="386">
        <f>F1147*E1154</f>
        <v>0</v>
      </c>
      <c r="G1154" s="225">
        <v>403</v>
      </c>
      <c r="H1154" s="225">
        <f t="shared" si="13"/>
        <v>0</v>
      </c>
      <c r="I1154" s="225"/>
      <c r="J1154" s="225"/>
      <c r="K1154" s="225"/>
      <c r="L1154" s="225"/>
      <c r="M1154" s="225">
        <f t="shared" si="14"/>
        <v>0</v>
      </c>
    </row>
    <row r="1155" spans="1:13" s="89" customFormat="1" hidden="1">
      <c r="A1155" s="83"/>
      <c r="B1155" s="1432"/>
      <c r="C1155" s="226" t="s">
        <v>264</v>
      </c>
      <c r="D1155" s="211" t="s">
        <v>88</v>
      </c>
      <c r="E1155" s="211">
        <v>4.2000000000000003E-2</v>
      </c>
      <c r="F1155" s="386">
        <f>F1147*E1155</f>
        <v>0</v>
      </c>
      <c r="G1155" s="225">
        <v>490</v>
      </c>
      <c r="H1155" s="225">
        <f t="shared" si="13"/>
        <v>0</v>
      </c>
      <c r="I1155" s="225"/>
      <c r="J1155" s="225"/>
      <c r="K1155" s="225"/>
      <c r="L1155" s="225"/>
      <c r="M1155" s="225">
        <f t="shared" si="14"/>
        <v>0</v>
      </c>
    </row>
    <row r="1156" spans="1:13" s="89" customFormat="1" hidden="1">
      <c r="A1156" s="86"/>
      <c r="B1156" s="1437"/>
      <c r="C1156" s="229" t="s">
        <v>214</v>
      </c>
      <c r="D1156" s="86" t="s">
        <v>57</v>
      </c>
      <c r="E1156" s="230">
        <v>0.32</v>
      </c>
      <c r="F1156" s="387">
        <f>F1147*E1156</f>
        <v>0</v>
      </c>
      <c r="G1156" s="393">
        <v>3.2</v>
      </c>
      <c r="H1156" s="393">
        <f t="shared" si="13"/>
        <v>0</v>
      </c>
      <c r="I1156" s="393"/>
      <c r="J1156" s="393"/>
      <c r="K1156" s="393"/>
      <c r="L1156" s="393"/>
      <c r="M1156" s="393">
        <f t="shared" si="14"/>
        <v>0</v>
      </c>
    </row>
    <row r="1157" spans="1:13" s="88" customFormat="1" ht="27" hidden="1">
      <c r="A1157" s="140">
        <v>14</v>
      </c>
      <c r="B1157" s="1431" t="s">
        <v>194</v>
      </c>
      <c r="C1157" s="151" t="s">
        <v>1598</v>
      </c>
      <c r="D1157" s="140" t="s">
        <v>78</v>
      </c>
      <c r="E1157" s="140"/>
      <c r="F1157" s="456">
        <f>'დეფექტური აქტი'!E238</f>
        <v>0</v>
      </c>
      <c r="G1157" s="385"/>
      <c r="H1157" s="385"/>
      <c r="I1157" s="385"/>
      <c r="J1157" s="385"/>
      <c r="K1157" s="385"/>
      <c r="L1157" s="385"/>
      <c r="M1157" s="385"/>
    </row>
    <row r="1158" spans="1:13" s="88" customFormat="1" hidden="1">
      <c r="A1158" s="83"/>
      <c r="B1158" s="1432"/>
      <c r="C1158" s="223" t="s">
        <v>209</v>
      </c>
      <c r="D1158" s="211" t="s">
        <v>80</v>
      </c>
      <c r="E1158" s="211">
        <v>0.83</v>
      </c>
      <c r="F1158" s="60">
        <f>F1157*E1158</f>
        <v>0</v>
      </c>
      <c r="G1158" s="386"/>
      <c r="H1158" s="386"/>
      <c r="I1158" s="386">
        <v>6</v>
      </c>
      <c r="J1158" s="386">
        <f>F1158*I1158</f>
        <v>0</v>
      </c>
      <c r="K1158" s="386"/>
      <c r="L1158" s="386"/>
      <c r="M1158" s="386">
        <f>H1158+J1158+L1158</f>
        <v>0</v>
      </c>
    </row>
    <row r="1159" spans="1:13" s="88" customFormat="1" hidden="1">
      <c r="A1159" s="83"/>
      <c r="B1159" s="1432"/>
      <c r="C1159" s="84" t="s">
        <v>81</v>
      </c>
      <c r="D1159" s="83" t="s">
        <v>57</v>
      </c>
      <c r="E1159" s="83">
        <v>4.1000000000000003E-3</v>
      </c>
      <c r="F1159" s="60">
        <f>F1157*E1159</f>
        <v>0</v>
      </c>
      <c r="G1159" s="386"/>
      <c r="H1159" s="386"/>
      <c r="I1159" s="386"/>
      <c r="J1159" s="386"/>
      <c r="K1159" s="386">
        <v>3.2</v>
      </c>
      <c r="L1159" s="386">
        <f>F1159*K1159</f>
        <v>0</v>
      </c>
      <c r="M1159" s="386">
        <f>H1159+J1159+L1159</f>
        <v>0</v>
      </c>
    </row>
    <row r="1160" spans="1:13" s="88" customFormat="1" hidden="1">
      <c r="A1160" s="83"/>
      <c r="B1160" s="1432"/>
      <c r="C1160" s="365" t="s">
        <v>210</v>
      </c>
      <c r="D1160" s="83"/>
      <c r="E1160" s="83"/>
      <c r="F1160" s="386"/>
      <c r="G1160" s="386"/>
      <c r="H1160" s="386"/>
      <c r="I1160" s="386"/>
      <c r="J1160" s="386"/>
      <c r="K1160" s="386"/>
      <c r="L1160" s="386"/>
      <c r="M1160" s="386"/>
    </row>
    <row r="1161" spans="1:13" s="88" customFormat="1" ht="27" hidden="1">
      <c r="A1161" s="83"/>
      <c r="B1161" s="1432"/>
      <c r="C1161" s="84" t="s">
        <v>1304</v>
      </c>
      <c r="D1161" s="83" t="s">
        <v>78</v>
      </c>
      <c r="E1161" s="83">
        <v>1.17</v>
      </c>
      <c r="F1161" s="60">
        <f>F1157*E1161</f>
        <v>0</v>
      </c>
      <c r="G1161" s="386">
        <v>9.9</v>
      </c>
      <c r="H1161" s="386">
        <f>F1161*G1161</f>
        <v>0</v>
      </c>
      <c r="I1161" s="386"/>
      <c r="J1161" s="386"/>
      <c r="K1161" s="386"/>
      <c r="L1161" s="386"/>
      <c r="M1161" s="386">
        <f>H1161+J1161+L1161</f>
        <v>0</v>
      </c>
    </row>
    <row r="1162" spans="1:13" s="88" customFormat="1" hidden="1">
      <c r="A1162" s="86"/>
      <c r="B1162" s="1437"/>
      <c r="C1162" s="87" t="s">
        <v>214</v>
      </c>
      <c r="D1162" s="86" t="s">
        <v>57</v>
      </c>
      <c r="E1162" s="86">
        <v>7.8E-2</v>
      </c>
      <c r="F1162" s="61">
        <f>F1157*E1162</f>
        <v>0</v>
      </c>
      <c r="G1162" s="387">
        <v>3.2</v>
      </c>
      <c r="H1162" s="387">
        <f>F1162*G1162</f>
        <v>0</v>
      </c>
      <c r="I1162" s="387"/>
      <c r="J1162" s="387"/>
      <c r="K1162" s="387"/>
      <c r="L1162" s="387"/>
      <c r="M1162" s="387">
        <f>H1162+J1162+L1162</f>
        <v>0</v>
      </c>
    </row>
    <row r="1163" spans="1:13" s="88" customFormat="1" hidden="1">
      <c r="A1163" s="83">
        <v>15</v>
      </c>
      <c r="B1163" s="1446" t="s">
        <v>634</v>
      </c>
      <c r="C1163" s="151" t="s">
        <v>614</v>
      </c>
      <c r="D1163" s="228" t="s">
        <v>78</v>
      </c>
      <c r="E1163" s="211"/>
      <c r="F1163" s="388">
        <f>'დეფექტური აქტი'!E239</f>
        <v>0</v>
      </c>
      <c r="G1163" s="225"/>
      <c r="H1163" s="225"/>
      <c r="I1163" s="225"/>
      <c r="J1163" s="225"/>
      <c r="K1163" s="225"/>
      <c r="L1163" s="225"/>
      <c r="M1163" s="225"/>
    </row>
    <row r="1164" spans="1:13" s="88" customFormat="1" hidden="1">
      <c r="A1164" s="83"/>
      <c r="B1164" s="1432"/>
      <c r="C1164" s="223" t="s">
        <v>209</v>
      </c>
      <c r="D1164" s="211" t="s">
        <v>80</v>
      </c>
      <c r="E1164" s="211">
        <v>1.08</v>
      </c>
      <c r="F1164" s="386">
        <f>F1163*E1164</f>
        <v>0</v>
      </c>
      <c r="G1164" s="225"/>
      <c r="H1164" s="225"/>
      <c r="I1164" s="386">
        <v>6</v>
      </c>
      <c r="J1164" s="225">
        <f>F1164*I1164</f>
        <v>0</v>
      </c>
      <c r="K1164" s="225"/>
      <c r="L1164" s="225"/>
      <c r="M1164" s="225">
        <f>H1164+J1164+L1164</f>
        <v>0</v>
      </c>
    </row>
    <row r="1165" spans="1:13" s="88" customFormat="1" hidden="1">
      <c r="A1165" s="83"/>
      <c r="B1165" s="1432"/>
      <c r="C1165" s="223" t="s">
        <v>133</v>
      </c>
      <c r="D1165" s="83" t="s">
        <v>57</v>
      </c>
      <c r="E1165" s="211">
        <v>2.8000000000000001E-2</v>
      </c>
      <c r="F1165" s="386">
        <f>F1163*E1165</f>
        <v>0</v>
      </c>
      <c r="G1165" s="225"/>
      <c r="H1165" s="225"/>
      <c r="I1165" s="225"/>
      <c r="J1165" s="225"/>
      <c r="K1165" s="225">
        <v>3.2</v>
      </c>
      <c r="L1165" s="225">
        <f>F1165*K1165</f>
        <v>0</v>
      </c>
      <c r="M1165" s="225">
        <f>H1165+J1165+L1165</f>
        <v>0</v>
      </c>
    </row>
    <row r="1166" spans="1:13" s="88" customFormat="1" hidden="1">
      <c r="A1166" s="83"/>
      <c r="B1166" s="1432"/>
      <c r="C1166" s="15" t="s">
        <v>210</v>
      </c>
      <c r="D1166" s="211"/>
      <c r="E1166" s="211"/>
      <c r="F1166" s="386"/>
      <c r="G1166" s="225"/>
      <c r="H1166" s="225"/>
      <c r="I1166" s="225"/>
      <c r="J1166" s="225"/>
      <c r="K1166" s="225"/>
      <c r="L1166" s="225"/>
      <c r="M1166" s="225"/>
    </row>
    <row r="1167" spans="1:13" s="88" customFormat="1" hidden="1">
      <c r="A1167" s="83"/>
      <c r="B1167" s="1432"/>
      <c r="C1167" s="223" t="s">
        <v>635</v>
      </c>
      <c r="D1167" s="211" t="s">
        <v>78</v>
      </c>
      <c r="E1167" s="211">
        <v>1.02</v>
      </c>
      <c r="F1167" s="386">
        <f>F1163*E1167</f>
        <v>0</v>
      </c>
      <c r="G1167" s="610">
        <v>23</v>
      </c>
      <c r="H1167" s="225">
        <f>F1167*G1167</f>
        <v>0</v>
      </c>
      <c r="I1167" s="225"/>
      <c r="J1167" s="225"/>
      <c r="K1167" s="225"/>
      <c r="L1167" s="225"/>
      <c r="M1167" s="225">
        <f>H1167+J1167+L1167</f>
        <v>0</v>
      </c>
    </row>
    <row r="1168" spans="1:13" s="88" customFormat="1" hidden="1">
      <c r="A1168" s="83"/>
      <c r="B1168" s="1432"/>
      <c r="C1168" s="226" t="s">
        <v>636</v>
      </c>
      <c r="D1168" s="211" t="s">
        <v>97</v>
      </c>
      <c r="E1168" s="211">
        <v>0.28999999999999998</v>
      </c>
      <c r="F1168" s="386">
        <f>F1163*E1168</f>
        <v>0</v>
      </c>
      <c r="G1168" s="225">
        <v>0.9</v>
      </c>
      <c r="H1168" s="225">
        <f>F1168*G1168</f>
        <v>0</v>
      </c>
      <c r="I1168" s="225"/>
      <c r="J1168" s="225"/>
      <c r="K1168" s="225"/>
      <c r="L1168" s="225"/>
      <c r="M1168" s="225">
        <f>H1168+J1168+L1168</f>
        <v>0</v>
      </c>
    </row>
    <row r="1169" spans="1:13" s="92" customFormat="1" hidden="1">
      <c r="A1169" s="83"/>
      <c r="B1169" s="1437"/>
      <c r="C1169" s="226" t="s">
        <v>214</v>
      </c>
      <c r="D1169" s="86" t="s">
        <v>57</v>
      </c>
      <c r="E1169" s="211">
        <v>1.2E-2</v>
      </c>
      <c r="F1169" s="386">
        <f>F1163*E1169</f>
        <v>0</v>
      </c>
      <c r="G1169" s="225">
        <v>3.2</v>
      </c>
      <c r="H1169" s="225">
        <f>F1169*G1169</f>
        <v>0</v>
      </c>
      <c r="I1169" s="225"/>
      <c r="J1169" s="225"/>
      <c r="K1169" s="225"/>
      <c r="L1169" s="225"/>
      <c r="M1169" s="225">
        <f>H1169+J1169+L1169</f>
        <v>0</v>
      </c>
    </row>
    <row r="1170" spans="1:13" s="45" customFormat="1" hidden="1">
      <c r="A1170" s="48"/>
      <c r="B1170" s="199"/>
      <c r="C1170" s="107" t="s">
        <v>432</v>
      </c>
      <c r="D1170" s="48"/>
      <c r="E1170" s="48"/>
      <c r="F1170" s="390"/>
      <c r="G1170" s="390"/>
      <c r="H1170" s="390"/>
      <c r="I1170" s="390"/>
      <c r="J1170" s="390"/>
      <c r="K1170" s="390"/>
      <c r="L1170" s="390"/>
      <c r="M1170" s="390"/>
    </row>
    <row r="1171" spans="1:13" s="93" customFormat="1" hidden="1">
      <c r="A1171" s="83">
        <v>1</v>
      </c>
      <c r="B1171" s="1446" t="s">
        <v>888</v>
      </c>
      <c r="C1171" s="84" t="s">
        <v>891</v>
      </c>
      <c r="D1171" s="83" t="s">
        <v>88</v>
      </c>
      <c r="E1171" s="83"/>
      <c r="F1171" s="395">
        <f>'დეფექტური აქტი'!E241</f>
        <v>0</v>
      </c>
      <c r="G1171" s="386"/>
      <c r="H1171" s="386"/>
      <c r="I1171" s="386"/>
      <c r="J1171" s="386"/>
      <c r="K1171" s="386"/>
      <c r="L1171" s="386"/>
      <c r="M1171" s="386"/>
    </row>
    <row r="1172" spans="1:13" s="93" customFormat="1" hidden="1">
      <c r="A1172" s="86"/>
      <c r="B1172" s="1437"/>
      <c r="C1172" s="156" t="s">
        <v>889</v>
      </c>
      <c r="D1172" s="86" t="s">
        <v>80</v>
      </c>
      <c r="E1172" s="86">
        <v>2.6960000000000002</v>
      </c>
      <c r="F1172" s="396">
        <f>F1171*E1172</f>
        <v>0</v>
      </c>
      <c r="G1172" s="387"/>
      <c r="H1172" s="387"/>
      <c r="I1172" s="387">
        <v>4.5999999999999996</v>
      </c>
      <c r="J1172" s="387">
        <f>F1172*I1172</f>
        <v>0</v>
      </c>
      <c r="K1172" s="387"/>
      <c r="L1172" s="387"/>
      <c r="M1172" s="387">
        <f>H1172+J1172+L1172</f>
        <v>0</v>
      </c>
    </row>
    <row r="1173" spans="1:13" s="93" customFormat="1" hidden="1">
      <c r="A1173" s="140">
        <v>2</v>
      </c>
      <c r="B1173" s="1431" t="s">
        <v>890</v>
      </c>
      <c r="C1173" s="151" t="s">
        <v>433</v>
      </c>
      <c r="D1173" s="140" t="s">
        <v>88</v>
      </c>
      <c r="E1173" s="140"/>
      <c r="F1173" s="384">
        <f>'დეფექტური აქტი'!E242</f>
        <v>0</v>
      </c>
      <c r="G1173" s="385"/>
      <c r="H1173" s="385"/>
      <c r="I1173" s="385"/>
      <c r="J1173" s="385"/>
      <c r="K1173" s="385"/>
      <c r="L1173" s="385"/>
      <c r="M1173" s="385"/>
    </row>
    <row r="1174" spans="1:13" s="93" customFormat="1" hidden="1">
      <c r="A1174" s="83"/>
      <c r="B1174" s="1432"/>
      <c r="C1174" s="90" t="s">
        <v>128</v>
      </c>
      <c r="D1174" s="86" t="s">
        <v>80</v>
      </c>
      <c r="E1174" s="83">
        <v>1.21</v>
      </c>
      <c r="F1174" s="386">
        <f>F1173*E1174</f>
        <v>0</v>
      </c>
      <c r="G1174" s="386"/>
      <c r="H1174" s="386"/>
      <c r="I1174" s="387">
        <v>4.5999999999999996</v>
      </c>
      <c r="J1174" s="386">
        <f>F1174*I1174</f>
        <v>0</v>
      </c>
      <c r="K1174" s="386"/>
      <c r="L1174" s="386"/>
      <c r="M1174" s="386">
        <f>H1174+J1174+L1174</f>
        <v>0</v>
      </c>
    </row>
    <row r="1175" spans="1:13" s="95" customFormat="1" ht="27" hidden="1">
      <c r="A1175" s="140">
        <v>3</v>
      </c>
      <c r="B1175" s="1447"/>
      <c r="C1175" s="152" t="s">
        <v>1117</v>
      </c>
      <c r="D1175" s="140" t="s">
        <v>206</v>
      </c>
      <c r="E1175" s="153"/>
      <c r="F1175" s="384">
        <f>'დეფექტური აქტი'!E243*1.95</f>
        <v>0</v>
      </c>
      <c r="G1175" s="385"/>
      <c r="H1175" s="385"/>
      <c r="I1175" s="385"/>
      <c r="J1175" s="385"/>
      <c r="K1175" s="385"/>
      <c r="L1175" s="385"/>
      <c r="M1175" s="385">
        <f>H1175+J1175+L1175</f>
        <v>0</v>
      </c>
    </row>
    <row r="1176" spans="1:13" s="95" customFormat="1" hidden="1">
      <c r="A1176" s="83"/>
      <c r="B1176" s="1448"/>
      <c r="C1176" s="90" t="s">
        <v>209</v>
      </c>
      <c r="D1176" s="86" t="s">
        <v>80</v>
      </c>
      <c r="E1176" s="94">
        <v>0.53</v>
      </c>
      <c r="F1176" s="386">
        <f>F1175*E1176</f>
        <v>0</v>
      </c>
      <c r="G1176" s="386"/>
      <c r="H1176" s="603"/>
      <c r="I1176" s="387">
        <v>4.5999999999999996</v>
      </c>
      <c r="J1176" s="386">
        <f>F1176*I1176</f>
        <v>0</v>
      </c>
      <c r="K1176" s="386"/>
      <c r="L1176" s="386"/>
      <c r="M1176" s="386">
        <f>H1176+J1176+L1176</f>
        <v>0</v>
      </c>
    </row>
    <row r="1177" spans="1:13" s="93" customFormat="1" hidden="1">
      <c r="A1177" s="24">
        <v>4</v>
      </c>
      <c r="B1177" s="175"/>
      <c r="C1177" s="26" t="s">
        <v>735</v>
      </c>
      <c r="D1177" s="24" t="s">
        <v>206</v>
      </c>
      <c r="E1177" s="24"/>
      <c r="F1177" s="397">
        <f>'დეფექტური აქტი'!E244*1.95</f>
        <v>0</v>
      </c>
      <c r="G1177" s="390"/>
      <c r="H1177" s="390"/>
      <c r="I1177" s="390"/>
      <c r="J1177" s="390"/>
      <c r="K1177" s="390">
        <v>3.02</v>
      </c>
      <c r="L1177" s="390">
        <f>F1177*K1177</f>
        <v>0</v>
      </c>
      <c r="M1177" s="390">
        <f>H1177+J1177+L1177</f>
        <v>0</v>
      </c>
    </row>
    <row r="1178" spans="1:13" s="89" customFormat="1" hidden="1">
      <c r="A1178" s="140">
        <v>5</v>
      </c>
      <c r="B1178" s="1431" t="s">
        <v>292</v>
      </c>
      <c r="C1178" s="151" t="s">
        <v>293</v>
      </c>
      <c r="D1178" s="140" t="s">
        <v>88</v>
      </c>
      <c r="E1178" s="140"/>
      <c r="F1178" s="384">
        <f>'დეფექტური აქტი'!E245</f>
        <v>0</v>
      </c>
      <c r="G1178" s="385"/>
      <c r="H1178" s="385"/>
      <c r="I1178" s="385"/>
      <c r="J1178" s="385"/>
      <c r="K1178" s="385"/>
      <c r="L1178" s="385"/>
      <c r="M1178" s="385"/>
    </row>
    <row r="1179" spans="1:13" s="89" customFormat="1" hidden="1">
      <c r="A1179" s="83"/>
      <c r="B1179" s="1432"/>
      <c r="C1179" s="84" t="s">
        <v>209</v>
      </c>
      <c r="D1179" s="83" t="s">
        <v>80</v>
      </c>
      <c r="E1179" s="83">
        <v>3.52</v>
      </c>
      <c r="F1179" s="386">
        <f>F1178*E1179</f>
        <v>0</v>
      </c>
      <c r="G1179" s="386"/>
      <c r="H1179" s="386"/>
      <c r="I1179" s="386">
        <v>4.5999999999999996</v>
      </c>
      <c r="J1179" s="386">
        <f>F1179*I1179</f>
        <v>0</v>
      </c>
      <c r="K1179" s="386"/>
      <c r="L1179" s="386"/>
      <c r="M1179" s="386">
        <f>H1179+J1179+L1179</f>
        <v>0</v>
      </c>
    </row>
    <row r="1180" spans="1:13" s="89" customFormat="1" hidden="1">
      <c r="A1180" s="83"/>
      <c r="B1180" s="1432"/>
      <c r="C1180" s="84" t="s">
        <v>81</v>
      </c>
      <c r="D1180" s="83" t="s">
        <v>57</v>
      </c>
      <c r="E1180" s="83">
        <v>1.06</v>
      </c>
      <c r="F1180" s="386">
        <f>F1178*E1180</f>
        <v>0</v>
      </c>
      <c r="G1180" s="386"/>
      <c r="H1180" s="386"/>
      <c r="I1180" s="386"/>
      <c r="J1180" s="386"/>
      <c r="K1180" s="386">
        <v>3.2</v>
      </c>
      <c r="L1180" s="386">
        <f>F1180*K1180</f>
        <v>0</v>
      </c>
      <c r="M1180" s="386">
        <f>H1180+J1180+L1180</f>
        <v>0</v>
      </c>
    </row>
    <row r="1181" spans="1:13" s="89" customFormat="1" hidden="1">
      <c r="A1181" s="83"/>
      <c r="B1181" s="1432"/>
      <c r="C1181" s="15" t="s">
        <v>210</v>
      </c>
      <c r="D1181" s="83"/>
      <c r="E1181" s="83"/>
      <c r="F1181" s="386"/>
      <c r="G1181" s="386"/>
      <c r="H1181" s="386"/>
      <c r="I1181" s="386"/>
      <c r="J1181" s="386"/>
      <c r="K1181" s="386"/>
      <c r="L1181" s="386"/>
      <c r="M1181" s="386"/>
    </row>
    <row r="1182" spans="1:13" s="89" customFormat="1" hidden="1">
      <c r="A1182" s="83"/>
      <c r="B1182" s="1432"/>
      <c r="C1182" s="84" t="s">
        <v>294</v>
      </c>
      <c r="D1182" s="83" t="s">
        <v>88</v>
      </c>
      <c r="E1182" s="83">
        <v>1.24</v>
      </c>
      <c r="F1182" s="386">
        <f>F1178*E1182</f>
        <v>0</v>
      </c>
      <c r="G1182" s="386">
        <v>16.100000000000001</v>
      </c>
      <c r="H1182" s="386">
        <f>F1182*G1182</f>
        <v>0</v>
      </c>
      <c r="I1182" s="386"/>
      <c r="J1182" s="386"/>
      <c r="K1182" s="386"/>
      <c r="L1182" s="386"/>
      <c r="M1182" s="386">
        <f>H1182+J1182+L1182</f>
        <v>0</v>
      </c>
    </row>
    <row r="1183" spans="1:13" s="89" customFormat="1" hidden="1">
      <c r="A1183" s="83"/>
      <c r="B1183" s="1432"/>
      <c r="C1183" s="84" t="s">
        <v>214</v>
      </c>
      <c r="D1183" s="86" t="s">
        <v>57</v>
      </c>
      <c r="E1183" s="83">
        <v>0.02</v>
      </c>
      <c r="F1183" s="386">
        <f>F1178*E1183</f>
        <v>0</v>
      </c>
      <c r="G1183" s="386">
        <v>3.2</v>
      </c>
      <c r="H1183" s="386">
        <f>F1183*G1183</f>
        <v>0</v>
      </c>
      <c r="I1183" s="386"/>
      <c r="J1183" s="386"/>
      <c r="K1183" s="386"/>
      <c r="L1183" s="386"/>
      <c r="M1183" s="386">
        <f>H1183+J1183+L1183</f>
        <v>0</v>
      </c>
    </row>
    <row r="1184" spans="1:13" s="89" customFormat="1" ht="16.5" hidden="1" customHeight="1">
      <c r="A1184" s="140">
        <v>6</v>
      </c>
      <c r="B1184" s="1431" t="s">
        <v>295</v>
      </c>
      <c r="C1184" s="151" t="s">
        <v>1119</v>
      </c>
      <c r="D1184" s="140" t="s">
        <v>88</v>
      </c>
      <c r="E1184" s="140"/>
      <c r="F1184" s="384">
        <f>'დეფექტური აქტი'!E246</f>
        <v>0</v>
      </c>
      <c r="G1184" s="385"/>
      <c r="H1184" s="385"/>
      <c r="I1184" s="385"/>
      <c r="J1184" s="385"/>
      <c r="K1184" s="385"/>
      <c r="L1184" s="385"/>
      <c r="M1184" s="385"/>
    </row>
    <row r="1185" spans="1:13" s="89" customFormat="1" hidden="1">
      <c r="A1185" s="83"/>
      <c r="B1185" s="1432"/>
      <c r="C1185" s="84" t="s">
        <v>209</v>
      </c>
      <c r="D1185" s="83" t="s">
        <v>80</v>
      </c>
      <c r="E1185" s="83">
        <v>2.9</v>
      </c>
      <c r="F1185" s="386">
        <f>F1184*E1185</f>
        <v>0</v>
      </c>
      <c r="G1185" s="386"/>
      <c r="H1185" s="386"/>
      <c r="I1185" s="386">
        <v>6</v>
      </c>
      <c r="J1185" s="386">
        <f>F1185*I1185</f>
        <v>0</v>
      </c>
      <c r="K1185" s="386"/>
      <c r="L1185" s="386"/>
      <c r="M1185" s="386">
        <f>H1185+J1185+L1185</f>
        <v>0</v>
      </c>
    </row>
    <row r="1186" spans="1:13" s="89" customFormat="1" hidden="1">
      <c r="A1186" s="83"/>
      <c r="B1186" s="1432"/>
      <c r="C1186" s="15" t="s">
        <v>210</v>
      </c>
      <c r="D1186" s="83"/>
      <c r="E1186" s="83"/>
      <c r="F1186" s="386"/>
      <c r="G1186" s="386"/>
      <c r="H1186" s="386"/>
      <c r="I1186" s="386"/>
      <c r="J1186" s="386"/>
      <c r="K1186" s="386"/>
      <c r="L1186" s="386"/>
      <c r="M1186" s="386"/>
    </row>
    <row r="1187" spans="1:13" s="89" customFormat="1" hidden="1">
      <c r="A1187" s="83"/>
      <c r="B1187" s="1432"/>
      <c r="C1187" s="84" t="s">
        <v>296</v>
      </c>
      <c r="D1187" s="83" t="s">
        <v>88</v>
      </c>
      <c r="E1187" s="83">
        <v>1.02</v>
      </c>
      <c r="F1187" s="386">
        <f>F1184*E1187</f>
        <v>0</v>
      </c>
      <c r="G1187" s="386">
        <v>93</v>
      </c>
      <c r="H1187" s="386">
        <f>F1187*G1187</f>
        <v>0</v>
      </c>
      <c r="I1187" s="386"/>
      <c r="J1187" s="386"/>
      <c r="K1187" s="386"/>
      <c r="L1187" s="386"/>
      <c r="M1187" s="386">
        <f>H1187+J1187+L1187</f>
        <v>0</v>
      </c>
    </row>
    <row r="1188" spans="1:13" s="89" customFormat="1" hidden="1">
      <c r="A1188" s="86"/>
      <c r="B1188" s="1437"/>
      <c r="C1188" s="84" t="s">
        <v>214</v>
      </c>
      <c r="D1188" s="86" t="s">
        <v>57</v>
      </c>
      <c r="E1188" s="86">
        <v>0.88</v>
      </c>
      <c r="F1188" s="387">
        <f>F1184*E1188</f>
        <v>0</v>
      </c>
      <c r="G1188" s="387">
        <v>3.2</v>
      </c>
      <c r="H1188" s="387">
        <f>F1188*G1188</f>
        <v>0</v>
      </c>
      <c r="I1188" s="387"/>
      <c r="J1188" s="387"/>
      <c r="K1188" s="387"/>
      <c r="L1188" s="387"/>
      <c r="M1188" s="387">
        <f>H1188+J1188+L1188</f>
        <v>0</v>
      </c>
    </row>
    <row r="1189" spans="1:13" s="89" customFormat="1" hidden="1">
      <c r="A1189" s="83">
        <v>7</v>
      </c>
      <c r="B1189" s="1438" t="s">
        <v>700</v>
      </c>
      <c r="C1189" s="420" t="s">
        <v>1013</v>
      </c>
      <c r="D1189" s="168" t="s">
        <v>88</v>
      </c>
      <c r="E1189" s="83"/>
      <c r="F1189" s="388">
        <f>'დეფექტური აქტი'!E247</f>
        <v>0</v>
      </c>
      <c r="G1189" s="225"/>
      <c r="H1189" s="225"/>
      <c r="I1189" s="225"/>
      <c r="J1189" s="225"/>
      <c r="K1189" s="225"/>
      <c r="L1189" s="225"/>
      <c r="M1189" s="225"/>
    </row>
    <row r="1190" spans="1:13" s="89" customFormat="1" hidden="1">
      <c r="A1190" s="83"/>
      <c r="B1190" s="1432"/>
      <c r="C1190" s="223" t="s">
        <v>209</v>
      </c>
      <c r="D1190" s="211" t="s">
        <v>80</v>
      </c>
      <c r="E1190" s="211">
        <v>8.44</v>
      </c>
      <c r="F1190" s="386">
        <f>F1189*E1190</f>
        <v>0</v>
      </c>
      <c r="G1190" s="225"/>
      <c r="H1190" s="225"/>
      <c r="I1190" s="386">
        <v>4.5999999999999996</v>
      </c>
      <c r="J1190" s="225">
        <f>F1190*I1190</f>
        <v>0</v>
      </c>
      <c r="K1190" s="225"/>
      <c r="L1190" s="225"/>
      <c r="M1190" s="225">
        <f>H1190+J1190+L1190</f>
        <v>0</v>
      </c>
    </row>
    <row r="1191" spans="1:13" s="89" customFormat="1" hidden="1">
      <c r="A1191" s="83"/>
      <c r="B1191" s="1432"/>
      <c r="C1191" s="223" t="s">
        <v>81</v>
      </c>
      <c r="D1191" s="83" t="s">
        <v>57</v>
      </c>
      <c r="E1191" s="211">
        <v>1.1000000000000001</v>
      </c>
      <c r="F1191" s="386">
        <f>F1189*E1191</f>
        <v>0</v>
      </c>
      <c r="G1191" s="225"/>
      <c r="H1191" s="225"/>
      <c r="I1191" s="225"/>
      <c r="J1191" s="225"/>
      <c r="K1191" s="225">
        <v>3.2</v>
      </c>
      <c r="L1191" s="225">
        <f>F1191*K1191</f>
        <v>0</v>
      </c>
      <c r="M1191" s="225">
        <f>H1191+J1191+L1191</f>
        <v>0</v>
      </c>
    </row>
    <row r="1192" spans="1:13" s="89" customFormat="1" hidden="1">
      <c r="A1192" s="83"/>
      <c r="B1192" s="1432"/>
      <c r="C1192" s="15" t="s">
        <v>210</v>
      </c>
      <c r="D1192" s="211"/>
      <c r="E1192" s="211"/>
      <c r="F1192" s="386"/>
      <c r="G1192" s="225"/>
      <c r="H1192" s="225"/>
      <c r="I1192" s="225"/>
      <c r="J1192" s="225"/>
      <c r="K1192" s="225"/>
      <c r="L1192" s="225"/>
      <c r="M1192" s="225"/>
    </row>
    <row r="1193" spans="1:13" s="89" customFormat="1" hidden="1">
      <c r="A1193" s="83"/>
      <c r="B1193" s="1439"/>
      <c r="C1193" s="329" t="s">
        <v>1120</v>
      </c>
      <c r="D1193" s="450" t="s">
        <v>88</v>
      </c>
      <c r="E1193" s="211">
        <v>1.0149999999999999</v>
      </c>
      <c r="F1193" s="386">
        <f>F1189*E1193</f>
        <v>0</v>
      </c>
      <c r="G1193" s="225">
        <v>110</v>
      </c>
      <c r="H1193" s="225">
        <f t="shared" ref="H1193:H1199" si="15">F1193*G1193</f>
        <v>0</v>
      </c>
      <c r="I1193" s="225"/>
      <c r="J1193" s="225"/>
      <c r="K1193" s="225"/>
      <c r="L1193" s="225"/>
      <c r="M1193" s="225">
        <f t="shared" ref="M1193:M1199" si="16">H1193+J1193+L1193</f>
        <v>0</v>
      </c>
    </row>
    <row r="1194" spans="1:13" s="89" customFormat="1" hidden="1">
      <c r="A1194" s="83"/>
      <c r="B1194" s="1432"/>
      <c r="C1194" s="223" t="s">
        <v>301</v>
      </c>
      <c r="D1194" s="211" t="s">
        <v>78</v>
      </c>
      <c r="E1194" s="211">
        <v>1.84</v>
      </c>
      <c r="F1194" s="386">
        <f>F1189*E1194</f>
        <v>0</v>
      </c>
      <c r="G1194" s="225">
        <v>10.5</v>
      </c>
      <c r="H1194" s="225">
        <f t="shared" si="15"/>
        <v>0</v>
      </c>
      <c r="I1194" s="225"/>
      <c r="J1194" s="225"/>
      <c r="K1194" s="225"/>
      <c r="L1194" s="225"/>
      <c r="M1194" s="225">
        <f t="shared" si="16"/>
        <v>0</v>
      </c>
    </row>
    <row r="1195" spans="1:13" s="89" customFormat="1" hidden="1">
      <c r="A1195" s="83"/>
      <c r="B1195" s="1432"/>
      <c r="C1195" s="223" t="s">
        <v>264</v>
      </c>
      <c r="D1195" s="211" t="s">
        <v>88</v>
      </c>
      <c r="E1195" s="211">
        <v>3.3999999999999998E-3</v>
      </c>
      <c r="F1195" s="386">
        <f>F1189*E1195</f>
        <v>0</v>
      </c>
      <c r="G1195" s="225">
        <v>490</v>
      </c>
      <c r="H1195" s="225">
        <f t="shared" si="15"/>
        <v>0</v>
      </c>
      <c r="I1195" s="225"/>
      <c r="J1195" s="225"/>
      <c r="K1195" s="225"/>
      <c r="L1195" s="225"/>
      <c r="M1195" s="225">
        <f t="shared" si="16"/>
        <v>0</v>
      </c>
    </row>
    <row r="1196" spans="1:13" s="89" customFormat="1" hidden="1">
      <c r="A1196" s="83"/>
      <c r="B1196" s="1432"/>
      <c r="C1196" s="223" t="s">
        <v>1118</v>
      </c>
      <c r="D1196" s="211" t="s">
        <v>88</v>
      </c>
      <c r="E1196" s="211">
        <v>3.9100000000000003E-2</v>
      </c>
      <c r="F1196" s="386">
        <f>F1189*E1196</f>
        <v>0</v>
      </c>
      <c r="G1196" s="225">
        <v>403</v>
      </c>
      <c r="H1196" s="225">
        <f t="shared" si="15"/>
        <v>0</v>
      </c>
      <c r="I1196" s="225"/>
      <c r="J1196" s="225"/>
      <c r="K1196" s="225"/>
      <c r="L1196" s="225"/>
      <c r="M1196" s="225">
        <f t="shared" si="16"/>
        <v>0</v>
      </c>
    </row>
    <row r="1197" spans="1:13" s="89" customFormat="1" hidden="1">
      <c r="A1197" s="83"/>
      <c r="B1197" s="1432"/>
      <c r="C1197" s="223" t="s">
        <v>303</v>
      </c>
      <c r="D1197" s="211" t="s">
        <v>97</v>
      </c>
      <c r="E1197" s="211">
        <v>2.2000000000000002</v>
      </c>
      <c r="F1197" s="386">
        <f>F1189*E1197</f>
        <v>0</v>
      </c>
      <c r="G1197" s="225">
        <v>2.5</v>
      </c>
      <c r="H1197" s="225">
        <f t="shared" si="15"/>
        <v>0</v>
      </c>
      <c r="I1197" s="225"/>
      <c r="J1197" s="225"/>
      <c r="K1197" s="225"/>
      <c r="L1197" s="225"/>
      <c r="M1197" s="225">
        <f t="shared" si="16"/>
        <v>0</v>
      </c>
    </row>
    <row r="1198" spans="1:13" s="89" customFormat="1" hidden="1">
      <c r="A1198" s="83"/>
      <c r="B1198" s="1432"/>
      <c r="C1198" s="223" t="s">
        <v>307</v>
      </c>
      <c r="D1198" s="211" t="s">
        <v>97</v>
      </c>
      <c r="E1198" s="211">
        <v>1</v>
      </c>
      <c r="F1198" s="386">
        <f>F1189*E1198</f>
        <v>0</v>
      </c>
      <c r="G1198" s="225">
        <v>3.75</v>
      </c>
      <c r="H1198" s="225">
        <f t="shared" si="15"/>
        <v>0</v>
      </c>
      <c r="I1198" s="225"/>
      <c r="J1198" s="225"/>
      <c r="K1198" s="225"/>
      <c r="L1198" s="225"/>
      <c r="M1198" s="225">
        <f t="shared" si="16"/>
        <v>0</v>
      </c>
    </row>
    <row r="1199" spans="1:13" s="89" customFormat="1" hidden="1">
      <c r="A1199" s="86"/>
      <c r="B1199" s="1437"/>
      <c r="C1199" s="232" t="s">
        <v>214</v>
      </c>
      <c r="D1199" s="86" t="s">
        <v>57</v>
      </c>
      <c r="E1199" s="230">
        <v>0.46</v>
      </c>
      <c r="F1199" s="387">
        <f>F1189*E1199</f>
        <v>0</v>
      </c>
      <c r="G1199" s="393">
        <v>3.2</v>
      </c>
      <c r="H1199" s="393">
        <f t="shared" si="15"/>
        <v>0</v>
      </c>
      <c r="I1199" s="393"/>
      <c r="J1199" s="393"/>
      <c r="K1199" s="393"/>
      <c r="L1199" s="393"/>
      <c r="M1199" s="393">
        <f t="shared" si="16"/>
        <v>0</v>
      </c>
    </row>
    <row r="1200" spans="1:13" s="89" customFormat="1" hidden="1">
      <c r="A1200" s="83">
        <v>8</v>
      </c>
      <c r="B1200" s="1446" t="s">
        <v>583</v>
      </c>
      <c r="C1200" s="84" t="s">
        <v>584</v>
      </c>
      <c r="D1200" s="140" t="s">
        <v>206</v>
      </c>
      <c r="E1200" s="83"/>
      <c r="F1200" s="388">
        <f>'დეფექტური აქტი'!E248</f>
        <v>0</v>
      </c>
      <c r="G1200" s="225"/>
      <c r="H1200" s="225"/>
      <c r="I1200" s="225"/>
      <c r="J1200" s="225"/>
      <c r="K1200" s="225"/>
      <c r="L1200" s="225"/>
      <c r="M1200" s="225"/>
    </row>
    <row r="1201" spans="1:13" s="89" customFormat="1" hidden="1">
      <c r="A1201" s="83"/>
      <c r="B1201" s="1432"/>
      <c r="C1201" s="223" t="s">
        <v>209</v>
      </c>
      <c r="D1201" s="211" t="s">
        <v>80</v>
      </c>
      <c r="E1201" s="211">
        <v>12.3</v>
      </c>
      <c r="F1201" s="386">
        <f>F1200*E1201</f>
        <v>0</v>
      </c>
      <c r="G1201" s="225"/>
      <c r="H1201" s="225"/>
      <c r="I1201" s="386">
        <v>4.5999999999999996</v>
      </c>
      <c r="J1201" s="225">
        <f>F1201*I1201</f>
        <v>0</v>
      </c>
      <c r="K1201" s="225"/>
      <c r="L1201" s="225"/>
      <c r="M1201" s="225">
        <f>H1201+J1201+L1201</f>
        <v>0</v>
      </c>
    </row>
    <row r="1202" spans="1:13" s="89" customFormat="1" hidden="1">
      <c r="A1202" s="83"/>
      <c r="B1202" s="1432"/>
      <c r="C1202" s="223" t="s">
        <v>81</v>
      </c>
      <c r="D1202" s="83" t="s">
        <v>57</v>
      </c>
      <c r="E1202" s="211">
        <v>1.4</v>
      </c>
      <c r="F1202" s="386">
        <f>F1200*E1202</f>
        <v>0</v>
      </c>
      <c r="G1202" s="225"/>
      <c r="H1202" s="225"/>
      <c r="I1202" s="225"/>
      <c r="J1202" s="225"/>
      <c r="K1202" s="225">
        <v>3.2</v>
      </c>
      <c r="L1202" s="225">
        <f>F1202*K1202</f>
        <v>0</v>
      </c>
      <c r="M1202" s="225">
        <f>H1202+J1202+L1202</f>
        <v>0</v>
      </c>
    </row>
    <row r="1203" spans="1:13" s="89" customFormat="1" hidden="1">
      <c r="A1203" s="83"/>
      <c r="B1203" s="1432"/>
      <c r="C1203" s="15" t="s">
        <v>210</v>
      </c>
      <c r="D1203" s="211"/>
      <c r="E1203" s="211"/>
      <c r="F1203" s="386"/>
      <c r="G1203" s="225"/>
      <c r="H1203" s="225"/>
      <c r="I1203" s="225"/>
      <c r="J1203" s="225"/>
      <c r="K1203" s="225"/>
      <c r="L1203" s="225"/>
      <c r="M1203" s="225"/>
    </row>
    <row r="1204" spans="1:13" s="89" customFormat="1" hidden="1">
      <c r="A1204" s="83"/>
      <c r="B1204" s="1432"/>
      <c r="C1204" s="223" t="s">
        <v>609</v>
      </c>
      <c r="D1204" s="211" t="s">
        <v>206</v>
      </c>
      <c r="E1204" s="211">
        <v>1</v>
      </c>
      <c r="F1204" s="386">
        <f>F1200*E1204</f>
        <v>0</v>
      </c>
      <c r="G1204" s="225">
        <v>953</v>
      </c>
      <c r="H1204" s="225">
        <f>F1204*G1204</f>
        <v>0</v>
      </c>
      <c r="I1204" s="225"/>
      <c r="J1204" s="225"/>
      <c r="K1204" s="225"/>
      <c r="L1204" s="225"/>
      <c r="M1204" s="225">
        <f>H1204+J1204+L1204</f>
        <v>0</v>
      </c>
    </row>
    <row r="1205" spans="1:13" s="89" customFormat="1" hidden="1">
      <c r="A1205" s="86"/>
      <c r="B1205" s="1437"/>
      <c r="C1205" s="232" t="s">
        <v>214</v>
      </c>
      <c r="D1205" s="86" t="s">
        <v>57</v>
      </c>
      <c r="E1205" s="230">
        <v>7.15</v>
      </c>
      <c r="F1205" s="387">
        <f>F1200*E1205</f>
        <v>0</v>
      </c>
      <c r="G1205" s="393">
        <v>3.2</v>
      </c>
      <c r="H1205" s="393">
        <f>F1205*G1205</f>
        <v>0</v>
      </c>
      <c r="I1205" s="393"/>
      <c r="J1205" s="393"/>
      <c r="K1205" s="393"/>
      <c r="L1205" s="393"/>
      <c r="M1205" s="393">
        <f>H1205+J1205+L1205</f>
        <v>0</v>
      </c>
    </row>
    <row r="1206" spans="1:13" s="89" customFormat="1" hidden="1">
      <c r="A1206" s="83">
        <v>9</v>
      </c>
      <c r="B1206" s="1446" t="s">
        <v>547</v>
      </c>
      <c r="C1206" s="84" t="s">
        <v>281</v>
      </c>
      <c r="D1206" s="140" t="s">
        <v>78</v>
      </c>
      <c r="E1206" s="83"/>
      <c r="F1206" s="388">
        <f>'დეფექტური აქტი'!E249</f>
        <v>0</v>
      </c>
      <c r="G1206" s="225"/>
      <c r="H1206" s="225"/>
      <c r="I1206" s="225"/>
      <c r="J1206" s="225"/>
      <c r="K1206" s="225"/>
      <c r="L1206" s="225"/>
      <c r="M1206" s="225"/>
    </row>
    <row r="1207" spans="1:13" s="89" customFormat="1" hidden="1">
      <c r="A1207" s="83"/>
      <c r="B1207" s="1432"/>
      <c r="C1207" s="223" t="s">
        <v>209</v>
      </c>
      <c r="D1207" s="211" t="s">
        <v>80</v>
      </c>
      <c r="E1207" s="211">
        <v>0.188</v>
      </c>
      <c r="F1207" s="386">
        <f>F1206*E1207</f>
        <v>0</v>
      </c>
      <c r="G1207" s="225"/>
      <c r="H1207" s="225"/>
      <c r="I1207" s="386">
        <v>6</v>
      </c>
      <c r="J1207" s="225">
        <f>F1207*I1207</f>
        <v>0</v>
      </c>
      <c r="K1207" s="225"/>
      <c r="L1207" s="225"/>
      <c r="M1207" s="225">
        <f>H1207+J1207+L1207</f>
        <v>0</v>
      </c>
    </row>
    <row r="1208" spans="1:13" s="89" customFormat="1" hidden="1">
      <c r="A1208" s="83"/>
      <c r="B1208" s="1432"/>
      <c r="C1208" s="223" t="s">
        <v>81</v>
      </c>
      <c r="D1208" s="83" t="s">
        <v>57</v>
      </c>
      <c r="E1208" s="211">
        <v>9.4999999999999998E-3</v>
      </c>
      <c r="F1208" s="386">
        <f>F1206*E1208</f>
        <v>0</v>
      </c>
      <c r="G1208" s="225"/>
      <c r="H1208" s="225"/>
      <c r="I1208" s="225"/>
      <c r="J1208" s="225"/>
      <c r="K1208" s="225">
        <v>3.2</v>
      </c>
      <c r="L1208" s="225">
        <f>F1208*K1208</f>
        <v>0</v>
      </c>
      <c r="M1208" s="225">
        <f>H1208+J1208+L1208</f>
        <v>0</v>
      </c>
    </row>
    <row r="1209" spans="1:13" s="89" customFormat="1" hidden="1">
      <c r="A1209" s="83"/>
      <c r="B1209" s="1432"/>
      <c r="C1209" s="15" t="s">
        <v>210</v>
      </c>
      <c r="D1209" s="211"/>
      <c r="E1209" s="211"/>
      <c r="F1209" s="386"/>
      <c r="G1209" s="225"/>
      <c r="H1209" s="225"/>
      <c r="I1209" s="225"/>
      <c r="J1209" s="225"/>
      <c r="K1209" s="225"/>
      <c r="L1209" s="225"/>
      <c r="M1209" s="225"/>
    </row>
    <row r="1210" spans="1:13" s="89" customFormat="1" hidden="1">
      <c r="A1210" s="83"/>
      <c r="B1210" s="1432"/>
      <c r="C1210" s="223" t="s">
        <v>549</v>
      </c>
      <c r="D1210" s="211" t="s">
        <v>88</v>
      </c>
      <c r="E1210" s="211">
        <v>2.0400000000000001E-2</v>
      </c>
      <c r="F1210" s="386">
        <f>F1206*E1210</f>
        <v>0</v>
      </c>
      <c r="G1210" s="225">
        <v>87</v>
      </c>
      <c r="H1210" s="225">
        <f>F1210*G1210</f>
        <v>0</v>
      </c>
      <c r="I1210" s="225"/>
      <c r="J1210" s="225"/>
      <c r="K1210" s="225"/>
      <c r="L1210" s="225"/>
      <c r="M1210" s="225">
        <f>H1210+J1210+L1210</f>
        <v>0</v>
      </c>
    </row>
    <row r="1211" spans="1:13" s="89" customFormat="1" hidden="1">
      <c r="A1211" s="86"/>
      <c r="B1211" s="1437"/>
      <c r="C1211" s="232" t="s">
        <v>214</v>
      </c>
      <c r="D1211" s="86" t="s">
        <v>57</v>
      </c>
      <c r="E1211" s="230">
        <v>6.3600000000000004E-2</v>
      </c>
      <c r="F1211" s="387">
        <f>F1206*E1211</f>
        <v>0</v>
      </c>
      <c r="G1211" s="393">
        <v>3.2</v>
      </c>
      <c r="H1211" s="393">
        <f>F1211*G1211</f>
        <v>0</v>
      </c>
      <c r="I1211" s="393"/>
      <c r="J1211" s="393"/>
      <c r="K1211" s="393"/>
      <c r="L1211" s="393"/>
      <c r="M1211" s="393">
        <f>H1211+J1211+L1211</f>
        <v>0</v>
      </c>
    </row>
    <row r="1212" spans="1:13" s="45" customFormat="1" ht="27" hidden="1">
      <c r="A1212" s="47">
        <v>10</v>
      </c>
      <c r="B1212" s="1433" t="s">
        <v>275</v>
      </c>
      <c r="C1212" s="46" t="s">
        <v>349</v>
      </c>
      <c r="D1212" s="47" t="s">
        <v>78</v>
      </c>
      <c r="E1212" s="47"/>
      <c r="F1212" s="384">
        <f>'დეფექტური აქტი'!E250</f>
        <v>0</v>
      </c>
      <c r="G1212" s="385"/>
      <c r="H1212" s="385"/>
      <c r="I1212" s="385"/>
      <c r="J1212" s="385"/>
      <c r="K1212" s="385"/>
      <c r="L1212" s="385"/>
      <c r="M1212" s="385"/>
    </row>
    <row r="1213" spans="1:13" s="45" customFormat="1" hidden="1">
      <c r="A1213" s="41"/>
      <c r="B1213" s="1434"/>
      <c r="C1213" s="15" t="s">
        <v>209</v>
      </c>
      <c r="D1213" s="41" t="s">
        <v>80</v>
      </c>
      <c r="E1213" s="41">
        <v>3.86</v>
      </c>
      <c r="F1213" s="386">
        <f>F1212*E1213</f>
        <v>0</v>
      </c>
      <c r="G1213" s="386"/>
      <c r="H1213" s="386"/>
      <c r="I1213" s="386">
        <v>4.5999999999999996</v>
      </c>
      <c r="J1213" s="386">
        <f>F1213*I1213</f>
        <v>0</v>
      </c>
      <c r="K1213" s="386"/>
      <c r="L1213" s="386"/>
      <c r="M1213" s="386">
        <f>H1213+J1213+L1213</f>
        <v>0</v>
      </c>
    </row>
    <row r="1214" spans="1:13" s="45" customFormat="1" hidden="1">
      <c r="A1214" s="41"/>
      <c r="B1214" s="1434"/>
      <c r="C1214" s="15" t="s">
        <v>81</v>
      </c>
      <c r="D1214" s="83" t="s">
        <v>57</v>
      </c>
      <c r="E1214" s="41">
        <v>3.5999999999999997E-2</v>
      </c>
      <c r="F1214" s="386">
        <f>F1212*E1214</f>
        <v>0</v>
      </c>
      <c r="G1214" s="386"/>
      <c r="H1214" s="386"/>
      <c r="I1214" s="386"/>
      <c r="J1214" s="386"/>
      <c r="K1214" s="386">
        <v>3.2</v>
      </c>
      <c r="L1214" s="386">
        <f>F1214*K1214</f>
        <v>0</v>
      </c>
      <c r="M1214" s="386">
        <f>H1214+J1214+L1214</f>
        <v>0</v>
      </c>
    </row>
    <row r="1215" spans="1:13" s="45" customFormat="1" hidden="1">
      <c r="A1215" s="41"/>
      <c r="B1215" s="1434"/>
      <c r="C1215" s="15" t="s">
        <v>210</v>
      </c>
      <c r="D1215" s="41"/>
      <c r="E1215" s="41"/>
      <c r="F1215" s="386"/>
      <c r="G1215" s="386"/>
      <c r="H1215" s="386"/>
      <c r="I1215" s="386"/>
      <c r="J1215" s="386"/>
      <c r="K1215" s="386"/>
      <c r="L1215" s="386"/>
      <c r="M1215" s="386"/>
    </row>
    <row r="1216" spans="1:13" s="45" customFormat="1" hidden="1">
      <c r="A1216" s="41"/>
      <c r="B1216" s="1434"/>
      <c r="C1216" s="15" t="s">
        <v>451</v>
      </c>
      <c r="D1216" s="41" t="s">
        <v>78</v>
      </c>
      <c r="E1216" s="41">
        <v>1</v>
      </c>
      <c r="F1216" s="386">
        <f>F1212*E1216</f>
        <v>0</v>
      </c>
      <c r="G1216" s="386">
        <v>60</v>
      </c>
      <c r="H1216" s="386">
        <f>F1216*G1216</f>
        <v>0</v>
      </c>
      <c r="I1216" s="386"/>
      <c r="J1216" s="386"/>
      <c r="K1216" s="386"/>
      <c r="L1216" s="386"/>
      <c r="M1216" s="386">
        <f>H1216+J1216+L1216</f>
        <v>0</v>
      </c>
    </row>
    <row r="1217" spans="1:13" s="45" customFormat="1" hidden="1">
      <c r="A1217" s="41"/>
      <c r="B1217" s="1434"/>
      <c r="C1217" s="223" t="s">
        <v>198</v>
      </c>
      <c r="D1217" s="211" t="s">
        <v>88</v>
      </c>
      <c r="E1217" s="211">
        <v>2.7E-2</v>
      </c>
      <c r="F1217" s="386">
        <f>F1212*E1217</f>
        <v>0</v>
      </c>
      <c r="G1217" s="386">
        <v>85</v>
      </c>
      <c r="H1217" s="386">
        <f>F1217*G1217</f>
        <v>0</v>
      </c>
      <c r="I1217" s="386"/>
      <c r="J1217" s="386"/>
      <c r="K1217" s="386"/>
      <c r="L1217" s="386"/>
      <c r="M1217" s="386">
        <f>H1217+J1217+L1217</f>
        <v>0</v>
      </c>
    </row>
    <row r="1218" spans="1:13" s="45" customFormat="1" hidden="1">
      <c r="A1218" s="41"/>
      <c r="B1218" s="1434"/>
      <c r="C1218" s="15" t="s">
        <v>214</v>
      </c>
      <c r="D1218" s="86" t="s">
        <v>57</v>
      </c>
      <c r="E1218" s="41">
        <v>4.2999999999999997E-2</v>
      </c>
      <c r="F1218" s="386">
        <f>F1212*E1218</f>
        <v>0</v>
      </c>
      <c r="G1218" s="386">
        <v>3.2</v>
      </c>
      <c r="H1218" s="386">
        <f>F1218*G1218</f>
        <v>0</v>
      </c>
      <c r="I1218" s="386"/>
      <c r="J1218" s="386"/>
      <c r="K1218" s="386"/>
      <c r="L1218" s="386"/>
      <c r="M1218" s="386">
        <f>H1218+J1218+L1218</f>
        <v>0</v>
      </c>
    </row>
    <row r="1219" spans="1:13" s="45" customFormat="1" ht="27" hidden="1">
      <c r="A1219" s="47">
        <v>11</v>
      </c>
      <c r="B1219" s="1433" t="s">
        <v>199</v>
      </c>
      <c r="C1219" s="46" t="s">
        <v>350</v>
      </c>
      <c r="D1219" s="47" t="s">
        <v>78</v>
      </c>
      <c r="E1219" s="47"/>
      <c r="F1219" s="384">
        <f>'დეფექტური აქტი'!E251</f>
        <v>0</v>
      </c>
      <c r="G1219" s="385"/>
      <c r="H1219" s="385"/>
      <c r="I1219" s="385"/>
      <c r="J1219" s="385"/>
      <c r="K1219" s="385"/>
      <c r="L1219" s="385"/>
      <c r="M1219" s="385"/>
    </row>
    <row r="1220" spans="1:13" s="45" customFormat="1" hidden="1">
      <c r="A1220" s="41"/>
      <c r="B1220" s="1434"/>
      <c r="C1220" s="15" t="s">
        <v>209</v>
      </c>
      <c r="D1220" s="41" t="s">
        <v>80</v>
      </c>
      <c r="E1220" s="41">
        <v>5.75</v>
      </c>
      <c r="F1220" s="386">
        <f>F1219*E1220</f>
        <v>0</v>
      </c>
      <c r="G1220" s="386"/>
      <c r="H1220" s="386"/>
      <c r="I1220" s="386">
        <v>4.5999999999999996</v>
      </c>
      <c r="J1220" s="386">
        <f>F1220*I1220</f>
        <v>0</v>
      </c>
      <c r="K1220" s="386"/>
      <c r="L1220" s="386"/>
      <c r="M1220" s="386">
        <f>H1220+J1220+L1220</f>
        <v>0</v>
      </c>
    </row>
    <row r="1221" spans="1:13" s="45" customFormat="1" hidden="1">
      <c r="A1221" s="41"/>
      <c r="B1221" s="1434"/>
      <c r="C1221" s="15" t="s">
        <v>133</v>
      </c>
      <c r="D1221" s="83" t="s">
        <v>57</v>
      </c>
      <c r="E1221" s="41">
        <v>3.4000000000000002E-2</v>
      </c>
      <c r="F1221" s="386">
        <f>F1219*E1221</f>
        <v>0</v>
      </c>
      <c r="G1221" s="386"/>
      <c r="H1221" s="386"/>
      <c r="I1221" s="386"/>
      <c r="J1221" s="386"/>
      <c r="K1221" s="386">
        <v>3.2</v>
      </c>
      <c r="L1221" s="386">
        <f>F1221*K1221</f>
        <v>0</v>
      </c>
      <c r="M1221" s="386">
        <f>H1221+J1221+L1221</f>
        <v>0</v>
      </c>
    </row>
    <row r="1222" spans="1:13" s="45" customFormat="1" hidden="1">
      <c r="A1222" s="41"/>
      <c r="B1222" s="1434"/>
      <c r="C1222" s="15" t="s">
        <v>210</v>
      </c>
      <c r="D1222" s="41"/>
      <c r="E1222" s="41"/>
      <c r="F1222" s="386"/>
      <c r="G1222" s="386"/>
      <c r="H1222" s="386"/>
      <c r="I1222" s="386"/>
      <c r="J1222" s="386"/>
      <c r="K1222" s="386"/>
      <c r="L1222" s="386"/>
      <c r="M1222" s="386"/>
    </row>
    <row r="1223" spans="1:13" s="45" customFormat="1" hidden="1">
      <c r="A1223" s="41"/>
      <c r="B1223" s="1434"/>
      <c r="C1223" s="15" t="s">
        <v>451</v>
      </c>
      <c r="D1223" s="41" t="s">
        <v>78</v>
      </c>
      <c r="E1223" s="41">
        <v>0.81</v>
      </c>
      <c r="F1223" s="386">
        <f>F1219*E1223</f>
        <v>0</v>
      </c>
      <c r="G1223" s="386">
        <v>60</v>
      </c>
      <c r="H1223" s="386">
        <f>F1223*G1223</f>
        <v>0</v>
      </c>
      <c r="I1223" s="386"/>
      <c r="J1223" s="386"/>
      <c r="K1223" s="386"/>
      <c r="L1223" s="386"/>
      <c r="M1223" s="386">
        <f>H1223+J1223+L1223</f>
        <v>0</v>
      </c>
    </row>
    <row r="1224" spans="1:13" s="45" customFormat="1" hidden="1">
      <c r="A1224" s="41"/>
      <c r="B1224" s="1434"/>
      <c r="C1224" s="15" t="s">
        <v>351</v>
      </c>
      <c r="D1224" s="41" t="s">
        <v>78</v>
      </c>
      <c r="E1224" s="41">
        <v>0.2</v>
      </c>
      <c r="F1224" s="386">
        <f>F1219*E1224</f>
        <v>0</v>
      </c>
      <c r="G1224" s="386">
        <v>36</v>
      </c>
      <c r="H1224" s="386">
        <f>F1224*G1224</f>
        <v>0</v>
      </c>
      <c r="I1224" s="386"/>
      <c r="J1224" s="386"/>
      <c r="K1224" s="386"/>
      <c r="L1224" s="386"/>
      <c r="M1224" s="386">
        <f>H1224+J1224+L1224</f>
        <v>0</v>
      </c>
    </row>
    <row r="1225" spans="1:13" s="45" customFormat="1" hidden="1">
      <c r="A1225" s="41"/>
      <c r="B1225" s="1434"/>
      <c r="C1225" s="15" t="s">
        <v>218</v>
      </c>
      <c r="D1225" s="41" t="s">
        <v>88</v>
      </c>
      <c r="E1225" s="41">
        <v>0.02</v>
      </c>
      <c r="F1225" s="386">
        <f>F1219*E1225</f>
        <v>0</v>
      </c>
      <c r="G1225" s="386">
        <v>87</v>
      </c>
      <c r="H1225" s="386">
        <f>F1225*G1225</f>
        <v>0</v>
      </c>
      <c r="I1225" s="386"/>
      <c r="J1225" s="386"/>
      <c r="K1225" s="386"/>
      <c r="L1225" s="386"/>
      <c r="M1225" s="386">
        <f>H1225+J1225+L1225</f>
        <v>0</v>
      </c>
    </row>
    <row r="1226" spans="1:13" s="45" customFormat="1" hidden="1">
      <c r="A1226" s="43"/>
      <c r="B1226" s="1463"/>
      <c r="C1226" s="56" t="s">
        <v>214</v>
      </c>
      <c r="D1226" s="86" t="s">
        <v>57</v>
      </c>
      <c r="E1226" s="43">
        <v>0.24</v>
      </c>
      <c r="F1226" s="387">
        <f>F1219*E1226</f>
        <v>0</v>
      </c>
      <c r="G1226" s="387">
        <v>3.2</v>
      </c>
      <c r="H1226" s="387">
        <f>F1226*G1226</f>
        <v>0</v>
      </c>
      <c r="I1226" s="387"/>
      <c r="J1226" s="387"/>
      <c r="K1226" s="387"/>
      <c r="L1226" s="387"/>
      <c r="M1226" s="387">
        <f>H1226+J1226+L1226</f>
        <v>0</v>
      </c>
    </row>
    <row r="1227" spans="1:13" s="45" customFormat="1" hidden="1">
      <c r="A1227" s="48"/>
      <c r="B1227" s="199"/>
      <c r="C1227" s="107" t="s">
        <v>352</v>
      </c>
      <c r="D1227" s="48"/>
      <c r="E1227" s="48"/>
      <c r="F1227" s="390"/>
      <c r="G1227" s="390"/>
      <c r="H1227" s="390"/>
      <c r="I1227" s="390"/>
      <c r="J1227" s="390"/>
      <c r="K1227" s="390"/>
      <c r="L1227" s="390"/>
      <c r="M1227" s="390"/>
    </row>
    <row r="1228" spans="1:13" s="93" customFormat="1" hidden="1">
      <c r="A1228" s="83">
        <v>1</v>
      </c>
      <c r="B1228" s="1432" t="s">
        <v>1535</v>
      </c>
      <c r="C1228" s="84" t="s">
        <v>891</v>
      </c>
      <c r="D1228" s="83" t="s">
        <v>88</v>
      </c>
      <c r="E1228" s="83"/>
      <c r="F1228" s="395">
        <f>'დეფექტური აქტი'!E253</f>
        <v>0</v>
      </c>
      <c r="G1228" s="386"/>
      <c r="H1228" s="386"/>
      <c r="I1228" s="386"/>
      <c r="J1228" s="386"/>
      <c r="K1228" s="386"/>
      <c r="L1228" s="386"/>
      <c r="M1228" s="386"/>
    </row>
    <row r="1229" spans="1:13" s="93" customFormat="1" hidden="1">
      <c r="A1229" s="86"/>
      <c r="B1229" s="1437"/>
      <c r="C1229" s="156" t="s">
        <v>1536</v>
      </c>
      <c r="D1229" s="86" t="s">
        <v>80</v>
      </c>
      <c r="E1229" s="86">
        <f>2.78*0.8</f>
        <v>2.2239999999999998</v>
      </c>
      <c r="F1229" s="396">
        <f>F1228*E1229</f>
        <v>0</v>
      </c>
      <c r="G1229" s="387"/>
      <c r="H1229" s="387"/>
      <c r="I1229" s="387">
        <v>4.5999999999999996</v>
      </c>
      <c r="J1229" s="387">
        <f>F1229*I1229</f>
        <v>0</v>
      </c>
      <c r="K1229" s="387"/>
      <c r="L1229" s="387"/>
      <c r="M1229" s="387">
        <f>H1229+J1229+L1229</f>
        <v>0</v>
      </c>
    </row>
    <row r="1230" spans="1:13" s="95" customFormat="1" ht="27" hidden="1">
      <c r="A1230" s="140">
        <v>2</v>
      </c>
      <c r="B1230" s="1447"/>
      <c r="C1230" s="152" t="s">
        <v>298</v>
      </c>
      <c r="D1230" s="140" t="s">
        <v>206</v>
      </c>
      <c r="E1230" s="153"/>
      <c r="F1230" s="384">
        <f>'დეფექტური აქტი'!E254*1.95</f>
        <v>0</v>
      </c>
      <c r="G1230" s="385"/>
      <c r="H1230" s="385"/>
      <c r="I1230" s="385"/>
      <c r="J1230" s="385"/>
      <c r="K1230" s="385"/>
      <c r="L1230" s="385"/>
      <c r="M1230" s="385">
        <f>H1230+J1230+L1230</f>
        <v>0</v>
      </c>
    </row>
    <row r="1231" spans="1:13" s="95" customFormat="1" hidden="1">
      <c r="A1231" s="83"/>
      <c r="B1231" s="1448"/>
      <c r="C1231" s="90" t="s">
        <v>209</v>
      </c>
      <c r="D1231" s="86" t="s">
        <v>80</v>
      </c>
      <c r="E1231" s="94">
        <v>0.53</v>
      </c>
      <c r="F1231" s="386">
        <f>F1230*E1231</f>
        <v>0</v>
      </c>
      <c r="G1231" s="386"/>
      <c r="H1231" s="603"/>
      <c r="I1231" s="387">
        <v>4.5999999999999996</v>
      </c>
      <c r="J1231" s="386">
        <f>F1231*I1231</f>
        <v>0</v>
      </c>
      <c r="K1231" s="386"/>
      <c r="L1231" s="386"/>
      <c r="M1231" s="386">
        <f>H1231+J1231+L1231</f>
        <v>0</v>
      </c>
    </row>
    <row r="1232" spans="1:13" s="93" customFormat="1" hidden="1">
      <c r="A1232" s="24">
        <v>3</v>
      </c>
      <c r="B1232" s="175"/>
      <c r="C1232" s="26" t="s">
        <v>735</v>
      </c>
      <c r="D1232" s="24" t="s">
        <v>206</v>
      </c>
      <c r="E1232" s="24"/>
      <c r="F1232" s="397">
        <f>'დეფექტური აქტი'!E255*1.95</f>
        <v>0</v>
      </c>
      <c r="G1232" s="390"/>
      <c r="H1232" s="390"/>
      <c r="I1232" s="390"/>
      <c r="J1232" s="390"/>
      <c r="K1232" s="390">
        <v>3.02</v>
      </c>
      <c r="L1232" s="390">
        <f>F1232*K1232</f>
        <v>0</v>
      </c>
      <c r="M1232" s="390">
        <f>H1232+J1232+L1232</f>
        <v>0</v>
      </c>
    </row>
    <row r="1233" spans="1:14" s="89" customFormat="1" hidden="1">
      <c r="A1233" s="140">
        <v>4</v>
      </c>
      <c r="B1233" s="1431" t="s">
        <v>292</v>
      </c>
      <c r="C1233" s="151" t="s">
        <v>293</v>
      </c>
      <c r="D1233" s="140" t="s">
        <v>88</v>
      </c>
      <c r="E1233" s="140"/>
      <c r="F1233" s="384">
        <f>'დეფექტური აქტი'!E256</f>
        <v>0</v>
      </c>
      <c r="G1233" s="385"/>
      <c r="H1233" s="385"/>
      <c r="I1233" s="385"/>
      <c r="J1233" s="385"/>
      <c r="K1233" s="385"/>
      <c r="L1233" s="385"/>
      <c r="M1233" s="385"/>
    </row>
    <row r="1234" spans="1:14" s="89" customFormat="1" hidden="1">
      <c r="A1234" s="83"/>
      <c r="B1234" s="1432"/>
      <c r="C1234" s="84" t="s">
        <v>209</v>
      </c>
      <c r="D1234" s="83" t="s">
        <v>80</v>
      </c>
      <c r="E1234" s="83">
        <v>3.52</v>
      </c>
      <c r="F1234" s="386">
        <f>F1233*E1234</f>
        <v>0</v>
      </c>
      <c r="G1234" s="386"/>
      <c r="H1234" s="386"/>
      <c r="I1234" s="386">
        <v>4.5999999999999996</v>
      </c>
      <c r="J1234" s="386">
        <f>F1234*I1234</f>
        <v>0</v>
      </c>
      <c r="K1234" s="386"/>
      <c r="L1234" s="386"/>
      <c r="M1234" s="386">
        <f>H1234+J1234+L1234</f>
        <v>0</v>
      </c>
    </row>
    <row r="1235" spans="1:14" s="89" customFormat="1" hidden="1">
      <c r="A1235" s="83"/>
      <c r="B1235" s="1432"/>
      <c r="C1235" s="84" t="s">
        <v>81</v>
      </c>
      <c r="D1235" s="83" t="s">
        <v>57</v>
      </c>
      <c r="E1235" s="83">
        <v>1.06</v>
      </c>
      <c r="F1235" s="386">
        <f>F1233*E1235</f>
        <v>0</v>
      </c>
      <c r="G1235" s="386"/>
      <c r="H1235" s="386"/>
      <c r="I1235" s="386"/>
      <c r="J1235" s="386"/>
      <c r="K1235" s="386">
        <v>3.2</v>
      </c>
      <c r="L1235" s="386">
        <f>F1235*K1235</f>
        <v>0</v>
      </c>
      <c r="M1235" s="386">
        <f>H1235+J1235+L1235</f>
        <v>0</v>
      </c>
    </row>
    <row r="1236" spans="1:14" s="89" customFormat="1" hidden="1">
      <c r="A1236" s="83"/>
      <c r="B1236" s="1432"/>
      <c r="C1236" s="15" t="s">
        <v>210</v>
      </c>
      <c r="D1236" s="83"/>
      <c r="E1236" s="83"/>
      <c r="F1236" s="386"/>
      <c r="G1236" s="386"/>
      <c r="H1236" s="386"/>
      <c r="I1236" s="386"/>
      <c r="J1236" s="386"/>
      <c r="K1236" s="386"/>
      <c r="L1236" s="386"/>
      <c r="M1236" s="386"/>
    </row>
    <row r="1237" spans="1:14" s="89" customFormat="1" hidden="1">
      <c r="A1237" s="83"/>
      <c r="B1237" s="1432"/>
      <c r="C1237" s="84" t="s">
        <v>294</v>
      </c>
      <c r="D1237" s="83" t="s">
        <v>88</v>
      </c>
      <c r="E1237" s="83">
        <v>1.24</v>
      </c>
      <c r="F1237" s="386">
        <f>F1233*E1237</f>
        <v>0</v>
      </c>
      <c r="G1237" s="386">
        <v>16.100000000000001</v>
      </c>
      <c r="H1237" s="386">
        <f>F1237*G1237</f>
        <v>0</v>
      </c>
      <c r="I1237" s="386"/>
      <c r="J1237" s="386"/>
      <c r="K1237" s="386"/>
      <c r="L1237" s="386"/>
      <c r="M1237" s="386">
        <f>H1237+J1237+L1237</f>
        <v>0</v>
      </c>
    </row>
    <row r="1238" spans="1:14" s="89" customFormat="1" hidden="1">
      <c r="A1238" s="83"/>
      <c r="B1238" s="1432"/>
      <c r="C1238" s="84" t="s">
        <v>214</v>
      </c>
      <c r="D1238" s="86" t="s">
        <v>57</v>
      </c>
      <c r="E1238" s="83">
        <v>0.02</v>
      </c>
      <c r="F1238" s="386">
        <f>F1233*E1238</f>
        <v>0</v>
      </c>
      <c r="G1238" s="386">
        <v>3.2</v>
      </c>
      <c r="H1238" s="386">
        <f>F1238*G1238</f>
        <v>0</v>
      </c>
      <c r="I1238" s="386"/>
      <c r="J1238" s="386"/>
      <c r="K1238" s="386"/>
      <c r="L1238" s="386"/>
      <c r="M1238" s="386">
        <f>H1238+J1238+L1238</f>
        <v>0</v>
      </c>
    </row>
    <row r="1239" spans="1:14" s="88" customFormat="1" ht="27" hidden="1">
      <c r="A1239" s="140">
        <v>5</v>
      </c>
      <c r="B1239" s="1431" t="s">
        <v>353</v>
      </c>
      <c r="C1239" s="151" t="s">
        <v>1071</v>
      </c>
      <c r="D1239" s="140" t="s">
        <v>78</v>
      </c>
      <c r="E1239" s="140"/>
      <c r="F1239" s="384">
        <f>'დეფექტური აქტი'!E257</f>
        <v>0</v>
      </c>
      <c r="G1239" s="422"/>
      <c r="H1239" s="422"/>
      <c r="I1239" s="422"/>
      <c r="J1239" s="422"/>
      <c r="K1239" s="422"/>
      <c r="L1239" s="422"/>
      <c r="M1239" s="422"/>
    </row>
    <row r="1240" spans="1:14" s="88" customFormat="1" hidden="1">
      <c r="A1240" s="96"/>
      <c r="B1240" s="1432"/>
      <c r="C1240" s="226" t="s">
        <v>209</v>
      </c>
      <c r="D1240" s="211" t="s">
        <v>80</v>
      </c>
      <c r="E1240" s="211">
        <v>0.14399999999999999</v>
      </c>
      <c r="F1240" s="386">
        <f>F1239*E1240</f>
        <v>0</v>
      </c>
      <c r="G1240" s="225"/>
      <c r="H1240" s="225"/>
      <c r="I1240" s="386">
        <v>6</v>
      </c>
      <c r="J1240" s="225">
        <f>F1240*I1240</f>
        <v>0</v>
      </c>
      <c r="K1240" s="225"/>
      <c r="L1240" s="225"/>
      <c r="M1240" s="225">
        <f>H1240+J1240+L1240</f>
        <v>0</v>
      </c>
    </row>
    <row r="1241" spans="1:14" s="88" customFormat="1" hidden="1">
      <c r="A1241" s="96"/>
      <c r="B1241" s="1432"/>
      <c r="C1241" s="15" t="s">
        <v>210</v>
      </c>
      <c r="D1241" s="211"/>
      <c r="E1241" s="211"/>
      <c r="F1241" s="386"/>
      <c r="G1241" s="225"/>
      <c r="H1241" s="225"/>
      <c r="I1241" s="225"/>
      <c r="J1241" s="225"/>
      <c r="K1241" s="225"/>
      <c r="L1241" s="225"/>
      <c r="M1241" s="225"/>
    </row>
    <row r="1242" spans="1:14" s="88" customFormat="1" hidden="1">
      <c r="A1242" s="96"/>
      <c r="B1242" s="1432"/>
      <c r="C1242" s="226" t="s">
        <v>1075</v>
      </c>
      <c r="D1242" s="211" t="s">
        <v>206</v>
      </c>
      <c r="E1242" s="211">
        <v>7.1400000000000005E-2</v>
      </c>
      <c r="F1242" s="386">
        <f>F1239*E1242</f>
        <v>0</v>
      </c>
      <c r="G1242" s="225">
        <v>106</v>
      </c>
      <c r="H1242" s="225">
        <f>F1242*G1242</f>
        <v>0</v>
      </c>
      <c r="I1242" s="225"/>
      <c r="J1242" s="225"/>
      <c r="K1242" s="225"/>
      <c r="L1242" s="225"/>
      <c r="M1242" s="225">
        <f>H1242+J1242+L1242</f>
        <v>0</v>
      </c>
    </row>
    <row r="1243" spans="1:14" s="88" customFormat="1" hidden="1">
      <c r="A1243" s="96"/>
      <c r="B1243" s="1432"/>
      <c r="C1243" s="226" t="s">
        <v>991</v>
      </c>
      <c r="D1243" s="211" t="s">
        <v>206</v>
      </c>
      <c r="E1243" s="211">
        <v>5.9999999999999995E-4</v>
      </c>
      <c r="F1243" s="386">
        <f>F1239*E1243</f>
        <v>0</v>
      </c>
      <c r="G1243" s="225">
        <v>990</v>
      </c>
      <c r="H1243" s="225">
        <f>F1243*G1243</f>
        <v>0</v>
      </c>
      <c r="I1243" s="225"/>
      <c r="J1243" s="225"/>
      <c r="K1243" s="225"/>
      <c r="L1243" s="225"/>
      <c r="M1243" s="225">
        <f>H1243+J1243+L1243</f>
        <v>0</v>
      </c>
    </row>
    <row r="1244" spans="1:14" s="88" customFormat="1" hidden="1">
      <c r="A1244" s="242"/>
      <c r="B1244" s="1437"/>
      <c r="C1244" s="229" t="s">
        <v>354</v>
      </c>
      <c r="D1244" s="230" t="s">
        <v>88</v>
      </c>
      <c r="E1244" s="230">
        <v>5.0000000000000001E-3</v>
      </c>
      <c r="F1244" s="387">
        <f>F1239*E1244</f>
        <v>0</v>
      </c>
      <c r="G1244" s="393">
        <v>25.4</v>
      </c>
      <c r="H1244" s="393">
        <f>F1244*G1244</f>
        <v>0</v>
      </c>
      <c r="I1244" s="393"/>
      <c r="J1244" s="393"/>
      <c r="K1244" s="393"/>
      <c r="L1244" s="393"/>
      <c r="M1244" s="393">
        <f>H1244+J1244+L1244</f>
        <v>0</v>
      </c>
    </row>
    <row r="1245" spans="1:14" s="89" customFormat="1" ht="21" hidden="1" customHeight="1">
      <c r="A1245" s="83">
        <v>6</v>
      </c>
      <c r="B1245" s="235" t="s">
        <v>295</v>
      </c>
      <c r="C1245" s="243" t="s">
        <v>893</v>
      </c>
      <c r="D1245" s="83" t="s">
        <v>88</v>
      </c>
      <c r="E1245" s="83"/>
      <c r="F1245" s="388">
        <f>'დეფექტური აქტი'!E258</f>
        <v>0</v>
      </c>
      <c r="G1245" s="225"/>
      <c r="H1245" s="225"/>
      <c r="I1245" s="225"/>
      <c r="J1245" s="225"/>
      <c r="K1245" s="225"/>
      <c r="L1245" s="225"/>
      <c r="M1245" s="225">
        <f>H1245+J1245+L1245</f>
        <v>0</v>
      </c>
      <c r="N1245" s="244"/>
    </row>
    <row r="1246" spans="1:14" s="89" customFormat="1" ht="15.75" hidden="1" customHeight="1">
      <c r="A1246" s="83"/>
      <c r="B1246" s="235"/>
      <c r="C1246" s="223" t="s">
        <v>209</v>
      </c>
      <c r="D1246" s="211" t="s">
        <v>80</v>
      </c>
      <c r="E1246" s="211">
        <v>2.9</v>
      </c>
      <c r="F1246" s="225">
        <f>F1245*E1246</f>
        <v>0</v>
      </c>
      <c r="G1246" s="225"/>
      <c r="H1246" s="225"/>
      <c r="I1246" s="386">
        <v>6</v>
      </c>
      <c r="J1246" s="225">
        <f>F1246*I1246</f>
        <v>0</v>
      </c>
      <c r="K1246" s="225"/>
      <c r="L1246" s="225"/>
      <c r="M1246" s="225">
        <f>H1246+J1246+L1246</f>
        <v>0</v>
      </c>
      <c r="N1246" s="244"/>
    </row>
    <row r="1247" spans="1:14" s="89" customFormat="1" hidden="1">
      <c r="A1247" s="83"/>
      <c r="B1247" s="235"/>
      <c r="C1247" s="223" t="s">
        <v>210</v>
      </c>
      <c r="D1247" s="211"/>
      <c r="E1247" s="211"/>
      <c r="F1247" s="225">
        <f>E1247*235.6</f>
        <v>0</v>
      </c>
      <c r="G1247" s="225"/>
      <c r="H1247" s="225"/>
      <c r="I1247" s="225"/>
      <c r="J1247" s="225"/>
      <c r="K1247" s="225"/>
      <c r="L1247" s="225"/>
      <c r="M1247" s="225"/>
      <c r="N1247" s="244"/>
    </row>
    <row r="1248" spans="1:14" s="89" customFormat="1" hidden="1">
      <c r="A1248" s="83"/>
      <c r="B1248" s="235"/>
      <c r="C1248" s="223" t="s">
        <v>300</v>
      </c>
      <c r="D1248" s="211" t="s">
        <v>88</v>
      </c>
      <c r="E1248" s="211">
        <v>1.02</v>
      </c>
      <c r="F1248" s="225">
        <f>F1245*E1248</f>
        <v>0</v>
      </c>
      <c r="G1248" s="225">
        <v>99</v>
      </c>
      <c r="H1248" s="225">
        <f>F1248*G1248</f>
        <v>0</v>
      </c>
      <c r="I1248" s="225"/>
      <c r="J1248" s="225"/>
      <c r="K1248" s="225"/>
      <c r="L1248" s="225"/>
      <c r="M1248" s="225">
        <f>H1248+J1248+L1248</f>
        <v>0</v>
      </c>
      <c r="N1248" s="244"/>
    </row>
    <row r="1249" spans="1:14" s="89" customFormat="1" hidden="1">
      <c r="A1249" s="86"/>
      <c r="B1249" s="245"/>
      <c r="C1249" s="232" t="s">
        <v>214</v>
      </c>
      <c r="D1249" s="230" t="s">
        <v>57</v>
      </c>
      <c r="E1249" s="230">
        <v>0.88</v>
      </c>
      <c r="F1249" s="393">
        <f>F1245*E1249</f>
        <v>0</v>
      </c>
      <c r="G1249" s="393">
        <v>3.2</v>
      </c>
      <c r="H1249" s="393">
        <f>F1249*G1249</f>
        <v>0</v>
      </c>
      <c r="I1249" s="393"/>
      <c r="J1249" s="393"/>
      <c r="K1249" s="393"/>
      <c r="L1249" s="393"/>
      <c r="M1249" s="225">
        <f>H1249+J1249+L1249</f>
        <v>0</v>
      </c>
      <c r="N1249" s="244"/>
    </row>
    <row r="1250" spans="1:14" s="88" customFormat="1" ht="27" hidden="1">
      <c r="A1250" s="140">
        <v>7</v>
      </c>
      <c r="B1250" s="1431" t="s">
        <v>1554</v>
      </c>
      <c r="C1250" s="26" t="s">
        <v>1514</v>
      </c>
      <c r="D1250" s="370" t="s">
        <v>122</v>
      </c>
      <c r="E1250" s="140"/>
      <c r="F1250" s="384">
        <f>'დეფექტური აქტი'!E259</f>
        <v>0</v>
      </c>
      <c r="G1250" s="422"/>
      <c r="H1250" s="422"/>
      <c r="I1250" s="422"/>
      <c r="J1250" s="422"/>
      <c r="K1250" s="422"/>
      <c r="L1250" s="422"/>
      <c r="M1250" s="422"/>
    </row>
    <row r="1251" spans="1:14" s="88" customFormat="1" hidden="1">
      <c r="A1251" s="96"/>
      <c r="B1251" s="1432"/>
      <c r="C1251" s="226" t="s">
        <v>209</v>
      </c>
      <c r="D1251" s="211" t="s">
        <v>80</v>
      </c>
      <c r="E1251" s="336">
        <v>0.74</v>
      </c>
      <c r="F1251" s="386">
        <f>F1250*E1251</f>
        <v>0</v>
      </c>
      <c r="G1251" s="225"/>
      <c r="H1251" s="225"/>
      <c r="I1251" s="386">
        <v>6</v>
      </c>
      <c r="J1251" s="225">
        <f>F1251*I1251</f>
        <v>0</v>
      </c>
      <c r="K1251" s="225"/>
      <c r="L1251" s="225"/>
      <c r="M1251" s="225">
        <f>H1251+J1251+L1251</f>
        <v>0</v>
      </c>
    </row>
    <row r="1252" spans="1:14" s="88" customFormat="1" hidden="1">
      <c r="A1252" s="96"/>
      <c r="B1252" s="1432"/>
      <c r="C1252" s="226" t="s">
        <v>81</v>
      </c>
      <c r="D1252" s="83" t="s">
        <v>57</v>
      </c>
      <c r="E1252" s="336">
        <v>7.1000000000000004E-3</v>
      </c>
      <c r="F1252" s="386">
        <f>F1250*E1252</f>
        <v>0</v>
      </c>
      <c r="G1252" s="225"/>
      <c r="H1252" s="225"/>
      <c r="I1252" s="225"/>
      <c r="J1252" s="225"/>
      <c r="K1252" s="225">
        <v>3.2</v>
      </c>
      <c r="L1252" s="225">
        <f>F1252*K1252</f>
        <v>0</v>
      </c>
      <c r="M1252" s="225">
        <f>H1252+J1252+L1252</f>
        <v>0</v>
      </c>
    </row>
    <row r="1253" spans="1:14" s="88" customFormat="1" hidden="1">
      <c r="A1253" s="96"/>
      <c r="B1253" s="1432"/>
      <c r="C1253" s="365" t="s">
        <v>210</v>
      </c>
      <c r="D1253" s="211"/>
      <c r="E1253" s="211"/>
      <c r="F1253" s="386"/>
      <c r="G1253" s="225"/>
      <c r="H1253" s="225"/>
      <c r="I1253" s="225"/>
      <c r="J1253" s="225"/>
      <c r="K1253" s="225"/>
      <c r="L1253" s="225"/>
      <c r="M1253" s="225"/>
    </row>
    <row r="1254" spans="1:14" s="88" customFormat="1" hidden="1">
      <c r="A1254" s="96"/>
      <c r="B1254" s="1432"/>
      <c r="C1254" s="226" t="s">
        <v>1515</v>
      </c>
      <c r="D1254" s="371" t="s">
        <v>122</v>
      </c>
      <c r="E1254" s="336">
        <v>1</v>
      </c>
      <c r="F1254" s="386">
        <f>F1250*E1254</f>
        <v>0</v>
      </c>
      <c r="G1254" s="225">
        <v>19.3</v>
      </c>
      <c r="H1254" s="225">
        <f>F1254*G1254</f>
        <v>0</v>
      </c>
      <c r="I1254" s="225"/>
      <c r="J1254" s="225"/>
      <c r="K1254" s="225"/>
      <c r="L1254" s="225"/>
      <c r="M1254" s="225">
        <f>H1254+J1254+L1254</f>
        <v>0</v>
      </c>
    </row>
    <row r="1255" spans="1:14" s="88" customFormat="1" hidden="1">
      <c r="A1255" s="96"/>
      <c r="B1255" s="1432"/>
      <c r="C1255" s="226" t="s">
        <v>300</v>
      </c>
      <c r="D1255" s="211" t="s">
        <v>88</v>
      </c>
      <c r="E1255" s="336">
        <v>3.9E-2</v>
      </c>
      <c r="F1255" s="386">
        <f>F1250*E1255</f>
        <v>0</v>
      </c>
      <c r="G1255" s="225">
        <v>99</v>
      </c>
      <c r="H1255" s="225">
        <f>F1255*G1255</f>
        <v>0</v>
      </c>
      <c r="I1255" s="225"/>
      <c r="J1255" s="225"/>
      <c r="K1255" s="225"/>
      <c r="L1255" s="225"/>
      <c r="M1255" s="225">
        <f>H1255+J1255+L1255</f>
        <v>0</v>
      </c>
    </row>
    <row r="1256" spans="1:14" s="88" customFormat="1" hidden="1">
      <c r="A1256" s="96"/>
      <c r="B1256" s="1432"/>
      <c r="C1256" s="226" t="s">
        <v>198</v>
      </c>
      <c r="D1256" s="211" t="s">
        <v>88</v>
      </c>
      <c r="E1256" s="336">
        <v>5.9999999999999995E-4</v>
      </c>
      <c r="F1256" s="386">
        <f>F1250*E1256</f>
        <v>0</v>
      </c>
      <c r="G1256" s="225">
        <v>85</v>
      </c>
      <c r="H1256" s="225">
        <f>F1256*G1256</f>
        <v>0</v>
      </c>
      <c r="I1256" s="225"/>
      <c r="J1256" s="225"/>
      <c r="K1256" s="225"/>
      <c r="L1256" s="225"/>
      <c r="M1256" s="225">
        <f>H1256+J1256+L1256</f>
        <v>0</v>
      </c>
    </row>
    <row r="1257" spans="1:14" s="88" customFormat="1" hidden="1">
      <c r="A1257" s="242"/>
      <c r="B1257" s="1437"/>
      <c r="C1257" s="229" t="s">
        <v>214</v>
      </c>
      <c r="D1257" s="86" t="s">
        <v>57</v>
      </c>
      <c r="E1257" s="336">
        <v>9.6000000000000002E-2</v>
      </c>
      <c r="F1257" s="387">
        <f>F1250*E1257</f>
        <v>0</v>
      </c>
      <c r="G1257" s="393">
        <v>3.2</v>
      </c>
      <c r="H1257" s="393">
        <f>F1257*G1257</f>
        <v>0</v>
      </c>
      <c r="I1257" s="393"/>
      <c r="J1257" s="393"/>
      <c r="K1257" s="393"/>
      <c r="L1257" s="393"/>
      <c r="M1257" s="393">
        <f>H1257+J1257+L1257</f>
        <v>0</v>
      </c>
    </row>
    <row r="1258" spans="1:14" s="88" customFormat="1" hidden="1">
      <c r="A1258" s="140">
        <v>8</v>
      </c>
      <c r="B1258" s="1431" t="s">
        <v>1542</v>
      </c>
      <c r="C1258" s="151" t="s">
        <v>1236</v>
      </c>
      <c r="D1258" s="47" t="s">
        <v>122</v>
      </c>
      <c r="E1258" s="140"/>
      <c r="F1258" s="384">
        <f>'დეფექტური აქტი'!E260</f>
        <v>0</v>
      </c>
      <c r="G1258" s="422"/>
      <c r="H1258" s="422"/>
      <c r="I1258" s="422"/>
      <c r="J1258" s="422"/>
      <c r="K1258" s="422"/>
      <c r="L1258" s="422"/>
      <c r="M1258" s="422"/>
    </row>
    <row r="1259" spans="1:14" s="88" customFormat="1" hidden="1">
      <c r="A1259" s="96"/>
      <c r="B1259" s="1432"/>
      <c r="C1259" s="226" t="s">
        <v>209</v>
      </c>
      <c r="D1259" s="211" t="s">
        <v>80</v>
      </c>
      <c r="E1259" s="336">
        <v>1.1100000000000001</v>
      </c>
      <c r="F1259" s="386">
        <f>F1258*E1259</f>
        <v>0</v>
      </c>
      <c r="G1259" s="225"/>
      <c r="H1259" s="225"/>
      <c r="I1259" s="386">
        <v>6</v>
      </c>
      <c r="J1259" s="225">
        <f>F1259*I1259</f>
        <v>0</v>
      </c>
      <c r="K1259" s="225"/>
      <c r="L1259" s="225"/>
      <c r="M1259" s="225">
        <f>H1259+J1259+L1259</f>
        <v>0</v>
      </c>
    </row>
    <row r="1260" spans="1:14" s="88" customFormat="1" hidden="1">
      <c r="A1260" s="96"/>
      <c r="B1260" s="1432"/>
      <c r="C1260" s="226" t="s">
        <v>81</v>
      </c>
      <c r="D1260" s="83" t="s">
        <v>57</v>
      </c>
      <c r="E1260" s="336">
        <v>7.1000000000000004E-3</v>
      </c>
      <c r="F1260" s="386">
        <f>F1258*E1260</f>
        <v>0</v>
      </c>
      <c r="G1260" s="225"/>
      <c r="H1260" s="225"/>
      <c r="I1260" s="225"/>
      <c r="J1260" s="225"/>
      <c r="K1260" s="225">
        <v>3.2</v>
      </c>
      <c r="L1260" s="225">
        <f>F1260*K1260</f>
        <v>0</v>
      </c>
      <c r="M1260" s="225">
        <f>H1260+J1260+L1260</f>
        <v>0</v>
      </c>
    </row>
    <row r="1261" spans="1:14" s="88" customFormat="1" hidden="1">
      <c r="A1261" s="96"/>
      <c r="B1261" s="1432"/>
      <c r="C1261" s="15" t="s">
        <v>210</v>
      </c>
      <c r="D1261" s="211"/>
      <c r="E1261" s="211"/>
      <c r="F1261" s="386"/>
      <c r="G1261" s="225"/>
      <c r="H1261" s="225"/>
      <c r="I1261" s="225"/>
      <c r="J1261" s="225"/>
      <c r="K1261" s="225"/>
      <c r="L1261" s="225"/>
      <c r="M1261" s="225"/>
    </row>
    <row r="1262" spans="1:14" s="88" customFormat="1" hidden="1">
      <c r="A1262" s="96"/>
      <c r="B1262" s="1432"/>
      <c r="C1262" s="226" t="s">
        <v>1246</v>
      </c>
      <c r="D1262" s="41" t="s">
        <v>122</v>
      </c>
      <c r="E1262" s="336">
        <v>1</v>
      </c>
      <c r="F1262" s="386">
        <f>F1258*E1262</f>
        <v>0</v>
      </c>
      <c r="G1262" s="610">
        <v>20</v>
      </c>
      <c r="H1262" s="225">
        <f>F1262*G1262</f>
        <v>0</v>
      </c>
      <c r="I1262" s="225"/>
      <c r="J1262" s="225"/>
      <c r="K1262" s="225"/>
      <c r="L1262" s="225"/>
      <c r="M1262" s="225">
        <f>H1262+J1262+L1262</f>
        <v>0</v>
      </c>
    </row>
    <row r="1263" spans="1:14" s="88" customFormat="1" hidden="1">
      <c r="A1263" s="96"/>
      <c r="B1263" s="1432"/>
      <c r="C1263" s="226" t="s">
        <v>300</v>
      </c>
      <c r="D1263" s="211" t="s">
        <v>88</v>
      </c>
      <c r="E1263" s="336">
        <v>3.9E-2</v>
      </c>
      <c r="F1263" s="386">
        <f>F1258*E1263</f>
        <v>0</v>
      </c>
      <c r="G1263" s="225">
        <v>99</v>
      </c>
      <c r="H1263" s="225">
        <f>F1263*G1263</f>
        <v>0</v>
      </c>
      <c r="I1263" s="225"/>
      <c r="J1263" s="225"/>
      <c r="K1263" s="225"/>
      <c r="L1263" s="225"/>
      <c r="M1263" s="225">
        <f>H1263+J1263+L1263</f>
        <v>0</v>
      </c>
    </row>
    <row r="1264" spans="1:14" s="88" customFormat="1" hidden="1">
      <c r="A1264" s="96"/>
      <c r="B1264" s="1432"/>
      <c r="C1264" s="226" t="s">
        <v>198</v>
      </c>
      <c r="D1264" s="211" t="s">
        <v>88</v>
      </c>
      <c r="E1264" s="336">
        <v>5.9999999999999995E-4</v>
      </c>
      <c r="F1264" s="386">
        <f>F1258*E1264</f>
        <v>0</v>
      </c>
      <c r="G1264" s="225">
        <v>85</v>
      </c>
      <c r="H1264" s="225">
        <f>F1264*G1264</f>
        <v>0</v>
      </c>
      <c r="I1264" s="225"/>
      <c r="J1264" s="225"/>
      <c r="K1264" s="225"/>
      <c r="L1264" s="225"/>
      <c r="M1264" s="225">
        <f>H1264+J1264+L1264</f>
        <v>0</v>
      </c>
    </row>
    <row r="1265" spans="1:13" s="88" customFormat="1" hidden="1">
      <c r="A1265" s="242"/>
      <c r="B1265" s="1437"/>
      <c r="C1265" s="229" t="s">
        <v>214</v>
      </c>
      <c r="D1265" s="86" t="s">
        <v>57</v>
      </c>
      <c r="E1265" s="336">
        <v>9.6000000000000002E-2</v>
      </c>
      <c r="F1265" s="387">
        <f>F1258*E1265</f>
        <v>0</v>
      </c>
      <c r="G1265" s="393">
        <v>3.2</v>
      </c>
      <c r="H1265" s="393">
        <f>F1265*G1265</f>
        <v>0</v>
      </c>
      <c r="I1265" s="393"/>
      <c r="J1265" s="393"/>
      <c r="K1265" s="393"/>
      <c r="L1265" s="393"/>
      <c r="M1265" s="393">
        <f>H1265+J1265+L1265</f>
        <v>0</v>
      </c>
    </row>
    <row r="1266" spans="1:13" s="45" customFormat="1" hidden="1">
      <c r="A1266" s="48"/>
      <c r="B1266" s="199"/>
      <c r="C1266" s="107" t="s">
        <v>883</v>
      </c>
      <c r="D1266" s="48"/>
      <c r="E1266" s="48"/>
      <c r="F1266" s="390"/>
      <c r="G1266" s="390"/>
      <c r="H1266" s="390"/>
      <c r="I1266" s="390"/>
      <c r="J1266" s="390"/>
      <c r="K1266" s="390"/>
      <c r="L1266" s="390"/>
      <c r="M1266" s="390"/>
    </row>
    <row r="1267" spans="1:13" s="93" customFormat="1" hidden="1">
      <c r="A1267" s="83">
        <v>1</v>
      </c>
      <c r="B1267" s="1446" t="s">
        <v>888</v>
      </c>
      <c r="C1267" s="84" t="s">
        <v>891</v>
      </c>
      <c r="D1267" s="83" t="s">
        <v>88</v>
      </c>
      <c r="E1267" s="83"/>
      <c r="F1267" s="395">
        <f>'დეფექტური აქტი'!E262</f>
        <v>0</v>
      </c>
      <c r="G1267" s="386"/>
      <c r="H1267" s="386"/>
      <c r="I1267" s="386"/>
      <c r="J1267" s="386"/>
      <c r="K1267" s="386"/>
      <c r="L1267" s="386"/>
      <c r="M1267" s="386"/>
    </row>
    <row r="1268" spans="1:13" s="93" customFormat="1" hidden="1">
      <c r="A1268" s="86"/>
      <c r="B1268" s="1437"/>
      <c r="C1268" s="156" t="s">
        <v>889</v>
      </c>
      <c r="D1268" s="86" t="s">
        <v>80</v>
      </c>
      <c r="E1268" s="86">
        <v>2.6960000000000002</v>
      </c>
      <c r="F1268" s="396">
        <f>F1267*E1268</f>
        <v>0</v>
      </c>
      <c r="G1268" s="387"/>
      <c r="H1268" s="387"/>
      <c r="I1268" s="387">
        <v>4.5999999999999996</v>
      </c>
      <c r="J1268" s="387">
        <f>F1268*I1268</f>
        <v>0</v>
      </c>
      <c r="K1268" s="387"/>
      <c r="L1268" s="387"/>
      <c r="M1268" s="387">
        <f>H1268+J1268+L1268</f>
        <v>0</v>
      </c>
    </row>
    <row r="1269" spans="1:13" s="93" customFormat="1" hidden="1">
      <c r="A1269" s="140">
        <v>2</v>
      </c>
      <c r="B1269" s="1431" t="s">
        <v>890</v>
      </c>
      <c r="C1269" s="151" t="s">
        <v>433</v>
      </c>
      <c r="D1269" s="140" t="s">
        <v>88</v>
      </c>
      <c r="E1269" s="140"/>
      <c r="F1269" s="384">
        <f>'დეფექტური აქტი'!E263</f>
        <v>0</v>
      </c>
      <c r="G1269" s="385"/>
      <c r="H1269" s="385"/>
      <c r="I1269" s="385"/>
      <c r="J1269" s="385"/>
      <c r="K1269" s="385"/>
      <c r="L1269" s="385"/>
      <c r="M1269" s="385"/>
    </row>
    <row r="1270" spans="1:13" s="93" customFormat="1" ht="15" hidden="1" customHeight="1">
      <c r="A1270" s="83"/>
      <c r="B1270" s="1432"/>
      <c r="C1270" s="90" t="s">
        <v>128</v>
      </c>
      <c r="D1270" s="86" t="s">
        <v>80</v>
      </c>
      <c r="E1270" s="83">
        <v>1.21</v>
      </c>
      <c r="F1270" s="386">
        <f>F1269*E1270</f>
        <v>0</v>
      </c>
      <c r="G1270" s="386"/>
      <c r="H1270" s="386"/>
      <c r="I1270" s="387">
        <v>4.5999999999999996</v>
      </c>
      <c r="J1270" s="386">
        <f>F1270*I1270</f>
        <v>0</v>
      </c>
      <c r="K1270" s="386"/>
      <c r="L1270" s="386"/>
      <c r="M1270" s="386">
        <f>H1270+J1270+L1270</f>
        <v>0</v>
      </c>
    </row>
    <row r="1271" spans="1:13" s="95" customFormat="1" ht="27" hidden="1">
      <c r="A1271" s="140">
        <v>3</v>
      </c>
      <c r="B1271" s="1447"/>
      <c r="C1271" s="152" t="s">
        <v>298</v>
      </c>
      <c r="D1271" s="140" t="s">
        <v>206</v>
      </c>
      <c r="E1271" s="153"/>
      <c r="F1271" s="384">
        <f>'დეფექტური აქტი'!E264*1.95</f>
        <v>0</v>
      </c>
      <c r="G1271" s="385"/>
      <c r="H1271" s="385"/>
      <c r="I1271" s="385"/>
      <c r="J1271" s="385"/>
      <c r="K1271" s="385"/>
      <c r="L1271" s="385"/>
      <c r="M1271" s="385">
        <f>H1271+J1271+L1271</f>
        <v>0</v>
      </c>
    </row>
    <row r="1272" spans="1:13" s="95" customFormat="1" hidden="1">
      <c r="A1272" s="83"/>
      <c r="B1272" s="1448"/>
      <c r="C1272" s="90" t="s">
        <v>209</v>
      </c>
      <c r="D1272" s="86" t="s">
        <v>80</v>
      </c>
      <c r="E1272" s="94">
        <v>0.6</v>
      </c>
      <c r="F1272" s="386">
        <f>F1271*E1272</f>
        <v>0</v>
      </c>
      <c r="G1272" s="386"/>
      <c r="H1272" s="603"/>
      <c r="I1272" s="387">
        <v>4.5999999999999996</v>
      </c>
      <c r="J1272" s="386">
        <f>F1272*I1272</f>
        <v>0</v>
      </c>
      <c r="K1272" s="386"/>
      <c r="L1272" s="386"/>
      <c r="M1272" s="386">
        <f>H1272+J1272+L1272</f>
        <v>0</v>
      </c>
    </row>
    <row r="1273" spans="1:13" s="93" customFormat="1" hidden="1">
      <c r="A1273" s="24">
        <v>4</v>
      </c>
      <c r="B1273" s="175"/>
      <c r="C1273" s="26" t="s">
        <v>735</v>
      </c>
      <c r="D1273" s="24" t="s">
        <v>206</v>
      </c>
      <c r="E1273" s="24"/>
      <c r="F1273" s="397">
        <f>F1271</f>
        <v>0</v>
      </c>
      <c r="G1273" s="390"/>
      <c r="H1273" s="390"/>
      <c r="I1273" s="390"/>
      <c r="J1273" s="390"/>
      <c r="K1273" s="390">
        <v>3.02</v>
      </c>
      <c r="L1273" s="390">
        <f>F1273*K1273</f>
        <v>0</v>
      </c>
      <c r="M1273" s="390">
        <f>H1273+J1273+L1273</f>
        <v>0</v>
      </c>
    </row>
    <row r="1274" spans="1:13" s="89" customFormat="1" hidden="1">
      <c r="A1274" s="140">
        <v>5</v>
      </c>
      <c r="B1274" s="1431" t="s">
        <v>292</v>
      </c>
      <c r="C1274" s="151" t="s">
        <v>293</v>
      </c>
      <c r="D1274" s="140" t="s">
        <v>88</v>
      </c>
      <c r="E1274" s="140"/>
      <c r="F1274" s="384">
        <f>'დეფექტური აქტი'!E266</f>
        <v>0</v>
      </c>
      <c r="G1274" s="385"/>
      <c r="H1274" s="385"/>
      <c r="I1274" s="385"/>
      <c r="J1274" s="385"/>
      <c r="K1274" s="385"/>
      <c r="L1274" s="385"/>
      <c r="M1274" s="385"/>
    </row>
    <row r="1275" spans="1:13" s="89" customFormat="1" hidden="1">
      <c r="A1275" s="83"/>
      <c r="B1275" s="1432"/>
      <c r="C1275" s="84" t="s">
        <v>209</v>
      </c>
      <c r="D1275" s="83" t="s">
        <v>80</v>
      </c>
      <c r="E1275" s="83">
        <v>3.52</v>
      </c>
      <c r="F1275" s="386">
        <f>F1274*E1275</f>
        <v>0</v>
      </c>
      <c r="G1275" s="386"/>
      <c r="H1275" s="386"/>
      <c r="I1275" s="386">
        <v>4.5999999999999996</v>
      </c>
      <c r="J1275" s="386">
        <f>F1275*I1275</f>
        <v>0</v>
      </c>
      <c r="K1275" s="386"/>
      <c r="L1275" s="386"/>
      <c r="M1275" s="386">
        <f>H1275+J1275+L1275</f>
        <v>0</v>
      </c>
    </row>
    <row r="1276" spans="1:13" s="89" customFormat="1" hidden="1">
      <c r="A1276" s="83"/>
      <c r="B1276" s="1432"/>
      <c r="C1276" s="84" t="s">
        <v>81</v>
      </c>
      <c r="D1276" s="83" t="s">
        <v>57</v>
      </c>
      <c r="E1276" s="83">
        <v>1.06</v>
      </c>
      <c r="F1276" s="386">
        <f>F1274*E1276</f>
        <v>0</v>
      </c>
      <c r="G1276" s="386"/>
      <c r="H1276" s="386"/>
      <c r="I1276" s="386"/>
      <c r="J1276" s="386"/>
      <c r="K1276" s="386">
        <v>3.2</v>
      </c>
      <c r="L1276" s="386">
        <f>F1276*K1276</f>
        <v>0</v>
      </c>
      <c r="M1276" s="386">
        <f>H1276+J1276+L1276</f>
        <v>0</v>
      </c>
    </row>
    <row r="1277" spans="1:13" s="89" customFormat="1" hidden="1">
      <c r="A1277" s="83"/>
      <c r="B1277" s="1432"/>
      <c r="C1277" s="15" t="s">
        <v>210</v>
      </c>
      <c r="D1277" s="83"/>
      <c r="E1277" s="83"/>
      <c r="F1277" s="386"/>
      <c r="G1277" s="386"/>
      <c r="H1277" s="386"/>
      <c r="I1277" s="386"/>
      <c r="J1277" s="386"/>
      <c r="K1277" s="386"/>
      <c r="L1277" s="386"/>
      <c r="M1277" s="386"/>
    </row>
    <row r="1278" spans="1:13" s="89" customFormat="1" hidden="1">
      <c r="A1278" s="83"/>
      <c r="B1278" s="1432"/>
      <c r="C1278" s="84" t="s">
        <v>294</v>
      </c>
      <c r="D1278" s="83" t="s">
        <v>88</v>
      </c>
      <c r="E1278" s="83">
        <v>1.24</v>
      </c>
      <c r="F1278" s="386">
        <f>F1274*E1278</f>
        <v>0</v>
      </c>
      <c r="G1278" s="386">
        <v>16.100000000000001</v>
      </c>
      <c r="H1278" s="386">
        <f>F1278*G1278</f>
        <v>0</v>
      </c>
      <c r="I1278" s="386"/>
      <c r="J1278" s="386"/>
      <c r="K1278" s="386"/>
      <c r="L1278" s="386"/>
      <c r="M1278" s="386">
        <f>H1278+J1278+L1278</f>
        <v>0</v>
      </c>
    </row>
    <row r="1279" spans="1:13" s="89" customFormat="1" hidden="1">
      <c r="A1279" s="83"/>
      <c r="B1279" s="1432"/>
      <c r="C1279" s="84" t="s">
        <v>214</v>
      </c>
      <c r="D1279" s="83" t="s">
        <v>57</v>
      </c>
      <c r="E1279" s="86">
        <v>0.02</v>
      </c>
      <c r="F1279" s="387">
        <f>F1274*E1279</f>
        <v>0</v>
      </c>
      <c r="G1279" s="387">
        <v>3.2</v>
      </c>
      <c r="H1279" s="387">
        <f>F1279*G1279</f>
        <v>0</v>
      </c>
      <c r="I1279" s="387"/>
      <c r="J1279" s="387"/>
      <c r="K1279" s="387"/>
      <c r="L1279" s="387"/>
      <c r="M1279" s="387">
        <f>H1279+J1279+L1279</f>
        <v>0</v>
      </c>
    </row>
    <row r="1280" spans="1:13" s="89" customFormat="1" ht="40.5" hidden="1">
      <c r="A1280" s="83">
        <v>6</v>
      </c>
      <c r="B1280" s="1446" t="s">
        <v>700</v>
      </c>
      <c r="C1280" s="151" t="s">
        <v>1123</v>
      </c>
      <c r="D1280" s="140" t="s">
        <v>88</v>
      </c>
      <c r="E1280" s="83"/>
      <c r="F1280" s="388">
        <f>'დეფექტური აქტი'!E267</f>
        <v>0</v>
      </c>
      <c r="G1280" s="225"/>
      <c r="H1280" s="225"/>
      <c r="I1280" s="225"/>
      <c r="J1280" s="225"/>
      <c r="K1280" s="225"/>
      <c r="L1280" s="225"/>
      <c r="M1280" s="225"/>
    </row>
    <row r="1281" spans="1:13" s="89" customFormat="1" hidden="1">
      <c r="A1281" s="83"/>
      <c r="B1281" s="1432"/>
      <c r="C1281" s="223" t="s">
        <v>209</v>
      </c>
      <c r="D1281" s="211" t="s">
        <v>80</v>
      </c>
      <c r="E1281" s="211">
        <v>8.44</v>
      </c>
      <c r="F1281" s="386">
        <f>F1280*E1281</f>
        <v>0</v>
      </c>
      <c r="G1281" s="225"/>
      <c r="H1281" s="225"/>
      <c r="I1281" s="386">
        <v>4.5999999999999996</v>
      </c>
      <c r="J1281" s="225">
        <f>F1281*I1281</f>
        <v>0</v>
      </c>
      <c r="K1281" s="225"/>
      <c r="L1281" s="225"/>
      <c r="M1281" s="225">
        <f>H1281+J1281+L1281</f>
        <v>0</v>
      </c>
    </row>
    <row r="1282" spans="1:13" s="89" customFormat="1" hidden="1">
      <c r="A1282" s="83"/>
      <c r="B1282" s="1432"/>
      <c r="C1282" s="223" t="s">
        <v>81</v>
      </c>
      <c r="D1282" s="83" t="s">
        <v>57</v>
      </c>
      <c r="E1282" s="211">
        <v>1.1000000000000001</v>
      </c>
      <c r="F1282" s="386">
        <f>F1280*E1282</f>
        <v>0</v>
      </c>
      <c r="G1282" s="225"/>
      <c r="H1282" s="225"/>
      <c r="I1282" s="225"/>
      <c r="J1282" s="225"/>
      <c r="K1282" s="225">
        <v>3.2</v>
      </c>
      <c r="L1282" s="225">
        <f>F1282*K1282</f>
        <v>0</v>
      </c>
      <c r="M1282" s="225">
        <f>H1282+J1282+L1282</f>
        <v>0</v>
      </c>
    </row>
    <row r="1283" spans="1:13" s="89" customFormat="1" hidden="1">
      <c r="A1283" s="83"/>
      <c r="B1283" s="1432"/>
      <c r="C1283" s="15" t="s">
        <v>210</v>
      </c>
      <c r="D1283" s="211"/>
      <c r="E1283" s="211"/>
      <c r="F1283" s="386"/>
      <c r="G1283" s="225"/>
      <c r="H1283" s="225"/>
      <c r="I1283" s="225"/>
      <c r="J1283" s="225"/>
      <c r="K1283" s="225"/>
      <c r="L1283" s="225"/>
      <c r="M1283" s="225"/>
    </row>
    <row r="1284" spans="1:13" s="89" customFormat="1" hidden="1">
      <c r="A1284" s="83"/>
      <c r="B1284" s="1432"/>
      <c r="C1284" s="223" t="s">
        <v>1122</v>
      </c>
      <c r="D1284" s="211" t="s">
        <v>88</v>
      </c>
      <c r="E1284" s="211">
        <v>1.0149999999999999</v>
      </c>
      <c r="F1284" s="386">
        <f>F1280*E1284</f>
        <v>0</v>
      </c>
      <c r="G1284" s="386">
        <v>110</v>
      </c>
      <c r="H1284" s="225">
        <f t="shared" ref="H1284:H1292" si="17">F1284*G1284</f>
        <v>0</v>
      </c>
      <c r="I1284" s="225"/>
      <c r="J1284" s="225"/>
      <c r="K1284" s="225"/>
      <c r="L1284" s="225"/>
      <c r="M1284" s="225">
        <f t="shared" ref="M1284:M1292" si="18">H1284+J1284+L1284</f>
        <v>0</v>
      </c>
    </row>
    <row r="1285" spans="1:13" s="89" customFormat="1" hidden="1">
      <c r="A1285" s="83"/>
      <c r="B1285" s="1432"/>
      <c r="C1285" s="223" t="s">
        <v>301</v>
      </c>
      <c r="D1285" s="211" t="s">
        <v>78</v>
      </c>
      <c r="E1285" s="211">
        <v>1.84</v>
      </c>
      <c r="F1285" s="386">
        <f>F1280*E1285</f>
        <v>0</v>
      </c>
      <c r="G1285" s="386">
        <v>10.5</v>
      </c>
      <c r="H1285" s="225">
        <f t="shared" si="17"/>
        <v>0</v>
      </c>
      <c r="I1285" s="225"/>
      <c r="J1285" s="225"/>
      <c r="K1285" s="225"/>
      <c r="L1285" s="225"/>
      <c r="M1285" s="225">
        <f t="shared" si="18"/>
        <v>0</v>
      </c>
    </row>
    <row r="1286" spans="1:13" s="89" customFormat="1" hidden="1">
      <c r="A1286" s="83"/>
      <c r="B1286" s="1432"/>
      <c r="C1286" s="223" t="s">
        <v>264</v>
      </c>
      <c r="D1286" s="211" t="s">
        <v>88</v>
      </c>
      <c r="E1286" s="211">
        <v>3.3999999999999998E-3</v>
      </c>
      <c r="F1286" s="386">
        <f>F1280*E1286</f>
        <v>0</v>
      </c>
      <c r="G1286" s="386">
        <v>490</v>
      </c>
      <c r="H1286" s="225">
        <f t="shared" si="17"/>
        <v>0</v>
      </c>
      <c r="I1286" s="225"/>
      <c r="J1286" s="225"/>
      <c r="K1286" s="225"/>
      <c r="L1286" s="225"/>
      <c r="M1286" s="225">
        <f t="shared" si="18"/>
        <v>0</v>
      </c>
    </row>
    <row r="1287" spans="1:13" s="89" customFormat="1" hidden="1">
      <c r="A1287" s="83"/>
      <c r="B1287" s="1432"/>
      <c r="C1287" s="223" t="s">
        <v>302</v>
      </c>
      <c r="D1287" s="211" t="s">
        <v>88</v>
      </c>
      <c r="E1287" s="211">
        <v>3.9100000000000003E-2</v>
      </c>
      <c r="F1287" s="386">
        <f>F1280*E1287</f>
        <v>0</v>
      </c>
      <c r="G1287" s="386">
        <v>403</v>
      </c>
      <c r="H1287" s="225">
        <f t="shared" si="17"/>
        <v>0</v>
      </c>
      <c r="I1287" s="225"/>
      <c r="J1287" s="225"/>
      <c r="K1287" s="225"/>
      <c r="L1287" s="225"/>
      <c r="M1287" s="225">
        <f t="shared" si="18"/>
        <v>0</v>
      </c>
    </row>
    <row r="1288" spans="1:13" s="89" customFormat="1" hidden="1">
      <c r="A1288" s="83"/>
      <c r="B1288" s="1432"/>
      <c r="C1288" s="223" t="s">
        <v>303</v>
      </c>
      <c r="D1288" s="211" t="s">
        <v>97</v>
      </c>
      <c r="E1288" s="211">
        <v>2.2000000000000002</v>
      </c>
      <c r="F1288" s="386">
        <f>F1280*E1288</f>
        <v>0</v>
      </c>
      <c r="G1288" s="386">
        <v>2.5</v>
      </c>
      <c r="H1288" s="225">
        <f t="shared" si="17"/>
        <v>0</v>
      </c>
      <c r="I1288" s="225"/>
      <c r="J1288" s="225"/>
      <c r="K1288" s="225"/>
      <c r="L1288" s="225"/>
      <c r="M1288" s="225">
        <f t="shared" si="18"/>
        <v>0</v>
      </c>
    </row>
    <row r="1289" spans="1:13" s="89" customFormat="1" hidden="1">
      <c r="A1289" s="83"/>
      <c r="B1289" s="1432"/>
      <c r="C1289" s="223" t="s">
        <v>884</v>
      </c>
      <c r="D1289" s="211" t="s">
        <v>97</v>
      </c>
      <c r="E1289" s="211"/>
      <c r="F1289" s="388">
        <f>'დეფექტური აქტი'!E268</f>
        <v>0</v>
      </c>
      <c r="G1289" s="795">
        <v>1.0189999999999999</v>
      </c>
      <c r="H1289" s="225">
        <f t="shared" si="17"/>
        <v>0</v>
      </c>
      <c r="I1289" s="225"/>
      <c r="J1289" s="225"/>
      <c r="K1289" s="225"/>
      <c r="L1289" s="225"/>
      <c r="M1289" s="225">
        <f t="shared" si="18"/>
        <v>0</v>
      </c>
    </row>
    <row r="1290" spans="1:13" s="89" customFormat="1" hidden="1">
      <c r="A1290" s="83"/>
      <c r="B1290" s="1432"/>
      <c r="C1290" s="223" t="s">
        <v>501</v>
      </c>
      <c r="D1290" s="211" t="s">
        <v>97</v>
      </c>
      <c r="E1290" s="211"/>
      <c r="F1290" s="388">
        <f>'დეფექტური აქტი'!E269</f>
        <v>0</v>
      </c>
      <c r="G1290" s="795">
        <v>0.95299999999999996</v>
      </c>
      <c r="H1290" s="225">
        <f t="shared" si="17"/>
        <v>0</v>
      </c>
      <c r="I1290" s="225"/>
      <c r="J1290" s="225"/>
      <c r="K1290" s="225"/>
      <c r="L1290" s="225"/>
      <c r="M1290" s="225">
        <f t="shared" si="18"/>
        <v>0</v>
      </c>
    </row>
    <row r="1291" spans="1:13" s="89" customFormat="1" hidden="1">
      <c r="A1291" s="83"/>
      <c r="B1291" s="1432"/>
      <c r="C1291" s="223" t="s">
        <v>307</v>
      </c>
      <c r="D1291" s="211" t="s">
        <v>97</v>
      </c>
      <c r="E1291" s="211">
        <v>1</v>
      </c>
      <c r="F1291" s="386">
        <f>F1280*E1291</f>
        <v>0</v>
      </c>
      <c r="G1291" s="386">
        <v>3.75</v>
      </c>
      <c r="H1291" s="225">
        <f t="shared" si="17"/>
        <v>0</v>
      </c>
      <c r="I1291" s="225"/>
      <c r="J1291" s="225"/>
      <c r="K1291" s="225"/>
      <c r="L1291" s="225"/>
      <c r="M1291" s="225">
        <f t="shared" si="18"/>
        <v>0</v>
      </c>
    </row>
    <row r="1292" spans="1:13" s="89" customFormat="1" hidden="1">
      <c r="A1292" s="86"/>
      <c r="B1292" s="1437"/>
      <c r="C1292" s="232" t="s">
        <v>214</v>
      </c>
      <c r="D1292" s="86" t="s">
        <v>57</v>
      </c>
      <c r="E1292" s="230">
        <v>0.46</v>
      </c>
      <c r="F1292" s="387">
        <f>F1280*E1292</f>
        <v>0</v>
      </c>
      <c r="G1292" s="387">
        <v>3.2</v>
      </c>
      <c r="H1292" s="393">
        <f t="shared" si="17"/>
        <v>0</v>
      </c>
      <c r="I1292" s="393"/>
      <c r="J1292" s="393"/>
      <c r="K1292" s="393"/>
      <c r="L1292" s="393"/>
      <c r="M1292" s="393">
        <f t="shared" si="18"/>
        <v>0</v>
      </c>
    </row>
    <row r="1293" spans="1:13" s="88" customFormat="1" ht="27" hidden="1">
      <c r="A1293" s="140">
        <v>7</v>
      </c>
      <c r="B1293" s="1431" t="s">
        <v>886</v>
      </c>
      <c r="C1293" s="151" t="s">
        <v>885</v>
      </c>
      <c r="D1293" s="140" t="s">
        <v>78</v>
      </c>
      <c r="E1293" s="140"/>
      <c r="F1293" s="384">
        <f>'დეფექტური აქტი'!E270</f>
        <v>0</v>
      </c>
      <c r="G1293" s="422"/>
      <c r="H1293" s="422"/>
      <c r="I1293" s="422"/>
      <c r="J1293" s="422"/>
      <c r="K1293" s="422"/>
      <c r="L1293" s="422"/>
      <c r="M1293" s="422"/>
    </row>
    <row r="1294" spans="1:13" s="88" customFormat="1" hidden="1">
      <c r="A1294" s="96"/>
      <c r="B1294" s="1432"/>
      <c r="C1294" s="226" t="s">
        <v>209</v>
      </c>
      <c r="D1294" s="211" t="s">
        <v>80</v>
      </c>
      <c r="E1294" s="211">
        <v>0.247</v>
      </c>
      <c r="F1294" s="386">
        <f>F1293*E1294</f>
        <v>0</v>
      </c>
      <c r="G1294" s="225"/>
      <c r="H1294" s="225"/>
      <c r="I1294" s="386">
        <v>6</v>
      </c>
      <c r="J1294" s="225">
        <f>F1294*I1294</f>
        <v>0</v>
      </c>
      <c r="K1294" s="225"/>
      <c r="L1294" s="225"/>
      <c r="M1294" s="225">
        <f>H1294+J1294+L1294</f>
        <v>0</v>
      </c>
    </row>
    <row r="1295" spans="1:13" s="89" customFormat="1" hidden="1">
      <c r="A1295" s="83"/>
      <c r="B1295" s="1432"/>
      <c r="C1295" s="223" t="s">
        <v>81</v>
      </c>
      <c r="D1295" s="83" t="s">
        <v>57</v>
      </c>
      <c r="E1295" s="211">
        <v>1.61E-2</v>
      </c>
      <c r="F1295" s="386">
        <f>F1293*E1295</f>
        <v>0</v>
      </c>
      <c r="G1295" s="225"/>
      <c r="H1295" s="225"/>
      <c r="I1295" s="225"/>
      <c r="J1295" s="225"/>
      <c r="K1295" s="225">
        <v>3.2</v>
      </c>
      <c r="L1295" s="225">
        <f>F1295*K1295</f>
        <v>0</v>
      </c>
      <c r="M1295" s="225">
        <f>H1295+J1295+L1295</f>
        <v>0</v>
      </c>
    </row>
    <row r="1296" spans="1:13" s="88" customFormat="1" hidden="1">
      <c r="A1296" s="96"/>
      <c r="B1296" s="1432"/>
      <c r="C1296" s="15" t="s">
        <v>210</v>
      </c>
      <c r="D1296" s="211"/>
      <c r="E1296" s="211"/>
      <c r="F1296" s="386"/>
      <c r="G1296" s="225"/>
      <c r="H1296" s="225"/>
      <c r="I1296" s="225"/>
      <c r="J1296" s="225"/>
      <c r="K1296" s="225"/>
      <c r="L1296" s="225"/>
      <c r="M1296" s="225"/>
    </row>
    <row r="1297" spans="1:13" s="88" customFormat="1" hidden="1">
      <c r="A1297" s="96"/>
      <c r="B1297" s="1432"/>
      <c r="C1297" s="226" t="s">
        <v>887</v>
      </c>
      <c r="D1297" s="211" t="s">
        <v>78</v>
      </c>
      <c r="E1297" s="211">
        <v>1.1499999999999999</v>
      </c>
      <c r="F1297" s="386">
        <f>F1293*E1297</f>
        <v>0</v>
      </c>
      <c r="G1297" s="439">
        <v>3.9</v>
      </c>
      <c r="H1297" s="225">
        <f>F1297*G1297</f>
        <v>0</v>
      </c>
      <c r="I1297" s="225"/>
      <c r="J1297" s="225"/>
      <c r="K1297" s="225"/>
      <c r="L1297" s="225"/>
      <c r="M1297" s="225">
        <f>H1297+J1297+L1297</f>
        <v>0</v>
      </c>
    </row>
    <row r="1298" spans="1:13" s="88" customFormat="1" hidden="1">
      <c r="A1298" s="96"/>
      <c r="B1298" s="1432"/>
      <c r="C1298" s="226" t="s">
        <v>993</v>
      </c>
      <c r="D1298" s="211" t="s">
        <v>206</v>
      </c>
      <c r="E1298" s="211">
        <v>2.0999999999999999E-3</v>
      </c>
      <c r="F1298" s="386">
        <f>F1293*E1298</f>
        <v>0</v>
      </c>
      <c r="G1298" s="386">
        <v>990</v>
      </c>
      <c r="H1298" s="225">
        <f>F1298*G1298</f>
        <v>0</v>
      </c>
      <c r="I1298" s="225"/>
      <c r="J1298" s="225"/>
      <c r="K1298" s="225"/>
      <c r="L1298" s="225"/>
      <c r="M1298" s="225">
        <f>H1298+J1298+L1298</f>
        <v>0</v>
      </c>
    </row>
    <row r="1299" spans="1:13" s="88" customFormat="1" hidden="1">
      <c r="A1299" s="242"/>
      <c r="B1299" s="1437"/>
      <c r="C1299" s="232" t="s">
        <v>214</v>
      </c>
      <c r="D1299" s="86" t="s">
        <v>57</v>
      </c>
      <c r="E1299" s="230">
        <v>3.7199999999999997E-2</v>
      </c>
      <c r="F1299" s="387">
        <f>F1293*E1299</f>
        <v>0</v>
      </c>
      <c r="G1299" s="387">
        <v>3.2</v>
      </c>
      <c r="H1299" s="393">
        <f>F1299*G1299</f>
        <v>0</v>
      </c>
      <c r="I1299" s="393"/>
      <c r="J1299" s="393"/>
      <c r="K1299" s="393"/>
      <c r="L1299" s="393"/>
      <c r="M1299" s="393">
        <f>H1299+J1299+L1299</f>
        <v>0</v>
      </c>
    </row>
    <row r="1300" spans="1:13" s="88" customFormat="1" hidden="1">
      <c r="A1300" s="246"/>
      <c r="B1300" s="247"/>
      <c r="C1300" s="34" t="s">
        <v>733</v>
      </c>
      <c r="D1300" s="24"/>
      <c r="E1300" s="158"/>
      <c r="F1300" s="390"/>
      <c r="G1300" s="607"/>
      <c r="H1300" s="607"/>
      <c r="I1300" s="607"/>
      <c r="J1300" s="607"/>
      <c r="K1300" s="607"/>
      <c r="L1300" s="607"/>
      <c r="M1300" s="607"/>
    </row>
    <row r="1301" spans="1:13" s="88" customFormat="1" ht="43.5" hidden="1" customHeight="1">
      <c r="A1301" s="96">
        <v>1</v>
      </c>
      <c r="B1301" s="221"/>
      <c r="C1301" s="151" t="s">
        <v>1016</v>
      </c>
      <c r="D1301" s="211" t="s">
        <v>4</v>
      </c>
      <c r="E1301" s="211"/>
      <c r="F1301" s="384">
        <f>'დეფექტური აქტი'!E272</f>
        <v>0</v>
      </c>
      <c r="G1301" s="794">
        <v>78432</v>
      </c>
      <c r="H1301" s="225">
        <f>G1301*F1301</f>
        <v>0</v>
      </c>
      <c r="I1301" s="794">
        <v>19608</v>
      </c>
      <c r="J1301" s="225">
        <f>I1301*F1301</f>
        <v>0</v>
      </c>
      <c r="K1301" s="225"/>
      <c r="L1301" s="225"/>
      <c r="M1301" s="225">
        <f>H1301+J1301</f>
        <v>0</v>
      </c>
    </row>
    <row r="1302" spans="1:13" s="45" customFormat="1" hidden="1">
      <c r="A1302" s="48"/>
      <c r="B1302" s="199"/>
      <c r="C1302" s="107" t="s">
        <v>315</v>
      </c>
      <c r="D1302" s="48"/>
      <c r="E1302" s="48"/>
      <c r="F1302" s="390"/>
      <c r="G1302" s="390"/>
      <c r="H1302" s="390"/>
      <c r="I1302" s="390"/>
      <c r="J1302" s="390"/>
      <c r="K1302" s="390"/>
      <c r="L1302" s="390"/>
      <c r="M1302" s="390"/>
    </row>
    <row r="1303" spans="1:13" s="93" customFormat="1" hidden="1">
      <c r="A1303" s="140">
        <v>1</v>
      </c>
      <c r="B1303" s="1431" t="s">
        <v>1535</v>
      </c>
      <c r="C1303" s="151" t="s">
        <v>891</v>
      </c>
      <c r="D1303" s="140" t="s">
        <v>88</v>
      </c>
      <c r="E1303" s="140"/>
      <c r="F1303" s="384">
        <f>'დეფექტური აქტი'!E274</f>
        <v>0</v>
      </c>
      <c r="G1303" s="385"/>
      <c r="H1303" s="385"/>
      <c r="I1303" s="385"/>
      <c r="J1303" s="385"/>
      <c r="K1303" s="385"/>
      <c r="L1303" s="385"/>
      <c r="M1303" s="385"/>
    </row>
    <row r="1304" spans="1:13" s="93" customFormat="1" hidden="1">
      <c r="A1304" s="83"/>
      <c r="B1304" s="1432"/>
      <c r="C1304" s="90" t="s">
        <v>1536</v>
      </c>
      <c r="D1304" s="86" t="s">
        <v>80</v>
      </c>
      <c r="E1304" s="83">
        <f>2.78*0.8</f>
        <v>2.2239999999999998</v>
      </c>
      <c r="F1304" s="386">
        <f>F1303*E1304</f>
        <v>0</v>
      </c>
      <c r="G1304" s="386"/>
      <c r="H1304" s="386"/>
      <c r="I1304" s="386">
        <v>4.5999999999999996</v>
      </c>
      <c r="J1304" s="386">
        <f>F1304*I1304</f>
        <v>0</v>
      </c>
      <c r="K1304" s="386"/>
      <c r="L1304" s="386"/>
      <c r="M1304" s="386">
        <f>H1304+J1304+L1304</f>
        <v>0</v>
      </c>
    </row>
    <row r="1305" spans="1:13" s="93" customFormat="1" hidden="1">
      <c r="A1305" s="140">
        <v>2</v>
      </c>
      <c r="B1305" s="1431" t="s">
        <v>890</v>
      </c>
      <c r="C1305" s="151" t="s">
        <v>433</v>
      </c>
      <c r="D1305" s="140" t="s">
        <v>88</v>
      </c>
      <c r="E1305" s="140"/>
      <c r="F1305" s="384">
        <f>'დეფექტური აქტი'!E275</f>
        <v>0</v>
      </c>
      <c r="G1305" s="385"/>
      <c r="H1305" s="385"/>
      <c r="I1305" s="385"/>
      <c r="J1305" s="385"/>
      <c r="K1305" s="385"/>
      <c r="L1305" s="385"/>
      <c r="M1305" s="385"/>
    </row>
    <row r="1306" spans="1:13" s="93" customFormat="1" hidden="1">
      <c r="A1306" s="83"/>
      <c r="B1306" s="1432"/>
      <c r="C1306" s="90" t="s">
        <v>128</v>
      </c>
      <c r="D1306" s="86" t="s">
        <v>80</v>
      </c>
      <c r="E1306" s="83">
        <v>1.21</v>
      </c>
      <c r="F1306" s="386">
        <f>F1305*E1306</f>
        <v>0</v>
      </c>
      <c r="G1306" s="386"/>
      <c r="H1306" s="386"/>
      <c r="I1306" s="386">
        <v>4.5999999999999996</v>
      </c>
      <c r="J1306" s="386">
        <f>F1306*I1306</f>
        <v>0</v>
      </c>
      <c r="K1306" s="386"/>
      <c r="L1306" s="386"/>
      <c r="M1306" s="386">
        <f>H1306+J1306+L1306</f>
        <v>0</v>
      </c>
    </row>
    <row r="1307" spans="1:13" s="95" customFormat="1" ht="27" hidden="1">
      <c r="A1307" s="140">
        <v>3</v>
      </c>
      <c r="B1307" s="1447"/>
      <c r="C1307" s="152" t="s">
        <v>1117</v>
      </c>
      <c r="D1307" s="140" t="s">
        <v>206</v>
      </c>
      <c r="E1307" s="153"/>
      <c r="F1307" s="384">
        <f>'დეფექტური აქტი'!E276*1.95</f>
        <v>0</v>
      </c>
      <c r="G1307" s="385"/>
      <c r="H1307" s="385"/>
      <c r="I1307" s="385"/>
      <c r="J1307" s="385"/>
      <c r="K1307" s="385"/>
      <c r="L1307" s="385"/>
      <c r="M1307" s="385">
        <f>H1307+J1307+L1307</f>
        <v>0</v>
      </c>
    </row>
    <row r="1308" spans="1:13" s="95" customFormat="1" hidden="1">
      <c r="A1308" s="83"/>
      <c r="B1308" s="1448"/>
      <c r="C1308" s="90" t="s">
        <v>209</v>
      </c>
      <c r="D1308" s="86" t="s">
        <v>80</v>
      </c>
      <c r="E1308" s="94">
        <v>0.53</v>
      </c>
      <c r="F1308" s="386">
        <f>F1307*E1308</f>
        <v>0</v>
      </c>
      <c r="G1308" s="386"/>
      <c r="H1308" s="603"/>
      <c r="I1308" s="386">
        <v>4.5999999999999996</v>
      </c>
      <c r="J1308" s="386">
        <f>F1308*I1308</f>
        <v>0</v>
      </c>
      <c r="K1308" s="386"/>
      <c r="L1308" s="386"/>
      <c r="M1308" s="386">
        <f>H1308+J1308+L1308</f>
        <v>0</v>
      </c>
    </row>
    <row r="1309" spans="1:13" s="93" customFormat="1" hidden="1">
      <c r="A1309" s="24">
        <v>4</v>
      </c>
      <c r="B1309" s="175"/>
      <c r="C1309" s="26" t="s">
        <v>735</v>
      </c>
      <c r="D1309" s="24" t="s">
        <v>206</v>
      </c>
      <c r="E1309" s="24"/>
      <c r="F1309" s="397">
        <f>'დეფექტური აქტი'!E277*1.95</f>
        <v>0</v>
      </c>
      <c r="G1309" s="390"/>
      <c r="H1309" s="390"/>
      <c r="I1309" s="390"/>
      <c r="J1309" s="390"/>
      <c r="K1309" s="390">
        <v>3.02</v>
      </c>
      <c r="L1309" s="390">
        <f>F1309*K1309</f>
        <v>0</v>
      </c>
      <c r="M1309" s="390">
        <f>H1309+J1309+L1309</f>
        <v>0</v>
      </c>
    </row>
    <row r="1310" spans="1:13" s="88" customFormat="1" hidden="1">
      <c r="A1310" s="83">
        <v>5</v>
      </c>
      <c r="B1310" s="1502" t="s">
        <v>420</v>
      </c>
      <c r="C1310" s="84" t="s">
        <v>421</v>
      </c>
      <c r="D1310" s="140" t="s">
        <v>88</v>
      </c>
      <c r="E1310" s="83"/>
      <c r="F1310" s="388">
        <f>'დეფექტური აქტი'!E278</f>
        <v>0</v>
      </c>
      <c r="G1310" s="225"/>
      <c r="H1310" s="225"/>
      <c r="I1310" s="225"/>
      <c r="J1310" s="225"/>
      <c r="K1310" s="225"/>
      <c r="L1310" s="225"/>
      <c r="M1310" s="225"/>
    </row>
    <row r="1311" spans="1:13" s="88" customFormat="1" hidden="1">
      <c r="A1311" s="83"/>
      <c r="B1311" s="1432"/>
      <c r="C1311" s="223" t="s">
        <v>209</v>
      </c>
      <c r="D1311" s="211" t="s">
        <v>80</v>
      </c>
      <c r="E1311" s="83">
        <v>1.37</v>
      </c>
      <c r="F1311" s="386">
        <f>F1310*E1311</f>
        <v>0</v>
      </c>
      <c r="G1311" s="225"/>
      <c r="H1311" s="225"/>
      <c r="I1311" s="386">
        <v>4.5999999999999996</v>
      </c>
      <c r="J1311" s="386">
        <f>F1311*I1311</f>
        <v>0</v>
      </c>
      <c r="K1311" s="225"/>
      <c r="L1311" s="225"/>
      <c r="M1311" s="386">
        <f>H1311+J1311+L1311</f>
        <v>0</v>
      </c>
    </row>
    <row r="1312" spans="1:13" s="88" customFormat="1" hidden="1">
      <c r="A1312" s="83"/>
      <c r="B1312" s="1432"/>
      <c r="C1312" s="223" t="s">
        <v>81</v>
      </c>
      <c r="D1312" s="83" t="s">
        <v>57</v>
      </c>
      <c r="E1312" s="83">
        <v>0.28299999999999997</v>
      </c>
      <c r="F1312" s="386">
        <f>F1310*E1312</f>
        <v>0</v>
      </c>
      <c r="G1312" s="225"/>
      <c r="H1312" s="225"/>
      <c r="I1312" s="225"/>
      <c r="J1312" s="225"/>
      <c r="K1312" s="225">
        <v>3.2</v>
      </c>
      <c r="L1312" s="386">
        <f>F1312*K1312</f>
        <v>0</v>
      </c>
      <c r="M1312" s="386">
        <f>H1312+J1312+L1312</f>
        <v>0</v>
      </c>
    </row>
    <row r="1313" spans="1:13" s="88" customFormat="1" hidden="1">
      <c r="A1313" s="83"/>
      <c r="B1313" s="1432"/>
      <c r="C1313" s="15" t="s">
        <v>210</v>
      </c>
      <c r="D1313" s="211"/>
      <c r="E1313" s="83"/>
      <c r="F1313" s="386"/>
      <c r="G1313" s="225"/>
      <c r="H1313" s="225"/>
      <c r="I1313" s="225"/>
      <c r="J1313" s="225"/>
      <c r="K1313" s="225"/>
      <c r="L1313" s="225"/>
      <c r="M1313" s="225"/>
    </row>
    <row r="1314" spans="1:13" s="88" customFormat="1" hidden="1">
      <c r="A1314" s="83"/>
      <c r="B1314" s="1432"/>
      <c r="C1314" s="223" t="s">
        <v>422</v>
      </c>
      <c r="D1314" s="211" t="s">
        <v>88</v>
      </c>
      <c r="E1314" s="83">
        <v>1.02</v>
      </c>
      <c r="F1314" s="386">
        <f>F1310*E1314</f>
        <v>0</v>
      </c>
      <c r="G1314" s="225">
        <v>96</v>
      </c>
      <c r="H1314" s="386">
        <f>F1314*G1314</f>
        <v>0</v>
      </c>
      <c r="I1314" s="225"/>
      <c r="J1314" s="225"/>
      <c r="K1314" s="225"/>
      <c r="L1314" s="225"/>
      <c r="M1314" s="225">
        <f>H1314+J1314+L1314</f>
        <v>0</v>
      </c>
    </row>
    <row r="1315" spans="1:13" s="88" customFormat="1" hidden="1">
      <c r="A1315" s="83"/>
      <c r="B1315" s="1432"/>
      <c r="C1315" s="223" t="s">
        <v>214</v>
      </c>
      <c r="D1315" s="86" t="s">
        <v>57</v>
      </c>
      <c r="E1315" s="83">
        <v>0.62</v>
      </c>
      <c r="F1315" s="386">
        <f>F1310*E1315</f>
        <v>0</v>
      </c>
      <c r="G1315" s="225">
        <v>3.2</v>
      </c>
      <c r="H1315" s="386">
        <f>F1315*G1315</f>
        <v>0</v>
      </c>
      <c r="I1315" s="225"/>
      <c r="J1315" s="225"/>
      <c r="K1315" s="225"/>
      <c r="L1315" s="225"/>
      <c r="M1315" s="225">
        <f>H1315+J1315+L1315</f>
        <v>0</v>
      </c>
    </row>
    <row r="1316" spans="1:13" s="88" customFormat="1" ht="40.5" hidden="1">
      <c r="A1316" s="140">
        <v>6</v>
      </c>
      <c r="B1316" s="1431" t="s">
        <v>299</v>
      </c>
      <c r="C1316" s="151" t="s">
        <v>316</v>
      </c>
      <c r="D1316" s="140" t="s">
        <v>88</v>
      </c>
      <c r="E1316" s="140"/>
      <c r="F1316" s="384">
        <f>'დეფექტური აქტი'!E279</f>
        <v>0</v>
      </c>
      <c r="G1316" s="385"/>
      <c r="H1316" s="385"/>
      <c r="I1316" s="385"/>
      <c r="J1316" s="385"/>
      <c r="K1316" s="385"/>
      <c r="L1316" s="385"/>
      <c r="M1316" s="385"/>
    </row>
    <row r="1317" spans="1:13" s="88" customFormat="1" hidden="1">
      <c r="A1317" s="83"/>
      <c r="B1317" s="1432"/>
      <c r="C1317" s="84" t="s">
        <v>209</v>
      </c>
      <c r="D1317" s="83" t="s">
        <v>80</v>
      </c>
      <c r="E1317" s="83">
        <v>2.81</v>
      </c>
      <c r="F1317" s="386">
        <f>F1316*E1317</f>
        <v>0</v>
      </c>
      <c r="G1317" s="386"/>
      <c r="H1317" s="386"/>
      <c r="I1317" s="386">
        <v>4.5999999999999996</v>
      </c>
      <c r="J1317" s="386">
        <f>F1317*I1317</f>
        <v>0</v>
      </c>
      <c r="K1317" s="386"/>
      <c r="L1317" s="386"/>
      <c r="M1317" s="386">
        <f>H1317+J1317+L1317</f>
        <v>0</v>
      </c>
    </row>
    <row r="1318" spans="1:13" s="88" customFormat="1" hidden="1">
      <c r="A1318" s="83"/>
      <c r="B1318" s="1432"/>
      <c r="C1318" s="84" t="s">
        <v>81</v>
      </c>
      <c r="D1318" s="83" t="s">
        <v>57</v>
      </c>
      <c r="E1318" s="83">
        <v>0.33</v>
      </c>
      <c r="F1318" s="386">
        <f>F1316*E1318</f>
        <v>0</v>
      </c>
      <c r="G1318" s="386"/>
      <c r="H1318" s="386"/>
      <c r="I1318" s="386"/>
      <c r="J1318" s="386"/>
      <c r="K1318" s="386">
        <v>3.2</v>
      </c>
      <c r="L1318" s="386">
        <f>F1318*K1318</f>
        <v>0</v>
      </c>
      <c r="M1318" s="386">
        <f>H1318+J1318+L1318</f>
        <v>0</v>
      </c>
    </row>
    <row r="1319" spans="1:13" s="88" customFormat="1" hidden="1">
      <c r="A1319" s="83"/>
      <c r="B1319" s="1432"/>
      <c r="C1319" s="15" t="s">
        <v>210</v>
      </c>
      <c r="D1319" s="83"/>
      <c r="E1319" s="83"/>
      <c r="F1319" s="386"/>
      <c r="G1319" s="386"/>
      <c r="H1319" s="386"/>
      <c r="I1319" s="386"/>
      <c r="J1319" s="386"/>
      <c r="K1319" s="386"/>
      <c r="L1319" s="386"/>
      <c r="M1319" s="386"/>
    </row>
    <row r="1320" spans="1:13" s="88" customFormat="1" hidden="1">
      <c r="A1320" s="83"/>
      <c r="B1320" s="1432"/>
      <c r="C1320" s="84" t="s">
        <v>300</v>
      </c>
      <c r="D1320" s="83" t="s">
        <v>88</v>
      </c>
      <c r="E1320" s="83">
        <v>1.02</v>
      </c>
      <c r="F1320" s="386">
        <f>F1316*E1320</f>
        <v>0</v>
      </c>
      <c r="G1320" s="386">
        <v>99</v>
      </c>
      <c r="H1320" s="386">
        <f t="shared" ref="H1320:H1325" si="19">F1320*G1320</f>
        <v>0</v>
      </c>
      <c r="I1320" s="386"/>
      <c r="J1320" s="386"/>
      <c r="K1320" s="386"/>
      <c r="L1320" s="386"/>
      <c r="M1320" s="386">
        <f t="shared" ref="M1320:M1325" si="20">H1320+J1320+L1320</f>
        <v>0</v>
      </c>
    </row>
    <row r="1321" spans="1:13" s="88" customFormat="1" hidden="1">
      <c r="A1321" s="83"/>
      <c r="B1321" s="1432"/>
      <c r="C1321" s="84" t="s">
        <v>301</v>
      </c>
      <c r="D1321" s="83" t="s">
        <v>78</v>
      </c>
      <c r="E1321" s="83">
        <v>0.71699999999999997</v>
      </c>
      <c r="F1321" s="386">
        <f>F1316*E1321</f>
        <v>0</v>
      </c>
      <c r="G1321" s="386">
        <v>10.5</v>
      </c>
      <c r="H1321" s="386">
        <f t="shared" si="19"/>
        <v>0</v>
      </c>
      <c r="I1321" s="386"/>
      <c r="J1321" s="386"/>
      <c r="K1321" s="386"/>
      <c r="L1321" s="386"/>
      <c r="M1321" s="386">
        <f t="shared" si="20"/>
        <v>0</v>
      </c>
    </row>
    <row r="1322" spans="1:13" s="88" customFormat="1" hidden="1">
      <c r="A1322" s="83"/>
      <c r="B1322" s="1432"/>
      <c r="C1322" s="84" t="s">
        <v>264</v>
      </c>
      <c r="D1322" s="83" t="s">
        <v>88</v>
      </c>
      <c r="E1322" s="83">
        <v>1.2999999999999999E-3</v>
      </c>
      <c r="F1322" s="386">
        <f>F1316*E1322</f>
        <v>0</v>
      </c>
      <c r="G1322" s="386">
        <v>490</v>
      </c>
      <c r="H1322" s="386">
        <f t="shared" si="19"/>
        <v>0</v>
      </c>
      <c r="I1322" s="386"/>
      <c r="J1322" s="386"/>
      <c r="K1322" s="386"/>
      <c r="L1322" s="386"/>
      <c r="M1322" s="386">
        <f t="shared" si="20"/>
        <v>0</v>
      </c>
    </row>
    <row r="1323" spans="1:13" s="88" customFormat="1" hidden="1">
      <c r="A1323" s="83"/>
      <c r="B1323" s="1432"/>
      <c r="C1323" s="84" t="s">
        <v>302</v>
      </c>
      <c r="D1323" s="83" t="s">
        <v>88</v>
      </c>
      <c r="E1323" s="83">
        <v>1.52E-2</v>
      </c>
      <c r="F1323" s="386">
        <f>F1316*E1323</f>
        <v>0</v>
      </c>
      <c r="G1323" s="386">
        <v>403</v>
      </c>
      <c r="H1323" s="386">
        <f t="shared" si="19"/>
        <v>0</v>
      </c>
      <c r="I1323" s="386"/>
      <c r="J1323" s="386"/>
      <c r="K1323" s="386"/>
      <c r="L1323" s="386"/>
      <c r="M1323" s="386">
        <f t="shared" si="20"/>
        <v>0</v>
      </c>
    </row>
    <row r="1324" spans="1:13" s="88" customFormat="1" hidden="1">
      <c r="A1324" s="83"/>
      <c r="B1324" s="1432"/>
      <c r="C1324" s="84" t="s">
        <v>303</v>
      </c>
      <c r="D1324" s="83" t="s">
        <v>97</v>
      </c>
      <c r="E1324" s="83">
        <v>0.9</v>
      </c>
      <c r="F1324" s="386">
        <f>F1316*E1324</f>
        <v>0</v>
      </c>
      <c r="G1324" s="386">
        <v>2.5</v>
      </c>
      <c r="H1324" s="386">
        <f t="shared" si="19"/>
        <v>0</v>
      </c>
      <c r="I1324" s="386"/>
      <c r="J1324" s="386"/>
      <c r="K1324" s="386"/>
      <c r="L1324" s="386"/>
      <c r="M1324" s="386">
        <f t="shared" si="20"/>
        <v>0</v>
      </c>
    </row>
    <row r="1325" spans="1:13" s="88" customFormat="1" hidden="1">
      <c r="A1325" s="83"/>
      <c r="B1325" s="1432"/>
      <c r="C1325" s="84" t="s">
        <v>214</v>
      </c>
      <c r="D1325" s="86" t="s">
        <v>57</v>
      </c>
      <c r="E1325" s="83">
        <v>0.16</v>
      </c>
      <c r="F1325" s="386">
        <f>F1316*E1325</f>
        <v>0</v>
      </c>
      <c r="G1325" s="386">
        <v>3.2</v>
      </c>
      <c r="H1325" s="386">
        <f t="shared" si="19"/>
        <v>0</v>
      </c>
      <c r="I1325" s="386"/>
      <c r="J1325" s="386"/>
      <c r="K1325" s="386"/>
      <c r="L1325" s="386"/>
      <c r="M1325" s="386">
        <f t="shared" si="20"/>
        <v>0</v>
      </c>
    </row>
    <row r="1326" spans="1:13" s="88" customFormat="1" ht="27" hidden="1">
      <c r="A1326" s="140">
        <v>7</v>
      </c>
      <c r="B1326" s="1526" t="s">
        <v>304</v>
      </c>
      <c r="C1326" s="151" t="s">
        <v>305</v>
      </c>
      <c r="D1326" s="47" t="s">
        <v>122</v>
      </c>
      <c r="E1326" s="140"/>
      <c r="F1326" s="384">
        <f>'დეფექტური აქტი'!E280</f>
        <v>0</v>
      </c>
      <c r="G1326" s="385"/>
      <c r="H1326" s="385"/>
      <c r="I1326" s="385"/>
      <c r="J1326" s="385"/>
      <c r="K1326" s="385"/>
      <c r="L1326" s="385"/>
      <c r="M1326" s="385"/>
    </row>
    <row r="1327" spans="1:13" s="88" customFormat="1" hidden="1">
      <c r="A1327" s="83"/>
      <c r="B1327" s="1457"/>
      <c r="C1327" s="90" t="s">
        <v>128</v>
      </c>
      <c r="D1327" s="83" t="s">
        <v>80</v>
      </c>
      <c r="E1327" s="83">
        <v>2.23</v>
      </c>
      <c r="F1327" s="386">
        <f>F1326*E1327</f>
        <v>0</v>
      </c>
      <c r="G1327" s="386"/>
      <c r="H1327" s="386"/>
      <c r="I1327" s="386">
        <v>4.5999999999999996</v>
      </c>
      <c r="J1327" s="386">
        <f>F1327*I1327</f>
        <v>0</v>
      </c>
      <c r="K1327" s="386"/>
      <c r="L1327" s="386"/>
      <c r="M1327" s="386">
        <f t="shared" ref="M1327:M1340" si="21">H1327+J1327+L1327</f>
        <v>0</v>
      </c>
    </row>
    <row r="1328" spans="1:13" s="93" customFormat="1" ht="27" hidden="1">
      <c r="A1328" s="83"/>
      <c r="B1328" s="1457"/>
      <c r="C1328" s="90" t="s">
        <v>404</v>
      </c>
      <c r="D1328" s="83" t="s">
        <v>217</v>
      </c>
      <c r="E1328" s="83">
        <v>0.18099999999999999</v>
      </c>
      <c r="F1328" s="386">
        <f>F1326*E1328</f>
        <v>0</v>
      </c>
      <c r="G1328" s="386"/>
      <c r="H1328" s="386"/>
      <c r="I1328" s="386"/>
      <c r="J1328" s="386"/>
      <c r="K1328" s="386">
        <v>26.68</v>
      </c>
      <c r="L1328" s="386">
        <f>F1328*K1328</f>
        <v>0</v>
      </c>
      <c r="M1328" s="386">
        <f t="shared" si="21"/>
        <v>0</v>
      </c>
    </row>
    <row r="1329" spans="1:13" s="93" customFormat="1" hidden="1">
      <c r="A1329" s="83"/>
      <c r="B1329" s="1457"/>
      <c r="C1329" s="90" t="s">
        <v>133</v>
      </c>
      <c r="D1329" s="83" t="s">
        <v>57</v>
      </c>
      <c r="E1329" s="83">
        <v>0.05</v>
      </c>
      <c r="F1329" s="386">
        <f>F1326*E1329</f>
        <v>0</v>
      </c>
      <c r="G1329" s="386"/>
      <c r="H1329" s="386"/>
      <c r="I1329" s="386"/>
      <c r="J1329" s="386"/>
      <c r="K1329" s="386">
        <v>3.2</v>
      </c>
      <c r="L1329" s="386">
        <f>F1329*K1329</f>
        <v>0</v>
      </c>
      <c r="M1329" s="386">
        <f t="shared" si="21"/>
        <v>0</v>
      </c>
    </row>
    <row r="1330" spans="1:13" s="88" customFormat="1" hidden="1">
      <c r="A1330" s="83"/>
      <c r="B1330" s="1457"/>
      <c r="C1330" s="437" t="s">
        <v>317</v>
      </c>
      <c r="D1330" s="412" t="s">
        <v>122</v>
      </c>
      <c r="E1330" s="438"/>
      <c r="F1330" s="439">
        <f>'დეფექტური აქტი'!E281</f>
        <v>0</v>
      </c>
      <c r="G1330" s="439">
        <v>12.9</v>
      </c>
      <c r="H1330" s="386">
        <f t="shared" ref="H1330:H1340" si="22">F1330*G1330</f>
        <v>0</v>
      </c>
      <c r="I1330" s="386"/>
      <c r="J1330" s="386"/>
      <c r="K1330" s="386"/>
      <c r="L1330" s="386"/>
      <c r="M1330" s="386">
        <f t="shared" si="21"/>
        <v>0</v>
      </c>
    </row>
    <row r="1331" spans="1:13" s="88" customFormat="1" hidden="1">
      <c r="A1331" s="83"/>
      <c r="B1331" s="1457"/>
      <c r="C1331" s="437" t="s">
        <v>424</v>
      </c>
      <c r="D1331" s="412" t="s">
        <v>122</v>
      </c>
      <c r="E1331" s="438"/>
      <c r="F1331" s="439">
        <f>'დეფექტური აქტი'!E282</f>
        <v>0</v>
      </c>
      <c r="G1331" s="439">
        <v>7.6</v>
      </c>
      <c r="H1331" s="386">
        <f t="shared" si="22"/>
        <v>0</v>
      </c>
      <c r="I1331" s="386"/>
      <c r="J1331" s="386"/>
      <c r="K1331" s="386"/>
      <c r="L1331" s="386"/>
      <c r="M1331" s="386">
        <f t="shared" si="21"/>
        <v>0</v>
      </c>
    </row>
    <row r="1332" spans="1:13" s="88" customFormat="1" hidden="1">
      <c r="A1332" s="83"/>
      <c r="B1332" s="1457"/>
      <c r="C1332" s="437" t="s">
        <v>306</v>
      </c>
      <c r="D1332" s="412" t="s">
        <v>122</v>
      </c>
      <c r="E1332" s="438"/>
      <c r="F1332" s="439">
        <f>'დეფექტური აქტი'!E283</f>
        <v>0</v>
      </c>
      <c r="G1332" s="439">
        <v>11.4</v>
      </c>
      <c r="H1332" s="386">
        <f t="shared" si="22"/>
        <v>0</v>
      </c>
      <c r="I1332" s="386"/>
      <c r="J1332" s="386"/>
      <c r="K1332" s="386"/>
      <c r="L1332" s="386"/>
      <c r="M1332" s="386">
        <f t="shared" si="21"/>
        <v>0</v>
      </c>
    </row>
    <row r="1333" spans="1:13" s="88" customFormat="1" hidden="1">
      <c r="A1333" s="83"/>
      <c r="B1333" s="1457"/>
      <c r="C1333" s="437" t="s">
        <v>423</v>
      </c>
      <c r="D1333" s="412" t="s">
        <v>122</v>
      </c>
      <c r="E1333" s="438"/>
      <c r="F1333" s="439">
        <f>'დეფექტური აქტი'!E284</f>
        <v>0</v>
      </c>
      <c r="G1333" s="439">
        <v>16.899999999999999</v>
      </c>
      <c r="H1333" s="386">
        <f t="shared" si="22"/>
        <v>0</v>
      </c>
      <c r="I1333" s="386"/>
      <c r="J1333" s="386"/>
      <c r="K1333" s="386"/>
      <c r="L1333" s="386"/>
      <c r="M1333" s="386">
        <f t="shared" si="21"/>
        <v>0</v>
      </c>
    </row>
    <row r="1334" spans="1:13" s="88" customFormat="1" hidden="1">
      <c r="A1334" s="83"/>
      <c r="B1334" s="1457"/>
      <c r="C1334" s="90" t="s">
        <v>448</v>
      </c>
      <c r="D1334" s="41" t="s">
        <v>122</v>
      </c>
      <c r="E1334" s="83"/>
      <c r="F1334" s="388">
        <f>'დეფექტური აქტი'!E285</f>
        <v>0</v>
      </c>
      <c r="G1334" s="386">
        <v>3.3</v>
      </c>
      <c r="H1334" s="386">
        <f t="shared" si="22"/>
        <v>0</v>
      </c>
      <c r="I1334" s="386"/>
      <c r="J1334" s="386"/>
      <c r="K1334" s="386"/>
      <c r="L1334" s="386"/>
      <c r="M1334" s="386">
        <f t="shared" si="21"/>
        <v>0</v>
      </c>
    </row>
    <row r="1335" spans="1:13" s="88" customFormat="1" hidden="1">
      <c r="A1335" s="83"/>
      <c r="B1335" s="1457"/>
      <c r="C1335" s="90" t="s">
        <v>952</v>
      </c>
      <c r="D1335" s="41" t="s">
        <v>122</v>
      </c>
      <c r="E1335" s="83"/>
      <c r="F1335" s="388">
        <f>'დეფექტური აქტი'!E286</f>
        <v>0</v>
      </c>
      <c r="G1335" s="386">
        <v>1.78</v>
      </c>
      <c r="H1335" s="386">
        <f t="shared" si="22"/>
        <v>0</v>
      </c>
      <c r="I1335" s="386"/>
      <c r="J1335" s="386"/>
      <c r="K1335" s="386"/>
      <c r="L1335" s="386"/>
      <c r="M1335" s="386">
        <f t="shared" si="21"/>
        <v>0</v>
      </c>
    </row>
    <row r="1336" spans="1:13" s="88" customFormat="1" hidden="1">
      <c r="A1336" s="83"/>
      <c r="B1336" s="1457"/>
      <c r="C1336" s="90" t="s">
        <v>447</v>
      </c>
      <c r="D1336" s="41" t="s">
        <v>122</v>
      </c>
      <c r="E1336" s="83"/>
      <c r="F1336" s="388">
        <f>'დეფექტური აქტი'!E287</f>
        <v>0</v>
      </c>
      <c r="G1336" s="386">
        <v>0.41</v>
      </c>
      <c r="H1336" s="386">
        <f t="shared" si="22"/>
        <v>0</v>
      </c>
      <c r="I1336" s="386"/>
      <c r="J1336" s="386"/>
      <c r="K1336" s="386"/>
      <c r="L1336" s="386"/>
      <c r="M1336" s="386">
        <f t="shared" si="21"/>
        <v>0</v>
      </c>
    </row>
    <row r="1337" spans="1:13" s="88" customFormat="1" hidden="1">
      <c r="A1337" s="83"/>
      <c r="B1337" s="1457"/>
      <c r="C1337" s="90" t="s">
        <v>219</v>
      </c>
      <c r="D1337" s="83" t="s">
        <v>78</v>
      </c>
      <c r="E1337" s="83"/>
      <c r="F1337" s="388">
        <f>'დეფექტური აქტი'!E288</f>
        <v>0</v>
      </c>
      <c r="G1337" s="386">
        <v>4.5999999999999996</v>
      </c>
      <c r="H1337" s="386">
        <f t="shared" si="22"/>
        <v>0</v>
      </c>
      <c r="I1337" s="386"/>
      <c r="J1337" s="386"/>
      <c r="K1337" s="386"/>
      <c r="L1337" s="386"/>
      <c r="M1337" s="386">
        <f t="shared" si="21"/>
        <v>0</v>
      </c>
    </row>
    <row r="1338" spans="1:13" s="88" customFormat="1" hidden="1">
      <c r="A1338" s="83"/>
      <c r="B1338" s="1457"/>
      <c r="C1338" s="90" t="s">
        <v>452</v>
      </c>
      <c r="D1338" s="83" t="s">
        <v>113</v>
      </c>
      <c r="E1338" s="83"/>
      <c r="F1338" s="388">
        <f>'დეფექტური აქტი'!E289</f>
        <v>0</v>
      </c>
      <c r="G1338" s="386">
        <v>55</v>
      </c>
      <c r="H1338" s="386">
        <f t="shared" si="22"/>
        <v>0</v>
      </c>
      <c r="I1338" s="386"/>
      <c r="J1338" s="386"/>
      <c r="K1338" s="386"/>
      <c r="L1338" s="386"/>
      <c r="M1338" s="386">
        <f t="shared" si="21"/>
        <v>0</v>
      </c>
    </row>
    <row r="1339" spans="1:13" s="88" customFormat="1" hidden="1">
      <c r="A1339" s="83"/>
      <c r="B1339" s="1457"/>
      <c r="C1339" s="90" t="s">
        <v>307</v>
      </c>
      <c r="D1339" s="83" t="s">
        <v>97</v>
      </c>
      <c r="E1339" s="83">
        <v>0.28699999999999998</v>
      </c>
      <c r="F1339" s="386">
        <f>F1326*E1339</f>
        <v>0</v>
      </c>
      <c r="G1339" s="386">
        <v>3.75</v>
      </c>
      <c r="H1339" s="386">
        <f t="shared" si="22"/>
        <v>0</v>
      </c>
      <c r="I1339" s="386"/>
      <c r="J1339" s="386">
        <f>F1339*I1339</f>
        <v>0</v>
      </c>
      <c r="K1339" s="386"/>
      <c r="L1339" s="386"/>
      <c r="M1339" s="386">
        <f t="shared" si="21"/>
        <v>0</v>
      </c>
    </row>
    <row r="1340" spans="1:13" s="88" customFormat="1" hidden="1">
      <c r="A1340" s="83"/>
      <c r="B1340" s="1457"/>
      <c r="C1340" s="84" t="s">
        <v>214</v>
      </c>
      <c r="D1340" s="86" t="s">
        <v>57</v>
      </c>
      <c r="E1340" s="83">
        <v>0.04</v>
      </c>
      <c r="F1340" s="386">
        <f>F1326*E1340</f>
        <v>0</v>
      </c>
      <c r="G1340" s="386">
        <v>3.2</v>
      </c>
      <c r="H1340" s="386">
        <f t="shared" si="22"/>
        <v>0</v>
      </c>
      <c r="I1340" s="386"/>
      <c r="J1340" s="386"/>
      <c r="K1340" s="386"/>
      <c r="L1340" s="386"/>
      <c r="M1340" s="386">
        <f t="shared" si="21"/>
        <v>0</v>
      </c>
    </row>
    <row r="1341" spans="1:13" s="88" customFormat="1" ht="27" hidden="1">
      <c r="A1341" s="140">
        <v>8</v>
      </c>
      <c r="B1341" s="1526" t="s">
        <v>308</v>
      </c>
      <c r="C1341" s="151" t="s">
        <v>309</v>
      </c>
      <c r="D1341" s="140" t="s">
        <v>113</v>
      </c>
      <c r="E1341" s="140"/>
      <c r="F1341" s="384">
        <f>'დეფექტური აქტი'!E290</f>
        <v>0</v>
      </c>
      <c r="G1341" s="385"/>
      <c r="H1341" s="385"/>
      <c r="I1341" s="385"/>
      <c r="J1341" s="385"/>
      <c r="K1341" s="385"/>
      <c r="L1341" s="385"/>
      <c r="M1341" s="385"/>
    </row>
    <row r="1342" spans="1:13" s="88" customFormat="1" hidden="1">
      <c r="A1342" s="83"/>
      <c r="B1342" s="1457"/>
      <c r="C1342" s="90" t="s">
        <v>209</v>
      </c>
      <c r="D1342" s="83" t="s">
        <v>80</v>
      </c>
      <c r="E1342" s="83">
        <v>17.2</v>
      </c>
      <c r="F1342" s="386">
        <f>F1341*E1342</f>
        <v>0</v>
      </c>
      <c r="G1342" s="386"/>
      <c r="H1342" s="386"/>
      <c r="I1342" s="386">
        <v>4.5999999999999996</v>
      </c>
      <c r="J1342" s="386">
        <f>F1342*I1342</f>
        <v>0</v>
      </c>
      <c r="K1342" s="386"/>
      <c r="L1342" s="386"/>
      <c r="M1342" s="386">
        <f t="shared" ref="M1342:M1351" si="23">H1342+J1342+L1342</f>
        <v>0</v>
      </c>
    </row>
    <row r="1343" spans="1:13" s="93" customFormat="1" ht="27" hidden="1">
      <c r="A1343" s="83"/>
      <c r="B1343" s="1457"/>
      <c r="C1343" s="90" t="s">
        <v>404</v>
      </c>
      <c r="D1343" s="83" t="s">
        <v>217</v>
      </c>
      <c r="E1343" s="83">
        <v>0.91300000000000003</v>
      </c>
      <c r="F1343" s="386">
        <f>F1341*E1343</f>
        <v>0</v>
      </c>
      <c r="G1343" s="386"/>
      <c r="H1343" s="386"/>
      <c r="I1343" s="386"/>
      <c r="J1343" s="386"/>
      <c r="K1343" s="386">
        <v>26.68</v>
      </c>
      <c r="L1343" s="386">
        <f>F1343*K1343</f>
        <v>0</v>
      </c>
      <c r="M1343" s="386">
        <f t="shared" si="23"/>
        <v>0</v>
      </c>
    </row>
    <row r="1344" spans="1:13" s="93" customFormat="1" hidden="1">
      <c r="A1344" s="83"/>
      <c r="B1344" s="1457"/>
      <c r="C1344" s="90" t="s">
        <v>133</v>
      </c>
      <c r="D1344" s="83" t="s">
        <v>57</v>
      </c>
      <c r="E1344" s="83">
        <v>0.7</v>
      </c>
      <c r="F1344" s="386">
        <f>F1341*E1344</f>
        <v>0</v>
      </c>
      <c r="G1344" s="386"/>
      <c r="H1344" s="386"/>
      <c r="I1344" s="386"/>
      <c r="J1344" s="386"/>
      <c r="K1344" s="386">
        <v>3.2</v>
      </c>
      <c r="L1344" s="386">
        <f>F1344*K1344</f>
        <v>0</v>
      </c>
      <c r="M1344" s="386">
        <f t="shared" si="23"/>
        <v>0</v>
      </c>
    </row>
    <row r="1345" spans="1:13" s="88" customFormat="1" hidden="1">
      <c r="A1345" s="83"/>
      <c r="B1345" s="1457"/>
      <c r="C1345" s="90" t="s">
        <v>310</v>
      </c>
      <c r="D1345" s="41" t="s">
        <v>122</v>
      </c>
      <c r="E1345" s="83"/>
      <c r="F1345" s="388">
        <f>'დეფექტური აქტი'!E291</f>
        <v>0</v>
      </c>
      <c r="G1345" s="386">
        <v>1.69</v>
      </c>
      <c r="H1345" s="386">
        <f t="shared" ref="H1345:H1351" si="24">F1345*G1345</f>
        <v>0</v>
      </c>
      <c r="I1345" s="386"/>
      <c r="J1345" s="386"/>
      <c r="K1345" s="386"/>
      <c r="L1345" s="386"/>
      <c r="M1345" s="386">
        <f t="shared" si="23"/>
        <v>0</v>
      </c>
    </row>
    <row r="1346" spans="1:13" s="88" customFormat="1" hidden="1">
      <c r="A1346" s="83"/>
      <c r="B1346" s="1457"/>
      <c r="C1346" s="90" t="s">
        <v>311</v>
      </c>
      <c r="D1346" s="41" t="s">
        <v>122</v>
      </c>
      <c r="E1346" s="83"/>
      <c r="F1346" s="388">
        <f>'დეფექტური აქტი'!E292</f>
        <v>0</v>
      </c>
      <c r="G1346" s="386">
        <v>3.05</v>
      </c>
      <c r="H1346" s="386">
        <f t="shared" si="24"/>
        <v>0</v>
      </c>
      <c r="I1346" s="386"/>
      <c r="J1346" s="386"/>
      <c r="K1346" s="386"/>
      <c r="L1346" s="386"/>
      <c r="M1346" s="386">
        <f t="shared" si="23"/>
        <v>0</v>
      </c>
    </row>
    <row r="1347" spans="1:13" s="88" customFormat="1" hidden="1">
      <c r="A1347" s="83"/>
      <c r="B1347" s="1457"/>
      <c r="C1347" s="90" t="s">
        <v>312</v>
      </c>
      <c r="D1347" s="41" t="s">
        <v>122</v>
      </c>
      <c r="E1347" s="83"/>
      <c r="F1347" s="388">
        <f>'დეფექტური აქტი'!E293</f>
        <v>0</v>
      </c>
      <c r="G1347" s="439">
        <v>26</v>
      </c>
      <c r="H1347" s="386">
        <f t="shared" si="24"/>
        <v>0</v>
      </c>
      <c r="I1347" s="386"/>
      <c r="J1347" s="386"/>
      <c r="K1347" s="386"/>
      <c r="L1347" s="386"/>
      <c r="M1347" s="386">
        <f t="shared" si="23"/>
        <v>0</v>
      </c>
    </row>
    <row r="1348" spans="1:13" s="88" customFormat="1" hidden="1">
      <c r="A1348" s="83"/>
      <c r="B1348" s="1457"/>
      <c r="C1348" s="90" t="s">
        <v>339</v>
      </c>
      <c r="D1348" s="83" t="s">
        <v>78</v>
      </c>
      <c r="E1348" s="83"/>
      <c r="F1348" s="388">
        <f>'დეფექტური აქტი'!E294</f>
        <v>0</v>
      </c>
      <c r="G1348" s="439">
        <v>26.7</v>
      </c>
      <c r="H1348" s="386">
        <f t="shared" si="24"/>
        <v>0</v>
      </c>
      <c r="I1348" s="386"/>
      <c r="J1348" s="386"/>
      <c r="K1348" s="386"/>
      <c r="L1348" s="386"/>
      <c r="M1348" s="386">
        <f t="shared" si="23"/>
        <v>0</v>
      </c>
    </row>
    <row r="1349" spans="1:13" s="88" customFormat="1" hidden="1">
      <c r="A1349" s="83"/>
      <c r="B1349" s="1457"/>
      <c r="C1349" s="90" t="s">
        <v>307</v>
      </c>
      <c r="D1349" s="83" t="s">
        <v>97</v>
      </c>
      <c r="E1349" s="83">
        <v>0.6</v>
      </c>
      <c r="F1349" s="386">
        <f>F1341*E1349</f>
        <v>0</v>
      </c>
      <c r="G1349" s="386">
        <v>3.75</v>
      </c>
      <c r="H1349" s="386">
        <f t="shared" si="24"/>
        <v>0</v>
      </c>
      <c r="I1349" s="386"/>
      <c r="J1349" s="386"/>
      <c r="K1349" s="386"/>
      <c r="L1349" s="386"/>
      <c r="M1349" s="386">
        <f t="shared" si="23"/>
        <v>0</v>
      </c>
    </row>
    <row r="1350" spans="1:13" s="88" customFormat="1" hidden="1">
      <c r="A1350" s="83"/>
      <c r="B1350" s="1457"/>
      <c r="C1350" s="90" t="s">
        <v>303</v>
      </c>
      <c r="D1350" s="83" t="s">
        <v>97</v>
      </c>
      <c r="E1350" s="83">
        <v>1.6</v>
      </c>
      <c r="F1350" s="386">
        <f>F1341*E1350</f>
        <v>0</v>
      </c>
      <c r="G1350" s="386">
        <v>2.5</v>
      </c>
      <c r="H1350" s="386">
        <f t="shared" si="24"/>
        <v>0</v>
      </c>
      <c r="I1350" s="386"/>
      <c r="J1350" s="386">
        <f>F1350*I1350</f>
        <v>0</v>
      </c>
      <c r="K1350" s="386"/>
      <c r="L1350" s="386"/>
      <c r="M1350" s="386">
        <f t="shared" si="23"/>
        <v>0</v>
      </c>
    </row>
    <row r="1351" spans="1:13" s="88" customFormat="1" hidden="1">
      <c r="A1351" s="83"/>
      <c r="B1351" s="1457"/>
      <c r="C1351" s="84" t="s">
        <v>214</v>
      </c>
      <c r="D1351" s="86" t="s">
        <v>57</v>
      </c>
      <c r="E1351" s="83">
        <v>0.2</v>
      </c>
      <c r="F1351" s="386">
        <f>F1341*E1351</f>
        <v>0</v>
      </c>
      <c r="G1351" s="386">
        <v>3.2</v>
      </c>
      <c r="H1351" s="386">
        <f t="shared" si="24"/>
        <v>0</v>
      </c>
      <c r="I1351" s="386"/>
      <c r="J1351" s="386"/>
      <c r="K1351" s="386"/>
      <c r="L1351" s="386"/>
      <c r="M1351" s="386">
        <f t="shared" si="23"/>
        <v>0</v>
      </c>
    </row>
    <row r="1352" spans="1:13" s="88" customFormat="1" ht="27" hidden="1">
      <c r="A1352" s="140">
        <v>9</v>
      </c>
      <c r="B1352" s="1431" t="s">
        <v>325</v>
      </c>
      <c r="C1352" s="151" t="s">
        <v>313</v>
      </c>
      <c r="D1352" s="140" t="s">
        <v>78</v>
      </c>
      <c r="E1352" s="140"/>
      <c r="F1352" s="384">
        <f>'დეფექტური აქტი'!E295</f>
        <v>0</v>
      </c>
      <c r="G1352" s="385"/>
      <c r="H1352" s="385"/>
      <c r="I1352" s="385"/>
      <c r="J1352" s="385"/>
      <c r="K1352" s="385"/>
      <c r="L1352" s="385"/>
      <c r="M1352" s="385"/>
    </row>
    <row r="1353" spans="1:13" s="88" customFormat="1" hidden="1">
      <c r="A1353" s="83"/>
      <c r="B1353" s="1432"/>
      <c r="C1353" s="90" t="s">
        <v>209</v>
      </c>
      <c r="D1353" s="83" t="s">
        <v>80</v>
      </c>
      <c r="E1353" s="83">
        <v>0.68</v>
      </c>
      <c r="F1353" s="386">
        <f>F1352*E1353</f>
        <v>0</v>
      </c>
      <c r="G1353" s="386"/>
      <c r="H1353" s="386"/>
      <c r="I1353" s="386">
        <v>6</v>
      </c>
      <c r="J1353" s="386">
        <f>F1353*I1353</f>
        <v>0</v>
      </c>
      <c r="K1353" s="386"/>
      <c r="L1353" s="386"/>
      <c r="M1353" s="386">
        <f>H1353+J1353+L1353</f>
        <v>0</v>
      </c>
    </row>
    <row r="1354" spans="1:13" s="88" customFormat="1" hidden="1">
      <c r="A1354" s="96"/>
      <c r="B1354" s="1432"/>
      <c r="C1354" s="90" t="s">
        <v>133</v>
      </c>
      <c r="D1354" s="83" t="s">
        <v>57</v>
      </c>
      <c r="E1354" s="83">
        <v>2.9999999999999997E-4</v>
      </c>
      <c r="F1354" s="386">
        <f>F1352*E1354</f>
        <v>0</v>
      </c>
      <c r="G1354" s="386"/>
      <c r="H1354" s="386"/>
      <c r="I1354" s="386"/>
      <c r="J1354" s="386"/>
      <c r="K1354" s="386">
        <v>3.2</v>
      </c>
      <c r="L1354" s="386">
        <f>F1354*K1354</f>
        <v>0</v>
      </c>
      <c r="M1354" s="386">
        <f>H1354+J1354+L1354</f>
        <v>0</v>
      </c>
    </row>
    <row r="1355" spans="1:13" s="88" customFormat="1" hidden="1">
      <c r="A1355" s="96"/>
      <c r="B1355" s="1432"/>
      <c r="C1355" s="15" t="s">
        <v>210</v>
      </c>
      <c r="D1355" s="83"/>
      <c r="E1355" s="83"/>
      <c r="F1355" s="386"/>
      <c r="G1355" s="386"/>
      <c r="H1355" s="386"/>
      <c r="I1355" s="386"/>
      <c r="J1355" s="386"/>
      <c r="K1355" s="386"/>
      <c r="L1355" s="386"/>
      <c r="M1355" s="386"/>
    </row>
    <row r="1356" spans="1:13" s="88" customFormat="1" hidden="1">
      <c r="A1356" s="96"/>
      <c r="B1356" s="1432"/>
      <c r="C1356" s="90" t="s">
        <v>186</v>
      </c>
      <c r="D1356" s="83" t="s">
        <v>97</v>
      </c>
      <c r="E1356" s="83">
        <v>0.246</v>
      </c>
      <c r="F1356" s="386">
        <f>F1352*E1356</f>
        <v>0</v>
      </c>
      <c r="G1356" s="386">
        <v>4</v>
      </c>
      <c r="H1356" s="386">
        <f>F1356*G1356</f>
        <v>0</v>
      </c>
      <c r="I1356" s="386"/>
      <c r="J1356" s="386"/>
      <c r="K1356" s="386"/>
      <c r="L1356" s="386"/>
      <c r="M1356" s="386">
        <f>H1356+J1356+L1356</f>
        <v>0</v>
      </c>
    </row>
    <row r="1357" spans="1:13" s="85" customFormat="1" hidden="1">
      <c r="A1357" s="83"/>
      <c r="B1357" s="1432"/>
      <c r="C1357" s="90" t="s">
        <v>138</v>
      </c>
      <c r="D1357" s="83" t="s">
        <v>97</v>
      </c>
      <c r="E1357" s="83">
        <v>2.7E-2</v>
      </c>
      <c r="F1357" s="386">
        <f>F1352*E1357</f>
        <v>0</v>
      </c>
      <c r="G1357" s="386">
        <v>3.5</v>
      </c>
      <c r="H1357" s="386">
        <f>F1357*G1357</f>
        <v>0</v>
      </c>
      <c r="I1357" s="386"/>
      <c r="J1357" s="386"/>
      <c r="K1357" s="386"/>
      <c r="L1357" s="386"/>
      <c r="M1357" s="386">
        <f>H1357+J1357+L1357</f>
        <v>0</v>
      </c>
    </row>
    <row r="1358" spans="1:13" s="88" customFormat="1" hidden="1">
      <c r="A1358" s="96"/>
      <c r="B1358" s="1432"/>
      <c r="C1358" s="90" t="s">
        <v>214</v>
      </c>
      <c r="D1358" s="83" t="s">
        <v>57</v>
      </c>
      <c r="E1358" s="83">
        <v>1.9E-3</v>
      </c>
      <c r="F1358" s="386">
        <f>F1352*E1358</f>
        <v>0</v>
      </c>
      <c r="G1358" s="386">
        <v>3.2</v>
      </c>
      <c r="H1358" s="386">
        <f>F1358*G1358</f>
        <v>0</v>
      </c>
      <c r="I1358" s="386"/>
      <c r="J1358" s="386"/>
      <c r="K1358" s="386"/>
      <c r="L1358" s="386"/>
      <c r="M1358" s="386">
        <f>H1358+J1358+L1358</f>
        <v>0</v>
      </c>
    </row>
    <row r="1359" spans="1:13" s="88" customFormat="1" hidden="1">
      <c r="A1359" s="140">
        <v>10</v>
      </c>
      <c r="B1359" s="1431" t="s">
        <v>150</v>
      </c>
      <c r="C1359" s="180" t="s">
        <v>314</v>
      </c>
      <c r="D1359" s="140" t="s">
        <v>78</v>
      </c>
      <c r="E1359" s="168"/>
      <c r="F1359" s="384">
        <f>'დეფექტური აქტი'!E296</f>
        <v>0</v>
      </c>
      <c r="G1359" s="385"/>
      <c r="H1359" s="385"/>
      <c r="I1359" s="385"/>
      <c r="J1359" s="385"/>
      <c r="K1359" s="385"/>
      <c r="L1359" s="385"/>
      <c r="M1359" s="385"/>
    </row>
    <row r="1360" spans="1:13" s="877" customFormat="1" hidden="1">
      <c r="A1360" s="371"/>
      <c r="B1360" s="1432"/>
      <c r="C1360" s="84" t="s">
        <v>209</v>
      </c>
      <c r="D1360" s="371" t="s">
        <v>80</v>
      </c>
      <c r="E1360" s="211">
        <v>0.25</v>
      </c>
      <c r="F1360" s="386">
        <f>F1359*E1360</f>
        <v>0</v>
      </c>
      <c r="G1360" s="386"/>
      <c r="H1360" s="386"/>
      <c r="I1360" s="386">
        <v>6</v>
      </c>
      <c r="J1360" s="386">
        <f>F1360*I1360</f>
        <v>0</v>
      </c>
      <c r="K1360" s="386"/>
      <c r="L1360" s="386"/>
      <c r="M1360" s="386">
        <f>H1360+J1360+L1360</f>
        <v>0</v>
      </c>
    </row>
    <row r="1361" spans="1:13" s="88" customFormat="1" hidden="1">
      <c r="A1361" s="83"/>
      <c r="B1361" s="1432"/>
      <c r="C1361" s="181" t="s">
        <v>133</v>
      </c>
      <c r="D1361" s="83" t="s">
        <v>57</v>
      </c>
      <c r="E1361" s="183">
        <v>0.08</v>
      </c>
      <c r="F1361" s="386">
        <f>F1359*E1361</f>
        <v>0</v>
      </c>
      <c r="G1361" s="386"/>
      <c r="H1361" s="386"/>
      <c r="I1361" s="386"/>
      <c r="J1361" s="386"/>
      <c r="K1361" s="386">
        <v>3.2</v>
      </c>
      <c r="L1361" s="386">
        <f>F1361*K1361</f>
        <v>0</v>
      </c>
      <c r="M1361" s="386">
        <f>H1361+J1361+L1361</f>
        <v>0</v>
      </c>
    </row>
    <row r="1362" spans="1:13" s="88" customFormat="1" hidden="1">
      <c r="A1362" s="83"/>
      <c r="B1362" s="1432"/>
      <c r="C1362" s="182" t="s">
        <v>210</v>
      </c>
      <c r="D1362" s="83"/>
      <c r="E1362" s="183"/>
      <c r="F1362" s="386"/>
      <c r="G1362" s="386"/>
      <c r="H1362" s="386"/>
      <c r="I1362" s="386"/>
      <c r="J1362" s="386"/>
      <c r="K1362" s="386"/>
      <c r="L1362" s="386"/>
      <c r="M1362" s="386"/>
    </row>
    <row r="1363" spans="1:13" s="88" customFormat="1" hidden="1">
      <c r="A1363" s="83"/>
      <c r="B1363" s="1432"/>
      <c r="C1363" s="181" t="s">
        <v>151</v>
      </c>
      <c r="D1363" s="83" t="s">
        <v>206</v>
      </c>
      <c r="E1363" s="183">
        <v>3.96E-3</v>
      </c>
      <c r="F1363" s="386">
        <f>F1359*E1363</f>
        <v>0</v>
      </c>
      <c r="G1363" s="386">
        <v>120</v>
      </c>
      <c r="H1363" s="386">
        <f>F1363*G1363</f>
        <v>0</v>
      </c>
      <c r="I1363" s="386"/>
      <c r="J1363" s="386"/>
      <c r="K1363" s="386"/>
      <c r="L1363" s="386"/>
      <c r="M1363" s="386">
        <f>H1363+J1363+L1363</f>
        <v>0</v>
      </c>
    </row>
    <row r="1364" spans="1:13" s="88" customFormat="1" hidden="1">
      <c r="A1364" s="83"/>
      <c r="B1364" s="1432"/>
      <c r="C1364" s="181" t="s">
        <v>152</v>
      </c>
      <c r="D1364" s="83" t="s">
        <v>97</v>
      </c>
      <c r="E1364" s="183">
        <v>1</v>
      </c>
      <c r="F1364" s="386">
        <f>F1359*E1364</f>
        <v>0</v>
      </c>
      <c r="G1364" s="386">
        <v>3</v>
      </c>
      <c r="H1364" s="386">
        <f>F1364*G1364</f>
        <v>0</v>
      </c>
      <c r="I1364" s="386"/>
      <c r="J1364" s="386"/>
      <c r="K1364" s="386"/>
      <c r="L1364" s="386"/>
      <c r="M1364" s="386">
        <f>H1364+J1364+L1364</f>
        <v>0</v>
      </c>
    </row>
    <row r="1365" spans="1:13" s="88" customFormat="1" hidden="1">
      <c r="A1365" s="83"/>
      <c r="B1365" s="1432"/>
      <c r="C1365" s="181" t="s">
        <v>153</v>
      </c>
      <c r="D1365" s="83" t="s">
        <v>97</v>
      </c>
      <c r="E1365" s="183">
        <v>0.15</v>
      </c>
      <c r="F1365" s="386">
        <f>F1359*E1365</f>
        <v>0</v>
      </c>
      <c r="G1365" s="386">
        <v>4</v>
      </c>
      <c r="H1365" s="386">
        <f>F1365*G1365</f>
        <v>0</v>
      </c>
      <c r="I1365" s="386"/>
      <c r="J1365" s="386"/>
      <c r="K1365" s="386"/>
      <c r="L1365" s="386"/>
      <c r="M1365" s="386">
        <f>H1365+J1365+L1365</f>
        <v>0</v>
      </c>
    </row>
    <row r="1366" spans="1:13" s="88" customFormat="1" hidden="1">
      <c r="A1366" s="83"/>
      <c r="B1366" s="1437"/>
      <c r="C1366" s="181" t="s">
        <v>214</v>
      </c>
      <c r="D1366" s="86" t="s">
        <v>57</v>
      </c>
      <c r="E1366" s="183">
        <v>4.1999999999999997E-3</v>
      </c>
      <c r="F1366" s="386">
        <f>F1359*E1366</f>
        <v>0</v>
      </c>
      <c r="G1366" s="386">
        <v>3.2</v>
      </c>
      <c r="H1366" s="386">
        <f>F1366*G1366</f>
        <v>0</v>
      </c>
      <c r="I1366" s="386"/>
      <c r="J1366" s="386"/>
      <c r="K1366" s="386"/>
      <c r="L1366" s="386"/>
      <c r="M1366" s="386">
        <f>H1366+J1366+L1366</f>
        <v>0</v>
      </c>
    </row>
    <row r="1367" spans="1:13" s="45" customFormat="1">
      <c r="A1367" s="1179"/>
      <c r="B1367" s="54"/>
      <c r="C1367" s="116" t="s">
        <v>110</v>
      </c>
      <c r="D1367" s="144"/>
      <c r="E1367" s="48"/>
      <c r="F1367" s="390"/>
      <c r="G1367" s="390"/>
      <c r="H1367" s="403"/>
      <c r="I1367" s="403"/>
      <c r="J1367" s="403"/>
      <c r="K1367" s="403"/>
      <c r="L1367" s="403"/>
      <c r="M1367" s="403"/>
    </row>
    <row r="1368" spans="1:13" s="63" customFormat="1">
      <c r="A1368" s="1179"/>
      <c r="B1368" s="54"/>
      <c r="C1368" s="49" t="s">
        <v>115</v>
      </c>
      <c r="D1368" s="124">
        <f>'დეფექტური აქტი'!E298%</f>
        <v>0.1</v>
      </c>
      <c r="E1368" s="78"/>
      <c r="F1368" s="391"/>
      <c r="G1368" s="391"/>
      <c r="H1368" s="401"/>
      <c r="I1368" s="401"/>
      <c r="J1368" s="401"/>
      <c r="K1368" s="401"/>
      <c r="L1368" s="401"/>
      <c r="M1368" s="401"/>
    </row>
    <row r="1369" spans="1:13" s="63" customFormat="1">
      <c r="A1369" s="1179"/>
      <c r="B1369" s="54"/>
      <c r="C1369" s="116" t="s">
        <v>110</v>
      </c>
      <c r="D1369" s="79"/>
      <c r="E1369" s="78"/>
      <c r="F1369" s="391"/>
      <c r="G1369" s="391"/>
      <c r="H1369" s="401"/>
      <c r="I1369" s="401"/>
      <c r="J1369" s="401"/>
      <c r="K1369" s="401"/>
      <c r="L1369" s="401"/>
      <c r="M1369" s="401"/>
    </row>
    <row r="1370" spans="1:13" s="63" customFormat="1">
      <c r="A1370" s="1179"/>
      <c r="B1370" s="54"/>
      <c r="C1370" s="49" t="s">
        <v>116</v>
      </c>
      <c r="D1370" s="124">
        <f>'დეფექტური აქტი'!E300%</f>
        <v>0.08</v>
      </c>
      <c r="E1370" s="78"/>
      <c r="F1370" s="391"/>
      <c r="G1370" s="391"/>
      <c r="H1370" s="401"/>
      <c r="I1370" s="401"/>
      <c r="J1370" s="401"/>
      <c r="K1370" s="401"/>
      <c r="L1370" s="401"/>
      <c r="M1370" s="401"/>
    </row>
    <row r="1371" spans="1:13" s="63" customFormat="1">
      <c r="A1371" s="1179"/>
      <c r="B1371" s="54"/>
      <c r="C1371" s="116" t="s">
        <v>327</v>
      </c>
      <c r="D1371" s="79"/>
      <c r="E1371" s="78"/>
      <c r="F1371" s="391"/>
      <c r="G1371" s="391"/>
      <c r="H1371" s="401"/>
      <c r="I1371" s="401"/>
      <c r="J1371" s="401"/>
      <c r="K1371" s="401"/>
      <c r="L1371" s="401"/>
      <c r="M1371" s="401"/>
    </row>
    <row r="1372" spans="1:13" s="1260" customFormat="1">
      <c r="A1372" s="1242"/>
      <c r="B1372" s="1256"/>
      <c r="C1372" s="1255" t="s">
        <v>1871</v>
      </c>
      <c r="D1372" s="1257"/>
      <c r="E1372" s="1258"/>
      <c r="F1372" s="1037"/>
      <c r="G1372" s="1037"/>
      <c r="H1372" s="1259"/>
      <c r="I1372" s="1259"/>
      <c r="J1372" s="1259"/>
      <c r="K1372" s="1259"/>
      <c r="L1372" s="1259"/>
      <c r="M1372" s="1259"/>
    </row>
    <row r="1373" spans="1:13" s="1260" customFormat="1" ht="27">
      <c r="A1373" s="1243">
        <v>1</v>
      </c>
      <c r="B1373" s="1278"/>
      <c r="C1373" s="1287" t="s">
        <v>1870</v>
      </c>
      <c r="D1373" s="1288" t="s">
        <v>4</v>
      </c>
      <c r="E1373" s="1289"/>
      <c r="F1373" s="1290">
        <f>'დეფექტური აქტი'!E303</f>
        <v>2</v>
      </c>
      <c r="G1373" s="1291"/>
      <c r="H1373" s="1292"/>
      <c r="I1373" s="1292"/>
      <c r="J1373" s="1292"/>
      <c r="K1373" s="1292"/>
      <c r="L1373" s="1292"/>
      <c r="M1373" s="1292"/>
    </row>
    <row r="1374" spans="1:13" s="1280" customFormat="1" ht="14.25" customHeight="1">
      <c r="A1374" s="1244"/>
      <c r="B1374" s="1279"/>
      <c r="C1374" s="1293" t="s">
        <v>209</v>
      </c>
      <c r="D1374" s="1294" t="s">
        <v>80</v>
      </c>
      <c r="E1374" s="1153">
        <v>10.199999999999999</v>
      </c>
      <c r="F1374" s="1295">
        <f>F1373*E1374</f>
        <v>20.399999999999999</v>
      </c>
      <c r="G1374" s="1295"/>
      <c r="H1374" s="1295"/>
      <c r="I1374" s="1295"/>
      <c r="J1374" s="1295"/>
      <c r="K1374" s="1295"/>
      <c r="L1374" s="1295"/>
      <c r="M1374" s="1295"/>
    </row>
    <row r="1375" spans="1:13" s="1281" customFormat="1">
      <c r="A1375" s="1245"/>
      <c r="B1375" s="1279"/>
      <c r="C1375" s="1296" t="s">
        <v>133</v>
      </c>
      <c r="D1375" s="1297" t="s">
        <v>57</v>
      </c>
      <c r="E1375" s="1298">
        <v>0.25</v>
      </c>
      <c r="F1375" s="1299">
        <f>F1373*E1375</f>
        <v>0.5</v>
      </c>
      <c r="G1375" s="1299"/>
      <c r="H1375" s="1299"/>
      <c r="I1375" s="1299"/>
      <c r="J1375" s="1299"/>
      <c r="K1375" s="1299"/>
      <c r="L1375" s="1299"/>
      <c r="M1375" s="1299"/>
    </row>
    <row r="1376" spans="1:13" s="1282" customFormat="1">
      <c r="A1376" s="1244"/>
      <c r="B1376" s="1279"/>
      <c r="C1376" s="1293" t="s">
        <v>210</v>
      </c>
      <c r="D1376" s="1153"/>
      <c r="E1376" s="1153"/>
      <c r="F1376" s="1295"/>
      <c r="G1376" s="1295"/>
      <c r="H1376" s="1295"/>
      <c r="I1376" s="1295"/>
      <c r="J1376" s="1295"/>
      <c r="K1376" s="1295"/>
      <c r="L1376" s="1295"/>
      <c r="M1376" s="1295"/>
    </row>
    <row r="1377" spans="1:14" s="1282" customFormat="1" ht="30.75" customHeight="1">
      <c r="A1377" s="1244"/>
      <c r="B1377" s="1279"/>
      <c r="C1377" s="1300" t="s">
        <v>1870</v>
      </c>
      <c r="D1377" s="1301" t="s">
        <v>1860</v>
      </c>
      <c r="E1377" s="1153">
        <v>1</v>
      </c>
      <c r="F1377" s="1302">
        <f>F1373*E1377</f>
        <v>2</v>
      </c>
      <c r="G1377" s="1302"/>
      <c r="H1377" s="1302"/>
      <c r="I1377" s="1302"/>
      <c r="J1377" s="1302"/>
      <c r="K1377" s="1302"/>
      <c r="L1377" s="1302"/>
      <c r="M1377" s="1302"/>
    </row>
    <row r="1378" spans="1:14" s="1281" customFormat="1">
      <c r="A1378" s="1246"/>
      <c r="B1378" s="1283"/>
      <c r="C1378" s="1303" t="s">
        <v>214</v>
      </c>
      <c r="D1378" s="1304" t="s">
        <v>57</v>
      </c>
      <c r="E1378" s="1305">
        <v>1.1399999999999999</v>
      </c>
      <c r="F1378" s="1306">
        <f>F1373*E1378</f>
        <v>2.2799999999999998</v>
      </c>
      <c r="G1378" s="1306"/>
      <c r="H1378" s="1306"/>
      <c r="I1378" s="1306"/>
      <c r="J1378" s="1306"/>
      <c r="K1378" s="1306"/>
      <c r="L1378" s="1306"/>
      <c r="M1378" s="1306"/>
    </row>
    <row r="1379" spans="1:14" s="1276" customFormat="1" ht="17.25" customHeight="1">
      <c r="A1379" s="1244">
        <v>2</v>
      </c>
      <c r="B1379" s="1284"/>
      <c r="C1379" s="1154" t="s">
        <v>1695</v>
      </c>
      <c r="D1379" s="1301" t="s">
        <v>816</v>
      </c>
      <c r="E1379" s="1153"/>
      <c r="F1379" s="601">
        <f>'დეფექტური აქტი'!E304</f>
        <v>6</v>
      </c>
      <c r="G1379" s="1307"/>
      <c r="H1379" s="1308"/>
      <c r="I1379" s="1309"/>
      <c r="J1379" s="1310"/>
      <c r="K1379" s="1309"/>
      <c r="L1379" s="1310"/>
      <c r="M1379" s="1310"/>
      <c r="N1379" s="1275"/>
    </row>
    <row r="1380" spans="1:14" s="1276" customFormat="1" ht="15.75" customHeight="1">
      <c r="A1380" s="1244"/>
      <c r="B1380" s="1285"/>
      <c r="C1380" s="1293" t="s">
        <v>209</v>
      </c>
      <c r="D1380" s="1301" t="s">
        <v>816</v>
      </c>
      <c r="E1380" s="1311">
        <v>1</v>
      </c>
      <c r="F1380" s="1310">
        <f>F1379*E1380</f>
        <v>6</v>
      </c>
      <c r="G1380" s="1312"/>
      <c r="H1380" s="1313"/>
      <c r="I1380" s="1310"/>
      <c r="J1380" s="1310"/>
      <c r="K1380" s="1309"/>
      <c r="L1380" s="1310"/>
      <c r="M1380" s="1310"/>
      <c r="N1380" s="1275"/>
    </row>
    <row r="1381" spans="1:14" s="1276" customFormat="1" ht="13.5" customHeight="1">
      <c r="A1381" s="1244"/>
      <c r="B1381" s="1274"/>
      <c r="C1381" s="1293" t="s">
        <v>210</v>
      </c>
      <c r="D1381" s="1301"/>
      <c r="E1381" s="1311"/>
      <c r="F1381" s="1310">
        <f>F1380*E1381</f>
        <v>0</v>
      </c>
      <c r="G1381" s="1307"/>
      <c r="H1381" s="1310"/>
      <c r="I1381" s="1310"/>
      <c r="J1381" s="1310"/>
      <c r="K1381" s="1309"/>
      <c r="L1381" s="1310"/>
      <c r="M1381" s="1310"/>
      <c r="N1381" s="1275"/>
    </row>
    <row r="1382" spans="1:14" s="1276" customFormat="1" ht="15.75" customHeight="1">
      <c r="A1382" s="1247"/>
      <c r="B1382" s="1286"/>
      <c r="C1382" s="1314" t="s">
        <v>1695</v>
      </c>
      <c r="D1382" s="1315" t="s">
        <v>816</v>
      </c>
      <c r="E1382" s="1316">
        <v>1</v>
      </c>
      <c r="F1382" s="1317">
        <f>F1379*E1382</f>
        <v>6</v>
      </c>
      <c r="G1382" s="1318"/>
      <c r="H1382" s="1317"/>
      <c r="I1382" s="1317"/>
      <c r="J1382" s="1317"/>
      <c r="K1382" s="1319"/>
      <c r="L1382" s="1317"/>
      <c r="M1382" s="1317"/>
      <c r="N1382" s="1275"/>
    </row>
    <row r="1383" spans="1:14" s="1276" customFormat="1" ht="17.25" customHeight="1">
      <c r="A1383" s="1244">
        <v>3</v>
      </c>
      <c r="B1383" s="1284"/>
      <c r="C1383" s="1154" t="s">
        <v>1861</v>
      </c>
      <c r="D1383" s="1301" t="s">
        <v>816</v>
      </c>
      <c r="E1383" s="1153"/>
      <c r="F1383" s="601">
        <f>'დეფექტური აქტი'!E305</f>
        <v>2</v>
      </c>
      <c r="G1383" s="1307"/>
      <c r="H1383" s="1308"/>
      <c r="I1383" s="1310"/>
      <c r="J1383" s="1310"/>
      <c r="K1383" s="1309"/>
      <c r="L1383" s="1310"/>
      <c r="M1383" s="1310"/>
      <c r="N1383" s="1275"/>
    </row>
    <row r="1384" spans="1:14" s="1276" customFormat="1" ht="15.75" customHeight="1">
      <c r="A1384" s="1244"/>
      <c r="B1384" s="1285"/>
      <c r="C1384" s="1293" t="s">
        <v>209</v>
      </c>
      <c r="D1384" s="1301" t="s">
        <v>816</v>
      </c>
      <c r="E1384" s="1311">
        <v>1</v>
      </c>
      <c r="F1384" s="1310">
        <f>F1383*E1384</f>
        <v>2</v>
      </c>
      <c r="G1384" s="1312"/>
      <c r="H1384" s="1313"/>
      <c r="I1384" s="1310"/>
      <c r="J1384" s="1310"/>
      <c r="K1384" s="1309"/>
      <c r="L1384" s="1310"/>
      <c r="M1384" s="1310"/>
      <c r="N1384" s="1275"/>
    </row>
    <row r="1385" spans="1:14" s="1276" customFormat="1" ht="13.5" customHeight="1">
      <c r="A1385" s="1244"/>
      <c r="B1385" s="1274"/>
      <c r="C1385" s="1293" t="s">
        <v>210</v>
      </c>
      <c r="D1385" s="1301"/>
      <c r="E1385" s="1311"/>
      <c r="F1385" s="1310">
        <f>F1384*E1385</f>
        <v>0</v>
      </c>
      <c r="G1385" s="1307"/>
      <c r="H1385" s="1310"/>
      <c r="I1385" s="1309"/>
      <c r="J1385" s="1310"/>
      <c r="K1385" s="1309"/>
      <c r="L1385" s="1310"/>
      <c r="M1385" s="1310"/>
      <c r="N1385" s="1275"/>
    </row>
    <row r="1386" spans="1:14" s="1276" customFormat="1" ht="15.75" customHeight="1">
      <c r="A1386" s="1244"/>
      <c r="B1386" s="1274"/>
      <c r="C1386" s="1154" t="s">
        <v>1695</v>
      </c>
      <c r="D1386" s="1301" t="s">
        <v>816</v>
      </c>
      <c r="E1386" s="1311">
        <v>1</v>
      </c>
      <c r="F1386" s="1310">
        <f>F1383*E1386</f>
        <v>2</v>
      </c>
      <c r="G1386" s="1153"/>
      <c r="H1386" s="1310"/>
      <c r="I1386" s="1309"/>
      <c r="J1386" s="1310"/>
      <c r="K1386" s="1309"/>
      <c r="L1386" s="1310"/>
      <c r="M1386" s="1310"/>
      <c r="N1386" s="1275"/>
    </row>
    <row r="1387" spans="1:14" s="1260" customFormat="1">
      <c r="A1387" s="1242"/>
      <c r="B1387" s="1256"/>
      <c r="C1387" s="1320" t="s">
        <v>811</v>
      </c>
      <c r="D1387" s="1321"/>
      <c r="E1387" s="1322"/>
      <c r="F1387" s="1323"/>
      <c r="G1387" s="1323"/>
      <c r="H1387" s="1324"/>
      <c r="I1387" s="1324"/>
      <c r="J1387" s="1324"/>
      <c r="K1387" s="1324"/>
      <c r="L1387" s="1324"/>
      <c r="M1387" s="1324"/>
    </row>
    <row r="1388" spans="1:14" s="1260" customFormat="1">
      <c r="A1388" s="1242"/>
      <c r="B1388" s="1256"/>
      <c r="C1388" s="1320" t="s">
        <v>1859</v>
      </c>
      <c r="D1388" s="1321"/>
      <c r="E1388" s="1325"/>
      <c r="F1388" s="1326"/>
      <c r="G1388" s="1326"/>
      <c r="H1388" s="1324"/>
      <c r="I1388" s="1324"/>
      <c r="J1388" s="1324"/>
      <c r="K1388" s="1324"/>
      <c r="L1388" s="1324"/>
      <c r="M1388" s="1324"/>
    </row>
    <row r="1389" spans="1:14" s="1260" customFormat="1" ht="27">
      <c r="A1389" s="1242"/>
      <c r="B1389" s="1256"/>
      <c r="C1389" s="1327" t="s">
        <v>1869</v>
      </c>
      <c r="D1389" s="1328">
        <f>'დეფექტური აქტი'!E308%</f>
        <v>0.12</v>
      </c>
      <c r="E1389" s="1325"/>
      <c r="F1389" s="1326"/>
      <c r="G1389" s="1326"/>
      <c r="H1389" s="1324"/>
      <c r="I1389" s="1324"/>
      <c r="J1389" s="1324"/>
      <c r="K1389" s="1324"/>
      <c r="L1389" s="1324"/>
      <c r="M1389" s="1324"/>
    </row>
    <row r="1390" spans="1:14" s="1260" customFormat="1">
      <c r="A1390" s="1242"/>
      <c r="B1390" s="1256"/>
      <c r="C1390" s="1327" t="s">
        <v>458</v>
      </c>
      <c r="D1390" s="1329">
        <f>'დეფექტური აქტი'!E309%</f>
        <v>0.68</v>
      </c>
      <c r="E1390" s="1325"/>
      <c r="F1390" s="1326"/>
      <c r="G1390" s="1326"/>
      <c r="H1390" s="1324"/>
      <c r="I1390" s="1324"/>
      <c r="J1390" s="1324"/>
      <c r="K1390" s="1323"/>
      <c r="L1390" s="1324"/>
      <c r="M1390" s="1324"/>
    </row>
    <row r="1391" spans="1:14" s="1260" customFormat="1">
      <c r="A1391" s="1242"/>
      <c r="B1391" s="1256"/>
      <c r="C1391" s="1320" t="s">
        <v>110</v>
      </c>
      <c r="D1391" s="1328"/>
      <c r="E1391" s="1325"/>
      <c r="F1391" s="1326"/>
      <c r="G1391" s="1326"/>
      <c r="H1391" s="1324"/>
      <c r="I1391" s="1324"/>
      <c r="J1391" s="1324"/>
      <c r="K1391" s="1324"/>
      <c r="L1391" s="1324"/>
      <c r="M1391" s="1324"/>
    </row>
    <row r="1392" spans="1:14" s="1260" customFormat="1">
      <c r="A1392" s="1242"/>
      <c r="B1392" s="1256"/>
      <c r="C1392" s="1330" t="s">
        <v>116</v>
      </c>
      <c r="D1392" s="1328">
        <f>'დეფექტური აქტი'!E311%</f>
        <v>0.08</v>
      </c>
      <c r="E1392" s="1325"/>
      <c r="F1392" s="1326"/>
      <c r="G1392" s="1326"/>
      <c r="H1392" s="1324"/>
      <c r="I1392" s="1323"/>
      <c r="J1392" s="1324"/>
      <c r="K1392" s="1323"/>
      <c r="L1392" s="1324"/>
      <c r="M1392" s="1324"/>
    </row>
    <row r="1393" spans="1:14" s="1260" customFormat="1">
      <c r="A1393" s="1242"/>
      <c r="B1393" s="1256"/>
      <c r="C1393" s="1320" t="s">
        <v>242</v>
      </c>
      <c r="D1393" s="1321"/>
      <c r="E1393" s="1325"/>
      <c r="F1393" s="1326"/>
      <c r="G1393" s="1326"/>
      <c r="H1393" s="1324"/>
      <c r="I1393" s="1324"/>
      <c r="J1393" s="1324"/>
      <c r="K1393" s="1324"/>
      <c r="L1393" s="1324"/>
      <c r="M1393" s="1324"/>
    </row>
    <row r="1394" spans="1:14" s="1276" customFormat="1" ht="15.75" customHeight="1">
      <c r="A1394" s="1244"/>
      <c r="B1394" s="1274"/>
      <c r="C1394" s="1154"/>
      <c r="D1394" s="1301"/>
      <c r="E1394" s="1311"/>
      <c r="F1394" s="1310"/>
      <c r="G1394" s="1153"/>
      <c r="H1394" s="1310"/>
      <c r="I1394" s="1309"/>
      <c r="J1394" s="1310"/>
      <c r="K1394" s="1309"/>
      <c r="L1394" s="1310"/>
      <c r="M1394" s="1310"/>
      <c r="N1394" s="1275"/>
    </row>
    <row r="1395" spans="1:14" s="4" customFormat="1">
      <c r="A1395" s="1253"/>
      <c r="B1395" s="1254"/>
      <c r="C1395" s="1255" t="s">
        <v>1872</v>
      </c>
      <c r="D1395" s="97"/>
      <c r="E1395" s="9"/>
      <c r="F1395" s="382"/>
      <c r="G1395" s="382"/>
      <c r="H1395" s="382"/>
      <c r="I1395" s="382"/>
      <c r="J1395" s="382"/>
      <c r="K1395" s="382"/>
      <c r="L1395" s="382"/>
      <c r="M1395" s="382"/>
    </row>
    <row r="1396" spans="1:14" s="12" customFormat="1" ht="27">
      <c r="A1396" s="1192"/>
      <c r="B1396" s="148"/>
      <c r="C1396" s="1255" t="s">
        <v>489</v>
      </c>
      <c r="D1396" s="188"/>
      <c r="E1396" s="146"/>
      <c r="F1396" s="399"/>
      <c r="G1396" s="399"/>
      <c r="H1396" s="399"/>
      <c r="I1396" s="399"/>
      <c r="J1396" s="399"/>
      <c r="K1396" s="399"/>
      <c r="L1396" s="399"/>
      <c r="M1396" s="399"/>
    </row>
    <row r="1397" spans="1:14" s="52" customFormat="1" ht="27">
      <c r="A1397" s="1178">
        <v>1</v>
      </c>
      <c r="B1397" s="1449" t="s">
        <v>328</v>
      </c>
      <c r="C1397" s="184" t="s">
        <v>1840</v>
      </c>
      <c r="D1397" s="47" t="s">
        <v>122</v>
      </c>
      <c r="E1397" s="186"/>
      <c r="F1397" s="384">
        <f>'დეფექტური აქტი'!E315</f>
        <v>100</v>
      </c>
      <c r="G1397" s="385"/>
      <c r="H1397" s="602"/>
      <c r="I1397" s="385"/>
      <c r="J1397" s="385"/>
      <c r="K1397" s="385"/>
      <c r="L1397" s="385"/>
      <c r="M1397" s="385"/>
    </row>
    <row r="1398" spans="1:14" s="52" customFormat="1">
      <c r="A1398" s="412"/>
      <c r="B1398" s="1450"/>
      <c r="C1398" s="185" t="s">
        <v>209</v>
      </c>
      <c r="D1398" s="41" t="s">
        <v>80</v>
      </c>
      <c r="E1398" s="187">
        <v>1.35</v>
      </c>
      <c r="F1398" s="386">
        <f>E1398*F1397</f>
        <v>135</v>
      </c>
      <c r="G1398" s="386"/>
      <c r="H1398" s="603"/>
      <c r="I1398" s="386"/>
      <c r="J1398" s="386"/>
      <c r="K1398" s="386"/>
      <c r="L1398" s="386"/>
      <c r="M1398" s="386"/>
    </row>
    <row r="1399" spans="1:14" s="52" customFormat="1">
      <c r="A1399" s="412"/>
      <c r="B1399" s="1450"/>
      <c r="C1399" s="185" t="s">
        <v>133</v>
      </c>
      <c r="D1399" s="83" t="s">
        <v>57</v>
      </c>
      <c r="E1399" s="187">
        <v>3.1399999999999997E-2</v>
      </c>
      <c r="F1399" s="386">
        <f>F1397*E1399</f>
        <v>3.1399999999999997</v>
      </c>
      <c r="G1399" s="386"/>
      <c r="H1399" s="386"/>
      <c r="I1399" s="386"/>
      <c r="J1399" s="386"/>
      <c r="K1399" s="386"/>
      <c r="L1399" s="386"/>
      <c r="M1399" s="386"/>
    </row>
    <row r="1400" spans="1:14" s="52" customFormat="1" hidden="1">
      <c r="A1400" s="41"/>
      <c r="B1400" s="1450"/>
      <c r="C1400" s="182" t="s">
        <v>210</v>
      </c>
      <c r="D1400" s="41"/>
      <c r="E1400" s="187"/>
      <c r="F1400" s="386"/>
      <c r="G1400" s="386"/>
      <c r="H1400" s="386"/>
      <c r="I1400" s="386"/>
      <c r="J1400" s="386"/>
      <c r="K1400" s="386"/>
      <c r="L1400" s="386"/>
      <c r="M1400" s="386"/>
    </row>
    <row r="1401" spans="1:14" s="52" customFormat="1">
      <c r="A1401" s="412"/>
      <c r="B1401" s="1450"/>
      <c r="C1401" s="185" t="s">
        <v>1673</v>
      </c>
      <c r="D1401" s="41" t="s">
        <v>122</v>
      </c>
      <c r="E1401" s="187">
        <v>0.94599999999999995</v>
      </c>
      <c r="F1401" s="386">
        <f>F1397*E1401</f>
        <v>94.6</v>
      </c>
      <c r="G1401" s="386"/>
      <c r="H1401" s="386"/>
      <c r="I1401" s="386"/>
      <c r="J1401" s="386"/>
      <c r="K1401" s="386"/>
      <c r="L1401" s="386"/>
      <c r="M1401" s="386"/>
    </row>
    <row r="1402" spans="1:14" s="52" customFormat="1">
      <c r="A1402" s="412"/>
      <c r="B1402" s="1450"/>
      <c r="C1402" s="185" t="s">
        <v>214</v>
      </c>
      <c r="D1402" s="86" t="s">
        <v>57</v>
      </c>
      <c r="E1402" s="187">
        <v>6.5199999999999994E-2</v>
      </c>
      <c r="F1402" s="386">
        <f>F1397*E1402</f>
        <v>6.52</v>
      </c>
      <c r="G1402" s="386"/>
      <c r="H1402" s="386"/>
      <c r="I1402" s="386"/>
      <c r="J1402" s="386"/>
      <c r="K1402" s="386"/>
      <c r="L1402" s="386"/>
      <c r="M1402" s="386"/>
    </row>
    <row r="1403" spans="1:14" s="52" customFormat="1">
      <c r="A1403" s="1178">
        <v>2</v>
      </c>
      <c r="B1403" s="1449" t="s">
        <v>331</v>
      </c>
      <c r="C1403" s="46" t="s">
        <v>1163</v>
      </c>
      <c r="D1403" s="140" t="s">
        <v>113</v>
      </c>
      <c r="E1403" s="154"/>
      <c r="F1403" s="384">
        <f>'დეფექტური აქტი'!E316</f>
        <v>30</v>
      </c>
      <c r="G1403" s="385"/>
      <c r="H1403" s="602"/>
      <c r="I1403" s="385"/>
      <c r="J1403" s="385"/>
      <c r="K1403" s="385"/>
      <c r="L1403" s="385"/>
      <c r="M1403" s="385"/>
    </row>
    <row r="1404" spans="1:14" s="52" customFormat="1">
      <c r="A1404" s="412"/>
      <c r="B1404" s="1450"/>
      <c r="C1404" s="66" t="s">
        <v>209</v>
      </c>
      <c r="D1404" s="41" t="s">
        <v>80</v>
      </c>
      <c r="E1404" s="53">
        <v>1.51</v>
      </c>
      <c r="F1404" s="386">
        <f>F1403*E1404</f>
        <v>45.3</v>
      </c>
      <c r="G1404" s="386"/>
      <c r="H1404" s="603"/>
      <c r="I1404" s="386"/>
      <c r="J1404" s="386"/>
      <c r="K1404" s="386"/>
      <c r="L1404" s="386"/>
      <c r="M1404" s="386"/>
    </row>
    <row r="1405" spans="1:14" s="52" customFormat="1">
      <c r="A1405" s="412"/>
      <c r="B1405" s="1450"/>
      <c r="C1405" s="66" t="s">
        <v>181</v>
      </c>
      <c r="D1405" s="83" t="s">
        <v>57</v>
      </c>
      <c r="E1405" s="53">
        <v>0.13</v>
      </c>
      <c r="F1405" s="386">
        <f>F1403*E1405</f>
        <v>3.9000000000000004</v>
      </c>
      <c r="G1405" s="386"/>
      <c r="H1405" s="386"/>
      <c r="I1405" s="386"/>
      <c r="J1405" s="386"/>
      <c r="K1405" s="386"/>
      <c r="L1405" s="386"/>
      <c r="M1405" s="386"/>
    </row>
    <row r="1406" spans="1:14" s="52" customFormat="1" hidden="1">
      <c r="A1406" s="41"/>
      <c r="B1406" s="1450"/>
      <c r="C1406" s="15" t="s">
        <v>210</v>
      </c>
      <c r="D1406" s="41"/>
      <c r="E1406" s="53"/>
      <c r="F1406" s="386"/>
      <c r="G1406" s="386"/>
      <c r="H1406" s="386"/>
      <c r="I1406" s="386"/>
      <c r="J1406" s="386"/>
      <c r="K1406" s="386"/>
      <c r="L1406" s="386"/>
      <c r="M1406" s="386"/>
    </row>
    <row r="1407" spans="1:14" s="52" customFormat="1">
      <c r="A1407" s="412"/>
      <c r="B1407" s="1450"/>
      <c r="C1407" s="66" t="s">
        <v>1163</v>
      </c>
      <c r="D1407" s="83" t="s">
        <v>113</v>
      </c>
      <c r="E1407" s="53">
        <v>1</v>
      </c>
      <c r="F1407" s="386">
        <f>F1403*E1407</f>
        <v>30</v>
      </c>
      <c r="G1407" s="386"/>
      <c r="H1407" s="386"/>
      <c r="I1407" s="386"/>
      <c r="J1407" s="386"/>
      <c r="K1407" s="386"/>
      <c r="L1407" s="386"/>
      <c r="M1407" s="386"/>
    </row>
    <row r="1408" spans="1:14" s="52" customFormat="1">
      <c r="A1408" s="412"/>
      <c r="B1408" s="1450"/>
      <c r="C1408" s="66" t="s">
        <v>214</v>
      </c>
      <c r="D1408" s="86" t="s">
        <v>57</v>
      </c>
      <c r="E1408" s="53">
        <v>7.0000000000000007E-2</v>
      </c>
      <c r="F1408" s="386">
        <f>F1403*E1408</f>
        <v>2.1</v>
      </c>
      <c r="G1408" s="386"/>
      <c r="H1408" s="386"/>
      <c r="I1408" s="386"/>
      <c r="J1408" s="386"/>
      <c r="K1408" s="386"/>
      <c r="L1408" s="386"/>
      <c r="M1408" s="386"/>
    </row>
    <row r="1409" spans="1:13" s="52" customFormat="1">
      <c r="A1409" s="1178">
        <v>3</v>
      </c>
      <c r="B1409" s="1449" t="s">
        <v>334</v>
      </c>
      <c r="C1409" s="46" t="s">
        <v>247</v>
      </c>
      <c r="D1409" s="47" t="s">
        <v>122</v>
      </c>
      <c r="E1409" s="154"/>
      <c r="F1409" s="384">
        <f>'დეფექტური აქტი'!E317</f>
        <v>60</v>
      </c>
      <c r="G1409" s="385"/>
      <c r="H1409" s="385"/>
      <c r="I1409" s="385"/>
      <c r="J1409" s="385"/>
      <c r="K1409" s="385"/>
      <c r="L1409" s="385"/>
      <c r="M1409" s="385"/>
    </row>
    <row r="1410" spans="1:13" s="52" customFormat="1">
      <c r="A1410" s="412"/>
      <c r="B1410" s="1450"/>
      <c r="C1410" s="66" t="s">
        <v>209</v>
      </c>
      <c r="D1410" s="41" t="s">
        <v>80</v>
      </c>
      <c r="E1410" s="53">
        <v>0.60899999999999999</v>
      </c>
      <c r="F1410" s="386">
        <f>F1409*E1410</f>
        <v>36.54</v>
      </c>
      <c r="G1410" s="386"/>
      <c r="H1410" s="603"/>
      <c r="I1410" s="386"/>
      <c r="J1410" s="386"/>
      <c r="K1410" s="386"/>
      <c r="L1410" s="386"/>
      <c r="M1410" s="386"/>
    </row>
    <row r="1411" spans="1:13" s="52" customFormat="1">
      <c r="A1411" s="412"/>
      <c r="B1411" s="1450"/>
      <c r="C1411" s="66" t="s">
        <v>133</v>
      </c>
      <c r="D1411" s="83" t="s">
        <v>57</v>
      </c>
      <c r="E1411" s="53">
        <v>2.0999999999999999E-3</v>
      </c>
      <c r="F1411" s="386">
        <f>F1409*E1411</f>
        <v>0.126</v>
      </c>
      <c r="G1411" s="386"/>
      <c r="H1411" s="386"/>
      <c r="I1411" s="386"/>
      <c r="J1411" s="386"/>
      <c r="K1411" s="386"/>
      <c r="L1411" s="386"/>
      <c r="M1411" s="386"/>
    </row>
    <row r="1412" spans="1:13" s="52" customFormat="1" hidden="1">
      <c r="A1412" s="41"/>
      <c r="B1412" s="1450"/>
      <c r="C1412" s="15" t="s">
        <v>210</v>
      </c>
      <c r="D1412" s="41"/>
      <c r="E1412" s="53"/>
      <c r="F1412" s="386"/>
      <c r="G1412" s="386"/>
      <c r="H1412" s="386"/>
      <c r="I1412" s="386"/>
      <c r="J1412" s="386"/>
      <c r="K1412" s="386"/>
      <c r="L1412" s="386"/>
      <c r="M1412" s="386"/>
    </row>
    <row r="1413" spans="1:13" s="52" customFormat="1">
      <c r="A1413" s="412"/>
      <c r="B1413" s="1450"/>
      <c r="C1413" s="66" t="s">
        <v>335</v>
      </c>
      <c r="D1413" s="41" t="s">
        <v>122</v>
      </c>
      <c r="E1413" s="53">
        <v>0.998</v>
      </c>
      <c r="F1413" s="386">
        <f>F1409*E1413</f>
        <v>59.88</v>
      </c>
      <c r="G1413" s="386"/>
      <c r="H1413" s="386"/>
      <c r="I1413" s="386"/>
      <c r="J1413" s="386"/>
      <c r="K1413" s="386"/>
      <c r="L1413" s="386"/>
      <c r="M1413" s="386"/>
    </row>
    <row r="1414" spans="1:13" s="52" customFormat="1">
      <c r="A1414" s="412"/>
      <c r="B1414" s="1450"/>
      <c r="C1414" s="66" t="s">
        <v>182</v>
      </c>
      <c r="D1414" s="41" t="s">
        <v>97</v>
      </c>
      <c r="E1414" s="53">
        <v>0.14000000000000001</v>
      </c>
      <c r="F1414" s="386">
        <f>F1409*E1414</f>
        <v>8.4</v>
      </c>
      <c r="G1414" s="386"/>
      <c r="H1414" s="386"/>
      <c r="I1414" s="386"/>
      <c r="J1414" s="386"/>
      <c r="K1414" s="386"/>
      <c r="L1414" s="386"/>
      <c r="M1414" s="386"/>
    </row>
    <row r="1415" spans="1:13" s="52" customFormat="1">
      <c r="A1415" s="412"/>
      <c r="B1415" s="1450"/>
      <c r="C1415" s="66" t="s">
        <v>214</v>
      </c>
      <c r="D1415" s="86" t="s">
        <v>57</v>
      </c>
      <c r="E1415" s="53">
        <v>0.156</v>
      </c>
      <c r="F1415" s="386">
        <f>F1409*E1415</f>
        <v>9.36</v>
      </c>
      <c r="G1415" s="386"/>
      <c r="H1415" s="386"/>
      <c r="I1415" s="386"/>
      <c r="J1415" s="386"/>
      <c r="K1415" s="386"/>
      <c r="L1415" s="386"/>
      <c r="M1415" s="386"/>
    </row>
    <row r="1416" spans="1:13" s="52" customFormat="1" ht="27">
      <c r="A1416" s="1178">
        <v>4</v>
      </c>
      <c r="B1416" s="1449" t="s">
        <v>179</v>
      </c>
      <c r="C1416" s="68" t="s">
        <v>336</v>
      </c>
      <c r="D1416" s="47" t="s">
        <v>122</v>
      </c>
      <c r="E1416" s="154"/>
      <c r="F1416" s="384">
        <f>'დეფექტური აქტი'!E318</f>
        <v>60</v>
      </c>
      <c r="G1416" s="385"/>
      <c r="H1416" s="385"/>
      <c r="I1416" s="385"/>
      <c r="J1416" s="385"/>
      <c r="K1416" s="385"/>
      <c r="L1416" s="385"/>
      <c r="M1416" s="385"/>
    </row>
    <row r="1417" spans="1:13" s="52" customFormat="1">
      <c r="A1417" s="412"/>
      <c r="B1417" s="1450"/>
      <c r="C1417" s="66" t="s">
        <v>209</v>
      </c>
      <c r="D1417" s="41" t="s">
        <v>80</v>
      </c>
      <c r="E1417" s="53">
        <v>0.58299999999999996</v>
      </c>
      <c r="F1417" s="386">
        <f>F1416*E1417</f>
        <v>34.979999999999997</v>
      </c>
      <c r="G1417" s="386"/>
      <c r="H1417" s="603"/>
      <c r="I1417" s="386"/>
      <c r="J1417" s="386"/>
      <c r="K1417" s="386"/>
      <c r="L1417" s="386"/>
      <c r="M1417" s="386"/>
    </row>
    <row r="1418" spans="1:13" s="52" customFormat="1">
      <c r="A1418" s="412"/>
      <c r="B1418" s="1450"/>
      <c r="C1418" s="66" t="s">
        <v>133</v>
      </c>
      <c r="D1418" s="83" t="s">
        <v>57</v>
      </c>
      <c r="E1418" s="53">
        <v>4.5999999999999999E-3</v>
      </c>
      <c r="F1418" s="386">
        <f>F1416*E1418</f>
        <v>0.27600000000000002</v>
      </c>
      <c r="G1418" s="386"/>
      <c r="H1418" s="386"/>
      <c r="I1418" s="386"/>
      <c r="J1418" s="386"/>
      <c r="K1418" s="386"/>
      <c r="L1418" s="386"/>
      <c r="M1418" s="386"/>
    </row>
    <row r="1419" spans="1:13" s="52" customFormat="1" hidden="1">
      <c r="A1419" s="41"/>
      <c r="B1419" s="1450"/>
      <c r="C1419" s="15" t="s">
        <v>210</v>
      </c>
      <c r="D1419" s="41"/>
      <c r="E1419" s="53"/>
      <c r="F1419" s="386"/>
      <c r="G1419" s="386"/>
      <c r="H1419" s="386"/>
      <c r="I1419" s="386"/>
      <c r="J1419" s="386"/>
      <c r="K1419" s="386"/>
      <c r="L1419" s="386"/>
      <c r="M1419" s="386"/>
    </row>
    <row r="1420" spans="1:13" s="52" customFormat="1">
      <c r="A1420" s="412"/>
      <c r="B1420" s="1450"/>
      <c r="C1420" s="66" t="s">
        <v>337</v>
      </c>
      <c r="D1420" s="41" t="s">
        <v>122</v>
      </c>
      <c r="E1420" s="53">
        <v>0.998</v>
      </c>
      <c r="F1420" s="386">
        <f>F1416*E1420</f>
        <v>59.88</v>
      </c>
      <c r="G1420" s="386"/>
      <c r="H1420" s="386"/>
      <c r="I1420" s="386"/>
      <c r="J1420" s="386"/>
      <c r="K1420" s="386"/>
      <c r="L1420" s="386"/>
      <c r="M1420" s="386"/>
    </row>
    <row r="1421" spans="1:13" s="52" customFormat="1">
      <c r="A1421" s="412"/>
      <c r="B1421" s="1450"/>
      <c r="C1421" s="66" t="s">
        <v>182</v>
      </c>
      <c r="D1421" s="41" t="s">
        <v>97</v>
      </c>
      <c r="E1421" s="53">
        <v>0.23499999999999999</v>
      </c>
      <c r="F1421" s="386">
        <f>F1416*E1421</f>
        <v>14.1</v>
      </c>
      <c r="G1421" s="386"/>
      <c r="H1421" s="386"/>
      <c r="I1421" s="386"/>
      <c r="J1421" s="386"/>
      <c r="K1421" s="386"/>
      <c r="L1421" s="386"/>
      <c r="M1421" s="386"/>
    </row>
    <row r="1422" spans="1:13" s="52" customFormat="1">
      <c r="A1422" s="412"/>
      <c r="B1422" s="1450"/>
      <c r="C1422" s="66" t="s">
        <v>214</v>
      </c>
      <c r="D1422" s="86" t="s">
        <v>57</v>
      </c>
      <c r="E1422" s="53">
        <v>0.20799999999999999</v>
      </c>
      <c r="F1422" s="386">
        <f>F1416*E1422</f>
        <v>12.479999999999999</v>
      </c>
      <c r="G1422" s="386"/>
      <c r="H1422" s="386"/>
      <c r="I1422" s="386"/>
      <c r="J1422" s="386"/>
      <c r="K1422" s="386"/>
      <c r="L1422" s="386"/>
      <c r="M1422" s="386"/>
    </row>
    <row r="1423" spans="1:13" s="52" customFormat="1">
      <c r="A1423" s="1179">
        <v>5</v>
      </c>
      <c r="B1423" s="166" t="s">
        <v>1127</v>
      </c>
      <c r="C1423" s="159" t="s">
        <v>1330</v>
      </c>
      <c r="D1423" s="24" t="s">
        <v>113</v>
      </c>
      <c r="E1423" s="167"/>
      <c r="F1423" s="397">
        <f>'დეფექტური აქტი'!E319</f>
        <v>50</v>
      </c>
      <c r="G1423" s="390"/>
      <c r="H1423" s="390"/>
      <c r="I1423" s="390"/>
      <c r="J1423" s="390"/>
      <c r="K1423" s="390"/>
      <c r="L1423" s="390"/>
      <c r="M1423" s="390"/>
    </row>
    <row r="1424" spans="1:13" s="52" customFormat="1">
      <c r="A1424" s="412">
        <v>6</v>
      </c>
      <c r="B1424" s="213" t="s">
        <v>338</v>
      </c>
      <c r="C1424" s="66" t="s">
        <v>230</v>
      </c>
      <c r="D1424" s="41" t="s">
        <v>4</v>
      </c>
      <c r="E1424" s="53"/>
      <c r="F1424" s="388">
        <f>'დეფექტური აქტი'!E320</f>
        <v>13</v>
      </c>
      <c r="G1424" s="386"/>
      <c r="H1424" s="386"/>
      <c r="I1424" s="386"/>
      <c r="J1424" s="386"/>
      <c r="K1424" s="386"/>
      <c r="L1424" s="386"/>
      <c r="M1424" s="386"/>
    </row>
    <row r="1425" spans="1:13" s="52" customFormat="1">
      <c r="A1425" s="412"/>
      <c r="B1425" s="214" t="s">
        <v>1127</v>
      </c>
      <c r="C1425" s="66" t="s">
        <v>209</v>
      </c>
      <c r="D1425" s="41" t="s">
        <v>4</v>
      </c>
      <c r="E1425" s="53">
        <v>1</v>
      </c>
      <c r="F1425" s="386">
        <f>F1424*E1425</f>
        <v>13</v>
      </c>
      <c r="G1425" s="386"/>
      <c r="H1425" s="603"/>
      <c r="I1425" s="386"/>
      <c r="J1425" s="386"/>
      <c r="K1425" s="386"/>
      <c r="L1425" s="386"/>
      <c r="M1425" s="386"/>
    </row>
    <row r="1426" spans="1:13" s="52" customFormat="1">
      <c r="A1426" s="412"/>
      <c r="B1426" s="214"/>
      <c r="C1426" s="66" t="s">
        <v>133</v>
      </c>
      <c r="D1426" s="83" t="s">
        <v>57</v>
      </c>
      <c r="E1426" s="53">
        <v>7.0000000000000007E-2</v>
      </c>
      <c r="F1426" s="386">
        <f>F1424*E1426</f>
        <v>0.91000000000000014</v>
      </c>
      <c r="G1426" s="386"/>
      <c r="H1426" s="386"/>
      <c r="I1426" s="386"/>
      <c r="J1426" s="386"/>
      <c r="K1426" s="386"/>
      <c r="L1426" s="386"/>
      <c r="M1426" s="386"/>
    </row>
    <row r="1427" spans="1:13" s="52" customFormat="1" hidden="1">
      <c r="A1427" s="41"/>
      <c r="B1427" s="214"/>
      <c r="C1427" s="15" t="s">
        <v>210</v>
      </c>
      <c r="D1427" s="41"/>
      <c r="E1427" s="53"/>
      <c r="F1427" s="386"/>
      <c r="G1427" s="386"/>
      <c r="H1427" s="386"/>
      <c r="I1427" s="386"/>
      <c r="J1427" s="386"/>
      <c r="K1427" s="386"/>
      <c r="L1427" s="386"/>
      <c r="M1427" s="386"/>
    </row>
    <row r="1428" spans="1:13" s="52" customFormat="1">
      <c r="A1428" s="412"/>
      <c r="B1428" s="214"/>
      <c r="C1428" s="15" t="s">
        <v>231</v>
      </c>
      <c r="D1428" s="41" t="s">
        <v>4</v>
      </c>
      <c r="E1428" s="53">
        <v>1</v>
      </c>
      <c r="F1428" s="386">
        <f>F1424*E1428</f>
        <v>13</v>
      </c>
      <c r="G1428" s="386"/>
      <c r="H1428" s="386"/>
      <c r="I1428" s="386"/>
      <c r="J1428" s="386"/>
      <c r="K1428" s="386"/>
      <c r="L1428" s="386"/>
      <c r="M1428" s="386"/>
    </row>
    <row r="1429" spans="1:13" s="52" customFormat="1">
      <c r="A1429" s="412"/>
      <c r="B1429" s="215"/>
      <c r="C1429" s="66" t="s">
        <v>214</v>
      </c>
      <c r="D1429" s="86" t="s">
        <v>57</v>
      </c>
      <c r="E1429" s="53">
        <v>0.37</v>
      </c>
      <c r="F1429" s="386">
        <f>F1424*E1429</f>
        <v>4.8099999999999996</v>
      </c>
      <c r="G1429" s="386"/>
      <c r="H1429" s="386"/>
      <c r="I1429" s="386"/>
      <c r="J1429" s="386"/>
      <c r="K1429" s="386"/>
      <c r="L1429" s="386"/>
      <c r="M1429" s="386"/>
    </row>
    <row r="1430" spans="1:13" s="52" customFormat="1" ht="27">
      <c r="A1430" s="1178">
        <v>7</v>
      </c>
      <c r="B1430" s="213" t="s">
        <v>338</v>
      </c>
      <c r="C1430" s="68" t="s">
        <v>225</v>
      </c>
      <c r="D1430" s="47" t="s">
        <v>4</v>
      </c>
      <c r="E1430" s="154"/>
      <c r="F1430" s="384">
        <f>'დეფექტური აქტი'!E321</f>
        <v>1</v>
      </c>
      <c r="G1430" s="385"/>
      <c r="H1430" s="385"/>
      <c r="I1430" s="385"/>
      <c r="J1430" s="385"/>
      <c r="K1430" s="385"/>
      <c r="L1430" s="385"/>
      <c r="M1430" s="385"/>
    </row>
    <row r="1431" spans="1:13" s="52" customFormat="1">
      <c r="A1431" s="412"/>
      <c r="B1431" s="214" t="s">
        <v>1127</v>
      </c>
      <c r="C1431" s="66" t="s">
        <v>209</v>
      </c>
      <c r="D1431" s="41" t="s">
        <v>4</v>
      </c>
      <c r="E1431" s="53">
        <v>1</v>
      </c>
      <c r="F1431" s="386">
        <f>F1430*E1431</f>
        <v>1</v>
      </c>
      <c r="G1431" s="386"/>
      <c r="H1431" s="603"/>
      <c r="I1431" s="386"/>
      <c r="J1431" s="386"/>
      <c r="K1431" s="386"/>
      <c r="L1431" s="386"/>
      <c r="M1431" s="386"/>
    </row>
    <row r="1432" spans="1:13" s="52" customFormat="1">
      <c r="A1432" s="412"/>
      <c r="B1432" s="214"/>
      <c r="C1432" s="66" t="s">
        <v>133</v>
      </c>
      <c r="D1432" s="83" t="s">
        <v>57</v>
      </c>
      <c r="E1432" s="53">
        <v>7.0000000000000007E-2</v>
      </c>
      <c r="F1432" s="386">
        <f>F1430*E1432</f>
        <v>7.0000000000000007E-2</v>
      </c>
      <c r="G1432" s="386"/>
      <c r="H1432" s="386"/>
      <c r="I1432" s="386"/>
      <c r="J1432" s="386"/>
      <c r="K1432" s="386"/>
      <c r="L1432" s="386"/>
      <c r="M1432" s="386"/>
    </row>
    <row r="1433" spans="1:13" s="52" customFormat="1" hidden="1">
      <c r="A1433" s="41"/>
      <c r="B1433" s="214"/>
      <c r="C1433" s="15" t="s">
        <v>210</v>
      </c>
      <c r="D1433" s="41"/>
      <c r="E1433" s="53"/>
      <c r="F1433" s="386"/>
      <c r="G1433" s="386"/>
      <c r="H1433" s="386"/>
      <c r="I1433" s="386"/>
      <c r="J1433" s="386"/>
      <c r="K1433" s="386"/>
      <c r="L1433" s="386"/>
      <c r="M1433" s="386"/>
    </row>
    <row r="1434" spans="1:13" s="52" customFormat="1" ht="27">
      <c r="A1434" s="412"/>
      <c r="B1434" s="214"/>
      <c r="C1434" s="15" t="s">
        <v>226</v>
      </c>
      <c r="D1434" s="41" t="s">
        <v>4</v>
      </c>
      <c r="E1434" s="53">
        <v>1</v>
      </c>
      <c r="F1434" s="386">
        <f>F1430*E1434</f>
        <v>1</v>
      </c>
      <c r="G1434" s="386"/>
      <c r="H1434" s="386"/>
      <c r="I1434" s="386"/>
      <c r="J1434" s="386"/>
      <c r="K1434" s="386"/>
      <c r="L1434" s="386"/>
      <c r="M1434" s="386"/>
    </row>
    <row r="1435" spans="1:13" s="52" customFormat="1">
      <c r="A1435" s="412"/>
      <c r="B1435" s="215"/>
      <c r="C1435" s="66" t="s">
        <v>214</v>
      </c>
      <c r="D1435" s="86" t="s">
        <v>57</v>
      </c>
      <c r="E1435" s="53">
        <v>0.37</v>
      </c>
      <c r="F1435" s="386">
        <f>F1430*E1435</f>
        <v>0.37</v>
      </c>
      <c r="G1435" s="386"/>
      <c r="H1435" s="386"/>
      <c r="I1435" s="386"/>
      <c r="J1435" s="386"/>
      <c r="K1435" s="386"/>
      <c r="L1435" s="386"/>
      <c r="M1435" s="386"/>
    </row>
    <row r="1436" spans="1:13" s="52" customFormat="1">
      <c r="A1436" s="1178">
        <v>8</v>
      </c>
      <c r="B1436" s="1449" t="s">
        <v>232</v>
      </c>
      <c r="C1436" s="68" t="s">
        <v>233</v>
      </c>
      <c r="D1436" s="140" t="s">
        <v>113</v>
      </c>
      <c r="E1436" s="47"/>
      <c r="F1436" s="384">
        <f>'დეფექტური აქტი'!E322</f>
        <v>13</v>
      </c>
      <c r="G1436" s="385"/>
      <c r="H1436" s="385"/>
      <c r="I1436" s="385"/>
      <c r="J1436" s="385"/>
      <c r="K1436" s="385"/>
      <c r="L1436" s="385"/>
      <c r="M1436" s="385"/>
    </row>
    <row r="1437" spans="1:13" s="52" customFormat="1">
      <c r="A1437" s="412"/>
      <c r="B1437" s="1450"/>
      <c r="C1437" s="66" t="s">
        <v>209</v>
      </c>
      <c r="D1437" s="41" t="s">
        <v>80</v>
      </c>
      <c r="E1437" s="53">
        <v>0.82</v>
      </c>
      <c r="F1437" s="386">
        <f>F1436*E1437</f>
        <v>10.66</v>
      </c>
      <c r="G1437" s="386"/>
      <c r="H1437" s="603"/>
      <c r="I1437" s="386"/>
      <c r="J1437" s="386"/>
      <c r="K1437" s="386"/>
      <c r="L1437" s="386"/>
      <c r="M1437" s="386"/>
    </row>
    <row r="1438" spans="1:13" s="52" customFormat="1">
      <c r="A1438" s="412"/>
      <c r="B1438" s="1450"/>
      <c r="C1438" s="66" t="s">
        <v>133</v>
      </c>
      <c r="D1438" s="83" t="s">
        <v>57</v>
      </c>
      <c r="E1438" s="53">
        <v>0.01</v>
      </c>
      <c r="F1438" s="386">
        <f>F1436*E1438</f>
        <v>0.13</v>
      </c>
      <c r="G1438" s="386"/>
      <c r="H1438" s="386"/>
      <c r="I1438" s="386"/>
      <c r="J1438" s="386"/>
      <c r="K1438" s="386"/>
      <c r="L1438" s="386"/>
      <c r="M1438" s="386"/>
    </row>
    <row r="1439" spans="1:13" s="52" customFormat="1" hidden="1">
      <c r="A1439" s="41"/>
      <c r="B1439" s="1450"/>
      <c r="C1439" s="15" t="s">
        <v>210</v>
      </c>
      <c r="D1439" s="41"/>
      <c r="E1439" s="53"/>
      <c r="F1439" s="386"/>
      <c r="G1439" s="386"/>
      <c r="H1439" s="386"/>
      <c r="I1439" s="386"/>
      <c r="J1439" s="386"/>
      <c r="K1439" s="386"/>
      <c r="L1439" s="386"/>
      <c r="M1439" s="386"/>
    </row>
    <row r="1440" spans="1:13" s="52" customFormat="1">
      <c r="A1440" s="412"/>
      <c r="B1440" s="1450"/>
      <c r="C1440" s="66" t="s">
        <v>234</v>
      </c>
      <c r="D1440" s="83" t="s">
        <v>113</v>
      </c>
      <c r="E1440" s="53">
        <v>1</v>
      </c>
      <c r="F1440" s="386">
        <f>F1436*E1440</f>
        <v>13</v>
      </c>
      <c r="G1440" s="386"/>
      <c r="H1440" s="386"/>
      <c r="I1440" s="386"/>
      <c r="J1440" s="386"/>
      <c r="K1440" s="386"/>
      <c r="L1440" s="386"/>
      <c r="M1440" s="386"/>
    </row>
    <row r="1441" spans="1:13" s="52" customFormat="1">
      <c r="A1441" s="412"/>
      <c r="B1441" s="1450"/>
      <c r="C1441" s="66" t="s">
        <v>214</v>
      </c>
      <c r="D1441" s="86" t="s">
        <v>57</v>
      </c>
      <c r="E1441" s="53">
        <v>7.0000000000000007E-2</v>
      </c>
      <c r="F1441" s="386">
        <f>F1436*E1441</f>
        <v>0.91000000000000014</v>
      </c>
      <c r="G1441" s="386"/>
      <c r="H1441" s="386"/>
      <c r="I1441" s="386"/>
      <c r="J1441" s="386"/>
      <c r="K1441" s="386"/>
      <c r="L1441" s="386"/>
      <c r="M1441" s="386"/>
    </row>
    <row r="1442" spans="1:13" s="52" customFormat="1">
      <c r="A1442" s="1178">
        <v>9</v>
      </c>
      <c r="B1442" s="1449" t="s">
        <v>227</v>
      </c>
      <c r="C1442" s="68" t="s">
        <v>235</v>
      </c>
      <c r="D1442" s="47" t="s">
        <v>4</v>
      </c>
      <c r="E1442" s="154"/>
      <c r="F1442" s="384">
        <f>'დეფექტური აქტი'!E323</f>
        <v>9</v>
      </c>
      <c r="G1442" s="385"/>
      <c r="H1442" s="385"/>
      <c r="I1442" s="385"/>
      <c r="J1442" s="385"/>
      <c r="K1442" s="385"/>
      <c r="L1442" s="385"/>
      <c r="M1442" s="385"/>
    </row>
    <row r="1443" spans="1:13" s="52" customFormat="1">
      <c r="A1443" s="412"/>
      <c r="B1443" s="1450"/>
      <c r="C1443" s="66" t="s">
        <v>209</v>
      </c>
      <c r="D1443" s="41" t="s">
        <v>4</v>
      </c>
      <c r="E1443" s="53">
        <v>1</v>
      </c>
      <c r="F1443" s="386">
        <f>F1442*E1443</f>
        <v>9</v>
      </c>
      <c r="G1443" s="386"/>
      <c r="H1443" s="603"/>
      <c r="I1443" s="386"/>
      <c r="J1443" s="386"/>
      <c r="K1443" s="386"/>
      <c r="L1443" s="386"/>
      <c r="M1443" s="386"/>
    </row>
    <row r="1444" spans="1:13" s="52" customFormat="1">
      <c r="A1444" s="412"/>
      <c r="B1444" s="1450"/>
      <c r="C1444" s="66" t="s">
        <v>181</v>
      </c>
      <c r="D1444" s="83" t="s">
        <v>57</v>
      </c>
      <c r="E1444" s="53">
        <v>0.13</v>
      </c>
      <c r="F1444" s="386">
        <f>F1442*E1444</f>
        <v>1.17</v>
      </c>
      <c r="G1444" s="386"/>
      <c r="H1444" s="386"/>
      <c r="I1444" s="386"/>
      <c r="J1444" s="386"/>
      <c r="K1444" s="386"/>
      <c r="L1444" s="386"/>
      <c r="M1444" s="386"/>
    </row>
    <row r="1445" spans="1:13" s="52" customFormat="1" hidden="1">
      <c r="A1445" s="41"/>
      <c r="B1445" s="1450"/>
      <c r="C1445" s="15" t="s">
        <v>210</v>
      </c>
      <c r="D1445" s="41"/>
      <c r="E1445" s="53"/>
      <c r="F1445" s="386"/>
      <c r="G1445" s="386"/>
      <c r="H1445" s="386"/>
      <c r="I1445" s="386"/>
      <c r="J1445" s="386"/>
      <c r="K1445" s="386"/>
      <c r="L1445" s="386"/>
      <c r="M1445" s="386"/>
    </row>
    <row r="1446" spans="1:13" s="52" customFormat="1">
      <c r="A1446" s="412"/>
      <c r="B1446" s="1450"/>
      <c r="C1446" s="66" t="s">
        <v>236</v>
      </c>
      <c r="D1446" s="41" t="s">
        <v>4</v>
      </c>
      <c r="E1446" s="53">
        <v>1</v>
      </c>
      <c r="F1446" s="386">
        <f>F1442*E1446</f>
        <v>9</v>
      </c>
      <c r="G1446" s="386"/>
      <c r="H1446" s="386"/>
      <c r="I1446" s="386"/>
      <c r="J1446" s="386"/>
      <c r="K1446" s="386"/>
      <c r="L1446" s="386"/>
      <c r="M1446" s="386"/>
    </row>
    <row r="1447" spans="1:13" s="52" customFormat="1">
      <c r="A1447" s="412"/>
      <c r="B1447" s="1450"/>
      <c r="C1447" s="66" t="s">
        <v>214</v>
      </c>
      <c r="D1447" s="86" t="s">
        <v>57</v>
      </c>
      <c r="E1447" s="53">
        <v>0.94</v>
      </c>
      <c r="F1447" s="386">
        <f>F1442*E1447</f>
        <v>8.4599999999999991</v>
      </c>
      <c r="G1447" s="386"/>
      <c r="H1447" s="386"/>
      <c r="I1447" s="386"/>
      <c r="J1447" s="386"/>
      <c r="K1447" s="386"/>
      <c r="L1447" s="386"/>
      <c r="M1447" s="386"/>
    </row>
    <row r="1448" spans="1:13" s="52" customFormat="1" ht="40.5">
      <c r="A1448" s="1178">
        <v>10</v>
      </c>
      <c r="B1448" s="1449" t="s">
        <v>227</v>
      </c>
      <c r="C1448" s="68" t="s">
        <v>228</v>
      </c>
      <c r="D1448" s="47" t="s">
        <v>4</v>
      </c>
      <c r="E1448" s="154"/>
      <c r="F1448" s="384">
        <f>'დეფექტური აქტი'!E324</f>
        <v>1</v>
      </c>
      <c r="G1448" s="385"/>
      <c r="H1448" s="385"/>
      <c r="I1448" s="385"/>
      <c r="J1448" s="385"/>
      <c r="K1448" s="385"/>
      <c r="L1448" s="385"/>
      <c r="M1448" s="385"/>
    </row>
    <row r="1449" spans="1:13" s="52" customFormat="1">
      <c r="A1449" s="412"/>
      <c r="B1449" s="1450"/>
      <c r="C1449" s="66" t="s">
        <v>209</v>
      </c>
      <c r="D1449" s="41" t="s">
        <v>4</v>
      </c>
      <c r="E1449" s="53">
        <v>1</v>
      </c>
      <c r="F1449" s="386">
        <f>F1448*E1449</f>
        <v>1</v>
      </c>
      <c r="G1449" s="386"/>
      <c r="H1449" s="603"/>
      <c r="I1449" s="386"/>
      <c r="J1449" s="386"/>
      <c r="K1449" s="386"/>
      <c r="L1449" s="386"/>
      <c r="M1449" s="386"/>
    </row>
    <row r="1450" spans="1:13" s="52" customFormat="1">
      <c r="A1450" s="412"/>
      <c r="B1450" s="1450"/>
      <c r="C1450" s="66" t="s">
        <v>181</v>
      </c>
      <c r="D1450" s="83" t="s">
        <v>57</v>
      </c>
      <c r="E1450" s="53">
        <v>0.13</v>
      </c>
      <c r="F1450" s="386">
        <f>F1448*E1450</f>
        <v>0.13</v>
      </c>
      <c r="G1450" s="386"/>
      <c r="H1450" s="386"/>
      <c r="I1450" s="386"/>
      <c r="J1450" s="386"/>
      <c r="K1450" s="386"/>
      <c r="L1450" s="386"/>
      <c r="M1450" s="386"/>
    </row>
    <row r="1451" spans="1:13" s="52" customFormat="1" hidden="1">
      <c r="A1451" s="41"/>
      <c r="B1451" s="1450"/>
      <c r="C1451" s="15" t="s">
        <v>210</v>
      </c>
      <c r="D1451" s="41"/>
      <c r="E1451" s="53"/>
      <c r="F1451" s="386"/>
      <c r="G1451" s="386"/>
      <c r="H1451" s="386"/>
      <c r="I1451" s="386"/>
      <c r="J1451" s="386"/>
      <c r="K1451" s="386"/>
      <c r="L1451" s="386"/>
      <c r="M1451" s="386"/>
    </row>
    <row r="1452" spans="1:13" s="52" customFormat="1" ht="27">
      <c r="A1452" s="412"/>
      <c r="B1452" s="1450"/>
      <c r="C1452" s="66" t="s">
        <v>229</v>
      </c>
      <c r="D1452" s="41" t="s">
        <v>4</v>
      </c>
      <c r="E1452" s="53">
        <v>1</v>
      </c>
      <c r="F1452" s="386">
        <f>F1448*E1452</f>
        <v>1</v>
      </c>
      <c r="G1452" s="386"/>
      <c r="H1452" s="386"/>
      <c r="I1452" s="386"/>
      <c r="J1452" s="386"/>
      <c r="K1452" s="386"/>
      <c r="L1452" s="386"/>
      <c r="M1452" s="386"/>
    </row>
    <row r="1453" spans="1:13" s="52" customFormat="1">
      <c r="A1453" s="412"/>
      <c r="B1453" s="1450"/>
      <c r="C1453" s="66" t="s">
        <v>214</v>
      </c>
      <c r="D1453" s="86" t="s">
        <v>57</v>
      </c>
      <c r="E1453" s="53">
        <v>0.94</v>
      </c>
      <c r="F1453" s="386">
        <f>F1448*E1453</f>
        <v>0.94</v>
      </c>
      <c r="G1453" s="386"/>
      <c r="H1453" s="386"/>
      <c r="I1453" s="386"/>
      <c r="J1453" s="386"/>
      <c r="K1453" s="386"/>
      <c r="L1453" s="386"/>
      <c r="M1453" s="386"/>
    </row>
    <row r="1454" spans="1:13" s="52" customFormat="1" ht="18.75" hidden="1" customHeight="1">
      <c r="A1454" s="47">
        <v>11</v>
      </c>
      <c r="B1454" s="1449" t="s">
        <v>953</v>
      </c>
      <c r="C1454" s="68" t="s">
        <v>362</v>
      </c>
      <c r="D1454" s="47" t="s">
        <v>4</v>
      </c>
      <c r="E1454" s="154"/>
      <c r="F1454" s="384">
        <f>'დეფექტური აქტი'!E325</f>
        <v>0</v>
      </c>
      <c r="G1454" s="385"/>
      <c r="H1454" s="385"/>
      <c r="I1454" s="385"/>
      <c r="J1454" s="385"/>
      <c r="K1454" s="385"/>
      <c r="L1454" s="385"/>
      <c r="M1454" s="385"/>
    </row>
    <row r="1455" spans="1:13" s="52" customFormat="1" hidden="1">
      <c r="A1455" s="41"/>
      <c r="B1455" s="1450"/>
      <c r="C1455" s="66" t="s">
        <v>209</v>
      </c>
      <c r="D1455" s="41" t="s">
        <v>4</v>
      </c>
      <c r="E1455" s="53">
        <v>1</v>
      </c>
      <c r="F1455" s="386">
        <f>F1454*E1455</f>
        <v>0</v>
      </c>
      <c r="G1455" s="386"/>
      <c r="H1455" s="603"/>
      <c r="I1455" s="386">
        <v>25</v>
      </c>
      <c r="J1455" s="386">
        <f>F1455*I1455</f>
        <v>0</v>
      </c>
      <c r="K1455" s="386"/>
      <c r="L1455" s="386"/>
      <c r="M1455" s="386">
        <f>H1455+J1455+L1455</f>
        <v>0</v>
      </c>
    </row>
    <row r="1456" spans="1:13" s="52" customFormat="1" hidden="1">
      <c r="A1456" s="41"/>
      <c r="B1456" s="1450"/>
      <c r="C1456" s="66" t="s">
        <v>181</v>
      </c>
      <c r="D1456" s="83" t="s">
        <v>57</v>
      </c>
      <c r="E1456" s="53">
        <v>0.28000000000000003</v>
      </c>
      <c r="F1456" s="386">
        <f>F1454*E1456</f>
        <v>0</v>
      </c>
      <c r="G1456" s="386"/>
      <c r="H1456" s="386"/>
      <c r="I1456" s="386"/>
      <c r="J1456" s="386"/>
      <c r="K1456" s="386">
        <v>3.2</v>
      </c>
      <c r="L1456" s="386">
        <f>F1456*K1456</f>
        <v>0</v>
      </c>
      <c r="M1456" s="386">
        <f>H1456+J1456+L1456</f>
        <v>0</v>
      </c>
    </row>
    <row r="1457" spans="1:13" s="52" customFormat="1" hidden="1">
      <c r="A1457" s="41"/>
      <c r="B1457" s="1450"/>
      <c r="C1457" s="15" t="s">
        <v>210</v>
      </c>
      <c r="D1457" s="41"/>
      <c r="E1457" s="53"/>
      <c r="F1457" s="386"/>
      <c r="G1457" s="386"/>
      <c r="H1457" s="386"/>
      <c r="I1457" s="386"/>
      <c r="J1457" s="386"/>
      <c r="K1457" s="386"/>
      <c r="L1457" s="386"/>
      <c r="M1457" s="386"/>
    </row>
    <row r="1458" spans="1:13" s="52" customFormat="1" hidden="1">
      <c r="A1458" s="41"/>
      <c r="B1458" s="1450"/>
      <c r="C1458" s="66" t="s">
        <v>954</v>
      </c>
      <c r="D1458" s="41" t="s">
        <v>4</v>
      </c>
      <c r="E1458" s="53">
        <v>1</v>
      </c>
      <c r="F1458" s="386">
        <f>F1454*E1458</f>
        <v>0</v>
      </c>
      <c r="G1458" s="386">
        <v>80</v>
      </c>
      <c r="H1458" s="386">
        <f>F1458*G1458</f>
        <v>0</v>
      </c>
      <c r="I1458" s="386"/>
      <c r="J1458" s="386"/>
      <c r="K1458" s="386"/>
      <c r="L1458" s="386"/>
      <c r="M1458" s="386">
        <f>H1458+J1458+L1458</f>
        <v>0</v>
      </c>
    </row>
    <row r="1459" spans="1:13" s="52" customFormat="1" hidden="1">
      <c r="A1459" s="41"/>
      <c r="B1459" s="1450"/>
      <c r="C1459" s="66" t="s">
        <v>214</v>
      </c>
      <c r="D1459" s="86" t="s">
        <v>57</v>
      </c>
      <c r="E1459" s="53">
        <v>1.24</v>
      </c>
      <c r="F1459" s="386">
        <f>F1454*E1459</f>
        <v>0</v>
      </c>
      <c r="G1459" s="386">
        <v>3.2</v>
      </c>
      <c r="H1459" s="386">
        <f>F1459*G1459</f>
        <v>0</v>
      </c>
      <c r="I1459" s="386"/>
      <c r="J1459" s="386"/>
      <c r="K1459" s="386"/>
      <c r="L1459" s="386"/>
      <c r="M1459" s="386">
        <f>H1459+J1459+L1459</f>
        <v>0</v>
      </c>
    </row>
    <row r="1460" spans="1:13" s="52" customFormat="1">
      <c r="A1460" s="1178">
        <v>12</v>
      </c>
      <c r="B1460" s="1449" t="s">
        <v>237</v>
      </c>
      <c r="C1460" s="46" t="s">
        <v>864</v>
      </c>
      <c r="D1460" s="47" t="s">
        <v>4</v>
      </c>
      <c r="E1460" s="154"/>
      <c r="F1460" s="384">
        <f>'დეფექტური აქტი'!E326</f>
        <v>10</v>
      </c>
      <c r="G1460" s="385"/>
      <c r="H1460" s="602"/>
      <c r="I1460" s="385"/>
      <c r="J1460" s="385"/>
      <c r="K1460" s="385"/>
      <c r="L1460" s="385"/>
      <c r="M1460" s="385"/>
    </row>
    <row r="1461" spans="1:13" s="52" customFormat="1">
      <c r="A1461" s="412"/>
      <c r="B1461" s="1450"/>
      <c r="C1461" s="66" t="s">
        <v>209</v>
      </c>
      <c r="D1461" s="41" t="s">
        <v>4</v>
      </c>
      <c r="E1461" s="53">
        <v>1</v>
      </c>
      <c r="F1461" s="386">
        <f>F1460*E1461</f>
        <v>10</v>
      </c>
      <c r="G1461" s="386"/>
      <c r="H1461" s="603"/>
      <c r="I1461" s="386"/>
      <c r="J1461" s="386"/>
      <c r="K1461" s="386"/>
      <c r="L1461" s="386"/>
      <c r="M1461" s="386"/>
    </row>
    <row r="1462" spans="1:13" s="52" customFormat="1">
      <c r="A1462" s="412"/>
      <c r="B1462" s="1450"/>
      <c r="C1462" s="66" t="s">
        <v>133</v>
      </c>
      <c r="D1462" s="83" t="s">
        <v>57</v>
      </c>
      <c r="E1462" s="53">
        <v>0.02</v>
      </c>
      <c r="F1462" s="386">
        <f>F1460*E1462</f>
        <v>0.2</v>
      </c>
      <c r="G1462" s="386"/>
      <c r="H1462" s="386"/>
      <c r="I1462" s="386"/>
      <c r="J1462" s="386"/>
      <c r="K1462" s="386"/>
      <c r="L1462" s="386"/>
      <c r="M1462" s="386"/>
    </row>
    <row r="1463" spans="1:13" s="52" customFormat="1" hidden="1">
      <c r="A1463" s="41"/>
      <c r="B1463" s="1450"/>
      <c r="C1463" s="15" t="s">
        <v>210</v>
      </c>
      <c r="D1463" s="41"/>
      <c r="E1463" s="53"/>
      <c r="F1463" s="386"/>
      <c r="G1463" s="386"/>
      <c r="H1463" s="386"/>
      <c r="I1463" s="386"/>
      <c r="J1463" s="386"/>
      <c r="K1463" s="386"/>
      <c r="L1463" s="386"/>
      <c r="M1463" s="386"/>
    </row>
    <row r="1464" spans="1:13" s="52" customFormat="1">
      <c r="A1464" s="412"/>
      <c r="B1464" s="1450"/>
      <c r="C1464" s="66" t="s">
        <v>409</v>
      </c>
      <c r="D1464" s="41" t="s">
        <v>4</v>
      </c>
      <c r="E1464" s="53">
        <v>1</v>
      </c>
      <c r="F1464" s="386">
        <f>F1460*E1464</f>
        <v>10</v>
      </c>
      <c r="G1464" s="386"/>
      <c r="H1464" s="386"/>
      <c r="I1464" s="386"/>
      <c r="J1464" s="386"/>
      <c r="K1464" s="386"/>
      <c r="L1464" s="386"/>
      <c r="M1464" s="386"/>
    </row>
    <row r="1465" spans="1:13" s="52" customFormat="1">
      <c r="A1465" s="412"/>
      <c r="B1465" s="1450"/>
      <c r="C1465" s="66" t="s">
        <v>214</v>
      </c>
      <c r="D1465" s="86" t="s">
        <v>57</v>
      </c>
      <c r="E1465" s="53">
        <v>0.11</v>
      </c>
      <c r="F1465" s="386">
        <f>F1460*E1465</f>
        <v>1.1000000000000001</v>
      </c>
      <c r="G1465" s="386"/>
      <c r="H1465" s="386"/>
      <c r="I1465" s="386"/>
      <c r="J1465" s="386"/>
      <c r="K1465" s="386"/>
      <c r="L1465" s="386"/>
      <c r="M1465" s="386"/>
    </row>
    <row r="1466" spans="1:13" s="567" customFormat="1" ht="27">
      <c r="A1466" s="412">
        <v>5</v>
      </c>
      <c r="B1466" s="1513" t="s">
        <v>179</v>
      </c>
      <c r="C1466" s="565" t="s">
        <v>1504</v>
      </c>
      <c r="D1466" s="370" t="s">
        <v>113</v>
      </c>
      <c r="E1466" s="566"/>
      <c r="F1466" s="384">
        <f>'დეფექტური აქტი'!E327</f>
        <v>6</v>
      </c>
      <c r="G1466" s="385"/>
      <c r="H1466" s="385"/>
      <c r="I1466" s="385"/>
      <c r="J1466" s="385"/>
      <c r="K1466" s="385"/>
      <c r="L1466" s="385"/>
      <c r="M1466" s="385"/>
    </row>
    <row r="1467" spans="1:13" s="567" customFormat="1">
      <c r="A1467" s="412"/>
      <c r="B1467" s="1514"/>
      <c r="C1467" s="569" t="s">
        <v>209</v>
      </c>
      <c r="D1467" s="371" t="s">
        <v>113</v>
      </c>
      <c r="E1467" s="570">
        <v>1</v>
      </c>
      <c r="F1467" s="386">
        <f>F1466*E1467</f>
        <v>6</v>
      </c>
      <c r="G1467" s="386"/>
      <c r="H1467" s="603"/>
      <c r="I1467" s="386"/>
      <c r="J1467" s="386"/>
      <c r="K1467" s="386"/>
      <c r="L1467" s="386"/>
      <c r="M1467" s="386"/>
    </row>
    <row r="1468" spans="1:13" s="567" customFormat="1" hidden="1">
      <c r="A1468" s="41"/>
      <c r="B1468" s="1514"/>
      <c r="C1468" s="365" t="s">
        <v>210</v>
      </c>
      <c r="D1468" s="371"/>
      <c r="E1468" s="570"/>
      <c r="F1468" s="386"/>
      <c r="G1468" s="386"/>
      <c r="H1468" s="386"/>
      <c r="I1468" s="386"/>
      <c r="J1468" s="386"/>
      <c r="K1468" s="386"/>
      <c r="L1468" s="386"/>
      <c r="M1468" s="386"/>
    </row>
    <row r="1469" spans="1:13" s="567" customFormat="1" ht="27">
      <c r="A1469" s="412"/>
      <c r="B1469" s="1515"/>
      <c r="C1469" s="898" t="s">
        <v>1504</v>
      </c>
      <c r="D1469" s="879" t="s">
        <v>113</v>
      </c>
      <c r="E1469" s="899">
        <v>1</v>
      </c>
      <c r="F1469" s="387">
        <f>F1466*E1469</f>
        <v>6</v>
      </c>
      <c r="G1469" s="1074"/>
      <c r="H1469" s="387"/>
      <c r="I1469" s="387"/>
      <c r="J1469" s="387"/>
      <c r="K1469" s="387"/>
      <c r="L1469" s="387"/>
      <c r="M1469" s="387"/>
    </row>
    <row r="1470" spans="1:13" s="12" customFormat="1" hidden="1">
      <c r="A1470" s="68"/>
      <c r="B1470" s="148"/>
      <c r="C1470" s="205" t="s">
        <v>490</v>
      </c>
      <c r="D1470" s="97"/>
      <c r="E1470" s="146"/>
      <c r="F1470" s="399"/>
      <c r="G1470" s="399"/>
      <c r="H1470" s="399"/>
      <c r="I1470" s="399"/>
      <c r="J1470" s="399"/>
      <c r="K1470" s="399"/>
      <c r="L1470" s="399"/>
      <c r="M1470" s="399"/>
    </row>
    <row r="1471" spans="1:13" s="52" customFormat="1" ht="27" hidden="1">
      <c r="A1471" s="47">
        <v>1</v>
      </c>
      <c r="B1471" s="1449" t="s">
        <v>328</v>
      </c>
      <c r="C1471" s="46" t="s">
        <v>329</v>
      </c>
      <c r="D1471" s="47" t="s">
        <v>122</v>
      </c>
      <c r="E1471" s="154"/>
      <c r="F1471" s="384">
        <f>'დეფექტური აქტი'!E329</f>
        <v>0</v>
      </c>
      <c r="G1471" s="385"/>
      <c r="H1471" s="602"/>
      <c r="I1471" s="385"/>
      <c r="J1471" s="385"/>
      <c r="K1471" s="385"/>
      <c r="L1471" s="385"/>
      <c r="M1471" s="385"/>
    </row>
    <row r="1472" spans="1:13" s="52" customFormat="1" hidden="1">
      <c r="A1472" s="41"/>
      <c r="B1472" s="1450"/>
      <c r="C1472" s="66" t="s">
        <v>209</v>
      </c>
      <c r="D1472" s="41" t="s">
        <v>80</v>
      </c>
      <c r="E1472" s="53">
        <v>1.35</v>
      </c>
      <c r="F1472" s="386">
        <f>F1471*E1472</f>
        <v>0</v>
      </c>
      <c r="G1472" s="386"/>
      <c r="H1472" s="603"/>
      <c r="I1472" s="386">
        <v>4.5999999999999996</v>
      </c>
      <c r="J1472" s="386">
        <f>F1472*I1472</f>
        <v>0</v>
      </c>
      <c r="K1472" s="386"/>
      <c r="L1472" s="386"/>
      <c r="M1472" s="386">
        <f>H1472+J1472+L1472</f>
        <v>0</v>
      </c>
    </row>
    <row r="1473" spans="1:13" s="52" customFormat="1" hidden="1">
      <c r="A1473" s="41"/>
      <c r="B1473" s="1450"/>
      <c r="C1473" s="66" t="s">
        <v>133</v>
      </c>
      <c r="D1473" s="83" t="s">
        <v>57</v>
      </c>
      <c r="E1473" s="53">
        <v>3.1399999999999997E-2</v>
      </c>
      <c r="F1473" s="386">
        <f>F1471*E1473</f>
        <v>0</v>
      </c>
      <c r="G1473" s="386"/>
      <c r="H1473" s="386"/>
      <c r="I1473" s="386"/>
      <c r="J1473" s="386"/>
      <c r="K1473" s="386">
        <v>3.2</v>
      </c>
      <c r="L1473" s="386">
        <f>F1473*K1473</f>
        <v>0</v>
      </c>
      <c r="M1473" s="386">
        <f>H1473+J1473+L1473</f>
        <v>0</v>
      </c>
    </row>
    <row r="1474" spans="1:13" s="52" customFormat="1" hidden="1">
      <c r="A1474" s="41"/>
      <c r="B1474" s="1450"/>
      <c r="C1474" s="15" t="s">
        <v>210</v>
      </c>
      <c r="D1474" s="41"/>
      <c r="E1474" s="53"/>
      <c r="F1474" s="386"/>
      <c r="G1474" s="386"/>
      <c r="H1474" s="386"/>
      <c r="I1474" s="386"/>
      <c r="J1474" s="386"/>
      <c r="K1474" s="386"/>
      <c r="L1474" s="386"/>
      <c r="M1474" s="386"/>
    </row>
    <row r="1475" spans="1:13" s="52" customFormat="1" hidden="1">
      <c r="A1475" s="41"/>
      <c r="B1475" s="1450"/>
      <c r="C1475" s="66" t="s">
        <v>330</v>
      </c>
      <c r="D1475" s="41" t="s">
        <v>122</v>
      </c>
      <c r="E1475" s="53">
        <v>0.94599999999999995</v>
      </c>
      <c r="F1475" s="386">
        <f>F1471*E1475</f>
        <v>0</v>
      </c>
      <c r="G1475" s="386">
        <v>0.9</v>
      </c>
      <c r="H1475" s="386">
        <f>F1475*G1475</f>
        <v>0</v>
      </c>
      <c r="I1475" s="386"/>
      <c r="J1475" s="386"/>
      <c r="K1475" s="386"/>
      <c r="L1475" s="386"/>
      <c r="M1475" s="386">
        <f>H1475+J1475+L1475</f>
        <v>0</v>
      </c>
    </row>
    <row r="1476" spans="1:13" s="52" customFormat="1" hidden="1">
      <c r="A1476" s="41"/>
      <c r="B1476" s="1450"/>
      <c r="C1476" s="66" t="s">
        <v>214</v>
      </c>
      <c r="D1476" s="86" t="s">
        <v>57</v>
      </c>
      <c r="E1476" s="53">
        <v>6.5199999999999994E-2</v>
      </c>
      <c r="F1476" s="386">
        <f>F1471*E1476</f>
        <v>0</v>
      </c>
      <c r="G1476" s="386">
        <v>3.2</v>
      </c>
      <c r="H1476" s="386">
        <f>F1476*G1476</f>
        <v>0</v>
      </c>
      <c r="I1476" s="386"/>
      <c r="J1476" s="386"/>
      <c r="K1476" s="386"/>
      <c r="L1476" s="386"/>
      <c r="M1476" s="386">
        <f>H1476+J1476+L1476</f>
        <v>0</v>
      </c>
    </row>
    <row r="1477" spans="1:13" s="52" customFormat="1" hidden="1">
      <c r="A1477" s="47">
        <v>2</v>
      </c>
      <c r="B1477" s="1449" t="s">
        <v>331</v>
      </c>
      <c r="C1477" s="46" t="s">
        <v>332</v>
      </c>
      <c r="D1477" s="140" t="s">
        <v>113</v>
      </c>
      <c r="E1477" s="154"/>
      <c r="F1477" s="384">
        <f>'დეფექტური აქტი'!E330</f>
        <v>0</v>
      </c>
      <c r="G1477" s="385"/>
      <c r="H1477" s="602"/>
      <c r="I1477" s="385"/>
      <c r="J1477" s="385"/>
      <c r="K1477" s="385"/>
      <c r="L1477" s="385"/>
      <c r="M1477" s="385"/>
    </row>
    <row r="1478" spans="1:13" s="52" customFormat="1" hidden="1">
      <c r="A1478" s="41"/>
      <c r="B1478" s="1450"/>
      <c r="C1478" s="66" t="s">
        <v>209</v>
      </c>
      <c r="D1478" s="41" t="s">
        <v>80</v>
      </c>
      <c r="E1478" s="53">
        <v>1.51</v>
      </c>
      <c r="F1478" s="386">
        <f>F1477*E1478</f>
        <v>0</v>
      </c>
      <c r="G1478" s="386"/>
      <c r="H1478" s="603"/>
      <c r="I1478" s="386">
        <v>4.5999999999999996</v>
      </c>
      <c r="J1478" s="386">
        <f>F1478*I1478</f>
        <v>0</v>
      </c>
      <c r="K1478" s="386"/>
      <c r="L1478" s="386"/>
      <c r="M1478" s="386">
        <f>H1478+J1478+L1478</f>
        <v>0</v>
      </c>
    </row>
    <row r="1479" spans="1:13" s="52" customFormat="1" hidden="1">
      <c r="A1479" s="41"/>
      <c r="B1479" s="1450"/>
      <c r="C1479" s="66" t="s">
        <v>181</v>
      </c>
      <c r="D1479" s="83" t="s">
        <v>57</v>
      </c>
      <c r="E1479" s="53">
        <v>0.13</v>
      </c>
      <c r="F1479" s="386">
        <f>F1477*E1479</f>
        <v>0</v>
      </c>
      <c r="G1479" s="386"/>
      <c r="H1479" s="386"/>
      <c r="I1479" s="386"/>
      <c r="J1479" s="386"/>
      <c r="K1479" s="386">
        <v>3.2</v>
      </c>
      <c r="L1479" s="386">
        <f>F1479*K1479</f>
        <v>0</v>
      </c>
      <c r="M1479" s="386">
        <f>H1479+J1479+L1479</f>
        <v>0</v>
      </c>
    </row>
    <row r="1480" spans="1:13" s="52" customFormat="1" hidden="1">
      <c r="A1480" s="41"/>
      <c r="B1480" s="1450"/>
      <c r="C1480" s="15" t="s">
        <v>210</v>
      </c>
      <c r="D1480" s="41"/>
      <c r="E1480" s="53"/>
      <c r="F1480" s="386"/>
      <c r="G1480" s="386"/>
      <c r="H1480" s="386"/>
      <c r="I1480" s="386"/>
      <c r="J1480" s="386"/>
      <c r="K1480" s="386"/>
      <c r="L1480" s="386"/>
      <c r="M1480" s="386"/>
    </row>
    <row r="1481" spans="1:13" s="52" customFormat="1" hidden="1">
      <c r="A1481" s="41"/>
      <c r="B1481" s="1450"/>
      <c r="C1481" s="66" t="s">
        <v>333</v>
      </c>
      <c r="D1481" s="83" t="s">
        <v>113</v>
      </c>
      <c r="E1481" s="53">
        <v>1</v>
      </c>
      <c r="F1481" s="386">
        <f>F1477*E1481</f>
        <v>0</v>
      </c>
      <c r="G1481" s="386">
        <v>7.6</v>
      </c>
      <c r="H1481" s="386">
        <f>F1481*G1481</f>
        <v>0</v>
      </c>
      <c r="I1481" s="386"/>
      <c r="J1481" s="386"/>
      <c r="K1481" s="386"/>
      <c r="L1481" s="386"/>
      <c r="M1481" s="386">
        <f>H1481+J1481+L1481</f>
        <v>0</v>
      </c>
    </row>
    <row r="1482" spans="1:13" s="52" customFormat="1" hidden="1">
      <c r="A1482" s="41"/>
      <c r="B1482" s="1450"/>
      <c r="C1482" s="66" t="s">
        <v>214</v>
      </c>
      <c r="D1482" s="86" t="s">
        <v>57</v>
      </c>
      <c r="E1482" s="53">
        <v>7.0000000000000007E-2</v>
      </c>
      <c r="F1482" s="386">
        <f>F1477*E1482</f>
        <v>0</v>
      </c>
      <c r="G1482" s="386">
        <v>3.2</v>
      </c>
      <c r="H1482" s="386">
        <f>F1482*G1482</f>
        <v>0</v>
      </c>
      <c r="I1482" s="386"/>
      <c r="J1482" s="386"/>
      <c r="K1482" s="386"/>
      <c r="L1482" s="386"/>
      <c r="M1482" s="386">
        <f>H1482+J1482+L1482</f>
        <v>0</v>
      </c>
    </row>
    <row r="1483" spans="1:13" s="52" customFormat="1" hidden="1">
      <c r="A1483" s="47">
        <v>3</v>
      </c>
      <c r="B1483" s="1449" t="s">
        <v>334</v>
      </c>
      <c r="C1483" s="46" t="s">
        <v>247</v>
      </c>
      <c r="D1483" s="47" t="s">
        <v>122</v>
      </c>
      <c r="E1483" s="154"/>
      <c r="F1483" s="384">
        <f>'დეფექტური აქტი'!E331</f>
        <v>0</v>
      </c>
      <c r="G1483" s="385"/>
      <c r="H1483" s="385"/>
      <c r="I1483" s="385"/>
      <c r="J1483" s="385"/>
      <c r="K1483" s="385"/>
      <c r="L1483" s="385"/>
      <c r="M1483" s="385"/>
    </row>
    <row r="1484" spans="1:13" s="52" customFormat="1" hidden="1">
      <c r="A1484" s="41"/>
      <c r="B1484" s="1450"/>
      <c r="C1484" s="66" t="s">
        <v>209</v>
      </c>
      <c r="D1484" s="41" t="s">
        <v>80</v>
      </c>
      <c r="E1484" s="53">
        <v>0.60899999999999999</v>
      </c>
      <c r="F1484" s="386">
        <f>F1483*E1484</f>
        <v>0</v>
      </c>
      <c r="G1484" s="386"/>
      <c r="H1484" s="603"/>
      <c r="I1484" s="386">
        <v>4.5999999999999996</v>
      </c>
      <c r="J1484" s="386">
        <f>F1484*I1484</f>
        <v>0</v>
      </c>
      <c r="K1484" s="386"/>
      <c r="L1484" s="386"/>
      <c r="M1484" s="386">
        <f>H1484+J1484+L1484</f>
        <v>0</v>
      </c>
    </row>
    <row r="1485" spans="1:13" s="52" customFormat="1" hidden="1">
      <c r="A1485" s="41"/>
      <c r="B1485" s="1450"/>
      <c r="C1485" s="66" t="s">
        <v>133</v>
      </c>
      <c r="D1485" s="83" t="s">
        <v>57</v>
      </c>
      <c r="E1485" s="53">
        <v>2.0999999999999999E-3</v>
      </c>
      <c r="F1485" s="386">
        <f>F1483*E1485</f>
        <v>0</v>
      </c>
      <c r="G1485" s="386"/>
      <c r="H1485" s="386"/>
      <c r="I1485" s="386"/>
      <c r="J1485" s="386"/>
      <c r="K1485" s="386">
        <v>3.2</v>
      </c>
      <c r="L1485" s="386">
        <f>F1485*K1485</f>
        <v>0</v>
      </c>
      <c r="M1485" s="386">
        <f>H1485+J1485+L1485</f>
        <v>0</v>
      </c>
    </row>
    <row r="1486" spans="1:13" s="52" customFormat="1" hidden="1">
      <c r="A1486" s="41"/>
      <c r="B1486" s="1450"/>
      <c r="C1486" s="15" t="s">
        <v>210</v>
      </c>
      <c r="D1486" s="41"/>
      <c r="E1486" s="53"/>
      <c r="F1486" s="386"/>
      <c r="G1486" s="386"/>
      <c r="H1486" s="386"/>
      <c r="I1486" s="386"/>
      <c r="J1486" s="386"/>
      <c r="K1486" s="386"/>
      <c r="L1486" s="386"/>
      <c r="M1486" s="386"/>
    </row>
    <row r="1487" spans="1:13" s="52" customFormat="1" hidden="1">
      <c r="A1487" s="41"/>
      <c r="B1487" s="1450"/>
      <c r="C1487" s="66" t="s">
        <v>335</v>
      </c>
      <c r="D1487" s="41" t="s">
        <v>122</v>
      </c>
      <c r="E1487" s="53">
        <v>0.998</v>
      </c>
      <c r="F1487" s="386">
        <f>F1483*E1487</f>
        <v>0</v>
      </c>
      <c r="G1487" s="386">
        <v>2.46</v>
      </c>
      <c r="H1487" s="386">
        <f>F1487*G1487</f>
        <v>0</v>
      </c>
      <c r="I1487" s="386"/>
      <c r="J1487" s="386"/>
      <c r="K1487" s="386"/>
      <c r="L1487" s="386"/>
      <c r="M1487" s="386">
        <f>H1487+J1487+L1487</f>
        <v>0</v>
      </c>
    </row>
    <row r="1488" spans="1:13" s="52" customFormat="1" hidden="1">
      <c r="A1488" s="41"/>
      <c r="B1488" s="1450"/>
      <c r="C1488" s="66" t="s">
        <v>182</v>
      </c>
      <c r="D1488" s="41" t="s">
        <v>97</v>
      </c>
      <c r="E1488" s="53">
        <v>0.14000000000000001</v>
      </c>
      <c r="F1488" s="386">
        <f>F1483*E1488</f>
        <v>0</v>
      </c>
      <c r="G1488" s="386">
        <v>3.5</v>
      </c>
      <c r="H1488" s="386">
        <f>F1488*G1488</f>
        <v>0</v>
      </c>
      <c r="I1488" s="386"/>
      <c r="J1488" s="386"/>
      <c r="K1488" s="386"/>
      <c r="L1488" s="386"/>
      <c r="M1488" s="386">
        <f>H1488+J1488+L1488</f>
        <v>0</v>
      </c>
    </row>
    <row r="1489" spans="1:13" s="52" customFormat="1" hidden="1">
      <c r="A1489" s="41"/>
      <c r="B1489" s="1450"/>
      <c r="C1489" s="66" t="s">
        <v>214</v>
      </c>
      <c r="D1489" s="86" t="s">
        <v>57</v>
      </c>
      <c r="E1489" s="53">
        <v>0.156</v>
      </c>
      <c r="F1489" s="386">
        <f>F1483*E1489</f>
        <v>0</v>
      </c>
      <c r="G1489" s="386">
        <v>3.2</v>
      </c>
      <c r="H1489" s="386">
        <f>F1489*G1489</f>
        <v>0</v>
      </c>
      <c r="I1489" s="386"/>
      <c r="J1489" s="386"/>
      <c r="K1489" s="386"/>
      <c r="L1489" s="386"/>
      <c r="M1489" s="386">
        <f>H1489+J1489+L1489</f>
        <v>0</v>
      </c>
    </row>
    <row r="1490" spans="1:13" s="52" customFormat="1" ht="27" hidden="1">
      <c r="A1490" s="47">
        <v>4</v>
      </c>
      <c r="B1490" s="1449" t="s">
        <v>179</v>
      </c>
      <c r="C1490" s="68" t="s">
        <v>336</v>
      </c>
      <c r="D1490" s="47" t="s">
        <v>122</v>
      </c>
      <c r="E1490" s="154"/>
      <c r="F1490" s="384">
        <f>'დეფექტური აქტი'!E332</f>
        <v>0</v>
      </c>
      <c r="G1490" s="385"/>
      <c r="H1490" s="385"/>
      <c r="I1490" s="385"/>
      <c r="J1490" s="385"/>
      <c r="K1490" s="385"/>
      <c r="L1490" s="385"/>
      <c r="M1490" s="385"/>
    </row>
    <row r="1491" spans="1:13" s="52" customFormat="1" hidden="1">
      <c r="A1491" s="41"/>
      <c r="B1491" s="1450"/>
      <c r="C1491" s="66" t="s">
        <v>209</v>
      </c>
      <c r="D1491" s="41" t="s">
        <v>80</v>
      </c>
      <c r="E1491" s="53">
        <v>0.58299999999999996</v>
      </c>
      <c r="F1491" s="386">
        <f>F1490*E1491</f>
        <v>0</v>
      </c>
      <c r="G1491" s="386"/>
      <c r="H1491" s="603"/>
      <c r="I1491" s="386">
        <v>4.5999999999999996</v>
      </c>
      <c r="J1491" s="386">
        <f>F1491*I1491</f>
        <v>0</v>
      </c>
      <c r="K1491" s="386"/>
      <c r="L1491" s="386"/>
      <c r="M1491" s="386">
        <f>H1491+J1491+L1491</f>
        <v>0</v>
      </c>
    </row>
    <row r="1492" spans="1:13" s="52" customFormat="1" hidden="1">
      <c r="A1492" s="41"/>
      <c r="B1492" s="1450"/>
      <c r="C1492" s="66" t="s">
        <v>133</v>
      </c>
      <c r="D1492" s="83" t="s">
        <v>57</v>
      </c>
      <c r="E1492" s="53">
        <v>4.5999999999999999E-3</v>
      </c>
      <c r="F1492" s="386">
        <f>F1490*E1492</f>
        <v>0</v>
      </c>
      <c r="G1492" s="386"/>
      <c r="H1492" s="386"/>
      <c r="I1492" s="386"/>
      <c r="J1492" s="386"/>
      <c r="K1492" s="386">
        <v>3.2</v>
      </c>
      <c r="L1492" s="386">
        <f>F1492*K1492</f>
        <v>0</v>
      </c>
      <c r="M1492" s="386">
        <f>H1492+J1492+L1492</f>
        <v>0</v>
      </c>
    </row>
    <row r="1493" spans="1:13" s="52" customFormat="1" hidden="1">
      <c r="A1493" s="41"/>
      <c r="B1493" s="1450"/>
      <c r="C1493" s="15" t="s">
        <v>210</v>
      </c>
      <c r="D1493" s="41"/>
      <c r="E1493" s="53"/>
      <c r="F1493" s="386"/>
      <c r="G1493" s="386"/>
      <c r="H1493" s="386"/>
      <c r="I1493" s="386"/>
      <c r="J1493" s="386"/>
      <c r="K1493" s="386"/>
      <c r="L1493" s="386"/>
      <c r="M1493" s="386"/>
    </row>
    <row r="1494" spans="1:13" s="52" customFormat="1" hidden="1">
      <c r="A1494" s="41"/>
      <c r="B1494" s="1450"/>
      <c r="C1494" s="66" t="s">
        <v>337</v>
      </c>
      <c r="D1494" s="41" t="s">
        <v>122</v>
      </c>
      <c r="E1494" s="53">
        <v>0.998</v>
      </c>
      <c r="F1494" s="386">
        <f>F1490*E1494</f>
        <v>0</v>
      </c>
      <c r="G1494" s="386">
        <v>4.66</v>
      </c>
      <c r="H1494" s="386">
        <f>F1494*G1494</f>
        <v>0</v>
      </c>
      <c r="I1494" s="386"/>
      <c r="J1494" s="386"/>
      <c r="K1494" s="386"/>
      <c r="L1494" s="386"/>
      <c r="M1494" s="386">
        <f>H1494+J1494+L1494</f>
        <v>0</v>
      </c>
    </row>
    <row r="1495" spans="1:13" s="52" customFormat="1" hidden="1">
      <c r="A1495" s="41"/>
      <c r="B1495" s="1450"/>
      <c r="C1495" s="66" t="s">
        <v>182</v>
      </c>
      <c r="D1495" s="41" t="s">
        <v>97</v>
      </c>
      <c r="E1495" s="53">
        <v>0.23499999999999999</v>
      </c>
      <c r="F1495" s="386">
        <f>F1490*E1495</f>
        <v>0</v>
      </c>
      <c r="G1495" s="386">
        <v>3.5</v>
      </c>
      <c r="H1495" s="386">
        <f>F1495*G1495</f>
        <v>0</v>
      </c>
      <c r="I1495" s="386"/>
      <c r="J1495" s="386"/>
      <c r="K1495" s="386"/>
      <c r="L1495" s="386"/>
      <c r="M1495" s="386">
        <f>H1495+J1495+L1495</f>
        <v>0</v>
      </c>
    </row>
    <row r="1496" spans="1:13" s="52" customFormat="1" hidden="1">
      <c r="A1496" s="41"/>
      <c r="B1496" s="1450"/>
      <c r="C1496" s="66" t="s">
        <v>214</v>
      </c>
      <c r="D1496" s="86" t="s">
        <v>57</v>
      </c>
      <c r="E1496" s="53">
        <v>0.20799999999999999</v>
      </c>
      <c r="F1496" s="386">
        <f>F1490*E1496</f>
        <v>0</v>
      </c>
      <c r="G1496" s="386">
        <v>3.2</v>
      </c>
      <c r="H1496" s="386">
        <f>F1496*G1496</f>
        <v>0</v>
      </c>
      <c r="I1496" s="386"/>
      <c r="J1496" s="386"/>
      <c r="K1496" s="386"/>
      <c r="L1496" s="386"/>
      <c r="M1496" s="386">
        <f>H1496+J1496+L1496</f>
        <v>0</v>
      </c>
    </row>
    <row r="1497" spans="1:13" s="52" customFormat="1" hidden="1">
      <c r="A1497" s="48">
        <v>5</v>
      </c>
      <c r="B1497" s="166" t="s">
        <v>1127</v>
      </c>
      <c r="C1497" s="159" t="s">
        <v>1330</v>
      </c>
      <c r="D1497" s="24" t="s">
        <v>113</v>
      </c>
      <c r="E1497" s="167"/>
      <c r="F1497" s="397">
        <f>'დეფექტური აქტი'!E333</f>
        <v>0</v>
      </c>
      <c r="G1497" s="390">
        <v>2</v>
      </c>
      <c r="H1497" s="390">
        <f>F1497*G1497</f>
        <v>0</v>
      </c>
      <c r="I1497" s="390"/>
      <c r="J1497" s="390">
        <f>F1497*I1497</f>
        <v>0</v>
      </c>
      <c r="K1497" s="390"/>
      <c r="L1497" s="390"/>
      <c r="M1497" s="390">
        <f>H1497+J1497+L1497</f>
        <v>0</v>
      </c>
    </row>
    <row r="1498" spans="1:13" s="52" customFormat="1" hidden="1">
      <c r="A1498" s="41">
        <v>6</v>
      </c>
      <c r="B1498" s="1525" t="s">
        <v>338</v>
      </c>
      <c r="C1498" s="66" t="s">
        <v>230</v>
      </c>
      <c r="D1498" s="41" t="s">
        <v>4</v>
      </c>
      <c r="E1498" s="53"/>
      <c r="F1498" s="388">
        <f>'დეფექტური აქტი'!E334</f>
        <v>0</v>
      </c>
      <c r="G1498" s="386"/>
      <c r="H1498" s="386"/>
      <c r="I1498" s="386"/>
      <c r="J1498" s="386"/>
      <c r="K1498" s="386"/>
      <c r="L1498" s="386"/>
      <c r="M1498" s="386"/>
    </row>
    <row r="1499" spans="1:13" s="52" customFormat="1" hidden="1">
      <c r="A1499" s="41"/>
      <c r="B1499" s="1450"/>
      <c r="C1499" s="66" t="s">
        <v>209</v>
      </c>
      <c r="D1499" s="41" t="s">
        <v>4</v>
      </c>
      <c r="E1499" s="53">
        <v>1</v>
      </c>
      <c r="F1499" s="386">
        <f>F1498*E1499</f>
        <v>0</v>
      </c>
      <c r="G1499" s="386"/>
      <c r="H1499" s="603"/>
      <c r="I1499" s="386">
        <v>25</v>
      </c>
      <c r="J1499" s="386">
        <f>F1499*I1499</f>
        <v>0</v>
      </c>
      <c r="K1499" s="386"/>
      <c r="L1499" s="386"/>
      <c r="M1499" s="386">
        <f>H1499+J1499+L1499</f>
        <v>0</v>
      </c>
    </row>
    <row r="1500" spans="1:13" s="52" customFormat="1" hidden="1">
      <c r="A1500" s="41"/>
      <c r="B1500" s="1450"/>
      <c r="C1500" s="66" t="s">
        <v>133</v>
      </c>
      <c r="D1500" s="83" t="s">
        <v>57</v>
      </c>
      <c r="E1500" s="53">
        <v>7.0000000000000007E-2</v>
      </c>
      <c r="F1500" s="386">
        <f>F1498*E1500</f>
        <v>0</v>
      </c>
      <c r="G1500" s="386"/>
      <c r="H1500" s="386"/>
      <c r="I1500" s="386"/>
      <c r="J1500" s="386"/>
      <c r="K1500" s="386">
        <v>3.2</v>
      </c>
      <c r="L1500" s="386">
        <f>F1500*K1500</f>
        <v>0</v>
      </c>
      <c r="M1500" s="386">
        <f>H1500+J1500+L1500</f>
        <v>0</v>
      </c>
    </row>
    <row r="1501" spans="1:13" s="52" customFormat="1" hidden="1">
      <c r="A1501" s="41"/>
      <c r="B1501" s="1450"/>
      <c r="C1501" s="15" t="s">
        <v>210</v>
      </c>
      <c r="D1501" s="41"/>
      <c r="E1501" s="53"/>
      <c r="F1501" s="386"/>
      <c r="G1501" s="386"/>
      <c r="H1501" s="386"/>
      <c r="I1501" s="386"/>
      <c r="J1501" s="386"/>
      <c r="K1501" s="386"/>
      <c r="L1501" s="386"/>
      <c r="M1501" s="386"/>
    </row>
    <row r="1502" spans="1:13" s="52" customFormat="1" hidden="1">
      <c r="A1502" s="41"/>
      <c r="B1502" s="1450"/>
      <c r="C1502" s="15" t="s">
        <v>231</v>
      </c>
      <c r="D1502" s="41" t="s">
        <v>4</v>
      </c>
      <c r="E1502" s="53">
        <v>1</v>
      </c>
      <c r="F1502" s="386">
        <f>F1498*E1502</f>
        <v>0</v>
      </c>
      <c r="G1502" s="386">
        <v>60</v>
      </c>
      <c r="H1502" s="386">
        <f>F1502*G1502</f>
        <v>0</v>
      </c>
      <c r="I1502" s="386"/>
      <c r="J1502" s="386"/>
      <c r="K1502" s="386"/>
      <c r="L1502" s="386"/>
      <c r="M1502" s="386">
        <f>H1502+J1502+L1502</f>
        <v>0</v>
      </c>
    </row>
    <row r="1503" spans="1:13" s="52" customFormat="1" hidden="1">
      <c r="A1503" s="41"/>
      <c r="B1503" s="1450"/>
      <c r="C1503" s="66" t="s">
        <v>214</v>
      </c>
      <c r="D1503" s="86" t="s">
        <v>57</v>
      </c>
      <c r="E1503" s="53">
        <v>0.37</v>
      </c>
      <c r="F1503" s="386">
        <f>F1498*E1503</f>
        <v>0</v>
      </c>
      <c r="G1503" s="386">
        <v>3.2</v>
      </c>
      <c r="H1503" s="386">
        <f>F1503*G1503</f>
        <v>0</v>
      </c>
      <c r="I1503" s="386"/>
      <c r="J1503" s="386"/>
      <c r="K1503" s="386"/>
      <c r="L1503" s="386"/>
      <c r="M1503" s="386">
        <f>H1503+J1503+L1503</f>
        <v>0</v>
      </c>
    </row>
    <row r="1504" spans="1:13" s="52" customFormat="1" ht="27" hidden="1">
      <c r="A1504" s="47">
        <v>7</v>
      </c>
      <c r="B1504" s="1449" t="s">
        <v>338</v>
      </c>
      <c r="C1504" s="68" t="s">
        <v>225</v>
      </c>
      <c r="D1504" s="47" t="s">
        <v>4</v>
      </c>
      <c r="E1504" s="154"/>
      <c r="F1504" s="384">
        <f>'დეფექტური აქტი'!E335</f>
        <v>0</v>
      </c>
      <c r="G1504" s="385"/>
      <c r="H1504" s="385"/>
      <c r="I1504" s="385"/>
      <c r="J1504" s="385"/>
      <c r="K1504" s="385"/>
      <c r="L1504" s="385"/>
      <c r="M1504" s="385"/>
    </row>
    <row r="1505" spans="1:13" s="52" customFormat="1" hidden="1">
      <c r="A1505" s="41"/>
      <c r="B1505" s="1450"/>
      <c r="C1505" s="66" t="s">
        <v>209</v>
      </c>
      <c r="D1505" s="41" t="s">
        <v>4</v>
      </c>
      <c r="E1505" s="53">
        <v>1</v>
      </c>
      <c r="F1505" s="386">
        <f>F1504*E1505</f>
        <v>0</v>
      </c>
      <c r="G1505" s="386"/>
      <c r="H1505" s="603"/>
      <c r="I1505" s="386">
        <v>30</v>
      </c>
      <c r="J1505" s="386">
        <f>F1505*I1505</f>
        <v>0</v>
      </c>
      <c r="K1505" s="386"/>
      <c r="L1505" s="386"/>
      <c r="M1505" s="386">
        <f>H1505+J1505+L1505</f>
        <v>0</v>
      </c>
    </row>
    <row r="1506" spans="1:13" s="52" customFormat="1" hidden="1">
      <c r="A1506" s="41"/>
      <c r="B1506" s="1450"/>
      <c r="C1506" s="66" t="s">
        <v>133</v>
      </c>
      <c r="D1506" s="83" t="s">
        <v>57</v>
      </c>
      <c r="E1506" s="53">
        <v>7.0000000000000007E-2</v>
      </c>
      <c r="F1506" s="386">
        <f>F1504*E1506</f>
        <v>0</v>
      </c>
      <c r="G1506" s="386"/>
      <c r="H1506" s="386"/>
      <c r="I1506" s="386"/>
      <c r="J1506" s="386"/>
      <c r="K1506" s="386">
        <v>3.2</v>
      </c>
      <c r="L1506" s="386">
        <f>F1506*K1506</f>
        <v>0</v>
      </c>
      <c r="M1506" s="386">
        <f>H1506+J1506+L1506</f>
        <v>0</v>
      </c>
    </row>
    <row r="1507" spans="1:13" s="52" customFormat="1" hidden="1">
      <c r="A1507" s="41"/>
      <c r="B1507" s="1450"/>
      <c r="C1507" s="15" t="s">
        <v>210</v>
      </c>
      <c r="D1507" s="41"/>
      <c r="E1507" s="53"/>
      <c r="F1507" s="386"/>
      <c r="G1507" s="386"/>
      <c r="H1507" s="386"/>
      <c r="I1507" s="386"/>
      <c r="J1507" s="386"/>
      <c r="K1507" s="386"/>
      <c r="L1507" s="386"/>
      <c r="M1507" s="386"/>
    </row>
    <row r="1508" spans="1:13" s="52" customFormat="1" ht="27" hidden="1">
      <c r="A1508" s="41"/>
      <c r="B1508" s="1450"/>
      <c r="C1508" s="15" t="s">
        <v>226</v>
      </c>
      <c r="D1508" s="41" t="s">
        <v>4</v>
      </c>
      <c r="E1508" s="53">
        <v>1</v>
      </c>
      <c r="F1508" s="386">
        <f>F1504*E1508</f>
        <v>0</v>
      </c>
      <c r="G1508" s="386">
        <v>170</v>
      </c>
      <c r="H1508" s="386">
        <f>F1508*G1508</f>
        <v>0</v>
      </c>
      <c r="I1508" s="386"/>
      <c r="J1508" s="386"/>
      <c r="K1508" s="386"/>
      <c r="L1508" s="386"/>
      <c r="M1508" s="386">
        <f>H1508+J1508+L1508</f>
        <v>0</v>
      </c>
    </row>
    <row r="1509" spans="1:13" s="52" customFormat="1" hidden="1">
      <c r="A1509" s="41"/>
      <c r="B1509" s="1450"/>
      <c r="C1509" s="66" t="s">
        <v>214</v>
      </c>
      <c r="D1509" s="86" t="s">
        <v>57</v>
      </c>
      <c r="E1509" s="53">
        <v>0.37</v>
      </c>
      <c r="F1509" s="386">
        <f>F1504*E1509</f>
        <v>0</v>
      </c>
      <c r="G1509" s="386">
        <v>3.2</v>
      </c>
      <c r="H1509" s="386">
        <f>F1509*G1509</f>
        <v>0</v>
      </c>
      <c r="I1509" s="386"/>
      <c r="J1509" s="386"/>
      <c r="K1509" s="386"/>
      <c r="L1509" s="386"/>
      <c r="M1509" s="386">
        <f>H1509+J1509+L1509</f>
        <v>0</v>
      </c>
    </row>
    <row r="1510" spans="1:13" s="52" customFormat="1" hidden="1">
      <c r="A1510" s="47">
        <v>8</v>
      </c>
      <c r="B1510" s="1449" t="s">
        <v>232</v>
      </c>
      <c r="C1510" s="68" t="s">
        <v>233</v>
      </c>
      <c r="D1510" s="140" t="s">
        <v>113</v>
      </c>
      <c r="E1510" s="47"/>
      <c r="F1510" s="384">
        <f>'დეფექტური აქტი'!E336</f>
        <v>0</v>
      </c>
      <c r="G1510" s="385"/>
      <c r="H1510" s="385"/>
      <c r="I1510" s="385"/>
      <c r="J1510" s="385"/>
      <c r="K1510" s="385"/>
      <c r="L1510" s="385"/>
      <c r="M1510" s="385"/>
    </row>
    <row r="1511" spans="1:13" s="52" customFormat="1" hidden="1">
      <c r="A1511" s="41"/>
      <c r="B1511" s="1450"/>
      <c r="C1511" s="66" t="s">
        <v>209</v>
      </c>
      <c r="D1511" s="41" t="s">
        <v>80</v>
      </c>
      <c r="E1511" s="53">
        <v>0.82</v>
      </c>
      <c r="F1511" s="386">
        <f>F1510*E1511</f>
        <v>0</v>
      </c>
      <c r="G1511" s="386"/>
      <c r="H1511" s="603"/>
      <c r="I1511" s="386">
        <v>6</v>
      </c>
      <c r="J1511" s="386">
        <f>F1511*I1511</f>
        <v>0</v>
      </c>
      <c r="K1511" s="386"/>
      <c r="L1511" s="386"/>
      <c r="M1511" s="386">
        <f>H1511+J1511+L1511</f>
        <v>0</v>
      </c>
    </row>
    <row r="1512" spans="1:13" s="52" customFormat="1" hidden="1">
      <c r="A1512" s="41"/>
      <c r="B1512" s="1450"/>
      <c r="C1512" s="66" t="s">
        <v>133</v>
      </c>
      <c r="D1512" s="83" t="s">
        <v>57</v>
      </c>
      <c r="E1512" s="53">
        <v>0.01</v>
      </c>
      <c r="F1512" s="386">
        <f>F1510*E1512</f>
        <v>0</v>
      </c>
      <c r="G1512" s="386"/>
      <c r="H1512" s="386"/>
      <c r="I1512" s="386"/>
      <c r="J1512" s="386"/>
      <c r="K1512" s="386">
        <v>3.2</v>
      </c>
      <c r="L1512" s="386">
        <f>F1512*K1512</f>
        <v>0</v>
      </c>
      <c r="M1512" s="386">
        <f>H1512+J1512+L1512</f>
        <v>0</v>
      </c>
    </row>
    <row r="1513" spans="1:13" s="52" customFormat="1" hidden="1">
      <c r="A1513" s="41"/>
      <c r="B1513" s="1450"/>
      <c r="C1513" s="15" t="s">
        <v>210</v>
      </c>
      <c r="D1513" s="41"/>
      <c r="E1513" s="53"/>
      <c r="F1513" s="386"/>
      <c r="G1513" s="386"/>
      <c r="H1513" s="386"/>
      <c r="I1513" s="386"/>
      <c r="J1513" s="386"/>
      <c r="K1513" s="386"/>
      <c r="L1513" s="386"/>
      <c r="M1513" s="386"/>
    </row>
    <row r="1514" spans="1:13" s="52" customFormat="1" hidden="1">
      <c r="A1514" s="41"/>
      <c r="B1514" s="1450"/>
      <c r="C1514" s="66" t="s">
        <v>234</v>
      </c>
      <c r="D1514" s="83" t="s">
        <v>113</v>
      </c>
      <c r="E1514" s="53">
        <v>1</v>
      </c>
      <c r="F1514" s="386">
        <f>F1510*E1514</f>
        <v>0</v>
      </c>
      <c r="G1514" s="386">
        <v>17</v>
      </c>
      <c r="H1514" s="386">
        <f>F1514*G1514</f>
        <v>0</v>
      </c>
      <c r="I1514" s="386"/>
      <c r="J1514" s="386"/>
      <c r="K1514" s="386"/>
      <c r="L1514" s="386"/>
      <c r="M1514" s="386">
        <f>H1514+J1514+L1514</f>
        <v>0</v>
      </c>
    </row>
    <row r="1515" spans="1:13" s="52" customFormat="1" hidden="1">
      <c r="A1515" s="41"/>
      <c r="B1515" s="1450"/>
      <c r="C1515" s="66" t="s">
        <v>214</v>
      </c>
      <c r="D1515" s="86" t="s">
        <v>57</v>
      </c>
      <c r="E1515" s="53">
        <v>7.0000000000000007E-2</v>
      </c>
      <c r="F1515" s="386">
        <f>F1510*E1515</f>
        <v>0</v>
      </c>
      <c r="G1515" s="386">
        <v>3.2</v>
      </c>
      <c r="H1515" s="386">
        <f>F1515*G1515</f>
        <v>0</v>
      </c>
      <c r="I1515" s="386"/>
      <c r="J1515" s="386"/>
      <c r="K1515" s="386"/>
      <c r="L1515" s="386"/>
      <c r="M1515" s="386">
        <f>H1515+J1515+L1515</f>
        <v>0</v>
      </c>
    </row>
    <row r="1516" spans="1:13" s="52" customFormat="1" ht="40.5" hidden="1">
      <c r="A1516" s="47">
        <v>9</v>
      </c>
      <c r="B1516" s="1449" t="s">
        <v>227</v>
      </c>
      <c r="C1516" s="68" t="s">
        <v>228</v>
      </c>
      <c r="D1516" s="47" t="s">
        <v>4</v>
      </c>
      <c r="E1516" s="154"/>
      <c r="F1516" s="384">
        <f>'დეფექტური აქტი'!E337</f>
        <v>0</v>
      </c>
      <c r="G1516" s="385"/>
      <c r="H1516" s="385"/>
      <c r="I1516" s="385"/>
      <c r="J1516" s="385"/>
      <c r="K1516" s="385"/>
      <c r="L1516" s="385"/>
      <c r="M1516" s="385"/>
    </row>
    <row r="1517" spans="1:13" s="52" customFormat="1" hidden="1">
      <c r="A1517" s="41"/>
      <c r="B1517" s="1450"/>
      <c r="C1517" s="66" t="s">
        <v>209</v>
      </c>
      <c r="D1517" s="41" t="s">
        <v>4</v>
      </c>
      <c r="E1517" s="53">
        <v>1</v>
      </c>
      <c r="F1517" s="386">
        <f>F1516*E1517</f>
        <v>0</v>
      </c>
      <c r="G1517" s="386"/>
      <c r="H1517" s="603"/>
      <c r="I1517" s="386">
        <v>30</v>
      </c>
      <c r="J1517" s="386">
        <f>F1517*I1517</f>
        <v>0</v>
      </c>
      <c r="K1517" s="386"/>
      <c r="L1517" s="386"/>
      <c r="M1517" s="386">
        <f>H1517+J1517+L1517</f>
        <v>0</v>
      </c>
    </row>
    <row r="1518" spans="1:13" s="52" customFormat="1" hidden="1">
      <c r="A1518" s="41"/>
      <c r="B1518" s="1450"/>
      <c r="C1518" s="66" t="s">
        <v>181</v>
      </c>
      <c r="D1518" s="83" t="s">
        <v>57</v>
      </c>
      <c r="E1518" s="53">
        <v>0.13</v>
      </c>
      <c r="F1518" s="386">
        <f>F1516*E1518</f>
        <v>0</v>
      </c>
      <c r="G1518" s="386"/>
      <c r="H1518" s="386"/>
      <c r="I1518" s="386"/>
      <c r="J1518" s="386"/>
      <c r="K1518" s="386">
        <v>3.2</v>
      </c>
      <c r="L1518" s="386">
        <f>F1518*K1518</f>
        <v>0</v>
      </c>
      <c r="M1518" s="386">
        <f>H1518+J1518+L1518</f>
        <v>0</v>
      </c>
    </row>
    <row r="1519" spans="1:13" s="52" customFormat="1" hidden="1">
      <c r="A1519" s="41"/>
      <c r="B1519" s="1450"/>
      <c r="C1519" s="15" t="s">
        <v>210</v>
      </c>
      <c r="D1519" s="41"/>
      <c r="E1519" s="53"/>
      <c r="F1519" s="386"/>
      <c r="G1519" s="386"/>
      <c r="H1519" s="386"/>
      <c r="I1519" s="386"/>
      <c r="J1519" s="386"/>
      <c r="K1519" s="386"/>
      <c r="L1519" s="386"/>
      <c r="M1519" s="386"/>
    </row>
    <row r="1520" spans="1:13" s="52" customFormat="1" ht="27" hidden="1">
      <c r="A1520" s="41"/>
      <c r="B1520" s="1450"/>
      <c r="C1520" s="66" t="s">
        <v>229</v>
      </c>
      <c r="D1520" s="41" t="s">
        <v>4</v>
      </c>
      <c r="E1520" s="53">
        <v>1</v>
      </c>
      <c r="F1520" s="386">
        <f>F1516*E1520</f>
        <v>0</v>
      </c>
      <c r="G1520" s="386">
        <v>300</v>
      </c>
      <c r="H1520" s="386">
        <f>F1520*G1520</f>
        <v>0</v>
      </c>
      <c r="I1520" s="386"/>
      <c r="J1520" s="386"/>
      <c r="K1520" s="386"/>
      <c r="L1520" s="386"/>
      <c r="M1520" s="386">
        <f>H1520+J1520+L1520</f>
        <v>0</v>
      </c>
    </row>
    <row r="1521" spans="1:13" s="52" customFormat="1" hidden="1">
      <c r="A1521" s="41"/>
      <c r="B1521" s="1450"/>
      <c r="C1521" s="66" t="s">
        <v>214</v>
      </c>
      <c r="D1521" s="86" t="s">
        <v>57</v>
      </c>
      <c r="E1521" s="53">
        <v>0.94</v>
      </c>
      <c r="F1521" s="386">
        <f>F1516*E1521</f>
        <v>0</v>
      </c>
      <c r="G1521" s="386">
        <v>3.2</v>
      </c>
      <c r="H1521" s="386">
        <f>F1521*G1521</f>
        <v>0</v>
      </c>
      <c r="I1521" s="386"/>
      <c r="J1521" s="386"/>
      <c r="K1521" s="386"/>
      <c r="L1521" s="386"/>
      <c r="M1521" s="386">
        <f>H1521+J1521+L1521</f>
        <v>0</v>
      </c>
    </row>
    <row r="1522" spans="1:13" s="52" customFormat="1" ht="18" hidden="1" customHeight="1">
      <c r="A1522" s="47">
        <v>10</v>
      </c>
      <c r="B1522" s="1449" t="s">
        <v>953</v>
      </c>
      <c r="C1522" s="68" t="s">
        <v>362</v>
      </c>
      <c r="D1522" s="47" t="s">
        <v>4</v>
      </c>
      <c r="E1522" s="154"/>
      <c r="F1522" s="384">
        <f>'დეფექტური აქტი'!E338</f>
        <v>0</v>
      </c>
      <c r="G1522" s="385"/>
      <c r="H1522" s="385"/>
      <c r="I1522" s="385"/>
      <c r="J1522" s="385"/>
      <c r="K1522" s="385"/>
      <c r="L1522" s="385"/>
      <c r="M1522" s="385"/>
    </row>
    <row r="1523" spans="1:13" s="52" customFormat="1" hidden="1">
      <c r="A1523" s="41"/>
      <c r="B1523" s="1450"/>
      <c r="C1523" s="66" t="s">
        <v>209</v>
      </c>
      <c r="D1523" s="41" t="s">
        <v>4</v>
      </c>
      <c r="E1523" s="53">
        <v>1</v>
      </c>
      <c r="F1523" s="386">
        <f>F1522*E1523</f>
        <v>0</v>
      </c>
      <c r="G1523" s="386"/>
      <c r="H1523" s="603"/>
      <c r="I1523" s="386">
        <v>25</v>
      </c>
      <c r="J1523" s="386">
        <f>F1523*I1523</f>
        <v>0</v>
      </c>
      <c r="K1523" s="386"/>
      <c r="L1523" s="386"/>
      <c r="M1523" s="386">
        <f>H1523+J1523+L1523</f>
        <v>0</v>
      </c>
    </row>
    <row r="1524" spans="1:13" s="52" customFormat="1" hidden="1">
      <c r="A1524" s="41"/>
      <c r="B1524" s="1450"/>
      <c r="C1524" s="66" t="s">
        <v>181</v>
      </c>
      <c r="D1524" s="83" t="s">
        <v>57</v>
      </c>
      <c r="E1524" s="53">
        <v>0.28000000000000003</v>
      </c>
      <c r="F1524" s="386">
        <f>F1522*E1524</f>
        <v>0</v>
      </c>
      <c r="G1524" s="386"/>
      <c r="H1524" s="386"/>
      <c r="I1524" s="386"/>
      <c r="J1524" s="386"/>
      <c r="K1524" s="386">
        <v>3.2</v>
      </c>
      <c r="L1524" s="386">
        <f>F1524*K1524</f>
        <v>0</v>
      </c>
      <c r="M1524" s="386">
        <f>H1524+J1524+L1524</f>
        <v>0</v>
      </c>
    </row>
    <row r="1525" spans="1:13" s="52" customFormat="1" hidden="1">
      <c r="A1525" s="41"/>
      <c r="B1525" s="1450"/>
      <c r="C1525" s="15" t="s">
        <v>210</v>
      </c>
      <c r="D1525" s="41"/>
      <c r="E1525" s="53"/>
      <c r="F1525" s="386"/>
      <c r="G1525" s="386"/>
      <c r="H1525" s="386"/>
      <c r="I1525" s="386"/>
      <c r="J1525" s="386"/>
      <c r="K1525" s="386"/>
      <c r="L1525" s="386"/>
      <c r="M1525" s="386"/>
    </row>
    <row r="1526" spans="1:13" s="52" customFormat="1" hidden="1">
      <c r="A1526" s="41"/>
      <c r="B1526" s="1450"/>
      <c r="C1526" s="66" t="s">
        <v>954</v>
      </c>
      <c r="D1526" s="41" t="s">
        <v>4</v>
      </c>
      <c r="E1526" s="53">
        <v>1</v>
      </c>
      <c r="F1526" s="386">
        <f>F1522*E1526</f>
        <v>0</v>
      </c>
      <c r="G1526" s="386">
        <v>80</v>
      </c>
      <c r="H1526" s="386">
        <f>F1526*G1526</f>
        <v>0</v>
      </c>
      <c r="I1526" s="386"/>
      <c r="J1526" s="386"/>
      <c r="K1526" s="386"/>
      <c r="L1526" s="386"/>
      <c r="M1526" s="386">
        <f>H1526+J1526+L1526</f>
        <v>0</v>
      </c>
    </row>
    <row r="1527" spans="1:13" s="52" customFormat="1" hidden="1">
      <c r="A1527" s="41"/>
      <c r="B1527" s="1450"/>
      <c r="C1527" s="66" t="s">
        <v>214</v>
      </c>
      <c r="D1527" s="86" t="s">
        <v>57</v>
      </c>
      <c r="E1527" s="53">
        <v>1.24</v>
      </c>
      <c r="F1527" s="386">
        <f>F1522*E1527</f>
        <v>0</v>
      </c>
      <c r="G1527" s="386">
        <v>3.2</v>
      </c>
      <c r="H1527" s="386">
        <f>F1527*G1527</f>
        <v>0</v>
      </c>
      <c r="I1527" s="386"/>
      <c r="J1527" s="386"/>
      <c r="K1527" s="386"/>
      <c r="L1527" s="386"/>
      <c r="M1527" s="386">
        <f>H1527+J1527+L1527</f>
        <v>0</v>
      </c>
    </row>
    <row r="1528" spans="1:13" s="52" customFormat="1" hidden="1">
      <c r="A1528" s="47">
        <v>11</v>
      </c>
      <c r="B1528" s="1449" t="s">
        <v>227</v>
      </c>
      <c r="C1528" s="68" t="s">
        <v>235</v>
      </c>
      <c r="D1528" s="47" t="s">
        <v>4</v>
      </c>
      <c r="E1528" s="154"/>
      <c r="F1528" s="384">
        <f>'დეფექტური აქტი'!E339</f>
        <v>0</v>
      </c>
      <c r="G1528" s="385"/>
      <c r="H1528" s="385"/>
      <c r="I1528" s="385"/>
      <c r="J1528" s="385"/>
      <c r="K1528" s="385"/>
      <c r="L1528" s="385"/>
      <c r="M1528" s="385"/>
    </row>
    <row r="1529" spans="1:13" s="52" customFormat="1" hidden="1">
      <c r="A1529" s="41"/>
      <c r="B1529" s="1450"/>
      <c r="C1529" s="66" t="s">
        <v>209</v>
      </c>
      <c r="D1529" s="41" t="s">
        <v>4</v>
      </c>
      <c r="E1529" s="53">
        <v>1</v>
      </c>
      <c r="F1529" s="386">
        <f>F1528*E1529</f>
        <v>0</v>
      </c>
      <c r="G1529" s="386"/>
      <c r="H1529" s="603"/>
      <c r="I1529" s="386">
        <v>25</v>
      </c>
      <c r="J1529" s="386">
        <f>F1529*I1529</f>
        <v>0</v>
      </c>
      <c r="K1529" s="386"/>
      <c r="L1529" s="386"/>
      <c r="M1529" s="386">
        <f>H1529+J1529+L1529</f>
        <v>0</v>
      </c>
    </row>
    <row r="1530" spans="1:13" s="52" customFormat="1" hidden="1">
      <c r="A1530" s="41"/>
      <c r="B1530" s="1450"/>
      <c r="C1530" s="66" t="s">
        <v>181</v>
      </c>
      <c r="D1530" s="83" t="s">
        <v>57</v>
      </c>
      <c r="E1530" s="53">
        <v>0.13</v>
      </c>
      <c r="F1530" s="386">
        <f>F1528*E1530</f>
        <v>0</v>
      </c>
      <c r="G1530" s="386"/>
      <c r="H1530" s="386"/>
      <c r="I1530" s="386"/>
      <c r="J1530" s="386"/>
      <c r="K1530" s="386">
        <v>3.2</v>
      </c>
      <c r="L1530" s="386">
        <f>F1530*K1530</f>
        <v>0</v>
      </c>
      <c r="M1530" s="386">
        <f>H1530+J1530+L1530</f>
        <v>0</v>
      </c>
    </row>
    <row r="1531" spans="1:13" s="52" customFormat="1" hidden="1">
      <c r="A1531" s="41"/>
      <c r="B1531" s="1450"/>
      <c r="C1531" s="15" t="s">
        <v>210</v>
      </c>
      <c r="D1531" s="41"/>
      <c r="E1531" s="53"/>
      <c r="F1531" s="386"/>
      <c r="G1531" s="386"/>
      <c r="H1531" s="386"/>
      <c r="I1531" s="386"/>
      <c r="J1531" s="386"/>
      <c r="K1531" s="386"/>
      <c r="L1531" s="386"/>
      <c r="M1531" s="386"/>
    </row>
    <row r="1532" spans="1:13" s="52" customFormat="1" hidden="1">
      <c r="A1532" s="41"/>
      <c r="B1532" s="1450"/>
      <c r="C1532" s="66" t="s">
        <v>236</v>
      </c>
      <c r="D1532" s="41" t="s">
        <v>4</v>
      </c>
      <c r="E1532" s="53">
        <v>1</v>
      </c>
      <c r="F1532" s="386">
        <f>F1528*E1532</f>
        <v>0</v>
      </c>
      <c r="G1532" s="386">
        <v>80</v>
      </c>
      <c r="H1532" s="386">
        <f>F1532*G1532</f>
        <v>0</v>
      </c>
      <c r="I1532" s="386"/>
      <c r="J1532" s="386"/>
      <c r="K1532" s="386"/>
      <c r="L1532" s="386"/>
      <c r="M1532" s="386">
        <f>H1532+J1532+L1532</f>
        <v>0</v>
      </c>
    </row>
    <row r="1533" spans="1:13" s="52" customFormat="1" hidden="1">
      <c r="A1533" s="41"/>
      <c r="B1533" s="1450"/>
      <c r="C1533" s="66" t="s">
        <v>214</v>
      </c>
      <c r="D1533" s="86" t="s">
        <v>57</v>
      </c>
      <c r="E1533" s="53">
        <v>0.94</v>
      </c>
      <c r="F1533" s="386">
        <f>F1528*E1533</f>
        <v>0</v>
      </c>
      <c r="G1533" s="386">
        <v>3.2</v>
      </c>
      <c r="H1533" s="386">
        <f>F1533*G1533</f>
        <v>0</v>
      </c>
      <c r="I1533" s="386"/>
      <c r="J1533" s="386"/>
      <c r="K1533" s="386"/>
      <c r="L1533" s="386"/>
      <c r="M1533" s="386">
        <f>H1533+J1533+L1533</f>
        <v>0</v>
      </c>
    </row>
    <row r="1534" spans="1:13" s="95" customFormat="1">
      <c r="A1534" s="1100">
        <v>12</v>
      </c>
      <c r="B1534" s="1429" t="s">
        <v>492</v>
      </c>
      <c r="C1534" s="227" t="s">
        <v>493</v>
      </c>
      <c r="D1534" s="47" t="s">
        <v>4</v>
      </c>
      <c r="E1534" s="248"/>
      <c r="F1534" s="384">
        <f>'დეფექტური აქტი'!E340</f>
        <v>4</v>
      </c>
      <c r="G1534" s="422"/>
      <c r="H1534" s="422"/>
      <c r="I1534" s="422"/>
      <c r="J1534" s="422"/>
      <c r="K1534" s="422"/>
      <c r="L1534" s="422"/>
      <c r="M1534" s="422"/>
    </row>
    <row r="1535" spans="1:13" s="95" customFormat="1">
      <c r="A1535" s="438"/>
      <c r="B1535" s="1448"/>
      <c r="C1535" s="226" t="s">
        <v>209</v>
      </c>
      <c r="D1535" s="41" t="s">
        <v>4</v>
      </c>
      <c r="E1535" s="94">
        <v>1</v>
      </c>
      <c r="F1535" s="386">
        <f>F1534*E1535</f>
        <v>4</v>
      </c>
      <c r="G1535" s="225"/>
      <c r="H1535" s="604"/>
      <c r="I1535" s="225"/>
      <c r="J1535" s="225"/>
      <c r="K1535" s="225"/>
      <c r="L1535" s="225"/>
      <c r="M1535" s="225"/>
    </row>
    <row r="1536" spans="1:13" s="95" customFormat="1">
      <c r="A1536" s="438"/>
      <c r="B1536" s="1448"/>
      <c r="C1536" s="226" t="s">
        <v>181</v>
      </c>
      <c r="D1536" s="83" t="s">
        <v>57</v>
      </c>
      <c r="E1536" s="240">
        <v>0.05</v>
      </c>
      <c r="F1536" s="386">
        <f>F1534*E1536</f>
        <v>0.2</v>
      </c>
      <c r="G1536" s="225"/>
      <c r="H1536" s="225"/>
      <c r="I1536" s="225"/>
      <c r="J1536" s="225"/>
      <c r="K1536" s="225"/>
      <c r="L1536" s="225"/>
      <c r="M1536" s="225"/>
    </row>
    <row r="1537" spans="1:13" s="95" customFormat="1" hidden="1">
      <c r="A1537" s="83"/>
      <c r="B1537" s="1448"/>
      <c r="C1537" s="15" t="s">
        <v>210</v>
      </c>
      <c r="D1537" s="211"/>
      <c r="E1537" s="240"/>
      <c r="F1537" s="386"/>
      <c r="G1537" s="225"/>
      <c r="H1537" s="225"/>
      <c r="I1537" s="225"/>
      <c r="J1537" s="225"/>
      <c r="K1537" s="225"/>
      <c r="L1537" s="225"/>
      <c r="M1537" s="225"/>
    </row>
    <row r="1538" spans="1:13" s="95" customFormat="1">
      <c r="A1538" s="438"/>
      <c r="B1538" s="1448"/>
      <c r="C1538" s="226" t="s">
        <v>488</v>
      </c>
      <c r="D1538" s="41" t="s">
        <v>4</v>
      </c>
      <c r="E1538" s="240">
        <v>1</v>
      </c>
      <c r="F1538" s="386">
        <f>F1534*E1538</f>
        <v>4</v>
      </c>
      <c r="G1538" s="225"/>
      <c r="H1538" s="225"/>
      <c r="I1538" s="225"/>
      <c r="J1538" s="225"/>
      <c r="K1538" s="225"/>
      <c r="L1538" s="225"/>
      <c r="M1538" s="225"/>
    </row>
    <row r="1539" spans="1:13" s="95" customFormat="1">
      <c r="A1539" s="438"/>
      <c r="B1539" s="1430"/>
      <c r="C1539" s="226" t="s">
        <v>214</v>
      </c>
      <c r="D1539" s="86" t="s">
        <v>57</v>
      </c>
      <c r="E1539" s="240">
        <v>0.28000000000000003</v>
      </c>
      <c r="F1539" s="386">
        <f>F1534*E1539</f>
        <v>1.1200000000000001</v>
      </c>
      <c r="G1539" s="225"/>
      <c r="H1539" s="225"/>
      <c r="I1539" s="225"/>
      <c r="J1539" s="225"/>
      <c r="K1539" s="225"/>
      <c r="L1539" s="225"/>
      <c r="M1539" s="225"/>
    </row>
    <row r="1540" spans="1:13" s="567" customFormat="1">
      <c r="A1540" s="1229"/>
      <c r="B1540" s="537" t="s">
        <v>1853</v>
      </c>
      <c r="C1540" s="1235" t="s">
        <v>1854</v>
      </c>
      <c r="D1540" s="421" t="s">
        <v>816</v>
      </c>
      <c r="E1540" s="421"/>
      <c r="F1540" s="406">
        <f>SUM(F1544:F1551)</f>
        <v>66</v>
      </c>
      <c r="G1540" s="421"/>
      <c r="H1540" s="787"/>
      <c r="I1540" s="786"/>
      <c r="J1540" s="787"/>
      <c r="K1540" s="786"/>
      <c r="L1540" s="787"/>
      <c r="M1540" s="903"/>
    </row>
    <row r="1541" spans="1:13" s="567" customFormat="1">
      <c r="A1541" s="1231"/>
      <c r="B1541" s="540"/>
      <c r="C1541" s="809" t="s">
        <v>209</v>
      </c>
      <c r="D1541" s="330" t="s">
        <v>80</v>
      </c>
      <c r="E1541" s="330">
        <v>0.34</v>
      </c>
      <c r="F1541" s="330">
        <f>F1540*E1541</f>
        <v>22.44</v>
      </c>
      <c r="G1541" s="330"/>
      <c r="H1541" s="1043"/>
      <c r="I1541" s="414"/>
      <c r="J1541" s="331"/>
      <c r="K1541" s="414"/>
      <c r="L1541" s="331"/>
      <c r="M1541" s="1236"/>
    </row>
    <row r="1542" spans="1:13" s="567" customFormat="1">
      <c r="A1542" s="1231"/>
      <c r="B1542" s="1237"/>
      <c r="C1542" s="809" t="s">
        <v>181</v>
      </c>
      <c r="D1542" s="330" t="s">
        <v>57</v>
      </c>
      <c r="E1542" s="330">
        <v>0.05</v>
      </c>
      <c r="F1542" s="330">
        <f>F1540*E1542</f>
        <v>3.3000000000000003</v>
      </c>
      <c r="G1542" s="330"/>
      <c r="H1542" s="331"/>
      <c r="I1542" s="414"/>
      <c r="J1542" s="331"/>
      <c r="K1542" s="414"/>
      <c r="L1542" s="331"/>
      <c r="M1542" s="1236"/>
    </row>
    <row r="1543" spans="1:13" s="567" customFormat="1">
      <c r="A1543" s="1231"/>
      <c r="B1543" s="1237"/>
      <c r="C1543" s="809" t="s">
        <v>210</v>
      </c>
      <c r="D1543" s="330"/>
      <c r="E1543" s="330"/>
      <c r="F1543" s="330"/>
      <c r="G1543" s="330"/>
      <c r="H1543" s="331"/>
      <c r="I1543" s="414"/>
      <c r="J1543" s="331"/>
      <c r="K1543" s="414"/>
      <c r="L1543" s="331"/>
      <c r="M1543" s="1236"/>
    </row>
    <row r="1544" spans="1:13" s="567" customFormat="1">
      <c r="A1544" s="1231"/>
      <c r="B1544" s="1237"/>
      <c r="C1544" s="809" t="s">
        <v>1855</v>
      </c>
      <c r="D1544" s="330" t="s">
        <v>816</v>
      </c>
      <c r="E1544" s="330"/>
      <c r="F1544" s="388">
        <f>'დეფექტური აქტი'!E342</f>
        <v>8</v>
      </c>
      <c r="G1544" s="330"/>
      <c r="H1544" s="331"/>
      <c r="I1544" s="414"/>
      <c r="J1544" s="331"/>
      <c r="K1544" s="414"/>
      <c r="L1544" s="331"/>
      <c r="M1544" s="1236"/>
    </row>
    <row r="1545" spans="1:13" s="567" customFormat="1">
      <c r="A1545" s="1231"/>
      <c r="B1545" s="1237"/>
      <c r="C1545" s="809" t="s">
        <v>1856</v>
      </c>
      <c r="D1545" s="330" t="s">
        <v>816</v>
      </c>
      <c r="E1545" s="330"/>
      <c r="F1545" s="388">
        <f>'დეფექტური აქტი'!E343</f>
        <v>10</v>
      </c>
      <c r="G1545" s="330"/>
      <c r="H1545" s="331"/>
      <c r="I1545" s="414"/>
      <c r="J1545" s="331"/>
      <c r="K1545" s="414"/>
      <c r="L1545" s="331"/>
      <c r="M1545" s="1236"/>
    </row>
    <row r="1546" spans="1:13" s="567" customFormat="1" hidden="1">
      <c r="A1546" s="371"/>
      <c r="B1546" s="1237"/>
      <c r="C1546" s="809" t="s">
        <v>1857</v>
      </c>
      <c r="D1546" s="330" t="s">
        <v>816</v>
      </c>
      <c r="E1546" s="330"/>
      <c r="F1546" s="388">
        <f>'დეფექტური აქტი'!E344</f>
        <v>0</v>
      </c>
      <c r="G1546" s="330">
        <v>60</v>
      </c>
      <c r="H1546" s="331">
        <f t="shared" ref="H1546" si="25">F1546*G1546</f>
        <v>0</v>
      </c>
      <c r="I1546" s="414"/>
      <c r="J1546" s="331"/>
      <c r="K1546" s="414"/>
      <c r="L1546" s="331"/>
      <c r="M1546" s="1236">
        <f t="shared" ref="M1546" si="26">H1546+J1546+L1546</f>
        <v>0</v>
      </c>
    </row>
    <row r="1547" spans="1:13" s="567" customFormat="1">
      <c r="A1547" s="1231"/>
      <c r="B1547" s="1237"/>
      <c r="C1547" s="1238" t="s">
        <v>1848</v>
      </c>
      <c r="D1547" s="330" t="s">
        <v>816</v>
      </c>
      <c r="E1547" s="330"/>
      <c r="F1547" s="388">
        <f>'დეფექტური აქტი'!E345</f>
        <v>8</v>
      </c>
      <c r="G1547" s="330"/>
      <c r="H1547" s="331"/>
      <c r="I1547" s="414"/>
      <c r="J1547" s="331"/>
      <c r="K1547" s="414"/>
      <c r="L1547" s="331"/>
      <c r="M1547" s="1236"/>
    </row>
    <row r="1548" spans="1:13" s="567" customFormat="1">
      <c r="A1548" s="1231"/>
      <c r="B1548" s="1237"/>
      <c r="C1548" s="809" t="s">
        <v>1858</v>
      </c>
      <c r="D1548" s="330" t="s">
        <v>816</v>
      </c>
      <c r="E1548" s="330"/>
      <c r="F1548" s="388">
        <f>'დეფექტური აქტი'!E346</f>
        <v>14</v>
      </c>
      <c r="G1548" s="330"/>
      <c r="H1548" s="331"/>
      <c r="I1548" s="414"/>
      <c r="J1548" s="331"/>
      <c r="K1548" s="414"/>
      <c r="L1548" s="331"/>
      <c r="M1548" s="1236"/>
    </row>
    <row r="1549" spans="1:13" s="567" customFormat="1" hidden="1">
      <c r="A1549" s="1239"/>
      <c r="B1549" s="1237"/>
      <c r="C1549" s="1233" t="s">
        <v>1850</v>
      </c>
      <c r="D1549" s="1208" t="s">
        <v>816</v>
      </c>
      <c r="E1549" s="330"/>
      <c r="F1549" s="388">
        <f>'დეფექტური აქტი'!E347</f>
        <v>0</v>
      </c>
      <c r="G1549" s="1071">
        <v>190</v>
      </c>
      <c r="H1549" s="331">
        <f>F1549*G1549</f>
        <v>0</v>
      </c>
      <c r="I1549" s="414"/>
      <c r="J1549" s="331"/>
      <c r="K1549" s="414"/>
      <c r="L1549" s="331"/>
      <c r="M1549" s="1236">
        <f>H1549+J1549+L1549</f>
        <v>0</v>
      </c>
    </row>
    <row r="1550" spans="1:13" s="567" customFormat="1">
      <c r="A1550" s="1240"/>
      <c r="B1550" s="1237"/>
      <c r="C1550" s="1233" t="s">
        <v>1851</v>
      </c>
      <c r="D1550" s="1208" t="s">
        <v>816</v>
      </c>
      <c r="E1550" s="330"/>
      <c r="F1550" s="388">
        <f>'დეფექტური აქტი'!E348</f>
        <v>10</v>
      </c>
      <c r="G1550" s="330"/>
      <c r="H1550" s="331"/>
      <c r="I1550" s="414"/>
      <c r="J1550" s="331"/>
      <c r="K1550" s="414"/>
      <c r="L1550" s="331"/>
      <c r="M1550" s="1236"/>
    </row>
    <row r="1551" spans="1:13" s="567" customFormat="1">
      <c r="A1551" s="1241"/>
      <c r="B1551" s="1237"/>
      <c r="C1551" s="809" t="s">
        <v>1852</v>
      </c>
      <c r="D1551" s="330" t="s">
        <v>816</v>
      </c>
      <c r="E1551" s="330"/>
      <c r="F1551" s="388">
        <f>'დეფექტური აქტი'!E349</f>
        <v>16</v>
      </c>
      <c r="G1551" s="330"/>
      <c r="H1551" s="331"/>
      <c r="I1551" s="414"/>
      <c r="J1551" s="331"/>
      <c r="K1551" s="414"/>
      <c r="L1551" s="331"/>
      <c r="M1551" s="1236"/>
    </row>
    <row r="1552" spans="1:13" s="567" customFormat="1">
      <c r="A1552" s="1241"/>
      <c r="B1552" s="1237"/>
      <c r="C1552" s="809" t="s">
        <v>214</v>
      </c>
      <c r="D1552" s="330" t="s">
        <v>57</v>
      </c>
      <c r="E1552" s="330">
        <v>0.28000000000000003</v>
      </c>
      <c r="F1552" s="330">
        <f>F1540*E1552</f>
        <v>18.48</v>
      </c>
      <c r="G1552" s="330"/>
      <c r="H1552" s="331"/>
      <c r="I1552" s="414"/>
      <c r="J1552" s="331"/>
      <c r="K1552" s="414"/>
      <c r="L1552" s="331"/>
      <c r="M1552" s="1236"/>
    </row>
    <row r="1553" spans="1:13" s="52" customFormat="1" hidden="1">
      <c r="A1553" s="47">
        <v>13</v>
      </c>
      <c r="B1553" s="1449" t="s">
        <v>237</v>
      </c>
      <c r="C1553" s="46" t="s">
        <v>864</v>
      </c>
      <c r="D1553" s="47" t="s">
        <v>4</v>
      </c>
      <c r="E1553" s="154"/>
      <c r="F1553" s="384">
        <f>'დეფექტური აქტი'!E350</f>
        <v>0</v>
      </c>
      <c r="G1553" s="385"/>
      <c r="H1553" s="602"/>
      <c r="I1553" s="385"/>
      <c r="J1553" s="385"/>
      <c r="K1553" s="385"/>
      <c r="L1553" s="385"/>
      <c r="M1553" s="385"/>
    </row>
    <row r="1554" spans="1:13" s="52" customFormat="1" hidden="1">
      <c r="A1554" s="41"/>
      <c r="B1554" s="1450"/>
      <c r="C1554" s="66" t="s">
        <v>209</v>
      </c>
      <c r="D1554" s="41" t="s">
        <v>4</v>
      </c>
      <c r="E1554" s="53">
        <v>1</v>
      </c>
      <c r="F1554" s="386">
        <f>F1553*E1554</f>
        <v>0</v>
      </c>
      <c r="G1554" s="386"/>
      <c r="H1554" s="603"/>
      <c r="I1554" s="386">
        <v>25</v>
      </c>
      <c r="J1554" s="386">
        <f>F1554*I1554</f>
        <v>0</v>
      </c>
      <c r="K1554" s="386"/>
      <c r="L1554" s="386"/>
      <c r="M1554" s="386">
        <f>H1554+J1554+L1554</f>
        <v>0</v>
      </c>
    </row>
    <row r="1555" spans="1:13" s="52" customFormat="1" hidden="1">
      <c r="A1555" s="41"/>
      <c r="B1555" s="1450"/>
      <c r="C1555" s="66" t="s">
        <v>133</v>
      </c>
      <c r="D1555" s="83" t="s">
        <v>57</v>
      </c>
      <c r="E1555" s="53">
        <v>0.02</v>
      </c>
      <c r="F1555" s="386">
        <f>F1553*E1555</f>
        <v>0</v>
      </c>
      <c r="G1555" s="386"/>
      <c r="H1555" s="386"/>
      <c r="I1555" s="386"/>
      <c r="J1555" s="386"/>
      <c r="K1555" s="386">
        <v>3.2</v>
      </c>
      <c r="L1555" s="386">
        <f>F1555*K1555</f>
        <v>0</v>
      </c>
      <c r="M1555" s="386">
        <f>H1555+J1555+L1555</f>
        <v>0</v>
      </c>
    </row>
    <row r="1556" spans="1:13" s="52" customFormat="1" hidden="1">
      <c r="A1556" s="41"/>
      <c r="B1556" s="1450"/>
      <c r="C1556" s="15" t="s">
        <v>210</v>
      </c>
      <c r="D1556" s="41"/>
      <c r="E1556" s="53"/>
      <c r="F1556" s="386"/>
      <c r="G1556" s="386"/>
      <c r="H1556" s="386"/>
      <c r="I1556" s="386"/>
      <c r="J1556" s="386"/>
      <c r="K1556" s="386"/>
      <c r="L1556" s="386"/>
      <c r="M1556" s="386"/>
    </row>
    <row r="1557" spans="1:13" s="52" customFormat="1" hidden="1">
      <c r="A1557" s="41"/>
      <c r="B1557" s="1450"/>
      <c r="C1557" s="66" t="s">
        <v>409</v>
      </c>
      <c r="D1557" s="41" t="s">
        <v>4</v>
      </c>
      <c r="E1557" s="53">
        <v>1</v>
      </c>
      <c r="F1557" s="386">
        <f>F1553*E1557</f>
        <v>0</v>
      </c>
      <c r="G1557" s="439">
        <v>7.5</v>
      </c>
      <c r="H1557" s="386">
        <f>F1557*G1557</f>
        <v>0</v>
      </c>
      <c r="I1557" s="386"/>
      <c r="J1557" s="386"/>
      <c r="K1557" s="386"/>
      <c r="L1557" s="386"/>
      <c r="M1557" s="386">
        <f>H1557+J1557+L1557</f>
        <v>0</v>
      </c>
    </row>
    <row r="1558" spans="1:13" s="52" customFormat="1" hidden="1">
      <c r="A1558" s="41"/>
      <c r="B1558" s="1512"/>
      <c r="C1558" s="67" t="s">
        <v>214</v>
      </c>
      <c r="D1558" s="86" t="s">
        <v>57</v>
      </c>
      <c r="E1558" s="58">
        <v>0.11</v>
      </c>
      <c r="F1558" s="387">
        <f>F1553*E1558</f>
        <v>0</v>
      </c>
      <c r="G1558" s="387">
        <v>3.2</v>
      </c>
      <c r="H1558" s="387">
        <f>F1558*G1558</f>
        <v>0</v>
      </c>
      <c r="I1558" s="387"/>
      <c r="J1558" s="387"/>
      <c r="K1558" s="387"/>
      <c r="L1558" s="387"/>
      <c r="M1558" s="387">
        <f>H1558+J1558+L1558</f>
        <v>0</v>
      </c>
    </row>
    <row r="1559" spans="1:13" hidden="1">
      <c r="A1559" s="81"/>
      <c r="B1559" s="81"/>
      <c r="C1559" s="206" t="s">
        <v>6</v>
      </c>
      <c r="D1559" s="97"/>
      <c r="E1559" s="9"/>
      <c r="F1559" s="382"/>
      <c r="G1559" s="382"/>
      <c r="H1559" s="382"/>
      <c r="I1559" s="382"/>
      <c r="J1559" s="382"/>
      <c r="K1559" s="382"/>
      <c r="L1559" s="382"/>
      <c r="M1559" s="382"/>
    </row>
    <row r="1560" spans="1:13" s="88" customFormat="1" ht="27" hidden="1">
      <c r="A1560" s="140">
        <v>1</v>
      </c>
      <c r="B1560" s="1429" t="s">
        <v>723</v>
      </c>
      <c r="C1560" s="151" t="s">
        <v>730</v>
      </c>
      <c r="D1560" s="228" t="s">
        <v>88</v>
      </c>
      <c r="E1560" s="248"/>
      <c r="F1560" s="384">
        <f>'დეფექტური აქტი'!E352*0.5*0.8</f>
        <v>0</v>
      </c>
      <c r="G1560" s="422"/>
      <c r="H1560" s="422"/>
      <c r="I1560" s="422"/>
      <c r="J1560" s="422"/>
      <c r="K1560" s="422"/>
      <c r="L1560" s="225"/>
      <c r="M1560" s="225">
        <f>H1560+J1560+L1560</f>
        <v>0</v>
      </c>
    </row>
    <row r="1561" spans="1:13" s="88" customFormat="1" hidden="1">
      <c r="A1561" s="86"/>
      <c r="B1561" s="1430"/>
      <c r="C1561" s="229" t="s">
        <v>641</v>
      </c>
      <c r="D1561" s="230" t="s">
        <v>80</v>
      </c>
      <c r="E1561" s="250">
        <v>3.27</v>
      </c>
      <c r="F1561" s="387">
        <f>F1560*E1561</f>
        <v>0</v>
      </c>
      <c r="G1561" s="393"/>
      <c r="H1561" s="605"/>
      <c r="I1561" s="393">
        <v>4.5999999999999996</v>
      </c>
      <c r="J1561" s="393">
        <f>F1561*I1561</f>
        <v>0</v>
      </c>
      <c r="K1561" s="393"/>
      <c r="L1561" s="393"/>
      <c r="M1561" s="393">
        <f>H1561+J1561+L1561</f>
        <v>0</v>
      </c>
    </row>
    <row r="1562" spans="1:13" s="95" customFormat="1" hidden="1">
      <c r="A1562" s="140">
        <v>2</v>
      </c>
      <c r="B1562" s="1429" t="s">
        <v>99</v>
      </c>
      <c r="C1562" s="151" t="s">
        <v>740</v>
      </c>
      <c r="D1562" s="140" t="s">
        <v>113</v>
      </c>
      <c r="E1562" s="140"/>
      <c r="F1562" s="384">
        <f>'დეფექტური აქტი'!E353</f>
        <v>0</v>
      </c>
      <c r="G1562" s="608"/>
      <c r="H1562" s="609"/>
      <c r="I1562" s="422"/>
      <c r="J1562" s="422"/>
      <c r="K1562" s="422"/>
      <c r="L1562" s="422"/>
      <c r="M1562" s="422"/>
    </row>
    <row r="1563" spans="1:13" s="95" customFormat="1" hidden="1">
      <c r="A1563" s="83"/>
      <c r="B1563" s="1448"/>
      <c r="C1563" s="226" t="s">
        <v>209</v>
      </c>
      <c r="D1563" s="83" t="s">
        <v>113</v>
      </c>
      <c r="E1563" s="94">
        <v>1</v>
      </c>
      <c r="F1563" s="386">
        <f>F1562*E1563</f>
        <v>0</v>
      </c>
      <c r="G1563" s="523"/>
      <c r="H1563" s="604"/>
      <c r="I1563" s="225">
        <v>30</v>
      </c>
      <c r="J1563" s="225">
        <f>F1563*I1563</f>
        <v>0</v>
      </c>
      <c r="K1563" s="225"/>
      <c r="L1563" s="225"/>
      <c r="M1563" s="225">
        <f>H1563+J1563+L1563</f>
        <v>0</v>
      </c>
    </row>
    <row r="1564" spans="1:13" s="95" customFormat="1" hidden="1">
      <c r="A1564" s="83"/>
      <c r="B1564" s="1448"/>
      <c r="C1564" s="15" t="s">
        <v>210</v>
      </c>
      <c r="D1564" s="211"/>
      <c r="E1564" s="240"/>
      <c r="F1564" s="386"/>
      <c r="G1564" s="523"/>
      <c r="H1564" s="225"/>
      <c r="I1564" s="225"/>
      <c r="J1564" s="225"/>
      <c r="K1564" s="225"/>
      <c r="L1564" s="225"/>
      <c r="M1564" s="225"/>
    </row>
    <row r="1565" spans="1:13" s="95" customFormat="1" hidden="1">
      <c r="A1565" s="83"/>
      <c r="B1565" s="1448"/>
      <c r="C1565" s="84" t="s">
        <v>729</v>
      </c>
      <c r="D1565" s="41" t="s">
        <v>122</v>
      </c>
      <c r="E1565" s="211"/>
      <c r="F1565" s="388">
        <f>'დეფექტური აქტი'!E354</f>
        <v>0</v>
      </c>
      <c r="G1565" s="610">
        <v>97.5</v>
      </c>
      <c r="H1565" s="225">
        <f>F1565*G1565</f>
        <v>0</v>
      </c>
      <c r="I1565" s="225"/>
      <c r="J1565" s="225"/>
      <c r="K1565" s="225"/>
      <c r="L1565" s="225"/>
      <c r="M1565" s="225">
        <f>H1565+J1565+L1565</f>
        <v>0</v>
      </c>
    </row>
    <row r="1566" spans="1:13" s="95" customFormat="1" ht="18" hidden="1" customHeight="1">
      <c r="A1566" s="86"/>
      <c r="B1566" s="249"/>
      <c r="C1566" s="87" t="s">
        <v>765</v>
      </c>
      <c r="D1566" s="43" t="s">
        <v>638</v>
      </c>
      <c r="E1566" s="230"/>
      <c r="F1566" s="400">
        <f>'დეფექტური აქტი'!E355</f>
        <v>0</v>
      </c>
      <c r="G1566" s="606">
        <f>10.3*2</f>
        <v>20.6</v>
      </c>
      <c r="H1566" s="393">
        <f>F1566*G1566</f>
        <v>0</v>
      </c>
      <c r="I1566" s="393"/>
      <c r="J1566" s="393"/>
      <c r="K1566" s="393"/>
      <c r="L1566" s="393"/>
      <c r="M1566" s="393">
        <f>H1566+J1566+L1566</f>
        <v>0</v>
      </c>
    </row>
    <row r="1567" spans="1:13" s="95" customFormat="1" ht="27" hidden="1">
      <c r="A1567" s="83">
        <v>3</v>
      </c>
      <c r="B1567" s="1448" t="s">
        <v>331</v>
      </c>
      <c r="C1567" s="84" t="s">
        <v>741</v>
      </c>
      <c r="D1567" s="211" t="s">
        <v>638</v>
      </c>
      <c r="E1567" s="94"/>
      <c r="F1567" s="388">
        <f>'დეფექტური აქტი'!E356</f>
        <v>0</v>
      </c>
      <c r="G1567" s="523"/>
      <c r="H1567" s="604"/>
      <c r="I1567" s="225"/>
      <c r="J1567" s="225"/>
      <c r="K1567" s="225"/>
      <c r="L1567" s="225"/>
      <c r="M1567" s="225"/>
    </row>
    <row r="1568" spans="1:13" s="95" customFormat="1" hidden="1">
      <c r="A1568" s="83"/>
      <c r="B1568" s="1448"/>
      <c r="C1568" s="226" t="s">
        <v>209</v>
      </c>
      <c r="D1568" s="211" t="s">
        <v>80</v>
      </c>
      <c r="E1568" s="94">
        <v>1.51</v>
      </c>
      <c r="F1568" s="386">
        <f>(F1567*E1568)*2</f>
        <v>0</v>
      </c>
      <c r="G1568" s="523"/>
      <c r="H1568" s="604"/>
      <c r="I1568" s="225">
        <v>4.5999999999999996</v>
      </c>
      <c r="J1568" s="225">
        <f>F1568*I1568</f>
        <v>0</v>
      </c>
      <c r="K1568" s="225"/>
      <c r="L1568" s="225"/>
      <c r="M1568" s="225">
        <f>H1568+J1568+L1568</f>
        <v>0</v>
      </c>
    </row>
    <row r="1569" spans="1:13" s="95" customFormat="1" hidden="1">
      <c r="A1569" s="83"/>
      <c r="B1569" s="1448"/>
      <c r="C1569" s="226" t="s">
        <v>133</v>
      </c>
      <c r="D1569" s="83" t="s">
        <v>57</v>
      </c>
      <c r="E1569" s="240">
        <v>0.13</v>
      </c>
      <c r="F1569" s="386">
        <f>(F1567*E1569)*2</f>
        <v>0</v>
      </c>
      <c r="G1569" s="523"/>
      <c r="H1569" s="225"/>
      <c r="I1569" s="225"/>
      <c r="J1569" s="225"/>
      <c r="K1569" s="225">
        <v>3.2</v>
      </c>
      <c r="L1569" s="225">
        <f>F1569*K1569</f>
        <v>0</v>
      </c>
      <c r="M1569" s="225">
        <f>H1569+J1569+L1569</f>
        <v>0</v>
      </c>
    </row>
    <row r="1570" spans="1:13" s="95" customFormat="1" hidden="1">
      <c r="A1570" s="83"/>
      <c r="B1570" s="1448"/>
      <c r="C1570" s="15" t="s">
        <v>210</v>
      </c>
      <c r="D1570" s="211"/>
      <c r="E1570" s="240"/>
      <c r="F1570" s="386"/>
      <c r="G1570" s="523"/>
      <c r="H1570" s="225"/>
      <c r="I1570" s="225"/>
      <c r="J1570" s="225"/>
      <c r="K1570" s="225"/>
      <c r="L1570" s="225"/>
      <c r="M1570" s="225"/>
    </row>
    <row r="1571" spans="1:13" s="95" customFormat="1" hidden="1">
      <c r="A1571" s="83"/>
      <c r="B1571" s="1448"/>
      <c r="C1571" s="440" t="s">
        <v>765</v>
      </c>
      <c r="D1571" s="438" t="s">
        <v>113</v>
      </c>
      <c r="E1571" s="441">
        <v>1</v>
      </c>
      <c r="F1571" s="439">
        <f>(F1567*E1571)*2</f>
        <v>0</v>
      </c>
      <c r="G1571" s="610">
        <v>10.3</v>
      </c>
      <c r="H1571" s="225">
        <f>F1571*G1571</f>
        <v>0</v>
      </c>
      <c r="I1571" s="225"/>
      <c r="J1571" s="225"/>
      <c r="K1571" s="225"/>
      <c r="L1571" s="225"/>
      <c r="M1571" s="225">
        <f>H1571+J1571+L1571</f>
        <v>0</v>
      </c>
    </row>
    <row r="1572" spans="1:13" s="95" customFormat="1" hidden="1">
      <c r="A1572" s="86"/>
      <c r="B1572" s="1430"/>
      <c r="C1572" s="229" t="s">
        <v>214</v>
      </c>
      <c r="D1572" s="86" t="s">
        <v>57</v>
      </c>
      <c r="E1572" s="241">
        <v>7.0000000000000007E-2</v>
      </c>
      <c r="F1572" s="387">
        <f>(F1567*E1572)*2</f>
        <v>0</v>
      </c>
      <c r="G1572" s="393">
        <v>3.2</v>
      </c>
      <c r="H1572" s="393">
        <f>F1572*G1572</f>
        <v>0</v>
      </c>
      <c r="I1572" s="393"/>
      <c r="J1572" s="393"/>
      <c r="K1572" s="393"/>
      <c r="L1572" s="393"/>
      <c r="M1572" s="393">
        <f>H1572+J1572+L1572</f>
        <v>0</v>
      </c>
    </row>
    <row r="1573" spans="1:13" s="95" customFormat="1" hidden="1">
      <c r="A1573" s="140">
        <v>4</v>
      </c>
      <c r="B1573" s="1456" t="s">
        <v>525</v>
      </c>
      <c r="C1573" s="226" t="s">
        <v>495</v>
      </c>
      <c r="D1573" s="140" t="s">
        <v>113</v>
      </c>
      <c r="E1573" s="240"/>
      <c r="F1573" s="384">
        <f>'დეფექტური აქტი'!E357</f>
        <v>0</v>
      </c>
      <c r="G1573" s="523"/>
      <c r="H1573" s="225"/>
      <c r="I1573" s="225"/>
      <c r="J1573" s="225"/>
      <c r="K1573" s="225"/>
      <c r="L1573" s="225"/>
      <c r="M1573" s="225"/>
    </row>
    <row r="1574" spans="1:13" s="95" customFormat="1" hidden="1">
      <c r="A1574" s="83"/>
      <c r="B1574" s="1457"/>
      <c r="C1574" s="226" t="s">
        <v>209</v>
      </c>
      <c r="D1574" s="211" t="s">
        <v>80</v>
      </c>
      <c r="E1574" s="94">
        <v>1</v>
      </c>
      <c r="F1574" s="386">
        <f>F1573*E1574</f>
        <v>0</v>
      </c>
      <c r="G1574" s="523"/>
      <c r="H1574" s="604"/>
      <c r="I1574" s="225">
        <v>4.5999999999999996</v>
      </c>
      <c r="J1574" s="225">
        <f>F1574*I1574</f>
        <v>0</v>
      </c>
      <c r="K1574" s="225"/>
      <c r="L1574" s="225"/>
      <c r="M1574" s="225">
        <f>H1574+J1574+L1574</f>
        <v>0</v>
      </c>
    </row>
    <row r="1575" spans="1:13" s="95" customFormat="1" hidden="1">
      <c r="A1575" s="86"/>
      <c r="B1575" s="1458"/>
      <c r="C1575" s="229" t="s">
        <v>133</v>
      </c>
      <c r="D1575" s="86" t="s">
        <v>57</v>
      </c>
      <c r="E1575" s="241">
        <v>0.49299999999999999</v>
      </c>
      <c r="F1575" s="387">
        <f>F1573*E1575</f>
        <v>0</v>
      </c>
      <c r="G1575" s="606"/>
      <c r="H1575" s="393"/>
      <c r="I1575" s="393"/>
      <c r="J1575" s="393"/>
      <c r="K1575" s="393">
        <v>3.2</v>
      </c>
      <c r="L1575" s="393">
        <f>F1575*K1575</f>
        <v>0</v>
      </c>
      <c r="M1575" s="393">
        <f>H1575+J1575+L1575</f>
        <v>0</v>
      </c>
    </row>
    <row r="1576" spans="1:13" s="93" customFormat="1" hidden="1">
      <c r="A1576" s="140">
        <v>5</v>
      </c>
      <c r="B1576" s="1493" t="s">
        <v>526</v>
      </c>
      <c r="C1576" s="151" t="s">
        <v>496</v>
      </c>
      <c r="D1576" s="140" t="s">
        <v>88</v>
      </c>
      <c r="E1576" s="140"/>
      <c r="F1576" s="434">
        <f>F1573*0.003</f>
        <v>0</v>
      </c>
      <c r="G1576" s="422"/>
      <c r="H1576" s="422"/>
      <c r="I1576" s="422"/>
      <c r="J1576" s="422"/>
      <c r="K1576" s="422"/>
      <c r="L1576" s="422"/>
      <c r="M1576" s="422"/>
    </row>
    <row r="1577" spans="1:13" s="89" customFormat="1" hidden="1">
      <c r="A1577" s="83"/>
      <c r="B1577" s="1475"/>
      <c r="C1577" s="226" t="s">
        <v>209</v>
      </c>
      <c r="D1577" s="211" t="s">
        <v>80</v>
      </c>
      <c r="E1577" s="211">
        <v>90</v>
      </c>
      <c r="F1577" s="386">
        <f>F1576*E1577</f>
        <v>0</v>
      </c>
      <c r="G1577" s="225"/>
      <c r="H1577" s="225"/>
      <c r="I1577" s="225">
        <v>4.5999999999999996</v>
      </c>
      <c r="J1577" s="225">
        <f>F1577*I1577</f>
        <v>0</v>
      </c>
      <c r="K1577" s="225"/>
      <c r="L1577" s="225"/>
      <c r="M1577" s="225">
        <f>H1577+J1577+L1577</f>
        <v>0</v>
      </c>
    </row>
    <row r="1578" spans="1:13" s="89" customFormat="1" hidden="1">
      <c r="A1578" s="83"/>
      <c r="B1578" s="1475"/>
      <c r="C1578" s="15" t="s">
        <v>210</v>
      </c>
      <c r="D1578" s="211"/>
      <c r="E1578" s="211"/>
      <c r="F1578" s="386"/>
      <c r="G1578" s="225"/>
      <c r="H1578" s="225"/>
      <c r="I1578" s="225"/>
      <c r="J1578" s="225"/>
      <c r="K1578" s="225"/>
      <c r="L1578" s="225"/>
      <c r="M1578" s="225"/>
    </row>
    <row r="1579" spans="1:13" s="89" customFormat="1" hidden="1">
      <c r="A1579" s="83"/>
      <c r="B1579" s="1475"/>
      <c r="C1579" s="226" t="s">
        <v>527</v>
      </c>
      <c r="D1579" s="211" t="s">
        <v>88</v>
      </c>
      <c r="E1579" s="83">
        <v>1</v>
      </c>
      <c r="F1579" s="386">
        <f>F1576*E1579</f>
        <v>0</v>
      </c>
      <c r="G1579" s="225">
        <v>84</v>
      </c>
      <c r="H1579" s="225">
        <f>F1579*G1579</f>
        <v>0</v>
      </c>
      <c r="I1579" s="225"/>
      <c r="J1579" s="225"/>
      <c r="K1579" s="225"/>
      <c r="L1579" s="225"/>
      <c r="M1579" s="225">
        <f>H1579+J1579+L1579</f>
        <v>0</v>
      </c>
    </row>
    <row r="1580" spans="1:13" s="89" customFormat="1" hidden="1">
      <c r="A1580" s="86"/>
      <c r="B1580" s="1494"/>
      <c r="C1580" s="229" t="s">
        <v>214</v>
      </c>
      <c r="D1580" s="86" t="s">
        <v>57</v>
      </c>
      <c r="E1580" s="230">
        <v>0.05</v>
      </c>
      <c r="F1580" s="387">
        <f>F1576*E1580</f>
        <v>0</v>
      </c>
      <c r="G1580" s="393">
        <v>3.2</v>
      </c>
      <c r="H1580" s="393">
        <f>F1580*G1580</f>
        <v>0</v>
      </c>
      <c r="I1580" s="393"/>
      <c r="J1580" s="393"/>
      <c r="K1580" s="393"/>
      <c r="L1580" s="393"/>
      <c r="M1580" s="393">
        <f>H1580+J1580+L1580</f>
        <v>0</v>
      </c>
    </row>
    <row r="1581" spans="1:13" s="95" customFormat="1" hidden="1">
      <c r="A1581" s="83">
        <v>5</v>
      </c>
      <c r="B1581" s="251" t="s">
        <v>241</v>
      </c>
      <c r="C1581" s="252" t="s">
        <v>744</v>
      </c>
      <c r="D1581" s="47" t="s">
        <v>122</v>
      </c>
      <c r="E1581" s="94"/>
      <c r="F1581" s="384">
        <f>'დეფექტური აქტი'!E358</f>
        <v>0</v>
      </c>
      <c r="G1581" s="523"/>
      <c r="H1581" s="604"/>
      <c r="I1581" s="225"/>
      <c r="J1581" s="225"/>
      <c r="K1581" s="225"/>
      <c r="L1581" s="225"/>
      <c r="M1581" s="225"/>
    </row>
    <row r="1582" spans="1:13" s="95" customFormat="1" hidden="1">
      <c r="A1582" s="83"/>
      <c r="B1582" s="253" t="s">
        <v>1127</v>
      </c>
      <c r="C1582" s="226" t="s">
        <v>209</v>
      </c>
      <c r="D1582" s="240" t="s">
        <v>122</v>
      </c>
      <c r="E1582" s="254">
        <v>1</v>
      </c>
      <c r="F1582" s="386">
        <f>F1581*E1582</f>
        <v>0</v>
      </c>
      <c r="G1582" s="523"/>
      <c r="H1582" s="604"/>
      <c r="I1582" s="225">
        <v>0.5</v>
      </c>
      <c r="J1582" s="225">
        <f>F1582*I1582</f>
        <v>0</v>
      </c>
      <c r="K1582" s="225"/>
      <c r="L1582" s="225"/>
      <c r="M1582" s="225">
        <f>H1582+J1582+L1582</f>
        <v>0</v>
      </c>
    </row>
    <row r="1583" spans="1:13" s="95" customFormat="1" hidden="1">
      <c r="A1583" s="83"/>
      <c r="B1583" s="253"/>
      <c r="C1583" s="226" t="s">
        <v>181</v>
      </c>
      <c r="D1583" s="83" t="s">
        <v>57</v>
      </c>
      <c r="E1583" s="240">
        <v>2.5700000000000001E-2</v>
      </c>
      <c r="F1583" s="386">
        <f>F1581*E1583</f>
        <v>0</v>
      </c>
      <c r="G1583" s="523"/>
      <c r="H1583" s="225"/>
      <c r="I1583" s="225"/>
      <c r="J1583" s="225"/>
      <c r="K1583" s="225">
        <v>3.2</v>
      </c>
      <c r="L1583" s="225">
        <f>F1583*K1583</f>
        <v>0</v>
      </c>
      <c r="M1583" s="225">
        <f>H1583+J1583+L1583</f>
        <v>0</v>
      </c>
    </row>
    <row r="1584" spans="1:13" s="95" customFormat="1" hidden="1">
      <c r="A1584" s="83"/>
      <c r="B1584" s="253"/>
      <c r="C1584" s="15" t="s">
        <v>210</v>
      </c>
      <c r="D1584" s="211"/>
      <c r="E1584" s="240"/>
      <c r="F1584" s="386"/>
      <c r="G1584" s="523"/>
      <c r="H1584" s="225"/>
      <c r="I1584" s="225"/>
      <c r="J1584" s="225"/>
      <c r="K1584" s="225"/>
      <c r="L1584" s="225"/>
      <c r="M1584" s="225"/>
    </row>
    <row r="1585" spans="1:13" s="95" customFormat="1" ht="17.25" hidden="1" customHeight="1">
      <c r="A1585" s="83"/>
      <c r="B1585" s="253"/>
      <c r="C1585" s="226" t="s">
        <v>743</v>
      </c>
      <c r="D1585" s="41" t="s">
        <v>122</v>
      </c>
      <c r="E1585" s="211">
        <v>0.92900000000000005</v>
      </c>
      <c r="F1585" s="386">
        <f>F1581*E1585</f>
        <v>0</v>
      </c>
      <c r="G1585" s="225">
        <v>1.6</v>
      </c>
      <c r="H1585" s="225">
        <f>F1585*G1585</f>
        <v>0</v>
      </c>
      <c r="I1585" s="225"/>
      <c r="J1585" s="225"/>
      <c r="K1585" s="225"/>
      <c r="L1585" s="225"/>
      <c r="M1585" s="225">
        <f>H1585+J1585+L1585</f>
        <v>0</v>
      </c>
    </row>
    <row r="1586" spans="1:13" s="95" customFormat="1" hidden="1">
      <c r="A1586" s="86"/>
      <c r="B1586" s="255"/>
      <c r="C1586" s="229" t="s">
        <v>214</v>
      </c>
      <c r="D1586" s="86" t="s">
        <v>57</v>
      </c>
      <c r="E1586" s="241">
        <v>4.5699999999999998E-2</v>
      </c>
      <c r="F1586" s="387">
        <f>F1581*E1586</f>
        <v>0</v>
      </c>
      <c r="G1586" s="393">
        <v>3.2</v>
      </c>
      <c r="H1586" s="393">
        <f>F1586*G1586</f>
        <v>0</v>
      </c>
      <c r="I1586" s="393"/>
      <c r="J1586" s="393"/>
      <c r="K1586" s="393"/>
      <c r="L1586" s="393"/>
      <c r="M1586" s="393">
        <f>H1586+J1586+L1586</f>
        <v>0</v>
      </c>
    </row>
    <row r="1587" spans="1:13" s="95" customFormat="1" hidden="1">
      <c r="A1587" s="83">
        <v>6</v>
      </c>
      <c r="B1587" s="251" t="s">
        <v>240</v>
      </c>
      <c r="C1587" s="252" t="s">
        <v>745</v>
      </c>
      <c r="D1587" s="47" t="s">
        <v>122</v>
      </c>
      <c r="E1587" s="94"/>
      <c r="F1587" s="384">
        <f>'დეფექტური აქტი'!E359</f>
        <v>0</v>
      </c>
      <c r="G1587" s="523"/>
      <c r="H1587" s="604"/>
      <c r="I1587" s="225"/>
      <c r="J1587" s="225"/>
      <c r="K1587" s="225"/>
      <c r="L1587" s="225"/>
      <c r="M1587" s="225"/>
    </row>
    <row r="1588" spans="1:13" s="95" customFormat="1" hidden="1">
      <c r="A1588" s="83"/>
      <c r="B1588" s="253" t="s">
        <v>1127</v>
      </c>
      <c r="C1588" s="226" t="s">
        <v>209</v>
      </c>
      <c r="D1588" s="211" t="s">
        <v>122</v>
      </c>
      <c r="E1588" s="254">
        <v>1</v>
      </c>
      <c r="F1588" s="386">
        <f>F1587*E1588</f>
        <v>0</v>
      </c>
      <c r="G1588" s="523"/>
      <c r="H1588" s="604"/>
      <c r="I1588" s="225">
        <v>0.5</v>
      </c>
      <c r="J1588" s="225">
        <f>F1588*I1588</f>
        <v>0</v>
      </c>
      <c r="K1588" s="225"/>
      <c r="L1588" s="225"/>
      <c r="M1588" s="225">
        <f>H1588+J1588+L1588</f>
        <v>0</v>
      </c>
    </row>
    <row r="1589" spans="1:13" s="95" customFormat="1" hidden="1">
      <c r="A1589" s="83"/>
      <c r="B1589" s="253"/>
      <c r="C1589" s="226" t="s">
        <v>181</v>
      </c>
      <c r="D1589" s="83" t="s">
        <v>57</v>
      </c>
      <c r="E1589" s="240">
        <v>1.72E-2</v>
      </c>
      <c r="F1589" s="386">
        <f>F1587*E1589</f>
        <v>0</v>
      </c>
      <c r="G1589" s="523"/>
      <c r="H1589" s="225"/>
      <c r="I1589" s="225"/>
      <c r="J1589" s="225"/>
      <c r="K1589" s="225">
        <v>3.2</v>
      </c>
      <c r="L1589" s="225">
        <f>F1589*K1589</f>
        <v>0</v>
      </c>
      <c r="M1589" s="225">
        <f>H1589+J1589+L1589</f>
        <v>0</v>
      </c>
    </row>
    <row r="1590" spans="1:13" s="95" customFormat="1" hidden="1">
      <c r="A1590" s="83"/>
      <c r="B1590" s="253"/>
      <c r="C1590" s="15" t="s">
        <v>210</v>
      </c>
      <c r="D1590" s="211"/>
      <c r="E1590" s="240"/>
      <c r="F1590" s="386"/>
      <c r="G1590" s="523"/>
      <c r="H1590" s="225"/>
      <c r="I1590" s="225"/>
      <c r="J1590" s="225"/>
      <c r="K1590" s="225"/>
      <c r="L1590" s="225"/>
      <c r="M1590" s="225"/>
    </row>
    <row r="1591" spans="1:13" s="95" customFormat="1" ht="15.75" hidden="1" customHeight="1">
      <c r="A1591" s="83"/>
      <c r="B1591" s="253"/>
      <c r="C1591" s="226" t="s">
        <v>742</v>
      </c>
      <c r="D1591" s="41" t="s">
        <v>122</v>
      </c>
      <c r="E1591" s="211">
        <v>0.93799999999999994</v>
      </c>
      <c r="F1591" s="386">
        <f>F1587*E1591</f>
        <v>0</v>
      </c>
      <c r="G1591" s="225">
        <v>2.5</v>
      </c>
      <c r="H1591" s="225">
        <f>F1591*G1591</f>
        <v>0</v>
      </c>
      <c r="I1591" s="225"/>
      <c r="J1591" s="225"/>
      <c r="K1591" s="225"/>
      <c r="L1591" s="225"/>
      <c r="M1591" s="225">
        <f>H1591+J1591+L1591</f>
        <v>0</v>
      </c>
    </row>
    <row r="1592" spans="1:13" s="95" customFormat="1" hidden="1">
      <c r="A1592" s="86"/>
      <c r="B1592" s="255"/>
      <c r="C1592" s="229" t="s">
        <v>214</v>
      </c>
      <c r="D1592" s="86" t="s">
        <v>57</v>
      </c>
      <c r="E1592" s="241">
        <v>3.9300000000000002E-2</v>
      </c>
      <c r="F1592" s="387">
        <f>F1587*E1592</f>
        <v>0</v>
      </c>
      <c r="G1592" s="393">
        <v>3.2</v>
      </c>
      <c r="H1592" s="393">
        <f>F1592*G1592</f>
        <v>0</v>
      </c>
      <c r="I1592" s="393"/>
      <c r="J1592" s="393"/>
      <c r="K1592" s="393"/>
      <c r="L1592" s="393"/>
      <c r="M1592" s="393">
        <f>H1592+J1592+L1592</f>
        <v>0</v>
      </c>
    </row>
    <row r="1593" spans="1:13" s="95" customFormat="1" hidden="1">
      <c r="A1593" s="83">
        <v>7</v>
      </c>
      <c r="B1593" s="251" t="s">
        <v>751</v>
      </c>
      <c r="C1593" s="252" t="s">
        <v>746</v>
      </c>
      <c r="D1593" s="47" t="s">
        <v>122</v>
      </c>
      <c r="E1593" s="94"/>
      <c r="F1593" s="384">
        <f>'დეფექტური აქტი'!E360</f>
        <v>0</v>
      </c>
      <c r="G1593" s="523"/>
      <c r="H1593" s="604"/>
      <c r="I1593" s="225"/>
      <c r="J1593" s="225"/>
      <c r="K1593" s="225"/>
      <c r="L1593" s="225"/>
      <c r="M1593" s="225"/>
    </row>
    <row r="1594" spans="1:13" s="95" customFormat="1" ht="27" hidden="1">
      <c r="A1594" s="83"/>
      <c r="B1594" s="253" t="s">
        <v>99</v>
      </c>
      <c r="C1594" s="226" t="s">
        <v>209</v>
      </c>
      <c r="D1594" s="211" t="s">
        <v>122</v>
      </c>
      <c r="E1594" s="254">
        <v>1</v>
      </c>
      <c r="F1594" s="386">
        <f>F1593*E1594</f>
        <v>0</v>
      </c>
      <c r="G1594" s="523"/>
      <c r="H1594" s="604"/>
      <c r="I1594" s="225">
        <v>0.5</v>
      </c>
      <c r="J1594" s="225">
        <f>F1594*I1594</f>
        <v>0</v>
      </c>
      <c r="K1594" s="225"/>
      <c r="L1594" s="225"/>
      <c r="M1594" s="225">
        <f>H1594+J1594+L1594</f>
        <v>0</v>
      </c>
    </row>
    <row r="1595" spans="1:13" s="95" customFormat="1" hidden="1">
      <c r="A1595" s="83"/>
      <c r="B1595" s="253"/>
      <c r="C1595" s="226" t="s">
        <v>181</v>
      </c>
      <c r="D1595" s="83" t="s">
        <v>57</v>
      </c>
      <c r="E1595" s="240">
        <v>2.1700000000000001E-2</v>
      </c>
      <c r="F1595" s="386">
        <f>F1593*E1595</f>
        <v>0</v>
      </c>
      <c r="G1595" s="523"/>
      <c r="H1595" s="225"/>
      <c r="I1595" s="225"/>
      <c r="J1595" s="225"/>
      <c r="K1595" s="225">
        <v>3.2</v>
      </c>
      <c r="L1595" s="225">
        <f>F1595*K1595</f>
        <v>0</v>
      </c>
      <c r="M1595" s="225">
        <f>H1595+J1595+L1595</f>
        <v>0</v>
      </c>
    </row>
    <row r="1596" spans="1:13" s="95" customFormat="1" hidden="1">
      <c r="A1596" s="83"/>
      <c r="B1596" s="253"/>
      <c r="C1596" s="15" t="s">
        <v>210</v>
      </c>
      <c r="D1596" s="211"/>
      <c r="E1596" s="240"/>
      <c r="F1596" s="386"/>
      <c r="G1596" s="523"/>
      <c r="H1596" s="225"/>
      <c r="I1596" s="225"/>
      <c r="J1596" s="225"/>
      <c r="K1596" s="225"/>
      <c r="L1596" s="225"/>
      <c r="M1596" s="225"/>
    </row>
    <row r="1597" spans="1:13" s="95" customFormat="1" ht="13.5" hidden="1" customHeight="1">
      <c r="A1597" s="83"/>
      <c r="B1597" s="253"/>
      <c r="C1597" s="226" t="s">
        <v>747</v>
      </c>
      <c r="D1597" s="41" t="s">
        <v>122</v>
      </c>
      <c r="E1597" s="211">
        <v>0.93700000000000006</v>
      </c>
      <c r="F1597" s="386">
        <f>F1593*E1597</f>
        <v>0</v>
      </c>
      <c r="G1597" s="225">
        <v>3.9</v>
      </c>
      <c r="H1597" s="225">
        <f>F1597*G1597</f>
        <v>0</v>
      </c>
      <c r="I1597" s="225"/>
      <c r="J1597" s="225"/>
      <c r="K1597" s="225"/>
      <c r="L1597" s="225"/>
      <c r="M1597" s="225">
        <f>H1597+J1597+L1597</f>
        <v>0</v>
      </c>
    </row>
    <row r="1598" spans="1:13" s="95" customFormat="1" hidden="1">
      <c r="A1598" s="86"/>
      <c r="B1598" s="255"/>
      <c r="C1598" s="229" t="s">
        <v>214</v>
      </c>
      <c r="D1598" s="86" t="s">
        <v>57</v>
      </c>
      <c r="E1598" s="241">
        <v>7.0800000000000002E-2</v>
      </c>
      <c r="F1598" s="387">
        <f>F1593*E1598</f>
        <v>0</v>
      </c>
      <c r="G1598" s="393">
        <v>3.2</v>
      </c>
      <c r="H1598" s="393">
        <f>F1598*G1598</f>
        <v>0</v>
      </c>
      <c r="I1598" s="393"/>
      <c r="J1598" s="393"/>
      <c r="K1598" s="393"/>
      <c r="L1598" s="393"/>
      <c r="M1598" s="393">
        <f>H1598+J1598+L1598</f>
        <v>0</v>
      </c>
    </row>
    <row r="1599" spans="1:13" s="95" customFormat="1" hidden="1">
      <c r="A1599" s="83">
        <v>8</v>
      </c>
      <c r="B1599" s="251" t="s">
        <v>328</v>
      </c>
      <c r="C1599" s="151" t="s">
        <v>748</v>
      </c>
      <c r="D1599" s="47" t="s">
        <v>122</v>
      </c>
      <c r="E1599" s="94"/>
      <c r="F1599" s="384">
        <f>'დეფექტური აქტი'!E361</f>
        <v>0</v>
      </c>
      <c r="G1599" s="225"/>
      <c r="H1599" s="225"/>
      <c r="I1599" s="523"/>
      <c r="J1599" s="604"/>
      <c r="K1599" s="225"/>
      <c r="L1599" s="225"/>
      <c r="M1599" s="225"/>
    </row>
    <row r="1600" spans="1:13" s="95" customFormat="1" ht="27" hidden="1">
      <c r="A1600" s="83"/>
      <c r="B1600" s="253" t="s">
        <v>99</v>
      </c>
      <c r="C1600" s="226" t="s">
        <v>79</v>
      </c>
      <c r="D1600" s="211" t="s">
        <v>122</v>
      </c>
      <c r="E1600" s="94">
        <v>1</v>
      </c>
      <c r="F1600" s="386">
        <f>F1599*E1600</f>
        <v>0</v>
      </c>
      <c r="G1600" s="225"/>
      <c r="H1600" s="225"/>
      <c r="I1600" s="225">
        <v>0.5</v>
      </c>
      <c r="J1600" s="225">
        <f>F1600*I1600</f>
        <v>0</v>
      </c>
      <c r="K1600" s="225"/>
      <c r="L1600" s="225"/>
      <c r="M1600" s="225">
        <f>H1600+J1600+L1600</f>
        <v>0</v>
      </c>
    </row>
    <row r="1601" spans="1:13" s="95" customFormat="1" hidden="1">
      <c r="A1601" s="83"/>
      <c r="B1601" s="253"/>
      <c r="C1601" s="226" t="s">
        <v>181</v>
      </c>
      <c r="D1601" s="83" t="s">
        <v>57</v>
      </c>
      <c r="E1601" s="240">
        <v>3.1399999999999997E-2</v>
      </c>
      <c r="F1601" s="386">
        <f>F1599*E1601</f>
        <v>0</v>
      </c>
      <c r="G1601" s="225"/>
      <c r="H1601" s="225"/>
      <c r="I1601" s="225"/>
      <c r="J1601" s="225"/>
      <c r="K1601" s="225">
        <v>3.2</v>
      </c>
      <c r="L1601" s="225">
        <f>F1601*K1601</f>
        <v>0</v>
      </c>
      <c r="M1601" s="225">
        <f>H1601+J1601+L1601</f>
        <v>0</v>
      </c>
    </row>
    <row r="1602" spans="1:13" s="95" customFormat="1" hidden="1">
      <c r="A1602" s="83"/>
      <c r="B1602" s="253"/>
      <c r="C1602" s="15" t="s">
        <v>210</v>
      </c>
      <c r="D1602" s="211"/>
      <c r="E1602" s="240"/>
      <c r="F1602" s="386"/>
      <c r="G1602" s="225"/>
      <c r="H1602" s="225"/>
      <c r="I1602" s="523"/>
      <c r="J1602" s="225"/>
      <c r="K1602" s="225"/>
      <c r="L1602" s="225"/>
      <c r="M1602" s="225"/>
    </row>
    <row r="1603" spans="1:13" s="95" customFormat="1" hidden="1">
      <c r="A1603" s="83"/>
      <c r="B1603" s="253"/>
      <c r="C1603" s="84" t="s">
        <v>748</v>
      </c>
      <c r="D1603" s="41" t="s">
        <v>122</v>
      </c>
      <c r="E1603" s="211">
        <v>0.94599999999999995</v>
      </c>
      <c r="F1603" s="386">
        <f>F1599*E1603</f>
        <v>0</v>
      </c>
      <c r="G1603" s="225">
        <v>5.3</v>
      </c>
      <c r="H1603" s="225">
        <f>F1603*G1603</f>
        <v>0</v>
      </c>
      <c r="I1603" s="225"/>
      <c r="J1603" s="225"/>
      <c r="K1603" s="225"/>
      <c r="L1603" s="225"/>
      <c r="M1603" s="225">
        <f>H1603+J1603+L1603</f>
        <v>0</v>
      </c>
    </row>
    <row r="1604" spans="1:13" s="95" customFormat="1" hidden="1">
      <c r="A1604" s="86"/>
      <c r="B1604" s="255"/>
      <c r="C1604" s="229" t="s">
        <v>214</v>
      </c>
      <c r="D1604" s="86" t="s">
        <v>57</v>
      </c>
      <c r="E1604" s="241">
        <v>6.5199999999999994E-2</v>
      </c>
      <c r="F1604" s="387">
        <f>F1599*E1604</f>
        <v>0</v>
      </c>
      <c r="G1604" s="393">
        <v>3.2</v>
      </c>
      <c r="H1604" s="393">
        <f>F1604*G1604</f>
        <v>0</v>
      </c>
      <c r="I1604" s="393"/>
      <c r="J1604" s="393"/>
      <c r="K1604" s="393"/>
      <c r="L1604" s="393"/>
      <c r="M1604" s="393">
        <f>H1604+J1604+L1604</f>
        <v>0</v>
      </c>
    </row>
    <row r="1605" spans="1:13" s="95" customFormat="1" hidden="1">
      <c r="A1605" s="83">
        <v>9</v>
      </c>
      <c r="B1605" s="251" t="s">
        <v>328</v>
      </c>
      <c r="C1605" s="151" t="s">
        <v>1261</v>
      </c>
      <c r="D1605" s="47" t="s">
        <v>122</v>
      </c>
      <c r="E1605" s="94"/>
      <c r="F1605" s="384">
        <f>'დეფექტური აქტი'!E362</f>
        <v>0</v>
      </c>
      <c r="G1605" s="225"/>
      <c r="H1605" s="225"/>
      <c r="I1605" s="523"/>
      <c r="J1605" s="604"/>
      <c r="K1605" s="225"/>
      <c r="L1605" s="225"/>
      <c r="M1605" s="225"/>
    </row>
    <row r="1606" spans="1:13" s="95" customFormat="1" hidden="1">
      <c r="A1606" s="83"/>
      <c r="B1606" s="253" t="s">
        <v>1127</v>
      </c>
      <c r="C1606" s="226" t="s">
        <v>79</v>
      </c>
      <c r="D1606" s="211" t="s">
        <v>122</v>
      </c>
      <c r="E1606" s="94">
        <v>1</v>
      </c>
      <c r="F1606" s="386">
        <f>F1605*E1606</f>
        <v>0</v>
      </c>
      <c r="G1606" s="225"/>
      <c r="H1606" s="225"/>
      <c r="I1606" s="225">
        <v>1</v>
      </c>
      <c r="J1606" s="225">
        <f>F1606*I1606</f>
        <v>0</v>
      </c>
      <c r="K1606" s="225"/>
      <c r="L1606" s="225"/>
      <c r="M1606" s="225">
        <f>H1606+J1606+L1606</f>
        <v>0</v>
      </c>
    </row>
    <row r="1607" spans="1:13" s="95" customFormat="1" hidden="1">
      <c r="A1607" s="83"/>
      <c r="B1607" s="253"/>
      <c r="C1607" s="226" t="s">
        <v>181</v>
      </c>
      <c r="D1607" s="83" t="s">
        <v>57</v>
      </c>
      <c r="E1607" s="240">
        <v>3.1399999999999997E-2</v>
      </c>
      <c r="F1607" s="386">
        <f>F1605*E1607</f>
        <v>0</v>
      </c>
      <c r="G1607" s="225"/>
      <c r="H1607" s="225"/>
      <c r="I1607" s="225"/>
      <c r="J1607" s="225"/>
      <c r="K1607" s="225">
        <v>3.2</v>
      </c>
      <c r="L1607" s="225">
        <f>F1607*K1607</f>
        <v>0</v>
      </c>
      <c r="M1607" s="225">
        <f>H1607+J1607+L1607</f>
        <v>0</v>
      </c>
    </row>
    <row r="1608" spans="1:13" s="95" customFormat="1" hidden="1">
      <c r="A1608" s="83"/>
      <c r="B1608" s="253"/>
      <c r="C1608" s="15" t="s">
        <v>210</v>
      </c>
      <c r="D1608" s="211"/>
      <c r="E1608" s="240"/>
      <c r="F1608" s="386"/>
      <c r="G1608" s="225"/>
      <c r="H1608" s="225"/>
      <c r="I1608" s="523"/>
      <c r="J1608" s="225"/>
      <c r="K1608" s="225"/>
      <c r="L1608" s="225"/>
      <c r="M1608" s="225"/>
    </row>
    <row r="1609" spans="1:13" s="95" customFormat="1" hidden="1">
      <c r="A1609" s="83"/>
      <c r="B1609" s="253"/>
      <c r="C1609" s="84" t="s">
        <v>749</v>
      </c>
      <c r="D1609" s="41" t="s">
        <v>122</v>
      </c>
      <c r="E1609" s="211">
        <v>0.94599999999999995</v>
      </c>
      <c r="F1609" s="386">
        <f>F1605*E1609</f>
        <v>0</v>
      </c>
      <c r="G1609" s="225">
        <v>8.1999999999999993</v>
      </c>
      <c r="H1609" s="225">
        <f>F1609*G1609</f>
        <v>0</v>
      </c>
      <c r="I1609" s="225"/>
      <c r="J1609" s="225"/>
      <c r="K1609" s="225"/>
      <c r="L1609" s="225"/>
      <c r="M1609" s="225">
        <f>H1609+J1609+L1609</f>
        <v>0</v>
      </c>
    </row>
    <row r="1610" spans="1:13" s="95" customFormat="1" hidden="1">
      <c r="A1610" s="86"/>
      <c r="B1610" s="255"/>
      <c r="C1610" s="229" t="s">
        <v>214</v>
      </c>
      <c r="D1610" s="86" t="s">
        <v>57</v>
      </c>
      <c r="E1610" s="241">
        <v>6.5199999999999994E-2</v>
      </c>
      <c r="F1610" s="387">
        <f>F1605*E1610</f>
        <v>0</v>
      </c>
      <c r="G1610" s="393">
        <v>3.2</v>
      </c>
      <c r="H1610" s="393">
        <f>F1610*G1610</f>
        <v>0</v>
      </c>
      <c r="I1610" s="393"/>
      <c r="J1610" s="393"/>
      <c r="K1610" s="393"/>
      <c r="L1610" s="393"/>
      <c r="M1610" s="393">
        <f>H1610+J1610+L1610</f>
        <v>0</v>
      </c>
    </row>
    <row r="1611" spans="1:13" s="95" customFormat="1" hidden="1">
      <c r="A1611" s="83">
        <v>10</v>
      </c>
      <c r="B1611" s="251" t="s">
        <v>673</v>
      </c>
      <c r="C1611" s="151" t="s">
        <v>1262</v>
      </c>
      <c r="D1611" s="47" t="s">
        <v>122</v>
      </c>
      <c r="E1611" s="94"/>
      <c r="F1611" s="384">
        <f>'დეფექტური აქტი'!E363</f>
        <v>0</v>
      </c>
      <c r="G1611" s="225"/>
      <c r="H1611" s="225"/>
      <c r="I1611" s="523"/>
      <c r="J1611" s="604"/>
      <c r="K1611" s="225"/>
      <c r="L1611" s="225"/>
      <c r="M1611" s="225"/>
    </row>
    <row r="1612" spans="1:13" s="95" customFormat="1" hidden="1">
      <c r="A1612" s="83"/>
      <c r="B1612" s="253" t="s">
        <v>1127</v>
      </c>
      <c r="C1612" s="226" t="s">
        <v>79</v>
      </c>
      <c r="D1612" s="211" t="s">
        <v>122</v>
      </c>
      <c r="E1612" s="94">
        <v>1</v>
      </c>
      <c r="F1612" s="386">
        <f>F1611*E1612</f>
        <v>0</v>
      </c>
      <c r="G1612" s="225"/>
      <c r="H1612" s="225"/>
      <c r="I1612" s="225">
        <v>1</v>
      </c>
      <c r="J1612" s="225">
        <f>F1612*I1612</f>
        <v>0</v>
      </c>
      <c r="K1612" s="225"/>
      <c r="L1612" s="225"/>
      <c r="M1612" s="225">
        <f>H1612+J1612+L1612</f>
        <v>0</v>
      </c>
    </row>
    <row r="1613" spans="1:13" s="95" customFormat="1" hidden="1">
      <c r="A1613" s="83"/>
      <c r="B1613" s="253"/>
      <c r="C1613" s="226" t="s">
        <v>181</v>
      </c>
      <c r="D1613" s="83" t="s">
        <v>57</v>
      </c>
      <c r="E1613" s="240">
        <v>5.2499999999999998E-2</v>
      </c>
      <c r="F1613" s="386">
        <f>F1611*E1613</f>
        <v>0</v>
      </c>
      <c r="G1613" s="225"/>
      <c r="H1613" s="225"/>
      <c r="I1613" s="225"/>
      <c r="J1613" s="225"/>
      <c r="K1613" s="225">
        <v>3.2</v>
      </c>
      <c r="L1613" s="225">
        <f>F1613*K1613</f>
        <v>0</v>
      </c>
      <c r="M1613" s="225">
        <f>H1613+J1613+L1613</f>
        <v>0</v>
      </c>
    </row>
    <row r="1614" spans="1:13" s="95" customFormat="1" hidden="1">
      <c r="A1614" s="83"/>
      <c r="B1614" s="253"/>
      <c r="C1614" s="15" t="s">
        <v>210</v>
      </c>
      <c r="D1614" s="211"/>
      <c r="E1614" s="240"/>
      <c r="F1614" s="386"/>
      <c r="G1614" s="225"/>
      <c r="H1614" s="225"/>
      <c r="I1614" s="523"/>
      <c r="J1614" s="225"/>
      <c r="K1614" s="225"/>
      <c r="L1614" s="225"/>
      <c r="M1614" s="225"/>
    </row>
    <row r="1615" spans="1:13" s="95" customFormat="1" hidden="1">
      <c r="A1615" s="83"/>
      <c r="B1615" s="253"/>
      <c r="C1615" s="84" t="s">
        <v>1074</v>
      </c>
      <c r="D1615" s="41" t="s">
        <v>122</v>
      </c>
      <c r="E1615" s="211">
        <v>0.97399999999999998</v>
      </c>
      <c r="F1615" s="386">
        <f>F1611*E1615</f>
        <v>0</v>
      </c>
      <c r="G1615" s="225">
        <v>12.6</v>
      </c>
      <c r="H1615" s="225">
        <f>F1615*G1615</f>
        <v>0</v>
      </c>
      <c r="I1615" s="225"/>
      <c r="J1615" s="225"/>
      <c r="K1615" s="225"/>
      <c r="L1615" s="225"/>
      <c r="M1615" s="225">
        <f>H1615+J1615+L1615</f>
        <v>0</v>
      </c>
    </row>
    <row r="1616" spans="1:13" s="95" customFormat="1" hidden="1">
      <c r="A1616" s="86"/>
      <c r="B1616" s="255"/>
      <c r="C1616" s="229" t="s">
        <v>214</v>
      </c>
      <c r="D1616" s="86" t="s">
        <v>57</v>
      </c>
      <c r="E1616" s="241">
        <v>4.7800000000000002E-2</v>
      </c>
      <c r="F1616" s="387">
        <f>F1611*E1616</f>
        <v>0</v>
      </c>
      <c r="G1616" s="393">
        <v>3.2</v>
      </c>
      <c r="H1616" s="393">
        <f>F1616*G1616</f>
        <v>0</v>
      </c>
      <c r="I1616" s="393"/>
      <c r="J1616" s="393"/>
      <c r="K1616" s="393"/>
      <c r="L1616" s="393"/>
      <c r="M1616" s="393">
        <f>H1616+J1616+L1616</f>
        <v>0</v>
      </c>
    </row>
    <row r="1617" spans="1:13" s="95" customFormat="1" hidden="1">
      <c r="A1617" s="83">
        <v>11</v>
      </c>
      <c r="B1617" s="251" t="s">
        <v>673</v>
      </c>
      <c r="C1617" s="151" t="s">
        <v>1263</v>
      </c>
      <c r="D1617" s="370" t="s">
        <v>122</v>
      </c>
      <c r="E1617" s="94"/>
      <c r="F1617" s="384">
        <f>'დეფექტური აქტი'!E364</f>
        <v>0</v>
      </c>
      <c r="G1617" s="225"/>
      <c r="H1617" s="225"/>
      <c r="I1617" s="523"/>
      <c r="J1617" s="604"/>
      <c r="K1617" s="225"/>
      <c r="L1617" s="225"/>
      <c r="M1617" s="225"/>
    </row>
    <row r="1618" spans="1:13" s="95" customFormat="1" hidden="1">
      <c r="A1618" s="83"/>
      <c r="B1618" s="253" t="s">
        <v>1127</v>
      </c>
      <c r="C1618" s="226" t="s">
        <v>79</v>
      </c>
      <c r="D1618" s="211" t="s">
        <v>122</v>
      </c>
      <c r="E1618" s="94">
        <v>1</v>
      </c>
      <c r="F1618" s="386">
        <f>F1617*E1618</f>
        <v>0</v>
      </c>
      <c r="G1618" s="225"/>
      <c r="H1618" s="225"/>
      <c r="I1618" s="225">
        <v>1</v>
      </c>
      <c r="J1618" s="225">
        <f>F1618*I1618</f>
        <v>0</v>
      </c>
      <c r="K1618" s="225"/>
      <c r="L1618" s="225"/>
      <c r="M1618" s="225">
        <f>H1618+J1618+L1618</f>
        <v>0</v>
      </c>
    </row>
    <row r="1619" spans="1:13" s="95" customFormat="1" hidden="1">
      <c r="A1619" s="83"/>
      <c r="B1619" s="253"/>
      <c r="C1619" s="226" t="s">
        <v>181</v>
      </c>
      <c r="D1619" s="83" t="s">
        <v>57</v>
      </c>
      <c r="E1619" s="240">
        <v>4.7199999999999999E-2</v>
      </c>
      <c r="F1619" s="386">
        <f>F1617*E1619</f>
        <v>0</v>
      </c>
      <c r="G1619" s="225"/>
      <c r="H1619" s="225"/>
      <c r="I1619" s="225"/>
      <c r="J1619" s="225"/>
      <c r="K1619" s="225">
        <v>3.2</v>
      </c>
      <c r="L1619" s="225">
        <f>F1619*K1619</f>
        <v>0</v>
      </c>
      <c r="M1619" s="225">
        <f>H1619+J1619+L1619</f>
        <v>0</v>
      </c>
    </row>
    <row r="1620" spans="1:13" s="95" customFormat="1" hidden="1">
      <c r="A1620" s="83"/>
      <c r="B1620" s="253"/>
      <c r="C1620" s="365" t="s">
        <v>210</v>
      </c>
      <c r="D1620" s="211"/>
      <c r="E1620" s="240"/>
      <c r="F1620" s="386"/>
      <c r="G1620" s="225"/>
      <c r="H1620" s="225"/>
      <c r="I1620" s="523"/>
      <c r="J1620" s="225"/>
      <c r="K1620" s="225"/>
      <c r="L1620" s="225"/>
      <c r="M1620" s="225"/>
    </row>
    <row r="1621" spans="1:13" s="95" customFormat="1" hidden="1">
      <c r="A1621" s="83"/>
      <c r="B1621" s="253"/>
      <c r="C1621" s="84" t="s">
        <v>943</v>
      </c>
      <c r="D1621" s="371" t="s">
        <v>122</v>
      </c>
      <c r="E1621" s="211">
        <v>0.97399999999999998</v>
      </c>
      <c r="F1621" s="386">
        <f>F1617*E1621</f>
        <v>0</v>
      </c>
      <c r="G1621" s="225">
        <v>17.7</v>
      </c>
      <c r="H1621" s="225">
        <f>F1621*G1621</f>
        <v>0</v>
      </c>
      <c r="I1621" s="225"/>
      <c r="J1621" s="225"/>
      <c r="K1621" s="225"/>
      <c r="L1621" s="225"/>
      <c r="M1621" s="225">
        <f>H1621+J1621+L1621</f>
        <v>0</v>
      </c>
    </row>
    <row r="1622" spans="1:13" s="95" customFormat="1" hidden="1">
      <c r="A1622" s="86"/>
      <c r="B1622" s="255"/>
      <c r="C1622" s="229" t="s">
        <v>214</v>
      </c>
      <c r="D1622" s="86" t="s">
        <v>57</v>
      </c>
      <c r="E1622" s="241">
        <v>4.2500000000000003E-2</v>
      </c>
      <c r="F1622" s="387">
        <f>F1617*E1622</f>
        <v>0</v>
      </c>
      <c r="G1622" s="393">
        <v>3.2</v>
      </c>
      <c r="H1622" s="393">
        <f>F1622*G1622</f>
        <v>0</v>
      </c>
      <c r="I1622" s="393"/>
      <c r="J1622" s="393"/>
      <c r="K1622" s="393"/>
      <c r="L1622" s="393"/>
      <c r="M1622" s="393">
        <f>H1622+J1622+L1622</f>
        <v>0</v>
      </c>
    </row>
    <row r="1623" spans="1:13" s="95" customFormat="1" ht="27" hidden="1">
      <c r="A1623" s="140"/>
      <c r="B1623" s="251" t="s">
        <v>331</v>
      </c>
      <c r="C1623" s="278" t="s">
        <v>1073</v>
      </c>
      <c r="D1623" s="140" t="s">
        <v>113</v>
      </c>
      <c r="E1623" s="153"/>
      <c r="F1623" s="384">
        <f>F1627+F1628+F1629+F1630+F1631+F1632</f>
        <v>0</v>
      </c>
      <c r="G1623" s="608"/>
      <c r="H1623" s="609"/>
      <c r="I1623" s="422"/>
      <c r="J1623" s="422"/>
      <c r="K1623" s="422"/>
      <c r="L1623" s="422"/>
      <c r="M1623" s="422"/>
    </row>
    <row r="1624" spans="1:13" s="95" customFormat="1" hidden="1">
      <c r="A1624" s="83"/>
      <c r="B1624" s="253" t="s">
        <v>1127</v>
      </c>
      <c r="C1624" s="226" t="s">
        <v>209</v>
      </c>
      <c r="D1624" s="83" t="s">
        <v>113</v>
      </c>
      <c r="E1624" s="94">
        <v>1</v>
      </c>
      <c r="F1624" s="386">
        <f>F1623*E1624</f>
        <v>0</v>
      </c>
      <c r="G1624" s="523"/>
      <c r="H1624" s="604"/>
      <c r="I1624" s="225">
        <v>1</v>
      </c>
      <c r="J1624" s="225">
        <f>F1624*I1624</f>
        <v>0</v>
      </c>
      <c r="K1624" s="225"/>
      <c r="L1624" s="225"/>
      <c r="M1624" s="225">
        <f>H1624+J1624+L1624</f>
        <v>0</v>
      </c>
    </row>
    <row r="1625" spans="1:13" s="95" customFormat="1" hidden="1">
      <c r="A1625" s="83"/>
      <c r="B1625" s="253"/>
      <c r="C1625" s="226" t="s">
        <v>133</v>
      </c>
      <c r="D1625" s="83" t="s">
        <v>57</v>
      </c>
      <c r="E1625" s="240">
        <v>0.13</v>
      </c>
      <c r="F1625" s="386">
        <f>F1623*E1625</f>
        <v>0</v>
      </c>
      <c r="G1625" s="523"/>
      <c r="H1625" s="225"/>
      <c r="I1625" s="225"/>
      <c r="J1625" s="225"/>
      <c r="K1625" s="225">
        <v>3.2</v>
      </c>
      <c r="L1625" s="225">
        <f>F1625*K1625</f>
        <v>0</v>
      </c>
      <c r="M1625" s="225">
        <f>H1625+J1625+L1625</f>
        <v>0</v>
      </c>
    </row>
    <row r="1626" spans="1:13" s="95" customFormat="1" hidden="1">
      <c r="A1626" s="83"/>
      <c r="B1626" s="253"/>
      <c r="C1626" s="15" t="s">
        <v>210</v>
      </c>
      <c r="D1626" s="211"/>
      <c r="E1626" s="240"/>
      <c r="F1626" s="386"/>
      <c r="G1626" s="523"/>
      <c r="H1626" s="225"/>
      <c r="I1626" s="225"/>
      <c r="J1626" s="225"/>
      <c r="K1626" s="225"/>
      <c r="L1626" s="225"/>
      <c r="M1626" s="225"/>
    </row>
    <row r="1627" spans="1:13" s="95" customFormat="1" hidden="1">
      <c r="A1627" s="83">
        <v>12</v>
      </c>
      <c r="B1627" s="253"/>
      <c r="C1627" s="84" t="s">
        <v>1061</v>
      </c>
      <c r="D1627" s="83" t="s">
        <v>113</v>
      </c>
      <c r="E1627" s="240">
        <v>1</v>
      </c>
      <c r="F1627" s="388">
        <f>'დეფექტური აქტი'!E365</f>
        <v>0</v>
      </c>
      <c r="G1627" s="225">
        <v>7.6</v>
      </c>
      <c r="H1627" s="225">
        <f t="shared" ref="H1627:H1637" si="27">F1627*G1627</f>
        <v>0</v>
      </c>
      <c r="I1627" s="225"/>
      <c r="J1627" s="225"/>
      <c r="K1627" s="225"/>
      <c r="L1627" s="225"/>
      <c r="M1627" s="225">
        <f t="shared" ref="M1627:M1637" si="28">H1627+J1627+L1627</f>
        <v>0</v>
      </c>
    </row>
    <row r="1628" spans="1:13" s="95" customFormat="1" hidden="1">
      <c r="A1628" s="83">
        <v>13</v>
      </c>
      <c r="B1628" s="253"/>
      <c r="C1628" s="226" t="s">
        <v>1062</v>
      </c>
      <c r="D1628" s="83" t="s">
        <v>113</v>
      </c>
      <c r="E1628" s="240">
        <v>1</v>
      </c>
      <c r="F1628" s="388">
        <f>'დეფექტური აქტი'!E366</f>
        <v>0</v>
      </c>
      <c r="G1628" s="225">
        <v>10.199999999999999</v>
      </c>
      <c r="H1628" s="225">
        <f t="shared" si="27"/>
        <v>0</v>
      </c>
      <c r="I1628" s="225"/>
      <c r="J1628" s="225"/>
      <c r="K1628" s="225"/>
      <c r="L1628" s="225"/>
      <c r="M1628" s="225">
        <f t="shared" si="28"/>
        <v>0</v>
      </c>
    </row>
    <row r="1629" spans="1:13" s="95" customFormat="1" hidden="1">
      <c r="A1629" s="83">
        <v>14</v>
      </c>
      <c r="B1629" s="253"/>
      <c r="C1629" s="226" t="s">
        <v>1063</v>
      </c>
      <c r="D1629" s="83" t="s">
        <v>113</v>
      </c>
      <c r="E1629" s="240">
        <v>1</v>
      </c>
      <c r="F1629" s="388">
        <f>'დეფექტური აქტი'!E367</f>
        <v>0</v>
      </c>
      <c r="G1629" s="225">
        <v>12.7</v>
      </c>
      <c r="H1629" s="225">
        <f t="shared" si="27"/>
        <v>0</v>
      </c>
      <c r="I1629" s="225"/>
      <c r="J1629" s="225"/>
      <c r="K1629" s="225"/>
      <c r="L1629" s="225"/>
      <c r="M1629" s="225">
        <f t="shared" si="28"/>
        <v>0</v>
      </c>
    </row>
    <row r="1630" spans="1:13" s="95" customFormat="1" hidden="1">
      <c r="A1630" s="83">
        <v>15</v>
      </c>
      <c r="B1630" s="253"/>
      <c r="C1630" s="256" t="s">
        <v>1064</v>
      </c>
      <c r="D1630" s="83" t="s">
        <v>113</v>
      </c>
      <c r="E1630" s="240">
        <v>1</v>
      </c>
      <c r="F1630" s="388">
        <f>'დეფექტური აქტი'!E368</f>
        <v>0</v>
      </c>
      <c r="G1630" s="225">
        <v>21.2</v>
      </c>
      <c r="H1630" s="225">
        <f t="shared" si="27"/>
        <v>0</v>
      </c>
      <c r="I1630" s="225"/>
      <c r="J1630" s="225"/>
      <c r="K1630" s="225"/>
      <c r="L1630" s="225"/>
      <c r="M1630" s="225">
        <f t="shared" si="28"/>
        <v>0</v>
      </c>
    </row>
    <row r="1631" spans="1:13" s="95" customFormat="1" hidden="1">
      <c r="A1631" s="83">
        <v>16</v>
      </c>
      <c r="B1631" s="253"/>
      <c r="C1631" s="226" t="s">
        <v>1065</v>
      </c>
      <c r="D1631" s="83" t="s">
        <v>113</v>
      </c>
      <c r="E1631" s="240">
        <v>1</v>
      </c>
      <c r="F1631" s="388">
        <f>'დეფექტური აქტი'!E369</f>
        <v>0</v>
      </c>
      <c r="G1631" s="225">
        <v>29.7</v>
      </c>
      <c r="H1631" s="225">
        <f t="shared" si="27"/>
        <v>0</v>
      </c>
      <c r="I1631" s="225"/>
      <c r="J1631" s="225"/>
      <c r="K1631" s="225"/>
      <c r="L1631" s="225"/>
      <c r="M1631" s="225">
        <f t="shared" si="28"/>
        <v>0</v>
      </c>
    </row>
    <row r="1632" spans="1:13" s="95" customFormat="1" hidden="1">
      <c r="A1632" s="83">
        <v>17</v>
      </c>
      <c r="B1632" s="253"/>
      <c r="C1632" s="226" t="s">
        <v>1066</v>
      </c>
      <c r="D1632" s="83" t="s">
        <v>113</v>
      </c>
      <c r="E1632" s="240">
        <v>1</v>
      </c>
      <c r="F1632" s="388">
        <f>'დეფექტური აქტი'!E370</f>
        <v>0</v>
      </c>
      <c r="G1632" s="225">
        <v>46.6</v>
      </c>
      <c r="H1632" s="225">
        <f t="shared" si="27"/>
        <v>0</v>
      </c>
      <c r="I1632" s="225"/>
      <c r="J1632" s="225"/>
      <c r="K1632" s="225"/>
      <c r="L1632" s="225"/>
      <c r="M1632" s="225">
        <f t="shared" si="28"/>
        <v>0</v>
      </c>
    </row>
    <row r="1633" spans="1:13" s="95" customFormat="1" hidden="1">
      <c r="A1633" s="83">
        <v>18</v>
      </c>
      <c r="B1633" s="253"/>
      <c r="C1633" s="226" t="s">
        <v>1260</v>
      </c>
      <c r="D1633" s="83" t="s">
        <v>113</v>
      </c>
      <c r="E1633" s="240">
        <v>1</v>
      </c>
      <c r="F1633" s="388">
        <f>'დეფექტური აქტი'!E371</f>
        <v>0</v>
      </c>
      <c r="G1633" s="225">
        <v>63.6</v>
      </c>
      <c r="H1633" s="225">
        <f>F1633*G1633</f>
        <v>0</v>
      </c>
      <c r="I1633" s="225"/>
      <c r="J1633" s="225"/>
      <c r="K1633" s="225"/>
      <c r="L1633" s="225"/>
      <c r="M1633" s="225">
        <f>H1633+J1633+L1633</f>
        <v>0</v>
      </c>
    </row>
    <row r="1634" spans="1:13" s="95" customFormat="1" hidden="1">
      <c r="A1634" s="86"/>
      <c r="B1634" s="255"/>
      <c r="C1634" s="229" t="s">
        <v>214</v>
      </c>
      <c r="D1634" s="86" t="s">
        <v>57</v>
      </c>
      <c r="E1634" s="241">
        <v>7.0000000000000007E-2</v>
      </c>
      <c r="F1634" s="387">
        <f>F1623*E1634</f>
        <v>0</v>
      </c>
      <c r="G1634" s="393">
        <v>3.2</v>
      </c>
      <c r="H1634" s="393">
        <f t="shared" si="27"/>
        <v>0</v>
      </c>
      <c r="I1634" s="393"/>
      <c r="J1634" s="393"/>
      <c r="K1634" s="393"/>
      <c r="L1634" s="393"/>
      <c r="M1634" s="393">
        <f t="shared" si="28"/>
        <v>0</v>
      </c>
    </row>
    <row r="1635" spans="1:13" s="95" customFormat="1" hidden="1">
      <c r="A1635" s="86">
        <v>19</v>
      </c>
      <c r="B1635" s="257"/>
      <c r="C1635" s="229" t="s">
        <v>706</v>
      </c>
      <c r="D1635" s="86" t="s">
        <v>113</v>
      </c>
      <c r="E1635" s="241"/>
      <c r="F1635" s="388">
        <f>'დეფექტური აქტი'!E372</f>
        <v>0</v>
      </c>
      <c r="G1635" s="393">
        <v>0.5</v>
      </c>
      <c r="H1635" s="393">
        <f t="shared" si="27"/>
        <v>0</v>
      </c>
      <c r="I1635" s="393"/>
      <c r="J1635" s="393"/>
      <c r="K1635" s="393"/>
      <c r="L1635" s="393"/>
      <c r="M1635" s="393">
        <f t="shared" si="28"/>
        <v>0</v>
      </c>
    </row>
    <row r="1636" spans="1:13" s="95" customFormat="1" hidden="1">
      <c r="A1636" s="24">
        <v>20</v>
      </c>
      <c r="B1636" s="258"/>
      <c r="C1636" s="100" t="s">
        <v>639</v>
      </c>
      <c r="D1636" s="24" t="s">
        <v>113</v>
      </c>
      <c r="E1636" s="259"/>
      <c r="F1636" s="384">
        <f>'დეფექტური აქტი'!E373</f>
        <v>0</v>
      </c>
      <c r="G1636" s="607">
        <v>0.4</v>
      </c>
      <c r="H1636" s="607">
        <f t="shared" si="27"/>
        <v>0</v>
      </c>
      <c r="I1636" s="607"/>
      <c r="J1636" s="607"/>
      <c r="K1636" s="607"/>
      <c r="L1636" s="607"/>
      <c r="M1636" s="607">
        <f t="shared" si="28"/>
        <v>0</v>
      </c>
    </row>
    <row r="1637" spans="1:13" s="95" customFormat="1" hidden="1">
      <c r="A1637" s="24">
        <v>21</v>
      </c>
      <c r="B1637" s="258"/>
      <c r="C1637" s="260" t="s">
        <v>497</v>
      </c>
      <c r="D1637" s="24" t="s">
        <v>113</v>
      </c>
      <c r="E1637" s="261"/>
      <c r="F1637" s="384">
        <f>'დეფექტური აქტი'!E374</f>
        <v>0</v>
      </c>
      <c r="G1637" s="922">
        <v>2.9</v>
      </c>
      <c r="H1637" s="607">
        <f t="shared" si="27"/>
        <v>0</v>
      </c>
      <c r="I1637" s="607"/>
      <c r="J1637" s="607"/>
      <c r="K1637" s="607"/>
      <c r="L1637" s="607"/>
      <c r="M1637" s="607">
        <f t="shared" si="28"/>
        <v>0</v>
      </c>
    </row>
    <row r="1638" spans="1:13" s="93" customFormat="1" ht="27" hidden="1">
      <c r="A1638" s="139">
        <v>22</v>
      </c>
      <c r="B1638" s="1459" t="s">
        <v>555</v>
      </c>
      <c r="C1638" s="151" t="s">
        <v>1072</v>
      </c>
      <c r="D1638" s="228" t="s">
        <v>88</v>
      </c>
      <c r="E1638" s="248"/>
      <c r="F1638" s="384">
        <f>'დეფექტური აქტი'!E375</f>
        <v>0</v>
      </c>
      <c r="G1638" s="422"/>
      <c r="H1638" s="422"/>
      <c r="I1638" s="422"/>
      <c r="J1638" s="422"/>
      <c r="K1638" s="422"/>
      <c r="L1638" s="422"/>
      <c r="M1638" s="422"/>
    </row>
    <row r="1639" spans="1:13" s="93" customFormat="1" hidden="1">
      <c r="A1639" s="132"/>
      <c r="B1639" s="1460"/>
      <c r="C1639" s="226" t="s">
        <v>556</v>
      </c>
      <c r="D1639" s="211" t="s">
        <v>80</v>
      </c>
      <c r="E1639" s="94">
        <v>13.8</v>
      </c>
      <c r="F1639" s="386">
        <f>F1638*E1639</f>
        <v>0</v>
      </c>
      <c r="G1639" s="225"/>
      <c r="H1639" s="604"/>
      <c r="I1639" s="225">
        <v>4.5999999999999996</v>
      </c>
      <c r="J1639" s="225">
        <f>F1639*I1639</f>
        <v>0</v>
      </c>
      <c r="K1639" s="225"/>
      <c r="L1639" s="225"/>
      <c r="M1639" s="225">
        <f>H1639+J1639+L1639</f>
        <v>0</v>
      </c>
    </row>
    <row r="1640" spans="1:13" s="89" customFormat="1" hidden="1">
      <c r="A1640" s="132"/>
      <c r="B1640" s="1460"/>
      <c r="C1640" s="226" t="s">
        <v>181</v>
      </c>
      <c r="D1640" s="83" t="s">
        <v>57</v>
      </c>
      <c r="E1640" s="240">
        <v>0.17</v>
      </c>
      <c r="F1640" s="386">
        <f>F1638*E1640</f>
        <v>0</v>
      </c>
      <c r="G1640" s="225"/>
      <c r="H1640" s="225"/>
      <c r="I1640" s="225"/>
      <c r="J1640" s="225"/>
      <c r="K1640" s="225">
        <v>3.2</v>
      </c>
      <c r="L1640" s="225">
        <f>F1640*K1640</f>
        <v>0</v>
      </c>
      <c r="M1640" s="225">
        <f>H1640+J1640+L1640</f>
        <v>0</v>
      </c>
    </row>
    <row r="1641" spans="1:13" s="93" customFormat="1" hidden="1">
      <c r="A1641" s="132"/>
      <c r="B1641" s="1460"/>
      <c r="C1641" s="15" t="s">
        <v>210</v>
      </c>
      <c r="D1641" s="211"/>
      <c r="E1641" s="240"/>
      <c r="F1641" s="386"/>
      <c r="G1641" s="225"/>
      <c r="H1641" s="225"/>
      <c r="I1641" s="225"/>
      <c r="J1641" s="225"/>
      <c r="K1641" s="225"/>
      <c r="L1641" s="225"/>
      <c r="M1641" s="225"/>
    </row>
    <row r="1642" spans="1:13" s="93" customFormat="1" hidden="1">
      <c r="A1642" s="132"/>
      <c r="B1642" s="1460"/>
      <c r="C1642" s="226" t="s">
        <v>1084</v>
      </c>
      <c r="D1642" s="211" t="s">
        <v>78</v>
      </c>
      <c r="E1642" s="240">
        <v>1.03</v>
      </c>
      <c r="F1642" s="388">
        <f>E1642*F1638/0.05</f>
        <v>0</v>
      </c>
      <c r="G1642" s="610">
        <v>2.37</v>
      </c>
      <c r="H1642" s="225">
        <f>F1642*G1642</f>
        <v>0</v>
      </c>
      <c r="I1642" s="225"/>
      <c r="J1642" s="225"/>
      <c r="K1642" s="225"/>
      <c r="L1642" s="225"/>
      <c r="M1642" s="225">
        <f>H1642+J1642+L1642</f>
        <v>0</v>
      </c>
    </row>
    <row r="1643" spans="1:13" s="93" customFormat="1" hidden="1">
      <c r="A1643" s="132"/>
      <c r="B1643" s="1460"/>
      <c r="C1643" s="226" t="s">
        <v>955</v>
      </c>
      <c r="D1643" s="211" t="s">
        <v>97</v>
      </c>
      <c r="E1643" s="240">
        <v>10.6</v>
      </c>
      <c r="F1643" s="386">
        <f>F1638*E1643</f>
        <v>0</v>
      </c>
      <c r="G1643" s="225">
        <v>1.9</v>
      </c>
      <c r="H1643" s="225">
        <f>F1643*G1643</f>
        <v>0</v>
      </c>
      <c r="I1643" s="225"/>
      <c r="J1643" s="225"/>
      <c r="K1643" s="225"/>
      <c r="L1643" s="225"/>
      <c r="M1643" s="225">
        <f>H1643+J1643+L1643</f>
        <v>0</v>
      </c>
    </row>
    <row r="1644" spans="1:13" s="93" customFormat="1" hidden="1">
      <c r="A1644" s="132"/>
      <c r="B1644" s="1460"/>
      <c r="C1644" s="226" t="s">
        <v>956</v>
      </c>
      <c r="D1644" s="211" t="s">
        <v>97</v>
      </c>
      <c r="E1644" s="94">
        <v>1</v>
      </c>
      <c r="F1644" s="386">
        <f>F1638*E1644</f>
        <v>0</v>
      </c>
      <c r="G1644" s="225">
        <v>1.7</v>
      </c>
      <c r="H1644" s="225">
        <f>F1644*G1644</f>
        <v>0</v>
      </c>
      <c r="I1644" s="225"/>
      <c r="J1644" s="225"/>
      <c r="K1644" s="225"/>
      <c r="L1644" s="225"/>
      <c r="M1644" s="225">
        <f>H1644+J1644+L1644</f>
        <v>0</v>
      </c>
    </row>
    <row r="1645" spans="1:13" s="93" customFormat="1" hidden="1">
      <c r="A1645" s="133"/>
      <c r="B1645" s="1461"/>
      <c r="C1645" s="229" t="s">
        <v>214</v>
      </c>
      <c r="D1645" s="86" t="s">
        <v>57</v>
      </c>
      <c r="E1645" s="241">
        <v>0.9</v>
      </c>
      <c r="F1645" s="387">
        <f>F1638*E1645</f>
        <v>0</v>
      </c>
      <c r="G1645" s="393">
        <v>3.2</v>
      </c>
      <c r="H1645" s="393">
        <f>F1645*G1645</f>
        <v>0</v>
      </c>
      <c r="I1645" s="393"/>
      <c r="J1645" s="393"/>
      <c r="K1645" s="393"/>
      <c r="L1645" s="393"/>
      <c r="M1645" s="393">
        <f>H1645+J1645+L1645</f>
        <v>0</v>
      </c>
    </row>
    <row r="1646" spans="1:13" s="95" customFormat="1" hidden="1">
      <c r="A1646" s="83">
        <v>23</v>
      </c>
      <c r="B1646" s="1429" t="s">
        <v>529</v>
      </c>
      <c r="C1646" s="262" t="s">
        <v>498</v>
      </c>
      <c r="D1646" s="228" t="s">
        <v>640</v>
      </c>
      <c r="E1646" s="263"/>
      <c r="F1646" s="384">
        <f>'დეფექტური აქტი'!E376</f>
        <v>0</v>
      </c>
      <c r="G1646" s="523"/>
      <c r="H1646" s="604"/>
      <c r="I1646" s="225"/>
      <c r="J1646" s="225"/>
      <c r="K1646" s="225"/>
      <c r="L1646" s="225"/>
      <c r="M1646" s="225"/>
    </row>
    <row r="1647" spans="1:13" s="95" customFormat="1" hidden="1">
      <c r="A1647" s="83"/>
      <c r="B1647" s="1430"/>
      <c r="C1647" s="226" t="s">
        <v>79</v>
      </c>
      <c r="D1647" s="230" t="s">
        <v>640</v>
      </c>
      <c r="E1647" s="94">
        <v>1</v>
      </c>
      <c r="F1647" s="386">
        <f>F1646*E1647</f>
        <v>0</v>
      </c>
      <c r="G1647" s="523"/>
      <c r="H1647" s="604"/>
      <c r="I1647" s="225">
        <v>100</v>
      </c>
      <c r="J1647" s="225">
        <f>F1647*I1647</f>
        <v>0</v>
      </c>
      <c r="K1647" s="225"/>
      <c r="L1647" s="225"/>
      <c r="M1647" s="225">
        <f>H1647+J1647+L1647</f>
        <v>0</v>
      </c>
    </row>
    <row r="1648" spans="1:13">
      <c r="A1648" s="1193"/>
      <c r="B1648" s="81"/>
      <c r="C1648" s="113" t="s">
        <v>110</v>
      </c>
      <c r="D1648" s="97"/>
      <c r="E1648" s="9"/>
      <c r="F1648" s="382"/>
      <c r="G1648" s="382"/>
      <c r="H1648" s="401"/>
      <c r="I1648" s="401"/>
      <c r="J1648" s="401"/>
      <c r="K1648" s="401"/>
      <c r="L1648" s="401"/>
      <c r="M1648" s="401"/>
    </row>
    <row r="1649" spans="1:255">
      <c r="A1649" s="1193"/>
      <c r="B1649" s="81"/>
      <c r="C1649" s="70" t="s">
        <v>115</v>
      </c>
      <c r="D1649" s="124">
        <f>'დეფექტური აქტი'!E378%</f>
        <v>0.12</v>
      </c>
      <c r="E1649" s="6"/>
      <c r="F1649" s="398"/>
      <c r="G1649" s="398"/>
      <c r="H1649" s="401"/>
      <c r="I1649" s="401"/>
      <c r="J1649" s="401"/>
      <c r="K1649" s="382"/>
      <c r="L1649" s="401"/>
      <c r="M1649" s="401"/>
    </row>
    <row r="1650" spans="1:255">
      <c r="A1650" s="1193"/>
      <c r="B1650" s="81"/>
      <c r="C1650" s="112" t="s">
        <v>110</v>
      </c>
      <c r="D1650" s="97"/>
      <c r="E1650" s="6"/>
      <c r="F1650" s="398"/>
      <c r="G1650" s="398"/>
      <c r="H1650" s="401"/>
      <c r="I1650" s="401"/>
      <c r="J1650" s="401"/>
      <c r="K1650" s="401"/>
      <c r="L1650" s="401"/>
      <c r="M1650" s="401"/>
    </row>
    <row r="1651" spans="1:255">
      <c r="A1651" s="1193"/>
      <c r="B1651" s="81"/>
      <c r="C1651" s="71" t="s">
        <v>116</v>
      </c>
      <c r="D1651" s="124">
        <f>'დეფექტური აქტი'!E380%</f>
        <v>0.08</v>
      </c>
      <c r="E1651" s="6"/>
      <c r="F1651" s="398"/>
      <c r="G1651" s="398"/>
      <c r="H1651" s="401"/>
      <c r="I1651" s="382"/>
      <c r="J1651" s="401"/>
      <c r="K1651" s="382"/>
      <c r="L1651" s="401"/>
      <c r="M1651" s="401"/>
    </row>
    <row r="1652" spans="1:255">
      <c r="A1652" s="1193"/>
      <c r="B1652" s="81"/>
      <c r="C1652" s="112" t="s">
        <v>1377</v>
      </c>
      <c r="D1652" s="97"/>
      <c r="E1652" s="6"/>
      <c r="F1652" s="398"/>
      <c r="G1652" s="398"/>
      <c r="H1652" s="401"/>
      <c r="I1652" s="401"/>
      <c r="J1652" s="401"/>
      <c r="K1652" s="401"/>
      <c r="L1652" s="401"/>
      <c r="M1652" s="401"/>
    </row>
    <row r="1653" spans="1:255" hidden="1">
      <c r="A1653" s="81"/>
      <c r="B1653" s="81"/>
      <c r="C1653" s="206" t="s">
        <v>1340</v>
      </c>
      <c r="D1653" s="97"/>
      <c r="E1653" s="9"/>
      <c r="F1653" s="382"/>
      <c r="G1653" s="382"/>
      <c r="H1653" s="401"/>
      <c r="I1653" s="401"/>
      <c r="J1653" s="401"/>
      <c r="K1653" s="401"/>
      <c r="L1653" s="401"/>
      <c r="M1653" s="401"/>
    </row>
    <row r="1654" spans="1:255" s="359" customFormat="1" ht="28.5" hidden="1" customHeight="1">
      <c r="A1654" s="336">
        <v>1</v>
      </c>
      <c r="B1654" s="328" t="s">
        <v>1185</v>
      </c>
      <c r="C1654" s="329" t="s">
        <v>1378</v>
      </c>
      <c r="D1654" s="330" t="s">
        <v>88</v>
      </c>
      <c r="E1654" s="389"/>
      <c r="F1654" s="384">
        <f>'დეფექტური აქტი'!E383</f>
        <v>0</v>
      </c>
      <c r="G1654" s="389"/>
      <c r="H1654" s="389"/>
      <c r="I1654" s="389"/>
      <c r="J1654" s="389"/>
      <c r="K1654" s="389"/>
      <c r="L1654" s="389"/>
      <c r="M1654" s="389"/>
      <c r="N1654" s="358"/>
      <c r="O1654" s="797"/>
      <c r="P1654" s="798"/>
      <c r="Q1654" s="798"/>
      <c r="R1654" s="798"/>
      <c r="S1654" s="798"/>
      <c r="T1654" s="798"/>
      <c r="U1654" s="798"/>
      <c r="V1654" s="798"/>
      <c r="W1654" s="798"/>
      <c r="X1654" s="798"/>
      <c r="Y1654" s="798"/>
      <c r="Z1654" s="798"/>
      <c r="AA1654" s="797"/>
      <c r="AB1654" s="797"/>
      <c r="AC1654" s="797"/>
      <c r="AD1654" s="797"/>
      <c r="AE1654" s="797"/>
      <c r="AF1654" s="797"/>
      <c r="AG1654" s="797"/>
      <c r="AH1654" s="797"/>
      <c r="AI1654" s="797"/>
      <c r="AJ1654" s="797"/>
      <c r="AK1654" s="797"/>
      <c r="AL1654" s="797"/>
      <c r="AM1654" s="797"/>
      <c r="AN1654" s="797"/>
      <c r="AO1654" s="797"/>
      <c r="AP1654" s="797"/>
      <c r="AQ1654" s="797"/>
      <c r="AR1654" s="797"/>
      <c r="AS1654" s="797"/>
      <c r="AT1654" s="797"/>
      <c r="AU1654" s="797"/>
      <c r="AV1654" s="797"/>
      <c r="AW1654" s="797"/>
      <c r="AX1654" s="797"/>
      <c r="AY1654" s="797"/>
      <c r="AZ1654" s="797"/>
      <c r="BA1654" s="797"/>
      <c r="BB1654" s="797"/>
      <c r="BC1654" s="797"/>
      <c r="BD1654" s="797"/>
      <c r="BE1654" s="797"/>
      <c r="BF1654" s="797"/>
      <c r="BG1654" s="797"/>
      <c r="BH1654" s="797"/>
      <c r="BI1654" s="797"/>
      <c r="BJ1654" s="797"/>
      <c r="BK1654" s="797"/>
      <c r="BL1654" s="797"/>
      <c r="BM1654" s="797"/>
      <c r="BN1654" s="797"/>
      <c r="BO1654" s="797"/>
      <c r="BP1654" s="797"/>
      <c r="BQ1654" s="797"/>
      <c r="BR1654" s="797"/>
      <c r="BS1654" s="797"/>
      <c r="BT1654" s="797"/>
      <c r="BU1654" s="797"/>
      <c r="BV1654" s="797"/>
      <c r="BW1654" s="797"/>
      <c r="BX1654" s="797"/>
      <c r="BY1654" s="797"/>
      <c r="BZ1654" s="797"/>
      <c r="CA1654" s="797"/>
      <c r="CB1654" s="797"/>
      <c r="CC1654" s="797"/>
      <c r="CD1654" s="797"/>
      <c r="CE1654" s="797"/>
      <c r="CF1654" s="797"/>
      <c r="CG1654" s="797"/>
      <c r="CH1654" s="797"/>
      <c r="CI1654" s="797"/>
      <c r="CJ1654" s="797"/>
      <c r="CK1654" s="797"/>
      <c r="CL1654" s="797"/>
      <c r="CM1654" s="797"/>
      <c r="CN1654" s="797"/>
      <c r="CO1654" s="797"/>
      <c r="CP1654" s="797"/>
      <c r="CQ1654" s="797"/>
      <c r="CR1654" s="797"/>
      <c r="CS1654" s="797"/>
      <c r="CT1654" s="797"/>
      <c r="CU1654" s="797"/>
      <c r="CV1654" s="797"/>
      <c r="CW1654" s="797"/>
      <c r="CX1654" s="797"/>
      <c r="CY1654" s="797"/>
      <c r="CZ1654" s="797"/>
      <c r="DA1654" s="797"/>
      <c r="DB1654" s="797"/>
      <c r="DC1654" s="797"/>
      <c r="DD1654" s="797"/>
      <c r="DE1654" s="797"/>
      <c r="DF1654" s="797"/>
      <c r="DG1654" s="797"/>
      <c r="DH1654" s="797"/>
      <c r="DI1654" s="797"/>
      <c r="DJ1654" s="797"/>
      <c r="DK1654" s="797"/>
      <c r="DL1654" s="797"/>
      <c r="DM1654" s="797"/>
      <c r="DN1654" s="797"/>
      <c r="DO1654" s="797"/>
      <c r="DP1654" s="797"/>
      <c r="DQ1654" s="797"/>
      <c r="DR1654" s="797"/>
      <c r="DS1654" s="797"/>
      <c r="DT1654" s="797"/>
      <c r="DU1654" s="797"/>
      <c r="DV1654" s="797"/>
      <c r="DW1654" s="797"/>
      <c r="DX1654" s="797"/>
      <c r="DY1654" s="797"/>
      <c r="DZ1654" s="797"/>
      <c r="EA1654" s="797"/>
      <c r="EB1654" s="797"/>
      <c r="EC1654" s="797"/>
      <c r="ED1654" s="797"/>
      <c r="EE1654" s="797"/>
      <c r="EF1654" s="797"/>
      <c r="EG1654" s="797"/>
      <c r="EH1654" s="797"/>
      <c r="EI1654" s="797"/>
      <c r="EJ1654" s="797"/>
      <c r="EK1654" s="797"/>
      <c r="EL1654" s="797"/>
      <c r="EM1654" s="797"/>
      <c r="EN1654" s="797"/>
      <c r="EO1654" s="797"/>
      <c r="EP1654" s="797"/>
      <c r="EQ1654" s="797"/>
      <c r="ER1654" s="797"/>
      <c r="ES1654" s="797"/>
      <c r="ET1654" s="797"/>
      <c r="EU1654" s="797"/>
      <c r="EV1654" s="797"/>
      <c r="EW1654" s="797"/>
      <c r="EX1654" s="797"/>
      <c r="EY1654" s="797"/>
      <c r="EZ1654" s="797"/>
      <c r="FA1654" s="797"/>
      <c r="FB1654" s="797"/>
      <c r="FC1654" s="797"/>
      <c r="FD1654" s="797"/>
      <c r="FE1654" s="797"/>
      <c r="FF1654" s="797"/>
      <c r="FG1654" s="797"/>
      <c r="FH1654" s="797"/>
      <c r="FI1654" s="797"/>
      <c r="FJ1654" s="797"/>
      <c r="FK1654" s="797"/>
      <c r="FL1654" s="797"/>
      <c r="FM1654" s="797"/>
      <c r="FN1654" s="797"/>
      <c r="FO1654" s="797"/>
      <c r="FP1654" s="797"/>
      <c r="FQ1654" s="797"/>
      <c r="FR1654" s="797"/>
      <c r="FS1654" s="797"/>
      <c r="FT1654" s="797"/>
      <c r="FU1654" s="797"/>
      <c r="FV1654" s="797"/>
      <c r="FW1654" s="797"/>
      <c r="FX1654" s="797"/>
      <c r="FY1654" s="797"/>
      <c r="FZ1654" s="797"/>
      <c r="GA1654" s="797"/>
      <c r="GB1654" s="797"/>
      <c r="GC1654" s="797"/>
      <c r="GD1654" s="797"/>
      <c r="GE1654" s="797"/>
      <c r="GF1654" s="797"/>
      <c r="GG1654" s="797"/>
      <c r="GH1654" s="797"/>
      <c r="GI1654" s="797"/>
      <c r="GJ1654" s="797"/>
      <c r="GK1654" s="797"/>
      <c r="GL1654" s="797"/>
      <c r="GM1654" s="797"/>
      <c r="GN1654" s="797"/>
      <c r="GO1654" s="797"/>
      <c r="GP1654" s="797"/>
      <c r="GQ1654" s="797"/>
      <c r="GR1654" s="797"/>
      <c r="GS1654" s="797"/>
      <c r="GT1654" s="797"/>
      <c r="GU1654" s="797"/>
      <c r="GV1654" s="797"/>
      <c r="GW1654" s="797"/>
      <c r="GX1654" s="797"/>
      <c r="GY1654" s="797"/>
      <c r="GZ1654" s="797"/>
      <c r="HA1654" s="797"/>
      <c r="HB1654" s="797"/>
      <c r="HC1654" s="797"/>
      <c r="HD1654" s="797"/>
      <c r="HE1654" s="797"/>
      <c r="HF1654" s="797"/>
      <c r="HG1654" s="797"/>
      <c r="HH1654" s="797"/>
      <c r="HI1654" s="797"/>
      <c r="HJ1654" s="797"/>
      <c r="HK1654" s="797"/>
      <c r="HL1654" s="797"/>
      <c r="HM1654" s="797"/>
      <c r="HN1654" s="797"/>
      <c r="HO1654" s="797"/>
      <c r="HP1654" s="797"/>
      <c r="HQ1654" s="797"/>
      <c r="HR1654" s="797"/>
      <c r="HS1654" s="797"/>
      <c r="HT1654" s="797"/>
      <c r="HU1654" s="797"/>
      <c r="HV1654" s="797"/>
      <c r="HW1654" s="797"/>
      <c r="HX1654" s="797"/>
      <c r="HY1654" s="797"/>
      <c r="HZ1654" s="797"/>
      <c r="IA1654" s="797"/>
      <c r="IB1654" s="797"/>
      <c r="IC1654" s="797"/>
      <c r="ID1654" s="797"/>
      <c r="IE1654" s="797"/>
      <c r="IF1654" s="797"/>
      <c r="IG1654" s="797"/>
      <c r="IH1654" s="797"/>
      <c r="II1654" s="797"/>
      <c r="IJ1654" s="797"/>
      <c r="IK1654" s="797"/>
      <c r="IL1654" s="797"/>
      <c r="IM1654" s="797"/>
      <c r="IN1654" s="797"/>
      <c r="IO1654" s="797"/>
      <c r="IP1654" s="797"/>
      <c r="IQ1654" s="797"/>
      <c r="IR1654" s="797"/>
      <c r="IS1654" s="797"/>
      <c r="IT1654" s="797"/>
      <c r="IU1654" s="797"/>
    </row>
    <row r="1655" spans="1:255" s="359" customFormat="1" ht="15.75" hidden="1" customHeight="1">
      <c r="A1655" s="336"/>
      <c r="B1655" s="328"/>
      <c r="C1655" s="335" t="s">
        <v>209</v>
      </c>
      <c r="D1655" s="336" t="s">
        <v>80</v>
      </c>
      <c r="E1655" s="856">
        <v>0.02</v>
      </c>
      <c r="F1655" s="389">
        <f>F1654*E1655</f>
        <v>0</v>
      </c>
      <c r="G1655" s="389"/>
      <c r="H1655" s="389"/>
      <c r="I1655" s="389">
        <v>4.5999999999999996</v>
      </c>
      <c r="J1655" s="389">
        <f>F1655*I1655</f>
        <v>0</v>
      </c>
      <c r="K1655" s="389"/>
      <c r="L1655" s="389"/>
      <c r="M1655" s="389">
        <f>H1655+J1655+L1655</f>
        <v>0</v>
      </c>
      <c r="N1655" s="358"/>
      <c r="O1655" s="797"/>
      <c r="P1655" s="798"/>
      <c r="Q1655" s="798"/>
      <c r="R1655" s="798"/>
      <c r="S1655" s="798"/>
      <c r="T1655" s="798"/>
      <c r="U1655" s="798"/>
      <c r="V1655" s="798"/>
      <c r="W1655" s="798"/>
      <c r="X1655" s="798"/>
      <c r="Y1655" s="798"/>
      <c r="Z1655" s="798"/>
      <c r="AA1655" s="797"/>
      <c r="AB1655" s="797"/>
      <c r="AC1655" s="797"/>
      <c r="AD1655" s="797"/>
      <c r="AE1655" s="797"/>
      <c r="AF1655" s="797"/>
      <c r="AG1655" s="797"/>
      <c r="AH1655" s="797"/>
      <c r="AI1655" s="797"/>
      <c r="AJ1655" s="797"/>
      <c r="AK1655" s="797"/>
      <c r="AL1655" s="797"/>
      <c r="AM1655" s="797"/>
      <c r="AN1655" s="797"/>
      <c r="AO1655" s="797"/>
      <c r="AP1655" s="797"/>
      <c r="AQ1655" s="797"/>
      <c r="AR1655" s="797"/>
      <c r="AS1655" s="797"/>
      <c r="AT1655" s="797"/>
      <c r="AU1655" s="797"/>
      <c r="AV1655" s="797"/>
      <c r="AW1655" s="797"/>
      <c r="AX1655" s="797"/>
      <c r="AY1655" s="797"/>
      <c r="AZ1655" s="797"/>
      <c r="BA1655" s="797"/>
      <c r="BB1655" s="797"/>
      <c r="BC1655" s="797"/>
      <c r="BD1655" s="797"/>
      <c r="BE1655" s="797"/>
      <c r="BF1655" s="797"/>
      <c r="BG1655" s="797"/>
      <c r="BH1655" s="797"/>
      <c r="BI1655" s="797"/>
      <c r="BJ1655" s="797"/>
      <c r="BK1655" s="797"/>
      <c r="BL1655" s="797"/>
      <c r="BM1655" s="797"/>
      <c r="BN1655" s="797"/>
      <c r="BO1655" s="797"/>
      <c r="BP1655" s="797"/>
      <c r="BQ1655" s="797"/>
      <c r="BR1655" s="797"/>
      <c r="BS1655" s="797"/>
      <c r="BT1655" s="797"/>
      <c r="BU1655" s="797"/>
      <c r="BV1655" s="797"/>
      <c r="BW1655" s="797"/>
      <c r="BX1655" s="797"/>
      <c r="BY1655" s="797"/>
      <c r="BZ1655" s="797"/>
      <c r="CA1655" s="797"/>
      <c r="CB1655" s="797"/>
      <c r="CC1655" s="797"/>
      <c r="CD1655" s="797"/>
      <c r="CE1655" s="797"/>
      <c r="CF1655" s="797"/>
      <c r="CG1655" s="797"/>
      <c r="CH1655" s="797"/>
      <c r="CI1655" s="797"/>
      <c r="CJ1655" s="797"/>
      <c r="CK1655" s="797"/>
      <c r="CL1655" s="797"/>
      <c r="CM1655" s="797"/>
      <c r="CN1655" s="797"/>
      <c r="CO1655" s="797"/>
      <c r="CP1655" s="797"/>
      <c r="CQ1655" s="797"/>
      <c r="CR1655" s="797"/>
      <c r="CS1655" s="797"/>
      <c r="CT1655" s="797"/>
      <c r="CU1655" s="797"/>
      <c r="CV1655" s="797"/>
      <c r="CW1655" s="797"/>
      <c r="CX1655" s="797"/>
      <c r="CY1655" s="797"/>
      <c r="CZ1655" s="797"/>
      <c r="DA1655" s="797"/>
      <c r="DB1655" s="797"/>
      <c r="DC1655" s="797"/>
      <c r="DD1655" s="797"/>
      <c r="DE1655" s="797"/>
      <c r="DF1655" s="797"/>
      <c r="DG1655" s="797"/>
      <c r="DH1655" s="797"/>
      <c r="DI1655" s="797"/>
      <c r="DJ1655" s="797"/>
      <c r="DK1655" s="797"/>
      <c r="DL1655" s="797"/>
      <c r="DM1655" s="797"/>
      <c r="DN1655" s="797"/>
      <c r="DO1655" s="797"/>
      <c r="DP1655" s="797"/>
      <c r="DQ1655" s="797"/>
      <c r="DR1655" s="797"/>
      <c r="DS1655" s="797"/>
      <c r="DT1655" s="797"/>
      <c r="DU1655" s="797"/>
      <c r="DV1655" s="797"/>
      <c r="DW1655" s="797"/>
      <c r="DX1655" s="797"/>
      <c r="DY1655" s="797"/>
      <c r="DZ1655" s="797"/>
      <c r="EA1655" s="797"/>
      <c r="EB1655" s="797"/>
      <c r="EC1655" s="797"/>
      <c r="ED1655" s="797"/>
      <c r="EE1655" s="797"/>
      <c r="EF1655" s="797"/>
      <c r="EG1655" s="797"/>
      <c r="EH1655" s="797"/>
      <c r="EI1655" s="797"/>
      <c r="EJ1655" s="797"/>
      <c r="EK1655" s="797"/>
      <c r="EL1655" s="797"/>
      <c r="EM1655" s="797"/>
      <c r="EN1655" s="797"/>
      <c r="EO1655" s="797"/>
      <c r="EP1655" s="797"/>
      <c r="EQ1655" s="797"/>
      <c r="ER1655" s="797"/>
      <c r="ES1655" s="797"/>
      <c r="ET1655" s="797"/>
      <c r="EU1655" s="797"/>
      <c r="EV1655" s="797"/>
      <c r="EW1655" s="797"/>
      <c r="EX1655" s="797"/>
      <c r="EY1655" s="797"/>
      <c r="EZ1655" s="797"/>
      <c r="FA1655" s="797"/>
      <c r="FB1655" s="797"/>
      <c r="FC1655" s="797"/>
      <c r="FD1655" s="797"/>
      <c r="FE1655" s="797"/>
      <c r="FF1655" s="797"/>
      <c r="FG1655" s="797"/>
      <c r="FH1655" s="797"/>
      <c r="FI1655" s="797"/>
      <c r="FJ1655" s="797"/>
      <c r="FK1655" s="797"/>
      <c r="FL1655" s="797"/>
      <c r="FM1655" s="797"/>
      <c r="FN1655" s="797"/>
      <c r="FO1655" s="797"/>
      <c r="FP1655" s="797"/>
      <c r="FQ1655" s="797"/>
      <c r="FR1655" s="797"/>
      <c r="FS1655" s="797"/>
      <c r="FT1655" s="797"/>
      <c r="FU1655" s="797"/>
      <c r="FV1655" s="797"/>
      <c r="FW1655" s="797"/>
      <c r="FX1655" s="797"/>
      <c r="FY1655" s="797"/>
      <c r="FZ1655" s="797"/>
      <c r="GA1655" s="797"/>
      <c r="GB1655" s="797"/>
      <c r="GC1655" s="797"/>
      <c r="GD1655" s="797"/>
      <c r="GE1655" s="797"/>
      <c r="GF1655" s="797"/>
      <c r="GG1655" s="797"/>
      <c r="GH1655" s="797"/>
      <c r="GI1655" s="797"/>
      <c r="GJ1655" s="797"/>
      <c r="GK1655" s="797"/>
      <c r="GL1655" s="797"/>
      <c r="GM1655" s="797"/>
      <c r="GN1655" s="797"/>
      <c r="GO1655" s="797"/>
      <c r="GP1655" s="797"/>
      <c r="GQ1655" s="797"/>
      <c r="GR1655" s="797"/>
      <c r="GS1655" s="797"/>
      <c r="GT1655" s="797"/>
      <c r="GU1655" s="797"/>
      <c r="GV1655" s="797"/>
      <c r="GW1655" s="797"/>
      <c r="GX1655" s="797"/>
      <c r="GY1655" s="797"/>
      <c r="GZ1655" s="797"/>
      <c r="HA1655" s="797"/>
      <c r="HB1655" s="797"/>
      <c r="HC1655" s="797"/>
      <c r="HD1655" s="797"/>
      <c r="HE1655" s="797"/>
      <c r="HF1655" s="797"/>
      <c r="HG1655" s="797"/>
      <c r="HH1655" s="797"/>
      <c r="HI1655" s="797"/>
      <c r="HJ1655" s="797"/>
      <c r="HK1655" s="797"/>
      <c r="HL1655" s="797"/>
      <c r="HM1655" s="797"/>
      <c r="HN1655" s="797"/>
      <c r="HO1655" s="797"/>
      <c r="HP1655" s="797"/>
      <c r="HQ1655" s="797"/>
      <c r="HR1655" s="797"/>
      <c r="HS1655" s="797"/>
      <c r="HT1655" s="797"/>
      <c r="HU1655" s="797"/>
      <c r="HV1655" s="797"/>
      <c r="HW1655" s="797"/>
      <c r="HX1655" s="797"/>
      <c r="HY1655" s="797"/>
      <c r="HZ1655" s="797"/>
      <c r="IA1655" s="797"/>
      <c r="IB1655" s="797"/>
      <c r="IC1655" s="797"/>
      <c r="ID1655" s="797"/>
      <c r="IE1655" s="797"/>
      <c r="IF1655" s="797"/>
      <c r="IG1655" s="797"/>
      <c r="IH1655" s="797"/>
      <c r="II1655" s="797"/>
      <c r="IJ1655" s="797"/>
      <c r="IK1655" s="797"/>
      <c r="IL1655" s="797"/>
      <c r="IM1655" s="797"/>
      <c r="IN1655" s="797"/>
      <c r="IO1655" s="797"/>
      <c r="IP1655" s="797"/>
      <c r="IQ1655" s="797"/>
      <c r="IR1655" s="797"/>
      <c r="IS1655" s="797"/>
      <c r="IT1655" s="797"/>
      <c r="IU1655" s="797"/>
    </row>
    <row r="1656" spans="1:255" s="359" customFormat="1" ht="27.75" hidden="1" customHeight="1">
      <c r="A1656" s="336"/>
      <c r="B1656" s="328"/>
      <c r="C1656" s="335" t="s">
        <v>1186</v>
      </c>
      <c r="D1656" s="336" t="s">
        <v>217</v>
      </c>
      <c r="E1656" s="856">
        <v>4.48E-2</v>
      </c>
      <c r="F1656" s="389">
        <f>F1654*E1656</f>
        <v>0</v>
      </c>
      <c r="G1656" s="389"/>
      <c r="H1656" s="389"/>
      <c r="I1656" s="389"/>
      <c r="J1656" s="389"/>
      <c r="K1656" s="389">
        <v>35.1</v>
      </c>
      <c r="L1656" s="389">
        <f>F1656*K1656</f>
        <v>0</v>
      </c>
      <c r="M1656" s="389">
        <f>H1656+J1656+L1656</f>
        <v>0</v>
      </c>
      <c r="N1656" s="358"/>
      <c r="O1656" s="797"/>
      <c r="P1656" s="798"/>
      <c r="Q1656" s="798"/>
      <c r="R1656" s="798"/>
      <c r="S1656" s="798"/>
      <c r="T1656" s="798"/>
      <c r="U1656" s="798"/>
      <c r="V1656" s="798"/>
      <c r="W1656" s="798"/>
      <c r="X1656" s="798"/>
      <c r="Y1656" s="798"/>
      <c r="Z1656" s="798"/>
      <c r="AA1656" s="797"/>
      <c r="AB1656" s="797"/>
      <c r="AC1656" s="797"/>
      <c r="AD1656" s="797"/>
      <c r="AE1656" s="797"/>
      <c r="AF1656" s="797"/>
      <c r="AG1656" s="797"/>
      <c r="AH1656" s="797"/>
      <c r="AI1656" s="797"/>
      <c r="AJ1656" s="797"/>
      <c r="AK1656" s="797"/>
      <c r="AL1656" s="797"/>
      <c r="AM1656" s="797"/>
      <c r="AN1656" s="797"/>
      <c r="AO1656" s="797"/>
      <c r="AP1656" s="797"/>
      <c r="AQ1656" s="797"/>
      <c r="AR1656" s="797"/>
      <c r="AS1656" s="797"/>
      <c r="AT1656" s="797"/>
      <c r="AU1656" s="797"/>
      <c r="AV1656" s="797"/>
      <c r="AW1656" s="797"/>
      <c r="AX1656" s="797"/>
      <c r="AY1656" s="797"/>
      <c r="AZ1656" s="797"/>
      <c r="BA1656" s="797"/>
      <c r="BB1656" s="797"/>
      <c r="BC1656" s="797"/>
      <c r="BD1656" s="797"/>
      <c r="BE1656" s="797"/>
      <c r="BF1656" s="797"/>
      <c r="BG1656" s="797"/>
      <c r="BH1656" s="797"/>
      <c r="BI1656" s="797"/>
      <c r="BJ1656" s="797"/>
      <c r="BK1656" s="797"/>
      <c r="BL1656" s="797"/>
      <c r="BM1656" s="797"/>
      <c r="BN1656" s="797"/>
      <c r="BO1656" s="797"/>
      <c r="BP1656" s="797"/>
      <c r="BQ1656" s="797"/>
      <c r="BR1656" s="797"/>
      <c r="BS1656" s="797"/>
      <c r="BT1656" s="797"/>
      <c r="BU1656" s="797"/>
      <c r="BV1656" s="797"/>
      <c r="BW1656" s="797"/>
      <c r="BX1656" s="797"/>
      <c r="BY1656" s="797"/>
      <c r="BZ1656" s="797"/>
      <c r="CA1656" s="797"/>
      <c r="CB1656" s="797"/>
      <c r="CC1656" s="797"/>
      <c r="CD1656" s="797"/>
      <c r="CE1656" s="797"/>
      <c r="CF1656" s="797"/>
      <c r="CG1656" s="797"/>
      <c r="CH1656" s="797"/>
      <c r="CI1656" s="797"/>
      <c r="CJ1656" s="797"/>
      <c r="CK1656" s="797"/>
      <c r="CL1656" s="797"/>
      <c r="CM1656" s="797"/>
      <c r="CN1656" s="797"/>
      <c r="CO1656" s="797"/>
      <c r="CP1656" s="797"/>
      <c r="CQ1656" s="797"/>
      <c r="CR1656" s="797"/>
      <c r="CS1656" s="797"/>
      <c r="CT1656" s="797"/>
      <c r="CU1656" s="797"/>
      <c r="CV1656" s="797"/>
      <c r="CW1656" s="797"/>
      <c r="CX1656" s="797"/>
      <c r="CY1656" s="797"/>
      <c r="CZ1656" s="797"/>
      <c r="DA1656" s="797"/>
      <c r="DB1656" s="797"/>
      <c r="DC1656" s="797"/>
      <c r="DD1656" s="797"/>
      <c r="DE1656" s="797"/>
      <c r="DF1656" s="797"/>
      <c r="DG1656" s="797"/>
      <c r="DH1656" s="797"/>
      <c r="DI1656" s="797"/>
      <c r="DJ1656" s="797"/>
      <c r="DK1656" s="797"/>
      <c r="DL1656" s="797"/>
      <c r="DM1656" s="797"/>
      <c r="DN1656" s="797"/>
      <c r="DO1656" s="797"/>
      <c r="DP1656" s="797"/>
      <c r="DQ1656" s="797"/>
      <c r="DR1656" s="797"/>
      <c r="DS1656" s="797"/>
      <c r="DT1656" s="797"/>
      <c r="DU1656" s="797"/>
      <c r="DV1656" s="797"/>
      <c r="DW1656" s="797"/>
      <c r="DX1656" s="797"/>
      <c r="DY1656" s="797"/>
      <c r="DZ1656" s="797"/>
      <c r="EA1656" s="797"/>
      <c r="EB1656" s="797"/>
      <c r="EC1656" s="797"/>
      <c r="ED1656" s="797"/>
      <c r="EE1656" s="797"/>
      <c r="EF1656" s="797"/>
      <c r="EG1656" s="797"/>
      <c r="EH1656" s="797"/>
      <c r="EI1656" s="797"/>
      <c r="EJ1656" s="797"/>
      <c r="EK1656" s="797"/>
      <c r="EL1656" s="797"/>
      <c r="EM1656" s="797"/>
      <c r="EN1656" s="797"/>
      <c r="EO1656" s="797"/>
      <c r="EP1656" s="797"/>
      <c r="EQ1656" s="797"/>
      <c r="ER1656" s="797"/>
      <c r="ES1656" s="797"/>
      <c r="ET1656" s="797"/>
      <c r="EU1656" s="797"/>
      <c r="EV1656" s="797"/>
      <c r="EW1656" s="797"/>
      <c r="EX1656" s="797"/>
      <c r="EY1656" s="797"/>
      <c r="EZ1656" s="797"/>
      <c r="FA1656" s="797"/>
      <c r="FB1656" s="797"/>
      <c r="FC1656" s="797"/>
      <c r="FD1656" s="797"/>
      <c r="FE1656" s="797"/>
      <c r="FF1656" s="797"/>
      <c r="FG1656" s="797"/>
      <c r="FH1656" s="797"/>
      <c r="FI1656" s="797"/>
      <c r="FJ1656" s="797"/>
      <c r="FK1656" s="797"/>
      <c r="FL1656" s="797"/>
      <c r="FM1656" s="797"/>
      <c r="FN1656" s="797"/>
      <c r="FO1656" s="797"/>
      <c r="FP1656" s="797"/>
      <c r="FQ1656" s="797"/>
      <c r="FR1656" s="797"/>
      <c r="FS1656" s="797"/>
      <c r="FT1656" s="797"/>
      <c r="FU1656" s="797"/>
      <c r="FV1656" s="797"/>
      <c r="FW1656" s="797"/>
      <c r="FX1656" s="797"/>
      <c r="FY1656" s="797"/>
      <c r="FZ1656" s="797"/>
      <c r="GA1656" s="797"/>
      <c r="GB1656" s="797"/>
      <c r="GC1656" s="797"/>
      <c r="GD1656" s="797"/>
      <c r="GE1656" s="797"/>
      <c r="GF1656" s="797"/>
      <c r="GG1656" s="797"/>
      <c r="GH1656" s="797"/>
      <c r="GI1656" s="797"/>
      <c r="GJ1656" s="797"/>
      <c r="GK1656" s="797"/>
      <c r="GL1656" s="797"/>
      <c r="GM1656" s="797"/>
      <c r="GN1656" s="797"/>
      <c r="GO1656" s="797"/>
      <c r="GP1656" s="797"/>
      <c r="GQ1656" s="797"/>
      <c r="GR1656" s="797"/>
      <c r="GS1656" s="797"/>
      <c r="GT1656" s="797"/>
      <c r="GU1656" s="797"/>
      <c r="GV1656" s="797"/>
      <c r="GW1656" s="797"/>
      <c r="GX1656" s="797"/>
      <c r="GY1656" s="797"/>
      <c r="GZ1656" s="797"/>
      <c r="HA1656" s="797"/>
      <c r="HB1656" s="797"/>
      <c r="HC1656" s="797"/>
      <c r="HD1656" s="797"/>
      <c r="HE1656" s="797"/>
      <c r="HF1656" s="797"/>
      <c r="HG1656" s="797"/>
      <c r="HH1656" s="797"/>
      <c r="HI1656" s="797"/>
      <c r="HJ1656" s="797"/>
      <c r="HK1656" s="797"/>
      <c r="HL1656" s="797"/>
      <c r="HM1656" s="797"/>
      <c r="HN1656" s="797"/>
      <c r="HO1656" s="797"/>
      <c r="HP1656" s="797"/>
      <c r="HQ1656" s="797"/>
      <c r="HR1656" s="797"/>
      <c r="HS1656" s="797"/>
      <c r="HT1656" s="797"/>
      <c r="HU1656" s="797"/>
      <c r="HV1656" s="797"/>
      <c r="HW1656" s="797"/>
      <c r="HX1656" s="797"/>
      <c r="HY1656" s="797"/>
      <c r="HZ1656" s="797"/>
      <c r="IA1656" s="797"/>
      <c r="IB1656" s="797"/>
      <c r="IC1656" s="797"/>
      <c r="ID1656" s="797"/>
      <c r="IE1656" s="797"/>
      <c r="IF1656" s="797"/>
      <c r="IG1656" s="797"/>
      <c r="IH1656" s="797"/>
      <c r="II1656" s="797"/>
      <c r="IJ1656" s="797"/>
      <c r="IK1656" s="797"/>
      <c r="IL1656" s="797"/>
      <c r="IM1656" s="797"/>
      <c r="IN1656" s="797"/>
      <c r="IO1656" s="797"/>
      <c r="IP1656" s="797"/>
      <c r="IQ1656" s="797"/>
      <c r="IR1656" s="797"/>
      <c r="IS1656" s="797"/>
      <c r="IT1656" s="797"/>
      <c r="IU1656" s="797"/>
    </row>
    <row r="1657" spans="1:255" s="359" customFormat="1" hidden="1">
      <c r="A1657" s="336"/>
      <c r="B1657" s="328"/>
      <c r="C1657" s="335" t="s">
        <v>81</v>
      </c>
      <c r="D1657" s="336" t="s">
        <v>57</v>
      </c>
      <c r="E1657" s="856">
        <v>2.0999999999999999E-3</v>
      </c>
      <c r="F1657" s="389">
        <f>F1654*E1657</f>
        <v>0</v>
      </c>
      <c r="G1657" s="389"/>
      <c r="H1657" s="389"/>
      <c r="I1657" s="389"/>
      <c r="J1657" s="389"/>
      <c r="K1657" s="389">
        <v>3.2</v>
      </c>
      <c r="L1657" s="389">
        <f>F1657*K1657</f>
        <v>0</v>
      </c>
      <c r="M1657" s="389">
        <f>H1657+J1657+L1657</f>
        <v>0</v>
      </c>
      <c r="N1657" s="358"/>
      <c r="O1657" s="797"/>
      <c r="P1657" s="798"/>
      <c r="Q1657" s="798"/>
      <c r="R1657" s="798"/>
      <c r="S1657" s="798"/>
      <c r="T1657" s="798"/>
      <c r="U1657" s="798"/>
      <c r="V1657" s="798"/>
      <c r="W1657" s="798"/>
      <c r="X1657" s="798"/>
      <c r="Y1657" s="798"/>
      <c r="Z1657" s="798"/>
      <c r="AA1657" s="797"/>
      <c r="AB1657" s="797"/>
      <c r="AC1657" s="797"/>
      <c r="AD1657" s="797"/>
      <c r="AE1657" s="797"/>
      <c r="AF1657" s="797"/>
      <c r="AG1657" s="797"/>
      <c r="AH1657" s="797"/>
      <c r="AI1657" s="797"/>
      <c r="AJ1657" s="797"/>
      <c r="AK1657" s="797"/>
      <c r="AL1657" s="797"/>
      <c r="AM1657" s="797"/>
      <c r="AN1657" s="797"/>
      <c r="AO1657" s="797"/>
      <c r="AP1657" s="797"/>
      <c r="AQ1657" s="797"/>
      <c r="AR1657" s="797"/>
      <c r="AS1657" s="797"/>
      <c r="AT1657" s="797"/>
      <c r="AU1657" s="797"/>
      <c r="AV1657" s="797"/>
      <c r="AW1657" s="797"/>
      <c r="AX1657" s="797"/>
      <c r="AY1657" s="797"/>
      <c r="AZ1657" s="797"/>
      <c r="BA1657" s="797"/>
      <c r="BB1657" s="797"/>
      <c r="BC1657" s="797"/>
      <c r="BD1657" s="797"/>
      <c r="BE1657" s="797"/>
      <c r="BF1657" s="797"/>
      <c r="BG1657" s="797"/>
      <c r="BH1657" s="797"/>
      <c r="BI1657" s="797"/>
      <c r="BJ1657" s="797"/>
      <c r="BK1657" s="797"/>
      <c r="BL1657" s="797"/>
      <c r="BM1657" s="797"/>
      <c r="BN1657" s="797"/>
      <c r="BO1657" s="797"/>
      <c r="BP1657" s="797"/>
      <c r="BQ1657" s="797"/>
      <c r="BR1657" s="797"/>
      <c r="BS1657" s="797"/>
      <c r="BT1657" s="797"/>
      <c r="BU1657" s="797"/>
      <c r="BV1657" s="797"/>
      <c r="BW1657" s="797"/>
      <c r="BX1657" s="797"/>
      <c r="BY1657" s="797"/>
      <c r="BZ1657" s="797"/>
      <c r="CA1657" s="797"/>
      <c r="CB1657" s="797"/>
      <c r="CC1657" s="797"/>
      <c r="CD1657" s="797"/>
      <c r="CE1657" s="797"/>
      <c r="CF1657" s="797"/>
      <c r="CG1657" s="797"/>
      <c r="CH1657" s="797"/>
      <c r="CI1657" s="797"/>
      <c r="CJ1657" s="797"/>
      <c r="CK1657" s="797"/>
      <c r="CL1657" s="797"/>
      <c r="CM1657" s="797"/>
      <c r="CN1657" s="797"/>
      <c r="CO1657" s="797"/>
      <c r="CP1657" s="797"/>
      <c r="CQ1657" s="797"/>
      <c r="CR1657" s="797"/>
      <c r="CS1657" s="797"/>
      <c r="CT1657" s="797"/>
      <c r="CU1657" s="797"/>
      <c r="CV1657" s="797"/>
      <c r="CW1657" s="797"/>
      <c r="CX1657" s="797"/>
      <c r="CY1657" s="797"/>
      <c r="CZ1657" s="797"/>
      <c r="DA1657" s="797"/>
      <c r="DB1657" s="797"/>
      <c r="DC1657" s="797"/>
      <c r="DD1657" s="797"/>
      <c r="DE1657" s="797"/>
      <c r="DF1657" s="797"/>
      <c r="DG1657" s="797"/>
      <c r="DH1657" s="797"/>
      <c r="DI1657" s="797"/>
      <c r="DJ1657" s="797"/>
      <c r="DK1657" s="797"/>
      <c r="DL1657" s="797"/>
      <c r="DM1657" s="797"/>
      <c r="DN1657" s="797"/>
      <c r="DO1657" s="797"/>
      <c r="DP1657" s="797"/>
      <c r="DQ1657" s="797"/>
      <c r="DR1657" s="797"/>
      <c r="DS1657" s="797"/>
      <c r="DT1657" s="797"/>
      <c r="DU1657" s="797"/>
      <c r="DV1657" s="797"/>
      <c r="DW1657" s="797"/>
      <c r="DX1657" s="797"/>
      <c r="DY1657" s="797"/>
      <c r="DZ1657" s="797"/>
      <c r="EA1657" s="797"/>
      <c r="EB1657" s="797"/>
      <c r="EC1657" s="797"/>
      <c r="ED1657" s="797"/>
      <c r="EE1657" s="797"/>
      <c r="EF1657" s="797"/>
      <c r="EG1657" s="797"/>
      <c r="EH1657" s="797"/>
      <c r="EI1657" s="797"/>
      <c r="EJ1657" s="797"/>
      <c r="EK1657" s="797"/>
      <c r="EL1657" s="797"/>
      <c r="EM1657" s="797"/>
      <c r="EN1657" s="797"/>
      <c r="EO1657" s="797"/>
      <c r="EP1657" s="797"/>
      <c r="EQ1657" s="797"/>
      <c r="ER1657" s="797"/>
      <c r="ES1657" s="797"/>
      <c r="ET1657" s="797"/>
      <c r="EU1657" s="797"/>
      <c r="EV1657" s="797"/>
      <c r="EW1657" s="797"/>
      <c r="EX1657" s="797"/>
      <c r="EY1657" s="797"/>
      <c r="EZ1657" s="797"/>
      <c r="FA1657" s="797"/>
      <c r="FB1657" s="797"/>
      <c r="FC1657" s="797"/>
      <c r="FD1657" s="797"/>
      <c r="FE1657" s="797"/>
      <c r="FF1657" s="797"/>
      <c r="FG1657" s="797"/>
      <c r="FH1657" s="797"/>
      <c r="FI1657" s="797"/>
      <c r="FJ1657" s="797"/>
      <c r="FK1657" s="797"/>
      <c r="FL1657" s="797"/>
      <c r="FM1657" s="797"/>
      <c r="FN1657" s="797"/>
      <c r="FO1657" s="797"/>
      <c r="FP1657" s="797"/>
      <c r="FQ1657" s="797"/>
      <c r="FR1657" s="797"/>
      <c r="FS1657" s="797"/>
      <c r="FT1657" s="797"/>
      <c r="FU1657" s="797"/>
      <c r="FV1657" s="797"/>
      <c r="FW1657" s="797"/>
      <c r="FX1657" s="797"/>
      <c r="FY1657" s="797"/>
      <c r="FZ1657" s="797"/>
      <c r="GA1657" s="797"/>
      <c r="GB1657" s="797"/>
      <c r="GC1657" s="797"/>
      <c r="GD1657" s="797"/>
      <c r="GE1657" s="797"/>
      <c r="GF1657" s="797"/>
      <c r="GG1657" s="797"/>
      <c r="GH1657" s="797"/>
      <c r="GI1657" s="797"/>
      <c r="GJ1657" s="797"/>
      <c r="GK1657" s="797"/>
      <c r="GL1657" s="797"/>
      <c r="GM1657" s="797"/>
      <c r="GN1657" s="797"/>
      <c r="GO1657" s="797"/>
      <c r="GP1657" s="797"/>
      <c r="GQ1657" s="797"/>
      <c r="GR1657" s="797"/>
      <c r="GS1657" s="797"/>
      <c r="GT1657" s="797"/>
      <c r="GU1657" s="797"/>
      <c r="GV1657" s="797"/>
      <c r="GW1657" s="797"/>
      <c r="GX1657" s="797"/>
      <c r="GY1657" s="797"/>
      <c r="GZ1657" s="797"/>
      <c r="HA1657" s="797"/>
      <c r="HB1657" s="797"/>
      <c r="HC1657" s="797"/>
      <c r="HD1657" s="797"/>
      <c r="HE1657" s="797"/>
      <c r="HF1657" s="797"/>
      <c r="HG1657" s="797"/>
      <c r="HH1657" s="797"/>
      <c r="HI1657" s="797"/>
      <c r="HJ1657" s="797"/>
      <c r="HK1657" s="797"/>
      <c r="HL1657" s="797"/>
      <c r="HM1657" s="797"/>
      <c r="HN1657" s="797"/>
      <c r="HO1657" s="797"/>
      <c r="HP1657" s="797"/>
      <c r="HQ1657" s="797"/>
      <c r="HR1657" s="797"/>
      <c r="HS1657" s="797"/>
      <c r="HT1657" s="797"/>
      <c r="HU1657" s="797"/>
      <c r="HV1657" s="797"/>
      <c r="HW1657" s="797"/>
      <c r="HX1657" s="797"/>
      <c r="HY1657" s="797"/>
      <c r="HZ1657" s="797"/>
      <c r="IA1657" s="797"/>
      <c r="IB1657" s="797"/>
      <c r="IC1657" s="797"/>
      <c r="ID1657" s="797"/>
      <c r="IE1657" s="797"/>
      <c r="IF1657" s="797"/>
      <c r="IG1657" s="797"/>
      <c r="IH1657" s="797"/>
      <c r="II1657" s="797"/>
      <c r="IJ1657" s="797"/>
      <c r="IK1657" s="797"/>
      <c r="IL1657" s="797"/>
      <c r="IM1657" s="797"/>
      <c r="IN1657" s="797"/>
      <c r="IO1657" s="797"/>
      <c r="IP1657" s="797"/>
      <c r="IQ1657" s="797"/>
      <c r="IR1657" s="797"/>
      <c r="IS1657" s="797"/>
      <c r="IT1657" s="797"/>
      <c r="IU1657" s="797"/>
    </row>
    <row r="1658" spans="1:255" s="359" customFormat="1" hidden="1">
      <c r="A1658" s="336"/>
      <c r="B1658" s="328"/>
      <c r="C1658" s="335" t="s">
        <v>210</v>
      </c>
      <c r="D1658" s="336"/>
      <c r="E1658" s="856"/>
      <c r="F1658" s="389"/>
      <c r="G1658" s="389"/>
      <c r="H1658" s="389"/>
      <c r="I1658" s="389"/>
      <c r="J1658" s="389"/>
      <c r="K1658" s="389"/>
      <c r="L1658" s="389"/>
      <c r="M1658" s="389"/>
      <c r="N1658" s="358"/>
      <c r="O1658" s="797"/>
      <c r="P1658" s="798"/>
      <c r="Q1658" s="798"/>
      <c r="R1658" s="798"/>
      <c r="S1658" s="798"/>
      <c r="T1658" s="798"/>
      <c r="U1658" s="798"/>
      <c r="V1658" s="798"/>
      <c r="W1658" s="798"/>
      <c r="X1658" s="798"/>
      <c r="Y1658" s="798"/>
      <c r="Z1658" s="798"/>
      <c r="AA1658" s="797"/>
      <c r="AB1658" s="797"/>
      <c r="AC1658" s="797"/>
      <c r="AD1658" s="797"/>
      <c r="AE1658" s="797"/>
      <c r="AF1658" s="797"/>
      <c r="AG1658" s="797"/>
      <c r="AH1658" s="797"/>
      <c r="AI1658" s="797"/>
      <c r="AJ1658" s="797"/>
      <c r="AK1658" s="797"/>
      <c r="AL1658" s="797"/>
      <c r="AM1658" s="797"/>
      <c r="AN1658" s="797"/>
      <c r="AO1658" s="797"/>
      <c r="AP1658" s="797"/>
      <c r="AQ1658" s="797"/>
      <c r="AR1658" s="797"/>
      <c r="AS1658" s="797"/>
      <c r="AT1658" s="797"/>
      <c r="AU1658" s="797"/>
      <c r="AV1658" s="797"/>
      <c r="AW1658" s="797"/>
      <c r="AX1658" s="797"/>
      <c r="AY1658" s="797"/>
      <c r="AZ1658" s="797"/>
      <c r="BA1658" s="797"/>
      <c r="BB1658" s="797"/>
      <c r="BC1658" s="797"/>
      <c r="BD1658" s="797"/>
      <c r="BE1658" s="797"/>
      <c r="BF1658" s="797"/>
      <c r="BG1658" s="797"/>
      <c r="BH1658" s="797"/>
      <c r="BI1658" s="797"/>
      <c r="BJ1658" s="797"/>
      <c r="BK1658" s="797"/>
      <c r="BL1658" s="797"/>
      <c r="BM1658" s="797"/>
      <c r="BN1658" s="797"/>
      <c r="BO1658" s="797"/>
      <c r="BP1658" s="797"/>
      <c r="BQ1658" s="797"/>
      <c r="BR1658" s="797"/>
      <c r="BS1658" s="797"/>
      <c r="BT1658" s="797"/>
      <c r="BU1658" s="797"/>
      <c r="BV1658" s="797"/>
      <c r="BW1658" s="797"/>
      <c r="BX1658" s="797"/>
      <c r="BY1658" s="797"/>
      <c r="BZ1658" s="797"/>
      <c r="CA1658" s="797"/>
      <c r="CB1658" s="797"/>
      <c r="CC1658" s="797"/>
      <c r="CD1658" s="797"/>
      <c r="CE1658" s="797"/>
      <c r="CF1658" s="797"/>
      <c r="CG1658" s="797"/>
      <c r="CH1658" s="797"/>
      <c r="CI1658" s="797"/>
      <c r="CJ1658" s="797"/>
      <c r="CK1658" s="797"/>
      <c r="CL1658" s="797"/>
      <c r="CM1658" s="797"/>
      <c r="CN1658" s="797"/>
      <c r="CO1658" s="797"/>
      <c r="CP1658" s="797"/>
      <c r="CQ1658" s="797"/>
      <c r="CR1658" s="797"/>
      <c r="CS1658" s="797"/>
      <c r="CT1658" s="797"/>
      <c r="CU1658" s="797"/>
      <c r="CV1658" s="797"/>
      <c r="CW1658" s="797"/>
      <c r="CX1658" s="797"/>
      <c r="CY1658" s="797"/>
      <c r="CZ1658" s="797"/>
      <c r="DA1658" s="797"/>
      <c r="DB1658" s="797"/>
      <c r="DC1658" s="797"/>
      <c r="DD1658" s="797"/>
      <c r="DE1658" s="797"/>
      <c r="DF1658" s="797"/>
      <c r="DG1658" s="797"/>
      <c r="DH1658" s="797"/>
      <c r="DI1658" s="797"/>
      <c r="DJ1658" s="797"/>
      <c r="DK1658" s="797"/>
      <c r="DL1658" s="797"/>
      <c r="DM1658" s="797"/>
      <c r="DN1658" s="797"/>
      <c r="DO1658" s="797"/>
      <c r="DP1658" s="797"/>
      <c r="DQ1658" s="797"/>
      <c r="DR1658" s="797"/>
      <c r="DS1658" s="797"/>
      <c r="DT1658" s="797"/>
      <c r="DU1658" s="797"/>
      <c r="DV1658" s="797"/>
      <c r="DW1658" s="797"/>
      <c r="DX1658" s="797"/>
      <c r="DY1658" s="797"/>
      <c r="DZ1658" s="797"/>
      <c r="EA1658" s="797"/>
      <c r="EB1658" s="797"/>
      <c r="EC1658" s="797"/>
      <c r="ED1658" s="797"/>
      <c r="EE1658" s="797"/>
      <c r="EF1658" s="797"/>
      <c r="EG1658" s="797"/>
      <c r="EH1658" s="797"/>
      <c r="EI1658" s="797"/>
      <c r="EJ1658" s="797"/>
      <c r="EK1658" s="797"/>
      <c r="EL1658" s="797"/>
      <c r="EM1658" s="797"/>
      <c r="EN1658" s="797"/>
      <c r="EO1658" s="797"/>
      <c r="EP1658" s="797"/>
      <c r="EQ1658" s="797"/>
      <c r="ER1658" s="797"/>
      <c r="ES1658" s="797"/>
      <c r="ET1658" s="797"/>
      <c r="EU1658" s="797"/>
      <c r="EV1658" s="797"/>
      <c r="EW1658" s="797"/>
      <c r="EX1658" s="797"/>
      <c r="EY1658" s="797"/>
      <c r="EZ1658" s="797"/>
      <c r="FA1658" s="797"/>
      <c r="FB1658" s="797"/>
      <c r="FC1658" s="797"/>
      <c r="FD1658" s="797"/>
      <c r="FE1658" s="797"/>
      <c r="FF1658" s="797"/>
      <c r="FG1658" s="797"/>
      <c r="FH1658" s="797"/>
      <c r="FI1658" s="797"/>
      <c r="FJ1658" s="797"/>
      <c r="FK1658" s="797"/>
      <c r="FL1658" s="797"/>
      <c r="FM1658" s="797"/>
      <c r="FN1658" s="797"/>
      <c r="FO1658" s="797"/>
      <c r="FP1658" s="797"/>
      <c r="FQ1658" s="797"/>
      <c r="FR1658" s="797"/>
      <c r="FS1658" s="797"/>
      <c r="FT1658" s="797"/>
      <c r="FU1658" s="797"/>
      <c r="FV1658" s="797"/>
      <c r="FW1658" s="797"/>
      <c r="FX1658" s="797"/>
      <c r="FY1658" s="797"/>
      <c r="FZ1658" s="797"/>
      <c r="GA1658" s="797"/>
      <c r="GB1658" s="797"/>
      <c r="GC1658" s="797"/>
      <c r="GD1658" s="797"/>
      <c r="GE1658" s="797"/>
      <c r="GF1658" s="797"/>
      <c r="GG1658" s="797"/>
      <c r="GH1658" s="797"/>
      <c r="GI1658" s="797"/>
      <c r="GJ1658" s="797"/>
      <c r="GK1658" s="797"/>
      <c r="GL1658" s="797"/>
      <c r="GM1658" s="797"/>
      <c r="GN1658" s="797"/>
      <c r="GO1658" s="797"/>
      <c r="GP1658" s="797"/>
      <c r="GQ1658" s="797"/>
      <c r="GR1658" s="797"/>
      <c r="GS1658" s="797"/>
      <c r="GT1658" s="797"/>
      <c r="GU1658" s="797"/>
      <c r="GV1658" s="797"/>
      <c r="GW1658" s="797"/>
      <c r="GX1658" s="797"/>
      <c r="GY1658" s="797"/>
      <c r="GZ1658" s="797"/>
      <c r="HA1658" s="797"/>
      <c r="HB1658" s="797"/>
      <c r="HC1658" s="797"/>
      <c r="HD1658" s="797"/>
      <c r="HE1658" s="797"/>
      <c r="HF1658" s="797"/>
      <c r="HG1658" s="797"/>
      <c r="HH1658" s="797"/>
      <c r="HI1658" s="797"/>
      <c r="HJ1658" s="797"/>
      <c r="HK1658" s="797"/>
      <c r="HL1658" s="797"/>
      <c r="HM1658" s="797"/>
      <c r="HN1658" s="797"/>
      <c r="HO1658" s="797"/>
      <c r="HP1658" s="797"/>
      <c r="HQ1658" s="797"/>
      <c r="HR1658" s="797"/>
      <c r="HS1658" s="797"/>
      <c r="HT1658" s="797"/>
      <c r="HU1658" s="797"/>
      <c r="HV1658" s="797"/>
      <c r="HW1658" s="797"/>
      <c r="HX1658" s="797"/>
      <c r="HY1658" s="797"/>
      <c r="HZ1658" s="797"/>
      <c r="IA1658" s="797"/>
      <c r="IB1658" s="797"/>
      <c r="IC1658" s="797"/>
      <c r="ID1658" s="797"/>
      <c r="IE1658" s="797"/>
      <c r="IF1658" s="797"/>
      <c r="IG1658" s="797"/>
      <c r="IH1658" s="797"/>
      <c r="II1658" s="797"/>
      <c r="IJ1658" s="797"/>
      <c r="IK1658" s="797"/>
      <c r="IL1658" s="797"/>
      <c r="IM1658" s="797"/>
      <c r="IN1658" s="797"/>
      <c r="IO1658" s="797"/>
      <c r="IP1658" s="797"/>
      <c r="IQ1658" s="797"/>
      <c r="IR1658" s="797"/>
      <c r="IS1658" s="797"/>
      <c r="IT1658" s="797"/>
      <c r="IU1658" s="797"/>
    </row>
    <row r="1659" spans="1:255" s="359" customFormat="1" ht="13.5" hidden="1" customHeight="1">
      <c r="A1659" s="342"/>
      <c r="B1659" s="417"/>
      <c r="C1659" s="551" t="s">
        <v>1187</v>
      </c>
      <c r="D1659" s="342" t="s">
        <v>88</v>
      </c>
      <c r="E1659" s="857">
        <v>5.0000000000000002E-5</v>
      </c>
      <c r="F1659" s="392">
        <f>F1654*E1659</f>
        <v>0</v>
      </c>
      <c r="G1659" s="392">
        <v>16.100000000000001</v>
      </c>
      <c r="H1659" s="392">
        <f>F1659*G1659</f>
        <v>0</v>
      </c>
      <c r="I1659" s="392"/>
      <c r="J1659" s="392"/>
      <c r="K1659" s="392"/>
      <c r="L1659" s="392"/>
      <c r="M1659" s="392">
        <f>H1659+J1659+L1659</f>
        <v>0</v>
      </c>
      <c r="N1659" s="358"/>
      <c r="O1659" s="797"/>
      <c r="P1659" s="798"/>
      <c r="Q1659" s="798"/>
      <c r="R1659" s="798"/>
      <c r="S1659" s="798"/>
      <c r="T1659" s="798"/>
      <c r="U1659" s="798"/>
      <c r="V1659" s="798"/>
      <c r="W1659" s="798"/>
      <c r="X1659" s="798"/>
      <c r="Y1659" s="798"/>
      <c r="Z1659" s="798"/>
      <c r="AA1659" s="797"/>
      <c r="AB1659" s="797"/>
      <c r="AC1659" s="797"/>
      <c r="AD1659" s="797"/>
      <c r="AE1659" s="797"/>
      <c r="AF1659" s="797"/>
      <c r="AG1659" s="797"/>
      <c r="AH1659" s="797"/>
      <c r="AI1659" s="797"/>
      <c r="AJ1659" s="797"/>
      <c r="AK1659" s="797"/>
      <c r="AL1659" s="797"/>
      <c r="AM1659" s="797"/>
      <c r="AN1659" s="797"/>
      <c r="AO1659" s="797"/>
      <c r="AP1659" s="797"/>
      <c r="AQ1659" s="797"/>
      <c r="AR1659" s="797"/>
      <c r="AS1659" s="797"/>
      <c r="AT1659" s="797"/>
      <c r="AU1659" s="797"/>
      <c r="AV1659" s="797"/>
      <c r="AW1659" s="797"/>
      <c r="AX1659" s="797"/>
      <c r="AY1659" s="797"/>
      <c r="AZ1659" s="797"/>
      <c r="BA1659" s="797"/>
      <c r="BB1659" s="797"/>
      <c r="BC1659" s="797"/>
      <c r="BD1659" s="797"/>
      <c r="BE1659" s="797"/>
      <c r="BF1659" s="797"/>
      <c r="BG1659" s="797"/>
      <c r="BH1659" s="797"/>
      <c r="BI1659" s="797"/>
      <c r="BJ1659" s="797"/>
      <c r="BK1659" s="797"/>
      <c r="BL1659" s="797"/>
      <c r="BM1659" s="797"/>
      <c r="BN1659" s="797"/>
      <c r="BO1659" s="797"/>
      <c r="BP1659" s="797"/>
      <c r="BQ1659" s="797"/>
      <c r="BR1659" s="797"/>
      <c r="BS1659" s="797"/>
      <c r="BT1659" s="797"/>
      <c r="BU1659" s="797"/>
      <c r="BV1659" s="797"/>
      <c r="BW1659" s="797"/>
      <c r="BX1659" s="797"/>
      <c r="BY1659" s="797"/>
      <c r="BZ1659" s="797"/>
      <c r="CA1659" s="797"/>
      <c r="CB1659" s="797"/>
      <c r="CC1659" s="797"/>
      <c r="CD1659" s="797"/>
      <c r="CE1659" s="797"/>
      <c r="CF1659" s="797"/>
      <c r="CG1659" s="797"/>
      <c r="CH1659" s="797"/>
      <c r="CI1659" s="797"/>
      <c r="CJ1659" s="797"/>
      <c r="CK1659" s="797"/>
      <c r="CL1659" s="797"/>
      <c r="CM1659" s="797"/>
      <c r="CN1659" s="797"/>
      <c r="CO1659" s="797"/>
      <c r="CP1659" s="797"/>
      <c r="CQ1659" s="797"/>
      <c r="CR1659" s="797"/>
      <c r="CS1659" s="797"/>
      <c r="CT1659" s="797"/>
      <c r="CU1659" s="797"/>
      <c r="CV1659" s="797"/>
      <c r="CW1659" s="797"/>
      <c r="CX1659" s="797"/>
      <c r="CY1659" s="797"/>
      <c r="CZ1659" s="797"/>
      <c r="DA1659" s="797"/>
      <c r="DB1659" s="797"/>
      <c r="DC1659" s="797"/>
      <c r="DD1659" s="797"/>
      <c r="DE1659" s="797"/>
      <c r="DF1659" s="797"/>
      <c r="DG1659" s="797"/>
      <c r="DH1659" s="797"/>
      <c r="DI1659" s="797"/>
      <c r="DJ1659" s="797"/>
      <c r="DK1659" s="797"/>
      <c r="DL1659" s="797"/>
      <c r="DM1659" s="797"/>
      <c r="DN1659" s="797"/>
      <c r="DO1659" s="797"/>
      <c r="DP1659" s="797"/>
      <c r="DQ1659" s="797"/>
      <c r="DR1659" s="797"/>
      <c r="DS1659" s="797"/>
      <c r="DT1659" s="797"/>
      <c r="DU1659" s="797"/>
      <c r="DV1659" s="797"/>
      <c r="DW1659" s="797"/>
      <c r="DX1659" s="797"/>
      <c r="DY1659" s="797"/>
      <c r="DZ1659" s="797"/>
      <c r="EA1659" s="797"/>
      <c r="EB1659" s="797"/>
      <c r="EC1659" s="797"/>
      <c r="ED1659" s="797"/>
      <c r="EE1659" s="797"/>
      <c r="EF1659" s="797"/>
      <c r="EG1659" s="797"/>
      <c r="EH1659" s="797"/>
      <c r="EI1659" s="797"/>
      <c r="EJ1659" s="797"/>
      <c r="EK1659" s="797"/>
      <c r="EL1659" s="797"/>
      <c r="EM1659" s="797"/>
      <c r="EN1659" s="797"/>
      <c r="EO1659" s="797"/>
      <c r="EP1659" s="797"/>
      <c r="EQ1659" s="797"/>
      <c r="ER1659" s="797"/>
      <c r="ES1659" s="797"/>
      <c r="ET1659" s="797"/>
      <c r="EU1659" s="797"/>
      <c r="EV1659" s="797"/>
      <c r="EW1659" s="797"/>
      <c r="EX1659" s="797"/>
      <c r="EY1659" s="797"/>
      <c r="EZ1659" s="797"/>
      <c r="FA1659" s="797"/>
      <c r="FB1659" s="797"/>
      <c r="FC1659" s="797"/>
      <c r="FD1659" s="797"/>
      <c r="FE1659" s="797"/>
      <c r="FF1659" s="797"/>
      <c r="FG1659" s="797"/>
      <c r="FH1659" s="797"/>
      <c r="FI1659" s="797"/>
      <c r="FJ1659" s="797"/>
      <c r="FK1659" s="797"/>
      <c r="FL1659" s="797"/>
      <c r="FM1659" s="797"/>
      <c r="FN1659" s="797"/>
      <c r="FO1659" s="797"/>
      <c r="FP1659" s="797"/>
      <c r="FQ1659" s="797"/>
      <c r="FR1659" s="797"/>
      <c r="FS1659" s="797"/>
      <c r="FT1659" s="797"/>
      <c r="FU1659" s="797"/>
      <c r="FV1659" s="797"/>
      <c r="FW1659" s="797"/>
      <c r="FX1659" s="797"/>
      <c r="FY1659" s="797"/>
      <c r="FZ1659" s="797"/>
      <c r="GA1659" s="797"/>
      <c r="GB1659" s="797"/>
      <c r="GC1659" s="797"/>
      <c r="GD1659" s="797"/>
      <c r="GE1659" s="797"/>
      <c r="GF1659" s="797"/>
      <c r="GG1659" s="797"/>
      <c r="GH1659" s="797"/>
      <c r="GI1659" s="797"/>
      <c r="GJ1659" s="797"/>
      <c r="GK1659" s="797"/>
      <c r="GL1659" s="797"/>
      <c r="GM1659" s="797"/>
      <c r="GN1659" s="797"/>
      <c r="GO1659" s="797"/>
      <c r="GP1659" s="797"/>
      <c r="GQ1659" s="797"/>
      <c r="GR1659" s="797"/>
      <c r="GS1659" s="797"/>
      <c r="GT1659" s="797"/>
      <c r="GU1659" s="797"/>
      <c r="GV1659" s="797"/>
      <c r="GW1659" s="797"/>
      <c r="GX1659" s="797"/>
      <c r="GY1659" s="797"/>
      <c r="GZ1659" s="797"/>
      <c r="HA1659" s="797"/>
      <c r="HB1659" s="797"/>
      <c r="HC1659" s="797"/>
      <c r="HD1659" s="797"/>
      <c r="HE1659" s="797"/>
      <c r="HF1659" s="797"/>
      <c r="HG1659" s="797"/>
      <c r="HH1659" s="797"/>
      <c r="HI1659" s="797"/>
      <c r="HJ1659" s="797"/>
      <c r="HK1659" s="797"/>
      <c r="HL1659" s="797"/>
      <c r="HM1659" s="797"/>
      <c r="HN1659" s="797"/>
      <c r="HO1659" s="797"/>
      <c r="HP1659" s="797"/>
      <c r="HQ1659" s="797"/>
      <c r="HR1659" s="797"/>
      <c r="HS1659" s="797"/>
      <c r="HT1659" s="797"/>
      <c r="HU1659" s="797"/>
      <c r="HV1659" s="797"/>
      <c r="HW1659" s="797"/>
      <c r="HX1659" s="797"/>
      <c r="HY1659" s="797"/>
      <c r="HZ1659" s="797"/>
      <c r="IA1659" s="797"/>
      <c r="IB1659" s="797"/>
      <c r="IC1659" s="797"/>
      <c r="ID1659" s="797"/>
      <c r="IE1659" s="797"/>
      <c r="IF1659" s="797"/>
      <c r="IG1659" s="797"/>
      <c r="IH1659" s="797"/>
      <c r="II1659" s="797"/>
      <c r="IJ1659" s="797"/>
      <c r="IK1659" s="797"/>
      <c r="IL1659" s="797"/>
      <c r="IM1659" s="797"/>
      <c r="IN1659" s="797"/>
      <c r="IO1659" s="797"/>
      <c r="IP1659" s="797"/>
      <c r="IQ1659" s="797"/>
      <c r="IR1659" s="797"/>
      <c r="IS1659" s="797"/>
      <c r="IT1659" s="797"/>
      <c r="IU1659" s="797"/>
    </row>
    <row r="1660" spans="1:255" s="359" customFormat="1" ht="16.5" hidden="1" customHeight="1">
      <c r="A1660" s="336">
        <v>2</v>
      </c>
      <c r="B1660" s="328" t="s">
        <v>530</v>
      </c>
      <c r="C1660" s="329" t="s">
        <v>1135</v>
      </c>
      <c r="D1660" s="330" t="s">
        <v>88</v>
      </c>
      <c r="E1660" s="389"/>
      <c r="F1660" s="384">
        <f>'დეფექტური აქტი'!E384</f>
        <v>0</v>
      </c>
      <c r="G1660" s="389"/>
      <c r="H1660" s="389"/>
      <c r="I1660" s="389"/>
      <c r="J1660" s="389"/>
      <c r="K1660" s="389"/>
      <c r="L1660" s="389"/>
      <c r="M1660" s="389"/>
      <c r="N1660" s="348"/>
      <c r="O1660" s="797"/>
      <c r="P1660" s="798"/>
      <c r="Q1660" s="798"/>
      <c r="R1660" s="798"/>
      <c r="S1660" s="798"/>
      <c r="T1660" s="798"/>
      <c r="U1660" s="798"/>
      <c r="V1660" s="798"/>
      <c r="W1660" s="798"/>
      <c r="X1660" s="798"/>
      <c r="Y1660" s="798"/>
      <c r="Z1660" s="798"/>
      <c r="AA1660" s="797"/>
      <c r="AB1660" s="797"/>
      <c r="AC1660" s="797"/>
      <c r="AD1660" s="797"/>
      <c r="AE1660" s="797"/>
      <c r="AF1660" s="797"/>
      <c r="AG1660" s="797"/>
      <c r="AH1660" s="797"/>
      <c r="AI1660" s="797"/>
      <c r="AJ1660" s="797"/>
      <c r="AK1660" s="797"/>
      <c r="AL1660" s="797"/>
      <c r="AM1660" s="797"/>
      <c r="AN1660" s="797"/>
      <c r="AO1660" s="797"/>
      <c r="AP1660" s="797"/>
      <c r="AQ1660" s="797"/>
      <c r="AR1660" s="797"/>
      <c r="AS1660" s="797"/>
      <c r="AT1660" s="797"/>
      <c r="AU1660" s="797"/>
      <c r="AV1660" s="797"/>
      <c r="AW1660" s="797"/>
      <c r="AX1660" s="797"/>
      <c r="AY1660" s="797"/>
      <c r="AZ1660" s="797"/>
      <c r="BA1660" s="797"/>
      <c r="BB1660" s="797"/>
      <c r="BC1660" s="797"/>
      <c r="BD1660" s="797"/>
      <c r="BE1660" s="797"/>
      <c r="BF1660" s="797"/>
      <c r="BG1660" s="797"/>
      <c r="BH1660" s="797"/>
      <c r="BI1660" s="797"/>
      <c r="BJ1660" s="797"/>
      <c r="BK1660" s="797"/>
      <c r="BL1660" s="797"/>
      <c r="BM1660" s="797"/>
      <c r="BN1660" s="797"/>
      <c r="BO1660" s="797"/>
      <c r="BP1660" s="797"/>
      <c r="BQ1660" s="797"/>
      <c r="BR1660" s="797"/>
      <c r="BS1660" s="797"/>
      <c r="BT1660" s="797"/>
      <c r="BU1660" s="797"/>
      <c r="BV1660" s="797"/>
      <c r="BW1660" s="797"/>
      <c r="BX1660" s="797"/>
      <c r="BY1660" s="797"/>
      <c r="BZ1660" s="797"/>
      <c r="CA1660" s="797"/>
      <c r="CB1660" s="797"/>
      <c r="CC1660" s="797"/>
      <c r="CD1660" s="797"/>
      <c r="CE1660" s="797"/>
      <c r="CF1660" s="797"/>
      <c r="CG1660" s="797"/>
      <c r="CH1660" s="797"/>
      <c r="CI1660" s="797"/>
      <c r="CJ1660" s="797"/>
      <c r="CK1660" s="797"/>
      <c r="CL1660" s="797"/>
      <c r="CM1660" s="797"/>
      <c r="CN1660" s="797"/>
      <c r="CO1660" s="797"/>
      <c r="CP1660" s="797"/>
      <c r="CQ1660" s="797"/>
      <c r="CR1660" s="797"/>
      <c r="CS1660" s="797"/>
      <c r="CT1660" s="797"/>
      <c r="CU1660" s="797"/>
      <c r="CV1660" s="797"/>
      <c r="CW1660" s="797"/>
      <c r="CX1660" s="797"/>
      <c r="CY1660" s="797"/>
      <c r="CZ1660" s="797"/>
      <c r="DA1660" s="797"/>
      <c r="DB1660" s="797"/>
      <c r="DC1660" s="797"/>
      <c r="DD1660" s="797"/>
      <c r="DE1660" s="797"/>
      <c r="DF1660" s="797"/>
      <c r="DG1660" s="797"/>
      <c r="DH1660" s="797"/>
      <c r="DI1660" s="797"/>
      <c r="DJ1660" s="797"/>
      <c r="DK1660" s="797"/>
      <c r="DL1660" s="797"/>
      <c r="DM1660" s="797"/>
      <c r="DN1660" s="797"/>
      <c r="DO1660" s="797"/>
      <c r="DP1660" s="797"/>
      <c r="DQ1660" s="797"/>
      <c r="DR1660" s="797"/>
      <c r="DS1660" s="797"/>
      <c r="DT1660" s="797"/>
      <c r="DU1660" s="797"/>
      <c r="DV1660" s="797"/>
      <c r="DW1660" s="797"/>
      <c r="DX1660" s="797"/>
      <c r="DY1660" s="797"/>
      <c r="DZ1660" s="797"/>
      <c r="EA1660" s="797"/>
      <c r="EB1660" s="797"/>
      <c r="EC1660" s="797"/>
      <c r="ED1660" s="797"/>
      <c r="EE1660" s="797"/>
      <c r="EF1660" s="797"/>
      <c r="EG1660" s="797"/>
      <c r="EH1660" s="797"/>
      <c r="EI1660" s="797"/>
      <c r="EJ1660" s="797"/>
      <c r="EK1660" s="797"/>
      <c r="EL1660" s="797"/>
      <c r="EM1660" s="797"/>
      <c r="EN1660" s="797"/>
      <c r="EO1660" s="797"/>
      <c r="EP1660" s="797"/>
      <c r="EQ1660" s="797"/>
      <c r="ER1660" s="797"/>
      <c r="ES1660" s="797"/>
      <c r="ET1660" s="797"/>
      <c r="EU1660" s="797"/>
      <c r="EV1660" s="797"/>
      <c r="EW1660" s="797"/>
      <c r="EX1660" s="797"/>
      <c r="EY1660" s="797"/>
      <c r="EZ1660" s="797"/>
      <c r="FA1660" s="797"/>
      <c r="FB1660" s="797"/>
      <c r="FC1660" s="797"/>
      <c r="FD1660" s="797"/>
      <c r="FE1660" s="797"/>
      <c r="FF1660" s="797"/>
      <c r="FG1660" s="797"/>
      <c r="FH1660" s="797"/>
      <c r="FI1660" s="797"/>
      <c r="FJ1660" s="797"/>
      <c r="FK1660" s="797"/>
      <c r="FL1660" s="797"/>
      <c r="FM1660" s="797"/>
      <c r="FN1660" s="797"/>
      <c r="FO1660" s="797"/>
      <c r="FP1660" s="797"/>
      <c r="FQ1660" s="797"/>
      <c r="FR1660" s="797"/>
      <c r="FS1660" s="797"/>
      <c r="FT1660" s="797"/>
      <c r="FU1660" s="797"/>
      <c r="FV1660" s="797"/>
      <c r="FW1660" s="797"/>
      <c r="FX1660" s="797"/>
      <c r="FY1660" s="797"/>
      <c r="FZ1660" s="797"/>
      <c r="GA1660" s="797"/>
      <c r="GB1660" s="797"/>
      <c r="GC1660" s="797"/>
      <c r="GD1660" s="797"/>
      <c r="GE1660" s="797"/>
      <c r="GF1660" s="797"/>
      <c r="GG1660" s="797"/>
      <c r="GH1660" s="797"/>
      <c r="GI1660" s="797"/>
      <c r="GJ1660" s="797"/>
      <c r="GK1660" s="797"/>
      <c r="GL1660" s="797"/>
      <c r="GM1660" s="797"/>
      <c r="GN1660" s="797"/>
      <c r="GO1660" s="797"/>
      <c r="GP1660" s="797"/>
      <c r="GQ1660" s="797"/>
      <c r="GR1660" s="797"/>
      <c r="GS1660" s="797"/>
      <c r="GT1660" s="797"/>
      <c r="GU1660" s="797"/>
      <c r="GV1660" s="797"/>
      <c r="GW1660" s="797"/>
      <c r="GX1660" s="797"/>
      <c r="GY1660" s="797"/>
      <c r="GZ1660" s="797"/>
      <c r="HA1660" s="797"/>
      <c r="HB1660" s="797"/>
      <c r="HC1660" s="797"/>
      <c r="HD1660" s="797"/>
      <c r="HE1660" s="797"/>
      <c r="HF1660" s="797"/>
      <c r="HG1660" s="797"/>
      <c r="HH1660" s="797"/>
      <c r="HI1660" s="797"/>
      <c r="HJ1660" s="797"/>
      <c r="HK1660" s="797"/>
      <c r="HL1660" s="797"/>
      <c r="HM1660" s="797"/>
      <c r="HN1660" s="797"/>
      <c r="HO1660" s="797"/>
      <c r="HP1660" s="797"/>
      <c r="HQ1660" s="797"/>
      <c r="HR1660" s="797"/>
      <c r="HS1660" s="797"/>
      <c r="HT1660" s="797"/>
      <c r="HU1660" s="797"/>
      <c r="HV1660" s="797"/>
      <c r="HW1660" s="797"/>
      <c r="HX1660" s="797"/>
      <c r="HY1660" s="797"/>
      <c r="HZ1660" s="797"/>
      <c r="IA1660" s="797"/>
      <c r="IB1660" s="797"/>
      <c r="IC1660" s="797"/>
      <c r="ID1660" s="797"/>
      <c r="IE1660" s="797"/>
      <c r="IF1660" s="797"/>
      <c r="IG1660" s="797"/>
      <c r="IH1660" s="797"/>
      <c r="II1660" s="797"/>
      <c r="IJ1660" s="797"/>
      <c r="IK1660" s="797"/>
      <c r="IL1660" s="797"/>
      <c r="IM1660" s="797"/>
      <c r="IN1660" s="797"/>
      <c r="IO1660" s="797"/>
      <c r="IP1660" s="797"/>
      <c r="IQ1660" s="797"/>
      <c r="IR1660" s="797"/>
      <c r="IS1660" s="797"/>
      <c r="IT1660" s="797"/>
      <c r="IU1660" s="797"/>
    </row>
    <row r="1661" spans="1:255" s="359" customFormat="1" hidden="1">
      <c r="A1661" s="342"/>
      <c r="B1661" s="417"/>
      <c r="C1661" s="551" t="s">
        <v>209</v>
      </c>
      <c r="D1661" s="342" t="s">
        <v>80</v>
      </c>
      <c r="E1661" s="857">
        <v>2.06</v>
      </c>
      <c r="F1661" s="392">
        <f>F1660*E1661</f>
        <v>0</v>
      </c>
      <c r="G1661" s="392"/>
      <c r="H1661" s="392"/>
      <c r="I1661" s="392">
        <v>4.5999999999999996</v>
      </c>
      <c r="J1661" s="392">
        <f>F1661*I1661</f>
        <v>0</v>
      </c>
      <c r="K1661" s="392"/>
      <c r="L1661" s="392"/>
      <c r="M1661" s="392">
        <f>H1661+J1661+L1661</f>
        <v>0</v>
      </c>
      <c r="N1661" s="348"/>
      <c r="O1661" s="797"/>
      <c r="P1661" s="798"/>
      <c r="Q1661" s="798"/>
      <c r="R1661" s="798"/>
      <c r="S1661" s="798"/>
      <c r="T1661" s="798"/>
      <c r="U1661" s="798"/>
      <c r="V1661" s="798"/>
      <c r="W1661" s="798"/>
      <c r="X1661" s="798"/>
      <c r="Y1661" s="798"/>
      <c r="Z1661" s="798"/>
      <c r="AA1661" s="797"/>
      <c r="AB1661" s="797"/>
      <c r="AC1661" s="797"/>
      <c r="AD1661" s="797"/>
      <c r="AE1661" s="797"/>
      <c r="AF1661" s="797"/>
      <c r="AG1661" s="797"/>
      <c r="AH1661" s="797"/>
      <c r="AI1661" s="797"/>
      <c r="AJ1661" s="797"/>
      <c r="AK1661" s="797"/>
      <c r="AL1661" s="797"/>
      <c r="AM1661" s="797"/>
      <c r="AN1661" s="797"/>
      <c r="AO1661" s="797"/>
      <c r="AP1661" s="797"/>
      <c r="AQ1661" s="797"/>
      <c r="AR1661" s="797"/>
      <c r="AS1661" s="797"/>
      <c r="AT1661" s="797"/>
      <c r="AU1661" s="797"/>
      <c r="AV1661" s="797"/>
      <c r="AW1661" s="797"/>
      <c r="AX1661" s="797"/>
      <c r="AY1661" s="797"/>
      <c r="AZ1661" s="797"/>
      <c r="BA1661" s="797"/>
      <c r="BB1661" s="797"/>
      <c r="BC1661" s="797"/>
      <c r="BD1661" s="797"/>
      <c r="BE1661" s="797"/>
      <c r="BF1661" s="797"/>
      <c r="BG1661" s="797"/>
      <c r="BH1661" s="797"/>
      <c r="BI1661" s="797"/>
      <c r="BJ1661" s="797"/>
      <c r="BK1661" s="797"/>
      <c r="BL1661" s="797"/>
      <c r="BM1661" s="797"/>
      <c r="BN1661" s="797"/>
      <c r="BO1661" s="797"/>
      <c r="BP1661" s="797"/>
      <c r="BQ1661" s="797"/>
      <c r="BR1661" s="797"/>
      <c r="BS1661" s="797"/>
      <c r="BT1661" s="797"/>
      <c r="BU1661" s="797"/>
      <c r="BV1661" s="797"/>
      <c r="BW1661" s="797"/>
      <c r="BX1661" s="797"/>
      <c r="BY1661" s="797"/>
      <c r="BZ1661" s="797"/>
      <c r="CA1661" s="797"/>
      <c r="CB1661" s="797"/>
      <c r="CC1661" s="797"/>
      <c r="CD1661" s="797"/>
      <c r="CE1661" s="797"/>
      <c r="CF1661" s="797"/>
      <c r="CG1661" s="797"/>
      <c r="CH1661" s="797"/>
      <c r="CI1661" s="797"/>
      <c r="CJ1661" s="797"/>
      <c r="CK1661" s="797"/>
      <c r="CL1661" s="797"/>
      <c r="CM1661" s="797"/>
      <c r="CN1661" s="797"/>
      <c r="CO1661" s="797"/>
      <c r="CP1661" s="797"/>
      <c r="CQ1661" s="797"/>
      <c r="CR1661" s="797"/>
      <c r="CS1661" s="797"/>
      <c r="CT1661" s="797"/>
      <c r="CU1661" s="797"/>
      <c r="CV1661" s="797"/>
      <c r="CW1661" s="797"/>
      <c r="CX1661" s="797"/>
      <c r="CY1661" s="797"/>
      <c r="CZ1661" s="797"/>
      <c r="DA1661" s="797"/>
      <c r="DB1661" s="797"/>
      <c r="DC1661" s="797"/>
      <c r="DD1661" s="797"/>
      <c r="DE1661" s="797"/>
      <c r="DF1661" s="797"/>
      <c r="DG1661" s="797"/>
      <c r="DH1661" s="797"/>
      <c r="DI1661" s="797"/>
      <c r="DJ1661" s="797"/>
      <c r="DK1661" s="797"/>
      <c r="DL1661" s="797"/>
      <c r="DM1661" s="797"/>
      <c r="DN1661" s="797"/>
      <c r="DO1661" s="797"/>
      <c r="DP1661" s="797"/>
      <c r="DQ1661" s="797"/>
      <c r="DR1661" s="797"/>
      <c r="DS1661" s="797"/>
      <c r="DT1661" s="797"/>
      <c r="DU1661" s="797"/>
      <c r="DV1661" s="797"/>
      <c r="DW1661" s="797"/>
      <c r="DX1661" s="797"/>
      <c r="DY1661" s="797"/>
      <c r="DZ1661" s="797"/>
      <c r="EA1661" s="797"/>
      <c r="EB1661" s="797"/>
      <c r="EC1661" s="797"/>
      <c r="ED1661" s="797"/>
      <c r="EE1661" s="797"/>
      <c r="EF1661" s="797"/>
      <c r="EG1661" s="797"/>
      <c r="EH1661" s="797"/>
      <c r="EI1661" s="797"/>
      <c r="EJ1661" s="797"/>
      <c r="EK1661" s="797"/>
      <c r="EL1661" s="797"/>
      <c r="EM1661" s="797"/>
      <c r="EN1661" s="797"/>
      <c r="EO1661" s="797"/>
      <c r="EP1661" s="797"/>
      <c r="EQ1661" s="797"/>
      <c r="ER1661" s="797"/>
      <c r="ES1661" s="797"/>
      <c r="ET1661" s="797"/>
      <c r="EU1661" s="797"/>
      <c r="EV1661" s="797"/>
      <c r="EW1661" s="797"/>
      <c r="EX1661" s="797"/>
      <c r="EY1661" s="797"/>
      <c r="EZ1661" s="797"/>
      <c r="FA1661" s="797"/>
      <c r="FB1661" s="797"/>
      <c r="FC1661" s="797"/>
      <c r="FD1661" s="797"/>
      <c r="FE1661" s="797"/>
      <c r="FF1661" s="797"/>
      <c r="FG1661" s="797"/>
      <c r="FH1661" s="797"/>
      <c r="FI1661" s="797"/>
      <c r="FJ1661" s="797"/>
      <c r="FK1661" s="797"/>
      <c r="FL1661" s="797"/>
      <c r="FM1661" s="797"/>
      <c r="FN1661" s="797"/>
      <c r="FO1661" s="797"/>
      <c r="FP1661" s="797"/>
      <c r="FQ1661" s="797"/>
      <c r="FR1661" s="797"/>
      <c r="FS1661" s="797"/>
      <c r="FT1661" s="797"/>
      <c r="FU1661" s="797"/>
      <c r="FV1661" s="797"/>
      <c r="FW1661" s="797"/>
      <c r="FX1661" s="797"/>
      <c r="FY1661" s="797"/>
      <c r="FZ1661" s="797"/>
      <c r="GA1661" s="797"/>
      <c r="GB1661" s="797"/>
      <c r="GC1661" s="797"/>
      <c r="GD1661" s="797"/>
      <c r="GE1661" s="797"/>
      <c r="GF1661" s="797"/>
      <c r="GG1661" s="797"/>
      <c r="GH1661" s="797"/>
      <c r="GI1661" s="797"/>
      <c r="GJ1661" s="797"/>
      <c r="GK1661" s="797"/>
      <c r="GL1661" s="797"/>
      <c r="GM1661" s="797"/>
      <c r="GN1661" s="797"/>
      <c r="GO1661" s="797"/>
      <c r="GP1661" s="797"/>
      <c r="GQ1661" s="797"/>
      <c r="GR1661" s="797"/>
      <c r="GS1661" s="797"/>
      <c r="GT1661" s="797"/>
      <c r="GU1661" s="797"/>
      <c r="GV1661" s="797"/>
      <c r="GW1661" s="797"/>
      <c r="GX1661" s="797"/>
      <c r="GY1661" s="797"/>
      <c r="GZ1661" s="797"/>
      <c r="HA1661" s="797"/>
      <c r="HB1661" s="797"/>
      <c r="HC1661" s="797"/>
      <c r="HD1661" s="797"/>
      <c r="HE1661" s="797"/>
      <c r="HF1661" s="797"/>
      <c r="HG1661" s="797"/>
      <c r="HH1661" s="797"/>
      <c r="HI1661" s="797"/>
      <c r="HJ1661" s="797"/>
      <c r="HK1661" s="797"/>
      <c r="HL1661" s="797"/>
      <c r="HM1661" s="797"/>
      <c r="HN1661" s="797"/>
      <c r="HO1661" s="797"/>
      <c r="HP1661" s="797"/>
      <c r="HQ1661" s="797"/>
      <c r="HR1661" s="797"/>
      <c r="HS1661" s="797"/>
      <c r="HT1661" s="797"/>
      <c r="HU1661" s="797"/>
      <c r="HV1661" s="797"/>
      <c r="HW1661" s="797"/>
      <c r="HX1661" s="797"/>
      <c r="HY1661" s="797"/>
      <c r="HZ1661" s="797"/>
      <c r="IA1661" s="797"/>
      <c r="IB1661" s="797"/>
      <c r="IC1661" s="797"/>
      <c r="ID1661" s="797"/>
      <c r="IE1661" s="797"/>
      <c r="IF1661" s="797"/>
      <c r="IG1661" s="797"/>
      <c r="IH1661" s="797"/>
      <c r="II1661" s="797"/>
      <c r="IJ1661" s="797"/>
      <c r="IK1661" s="797"/>
      <c r="IL1661" s="797"/>
      <c r="IM1661" s="797"/>
      <c r="IN1661" s="797"/>
      <c r="IO1661" s="797"/>
      <c r="IP1661" s="797"/>
      <c r="IQ1661" s="797"/>
      <c r="IR1661" s="797"/>
      <c r="IS1661" s="797"/>
      <c r="IT1661" s="797"/>
      <c r="IU1661" s="797"/>
    </row>
    <row r="1662" spans="1:255" s="361" customFormat="1" ht="16.5" hidden="1" customHeight="1">
      <c r="A1662" s="336">
        <v>3</v>
      </c>
      <c r="B1662" s="328" t="s">
        <v>890</v>
      </c>
      <c r="C1662" s="329" t="s">
        <v>433</v>
      </c>
      <c r="D1662" s="330" t="s">
        <v>88</v>
      </c>
      <c r="E1662" s="389"/>
      <c r="F1662" s="384">
        <f>'დეფექტური აქტი'!E385</f>
        <v>0</v>
      </c>
      <c r="G1662" s="389"/>
      <c r="H1662" s="389"/>
      <c r="I1662" s="389"/>
      <c r="J1662" s="389"/>
      <c r="K1662" s="389"/>
      <c r="L1662" s="389"/>
      <c r="M1662" s="389"/>
      <c r="N1662" s="348"/>
      <c r="O1662" s="803"/>
      <c r="P1662" s="804"/>
      <c r="Q1662" s="804"/>
      <c r="R1662" s="804"/>
      <c r="S1662" s="804"/>
      <c r="T1662" s="804"/>
      <c r="U1662" s="804"/>
      <c r="V1662" s="804"/>
      <c r="W1662" s="804"/>
      <c r="X1662" s="804"/>
      <c r="Y1662" s="804"/>
      <c r="Z1662" s="804"/>
      <c r="AA1662" s="803"/>
      <c r="AB1662" s="803"/>
      <c r="AC1662" s="803"/>
      <c r="AD1662" s="803"/>
      <c r="AE1662" s="803"/>
      <c r="AF1662" s="803"/>
      <c r="AG1662" s="803"/>
      <c r="AH1662" s="803"/>
      <c r="AI1662" s="803"/>
      <c r="AJ1662" s="803"/>
      <c r="AK1662" s="803"/>
      <c r="AL1662" s="803"/>
      <c r="AM1662" s="803"/>
      <c r="AN1662" s="803"/>
      <c r="AO1662" s="803"/>
      <c r="AP1662" s="803"/>
      <c r="AQ1662" s="803"/>
      <c r="AR1662" s="803"/>
      <c r="AS1662" s="803"/>
      <c r="AT1662" s="803"/>
      <c r="AU1662" s="803"/>
      <c r="AV1662" s="803"/>
      <c r="AW1662" s="803"/>
      <c r="AX1662" s="803"/>
      <c r="AY1662" s="803"/>
      <c r="AZ1662" s="803"/>
      <c r="BA1662" s="803"/>
      <c r="BB1662" s="803"/>
      <c r="BC1662" s="803"/>
      <c r="BD1662" s="803"/>
      <c r="BE1662" s="803"/>
      <c r="BF1662" s="803"/>
      <c r="BG1662" s="803"/>
      <c r="BH1662" s="803"/>
      <c r="BI1662" s="803"/>
      <c r="BJ1662" s="803"/>
      <c r="BK1662" s="803"/>
      <c r="BL1662" s="803"/>
      <c r="BM1662" s="803"/>
      <c r="BN1662" s="803"/>
      <c r="BO1662" s="803"/>
      <c r="BP1662" s="803"/>
      <c r="BQ1662" s="803"/>
      <c r="BR1662" s="803"/>
      <c r="BS1662" s="803"/>
      <c r="BT1662" s="803"/>
      <c r="BU1662" s="803"/>
      <c r="BV1662" s="803"/>
      <c r="BW1662" s="803"/>
      <c r="BX1662" s="803"/>
      <c r="BY1662" s="803"/>
      <c r="BZ1662" s="803"/>
      <c r="CA1662" s="803"/>
      <c r="CB1662" s="803"/>
      <c r="CC1662" s="803"/>
      <c r="CD1662" s="803"/>
      <c r="CE1662" s="803"/>
      <c r="CF1662" s="803"/>
      <c r="CG1662" s="803"/>
      <c r="CH1662" s="803"/>
      <c r="CI1662" s="803"/>
      <c r="CJ1662" s="803"/>
      <c r="CK1662" s="803"/>
      <c r="CL1662" s="803"/>
      <c r="CM1662" s="803"/>
      <c r="CN1662" s="803"/>
      <c r="CO1662" s="803"/>
      <c r="CP1662" s="803"/>
      <c r="CQ1662" s="803"/>
      <c r="CR1662" s="803"/>
      <c r="CS1662" s="803"/>
      <c r="CT1662" s="803"/>
      <c r="CU1662" s="803"/>
      <c r="CV1662" s="803"/>
      <c r="CW1662" s="803"/>
      <c r="CX1662" s="803"/>
      <c r="CY1662" s="803"/>
      <c r="CZ1662" s="803"/>
      <c r="DA1662" s="803"/>
      <c r="DB1662" s="803"/>
      <c r="DC1662" s="803"/>
      <c r="DD1662" s="803"/>
      <c r="DE1662" s="803"/>
      <c r="DF1662" s="803"/>
      <c r="DG1662" s="803"/>
      <c r="DH1662" s="803"/>
      <c r="DI1662" s="803"/>
      <c r="DJ1662" s="803"/>
      <c r="DK1662" s="803"/>
      <c r="DL1662" s="803"/>
      <c r="DM1662" s="803"/>
      <c r="DN1662" s="803"/>
      <c r="DO1662" s="803"/>
      <c r="DP1662" s="803"/>
      <c r="DQ1662" s="803"/>
      <c r="DR1662" s="803"/>
      <c r="DS1662" s="803"/>
      <c r="DT1662" s="803"/>
      <c r="DU1662" s="803"/>
      <c r="DV1662" s="803"/>
      <c r="DW1662" s="803"/>
      <c r="DX1662" s="803"/>
      <c r="DY1662" s="803"/>
      <c r="DZ1662" s="803"/>
      <c r="EA1662" s="803"/>
      <c r="EB1662" s="803"/>
      <c r="EC1662" s="803"/>
      <c r="ED1662" s="803"/>
      <c r="EE1662" s="803"/>
      <c r="EF1662" s="803"/>
      <c r="EG1662" s="803"/>
      <c r="EH1662" s="803"/>
      <c r="EI1662" s="803"/>
      <c r="EJ1662" s="803"/>
      <c r="EK1662" s="803"/>
      <c r="EL1662" s="803"/>
      <c r="EM1662" s="803"/>
      <c r="EN1662" s="803"/>
      <c r="EO1662" s="803"/>
      <c r="EP1662" s="803"/>
      <c r="EQ1662" s="803"/>
      <c r="ER1662" s="803"/>
      <c r="ES1662" s="803"/>
      <c r="ET1662" s="803"/>
      <c r="EU1662" s="803"/>
      <c r="EV1662" s="803"/>
      <c r="EW1662" s="803"/>
      <c r="EX1662" s="803"/>
      <c r="EY1662" s="803"/>
      <c r="EZ1662" s="803"/>
      <c r="FA1662" s="803"/>
      <c r="FB1662" s="803"/>
      <c r="FC1662" s="803"/>
      <c r="FD1662" s="803"/>
      <c r="FE1662" s="803"/>
      <c r="FF1662" s="803"/>
      <c r="FG1662" s="803"/>
      <c r="FH1662" s="803"/>
      <c r="FI1662" s="803"/>
      <c r="FJ1662" s="803"/>
      <c r="FK1662" s="803"/>
      <c r="FL1662" s="803"/>
      <c r="FM1662" s="803"/>
      <c r="FN1662" s="803"/>
      <c r="FO1662" s="803"/>
      <c r="FP1662" s="803"/>
      <c r="FQ1662" s="803"/>
      <c r="FR1662" s="803"/>
      <c r="FS1662" s="803"/>
      <c r="FT1662" s="803"/>
      <c r="FU1662" s="803"/>
      <c r="FV1662" s="803"/>
      <c r="FW1662" s="803"/>
      <c r="FX1662" s="803"/>
      <c r="FY1662" s="803"/>
      <c r="FZ1662" s="803"/>
      <c r="GA1662" s="803"/>
      <c r="GB1662" s="803"/>
      <c r="GC1662" s="803"/>
      <c r="GD1662" s="803"/>
      <c r="GE1662" s="803"/>
      <c r="GF1662" s="803"/>
      <c r="GG1662" s="803"/>
      <c r="GH1662" s="803"/>
      <c r="GI1662" s="803"/>
      <c r="GJ1662" s="803"/>
      <c r="GK1662" s="803"/>
      <c r="GL1662" s="803"/>
      <c r="GM1662" s="803"/>
      <c r="GN1662" s="803"/>
      <c r="GO1662" s="803"/>
      <c r="GP1662" s="803"/>
      <c r="GQ1662" s="803"/>
      <c r="GR1662" s="803"/>
      <c r="GS1662" s="803"/>
      <c r="GT1662" s="803"/>
      <c r="GU1662" s="803"/>
      <c r="GV1662" s="803"/>
      <c r="GW1662" s="803"/>
      <c r="GX1662" s="803"/>
      <c r="GY1662" s="803"/>
      <c r="GZ1662" s="803"/>
      <c r="HA1662" s="803"/>
      <c r="HB1662" s="803"/>
      <c r="HC1662" s="803"/>
      <c r="HD1662" s="803"/>
      <c r="HE1662" s="803"/>
      <c r="HF1662" s="803"/>
      <c r="HG1662" s="803"/>
      <c r="HH1662" s="803"/>
      <c r="HI1662" s="803"/>
      <c r="HJ1662" s="803"/>
      <c r="HK1662" s="803"/>
      <c r="HL1662" s="803"/>
      <c r="HM1662" s="803"/>
      <c r="HN1662" s="803"/>
      <c r="HO1662" s="803"/>
      <c r="HP1662" s="803"/>
      <c r="HQ1662" s="803"/>
      <c r="HR1662" s="803"/>
      <c r="HS1662" s="803"/>
      <c r="HT1662" s="803"/>
      <c r="HU1662" s="803"/>
      <c r="HV1662" s="803"/>
      <c r="HW1662" s="803"/>
      <c r="HX1662" s="803"/>
      <c r="HY1662" s="803"/>
      <c r="HZ1662" s="803"/>
      <c r="IA1662" s="803"/>
      <c r="IB1662" s="803"/>
      <c r="IC1662" s="803"/>
      <c r="ID1662" s="803"/>
      <c r="IE1662" s="803"/>
      <c r="IF1662" s="803"/>
      <c r="IG1662" s="803"/>
      <c r="IH1662" s="803"/>
      <c r="II1662" s="803"/>
      <c r="IJ1662" s="803"/>
      <c r="IK1662" s="803"/>
      <c r="IL1662" s="803"/>
      <c r="IM1662" s="803"/>
      <c r="IN1662" s="803"/>
      <c r="IO1662" s="803"/>
      <c r="IP1662" s="803"/>
      <c r="IQ1662" s="803"/>
      <c r="IR1662" s="803"/>
      <c r="IS1662" s="803"/>
      <c r="IT1662" s="803"/>
      <c r="IU1662" s="803"/>
    </row>
    <row r="1663" spans="1:255" s="361" customFormat="1" ht="16.5" hidden="1" customHeight="1">
      <c r="A1663" s="342"/>
      <c r="B1663" s="417"/>
      <c r="C1663" s="551" t="s">
        <v>209</v>
      </c>
      <c r="D1663" s="342" t="s">
        <v>80</v>
      </c>
      <c r="E1663" s="857">
        <v>1.21</v>
      </c>
      <c r="F1663" s="392">
        <f>F1662*E1663</f>
        <v>0</v>
      </c>
      <c r="G1663" s="392"/>
      <c r="H1663" s="392"/>
      <c r="I1663" s="392">
        <v>4.5999999999999996</v>
      </c>
      <c r="J1663" s="392">
        <f>F1663*I1663</f>
        <v>0</v>
      </c>
      <c r="K1663" s="392"/>
      <c r="L1663" s="392"/>
      <c r="M1663" s="392">
        <f>H1663+J1663+L1663</f>
        <v>0</v>
      </c>
      <c r="N1663" s="348"/>
      <c r="O1663" s="803"/>
      <c r="P1663" s="804"/>
      <c r="Q1663" s="804"/>
      <c r="R1663" s="804"/>
      <c r="S1663" s="804"/>
      <c r="T1663" s="804"/>
      <c r="U1663" s="804"/>
      <c r="V1663" s="804"/>
      <c r="W1663" s="804"/>
      <c r="X1663" s="804"/>
      <c r="Y1663" s="804"/>
      <c r="Z1663" s="804"/>
      <c r="AA1663" s="803"/>
      <c r="AB1663" s="803"/>
      <c r="AC1663" s="803"/>
      <c r="AD1663" s="803"/>
      <c r="AE1663" s="803"/>
      <c r="AF1663" s="803"/>
      <c r="AG1663" s="803"/>
      <c r="AH1663" s="803"/>
      <c r="AI1663" s="803"/>
      <c r="AJ1663" s="803"/>
      <c r="AK1663" s="803"/>
      <c r="AL1663" s="803"/>
      <c r="AM1663" s="803"/>
      <c r="AN1663" s="803"/>
      <c r="AO1663" s="803"/>
      <c r="AP1663" s="803"/>
      <c r="AQ1663" s="803"/>
      <c r="AR1663" s="803"/>
      <c r="AS1663" s="803"/>
      <c r="AT1663" s="803"/>
      <c r="AU1663" s="803"/>
      <c r="AV1663" s="803"/>
      <c r="AW1663" s="803"/>
      <c r="AX1663" s="803"/>
      <c r="AY1663" s="803"/>
      <c r="AZ1663" s="803"/>
      <c r="BA1663" s="803"/>
      <c r="BB1663" s="803"/>
      <c r="BC1663" s="803"/>
      <c r="BD1663" s="803"/>
      <c r="BE1663" s="803"/>
      <c r="BF1663" s="803"/>
      <c r="BG1663" s="803"/>
      <c r="BH1663" s="803"/>
      <c r="BI1663" s="803"/>
      <c r="BJ1663" s="803"/>
      <c r="BK1663" s="803"/>
      <c r="BL1663" s="803"/>
      <c r="BM1663" s="803"/>
      <c r="BN1663" s="803"/>
      <c r="BO1663" s="803"/>
      <c r="BP1663" s="803"/>
      <c r="BQ1663" s="803"/>
      <c r="BR1663" s="803"/>
      <c r="BS1663" s="803"/>
      <c r="BT1663" s="803"/>
      <c r="BU1663" s="803"/>
      <c r="BV1663" s="803"/>
      <c r="BW1663" s="803"/>
      <c r="BX1663" s="803"/>
      <c r="BY1663" s="803"/>
      <c r="BZ1663" s="803"/>
      <c r="CA1663" s="803"/>
      <c r="CB1663" s="803"/>
      <c r="CC1663" s="803"/>
      <c r="CD1663" s="803"/>
      <c r="CE1663" s="803"/>
      <c r="CF1663" s="803"/>
      <c r="CG1663" s="803"/>
      <c r="CH1663" s="803"/>
      <c r="CI1663" s="803"/>
      <c r="CJ1663" s="803"/>
      <c r="CK1663" s="803"/>
      <c r="CL1663" s="803"/>
      <c r="CM1663" s="803"/>
      <c r="CN1663" s="803"/>
      <c r="CO1663" s="803"/>
      <c r="CP1663" s="803"/>
      <c r="CQ1663" s="803"/>
      <c r="CR1663" s="803"/>
      <c r="CS1663" s="803"/>
      <c r="CT1663" s="803"/>
      <c r="CU1663" s="803"/>
      <c r="CV1663" s="803"/>
      <c r="CW1663" s="803"/>
      <c r="CX1663" s="803"/>
      <c r="CY1663" s="803"/>
      <c r="CZ1663" s="803"/>
      <c r="DA1663" s="803"/>
      <c r="DB1663" s="803"/>
      <c r="DC1663" s="803"/>
      <c r="DD1663" s="803"/>
      <c r="DE1663" s="803"/>
      <c r="DF1663" s="803"/>
      <c r="DG1663" s="803"/>
      <c r="DH1663" s="803"/>
      <c r="DI1663" s="803"/>
      <c r="DJ1663" s="803"/>
      <c r="DK1663" s="803"/>
      <c r="DL1663" s="803"/>
      <c r="DM1663" s="803"/>
      <c r="DN1663" s="803"/>
      <c r="DO1663" s="803"/>
      <c r="DP1663" s="803"/>
      <c r="DQ1663" s="803"/>
      <c r="DR1663" s="803"/>
      <c r="DS1663" s="803"/>
      <c r="DT1663" s="803"/>
      <c r="DU1663" s="803"/>
      <c r="DV1663" s="803"/>
      <c r="DW1663" s="803"/>
      <c r="DX1663" s="803"/>
      <c r="DY1663" s="803"/>
      <c r="DZ1663" s="803"/>
      <c r="EA1663" s="803"/>
      <c r="EB1663" s="803"/>
      <c r="EC1663" s="803"/>
      <c r="ED1663" s="803"/>
      <c r="EE1663" s="803"/>
      <c r="EF1663" s="803"/>
      <c r="EG1663" s="803"/>
      <c r="EH1663" s="803"/>
      <c r="EI1663" s="803"/>
      <c r="EJ1663" s="803"/>
      <c r="EK1663" s="803"/>
      <c r="EL1663" s="803"/>
      <c r="EM1663" s="803"/>
      <c r="EN1663" s="803"/>
      <c r="EO1663" s="803"/>
      <c r="EP1663" s="803"/>
      <c r="EQ1663" s="803"/>
      <c r="ER1663" s="803"/>
      <c r="ES1663" s="803"/>
      <c r="ET1663" s="803"/>
      <c r="EU1663" s="803"/>
      <c r="EV1663" s="803"/>
      <c r="EW1663" s="803"/>
      <c r="EX1663" s="803"/>
      <c r="EY1663" s="803"/>
      <c r="EZ1663" s="803"/>
      <c r="FA1663" s="803"/>
      <c r="FB1663" s="803"/>
      <c r="FC1663" s="803"/>
      <c r="FD1663" s="803"/>
      <c r="FE1663" s="803"/>
      <c r="FF1663" s="803"/>
      <c r="FG1663" s="803"/>
      <c r="FH1663" s="803"/>
      <c r="FI1663" s="803"/>
      <c r="FJ1663" s="803"/>
      <c r="FK1663" s="803"/>
      <c r="FL1663" s="803"/>
      <c r="FM1663" s="803"/>
      <c r="FN1663" s="803"/>
      <c r="FO1663" s="803"/>
      <c r="FP1663" s="803"/>
      <c r="FQ1663" s="803"/>
      <c r="FR1663" s="803"/>
      <c r="FS1663" s="803"/>
      <c r="FT1663" s="803"/>
      <c r="FU1663" s="803"/>
      <c r="FV1663" s="803"/>
      <c r="FW1663" s="803"/>
      <c r="FX1663" s="803"/>
      <c r="FY1663" s="803"/>
      <c r="FZ1663" s="803"/>
      <c r="GA1663" s="803"/>
      <c r="GB1663" s="803"/>
      <c r="GC1663" s="803"/>
      <c r="GD1663" s="803"/>
      <c r="GE1663" s="803"/>
      <c r="GF1663" s="803"/>
      <c r="GG1663" s="803"/>
      <c r="GH1663" s="803"/>
      <c r="GI1663" s="803"/>
      <c r="GJ1663" s="803"/>
      <c r="GK1663" s="803"/>
      <c r="GL1663" s="803"/>
      <c r="GM1663" s="803"/>
      <c r="GN1663" s="803"/>
      <c r="GO1663" s="803"/>
      <c r="GP1663" s="803"/>
      <c r="GQ1663" s="803"/>
      <c r="GR1663" s="803"/>
      <c r="GS1663" s="803"/>
      <c r="GT1663" s="803"/>
      <c r="GU1663" s="803"/>
      <c r="GV1663" s="803"/>
      <c r="GW1663" s="803"/>
      <c r="GX1663" s="803"/>
      <c r="GY1663" s="803"/>
      <c r="GZ1663" s="803"/>
      <c r="HA1663" s="803"/>
      <c r="HB1663" s="803"/>
      <c r="HC1663" s="803"/>
      <c r="HD1663" s="803"/>
      <c r="HE1663" s="803"/>
      <c r="HF1663" s="803"/>
      <c r="HG1663" s="803"/>
      <c r="HH1663" s="803"/>
      <c r="HI1663" s="803"/>
      <c r="HJ1663" s="803"/>
      <c r="HK1663" s="803"/>
      <c r="HL1663" s="803"/>
      <c r="HM1663" s="803"/>
      <c r="HN1663" s="803"/>
      <c r="HO1663" s="803"/>
      <c r="HP1663" s="803"/>
      <c r="HQ1663" s="803"/>
      <c r="HR1663" s="803"/>
      <c r="HS1663" s="803"/>
      <c r="HT1663" s="803"/>
      <c r="HU1663" s="803"/>
      <c r="HV1663" s="803"/>
      <c r="HW1663" s="803"/>
      <c r="HX1663" s="803"/>
      <c r="HY1663" s="803"/>
      <c r="HZ1663" s="803"/>
      <c r="IA1663" s="803"/>
      <c r="IB1663" s="803"/>
      <c r="IC1663" s="803"/>
      <c r="ID1663" s="803"/>
      <c r="IE1663" s="803"/>
      <c r="IF1663" s="803"/>
      <c r="IG1663" s="803"/>
      <c r="IH1663" s="803"/>
      <c r="II1663" s="803"/>
      <c r="IJ1663" s="803"/>
      <c r="IK1663" s="803"/>
      <c r="IL1663" s="803"/>
      <c r="IM1663" s="803"/>
      <c r="IN1663" s="803"/>
      <c r="IO1663" s="803"/>
      <c r="IP1663" s="803"/>
      <c r="IQ1663" s="803"/>
      <c r="IR1663" s="803"/>
      <c r="IS1663" s="803"/>
      <c r="IT1663" s="803"/>
      <c r="IU1663" s="803"/>
    </row>
    <row r="1664" spans="1:255" s="359" customFormat="1" ht="27" hidden="1" customHeight="1">
      <c r="A1664" s="336">
        <v>4</v>
      </c>
      <c r="B1664" s="328" t="s">
        <v>1195</v>
      </c>
      <c r="C1664" s="329" t="s">
        <v>1528</v>
      </c>
      <c r="D1664" s="330" t="s">
        <v>88</v>
      </c>
      <c r="E1664" s="389"/>
      <c r="F1664" s="388">
        <f>'დეფექტური აქტი'!E386</f>
        <v>0</v>
      </c>
      <c r="G1664" s="389"/>
      <c r="H1664" s="389"/>
      <c r="I1664" s="389"/>
      <c r="J1664" s="389"/>
      <c r="K1664" s="389"/>
      <c r="L1664" s="389"/>
      <c r="M1664" s="389"/>
      <c r="N1664" s="358"/>
      <c r="O1664" s="797"/>
      <c r="P1664" s="798"/>
      <c r="Q1664" s="798"/>
      <c r="R1664" s="798"/>
      <c r="S1664" s="798"/>
      <c r="T1664" s="798"/>
      <c r="U1664" s="798"/>
      <c r="V1664" s="798"/>
      <c r="W1664" s="798"/>
      <c r="X1664" s="798"/>
      <c r="Y1664" s="798"/>
      <c r="Z1664" s="798"/>
      <c r="AA1664" s="797"/>
      <c r="AB1664" s="797"/>
      <c r="AC1664" s="797"/>
      <c r="AD1664" s="797"/>
      <c r="AE1664" s="797"/>
      <c r="AF1664" s="797"/>
      <c r="AG1664" s="797"/>
      <c r="AH1664" s="797"/>
      <c r="AI1664" s="797"/>
      <c r="AJ1664" s="797"/>
      <c r="AK1664" s="797"/>
      <c r="AL1664" s="797"/>
      <c r="AM1664" s="797"/>
      <c r="AN1664" s="797"/>
      <c r="AO1664" s="797"/>
      <c r="AP1664" s="797"/>
      <c r="AQ1664" s="797"/>
      <c r="AR1664" s="797"/>
      <c r="AS1664" s="797"/>
      <c r="AT1664" s="797"/>
      <c r="AU1664" s="797"/>
      <c r="AV1664" s="797"/>
      <c r="AW1664" s="797"/>
      <c r="AX1664" s="797"/>
      <c r="AY1664" s="797"/>
      <c r="AZ1664" s="797"/>
      <c r="BA1664" s="797"/>
      <c r="BB1664" s="797"/>
      <c r="BC1664" s="797"/>
      <c r="BD1664" s="797"/>
      <c r="BE1664" s="797"/>
      <c r="BF1664" s="797"/>
      <c r="BG1664" s="797"/>
      <c r="BH1664" s="797"/>
      <c r="BI1664" s="797"/>
      <c r="BJ1664" s="797"/>
      <c r="BK1664" s="797"/>
      <c r="BL1664" s="797"/>
      <c r="BM1664" s="797"/>
      <c r="BN1664" s="797"/>
      <c r="BO1664" s="797"/>
      <c r="BP1664" s="797"/>
      <c r="BQ1664" s="797"/>
      <c r="BR1664" s="797"/>
      <c r="BS1664" s="797"/>
      <c r="BT1664" s="797"/>
      <c r="BU1664" s="797"/>
      <c r="BV1664" s="797"/>
      <c r="BW1664" s="797"/>
      <c r="BX1664" s="797"/>
      <c r="BY1664" s="797"/>
      <c r="BZ1664" s="797"/>
      <c r="CA1664" s="797"/>
      <c r="CB1664" s="797"/>
      <c r="CC1664" s="797"/>
      <c r="CD1664" s="797"/>
      <c r="CE1664" s="797"/>
      <c r="CF1664" s="797"/>
      <c r="CG1664" s="797"/>
      <c r="CH1664" s="797"/>
      <c r="CI1664" s="797"/>
      <c r="CJ1664" s="797"/>
      <c r="CK1664" s="797"/>
      <c r="CL1664" s="797"/>
      <c r="CM1664" s="797"/>
      <c r="CN1664" s="797"/>
      <c r="CO1664" s="797"/>
      <c r="CP1664" s="797"/>
      <c r="CQ1664" s="797"/>
      <c r="CR1664" s="797"/>
      <c r="CS1664" s="797"/>
      <c r="CT1664" s="797"/>
      <c r="CU1664" s="797"/>
      <c r="CV1664" s="797"/>
      <c r="CW1664" s="797"/>
      <c r="CX1664" s="797"/>
      <c r="CY1664" s="797"/>
      <c r="CZ1664" s="797"/>
      <c r="DA1664" s="797"/>
      <c r="DB1664" s="797"/>
      <c r="DC1664" s="797"/>
      <c r="DD1664" s="797"/>
      <c r="DE1664" s="797"/>
      <c r="DF1664" s="797"/>
      <c r="DG1664" s="797"/>
      <c r="DH1664" s="797"/>
      <c r="DI1664" s="797"/>
      <c r="DJ1664" s="797"/>
      <c r="DK1664" s="797"/>
      <c r="DL1664" s="797"/>
      <c r="DM1664" s="797"/>
      <c r="DN1664" s="797"/>
      <c r="DO1664" s="797"/>
      <c r="DP1664" s="797"/>
      <c r="DQ1664" s="797"/>
      <c r="DR1664" s="797"/>
      <c r="DS1664" s="797"/>
      <c r="DT1664" s="797"/>
      <c r="DU1664" s="797"/>
      <c r="DV1664" s="797"/>
      <c r="DW1664" s="797"/>
      <c r="DX1664" s="797"/>
      <c r="DY1664" s="797"/>
      <c r="DZ1664" s="797"/>
      <c r="EA1664" s="797"/>
      <c r="EB1664" s="797"/>
      <c r="EC1664" s="797"/>
      <c r="ED1664" s="797"/>
      <c r="EE1664" s="797"/>
      <c r="EF1664" s="797"/>
      <c r="EG1664" s="797"/>
      <c r="EH1664" s="797"/>
      <c r="EI1664" s="797"/>
      <c r="EJ1664" s="797"/>
      <c r="EK1664" s="797"/>
      <c r="EL1664" s="797"/>
      <c r="EM1664" s="797"/>
      <c r="EN1664" s="797"/>
      <c r="EO1664" s="797"/>
      <c r="EP1664" s="797"/>
      <c r="EQ1664" s="797"/>
      <c r="ER1664" s="797"/>
      <c r="ES1664" s="797"/>
      <c r="ET1664" s="797"/>
      <c r="EU1664" s="797"/>
      <c r="EV1664" s="797"/>
      <c r="EW1664" s="797"/>
      <c r="EX1664" s="797"/>
      <c r="EY1664" s="797"/>
      <c r="EZ1664" s="797"/>
      <c r="FA1664" s="797"/>
      <c r="FB1664" s="797"/>
      <c r="FC1664" s="797"/>
      <c r="FD1664" s="797"/>
      <c r="FE1664" s="797"/>
      <c r="FF1664" s="797"/>
      <c r="FG1664" s="797"/>
      <c r="FH1664" s="797"/>
      <c r="FI1664" s="797"/>
      <c r="FJ1664" s="797"/>
      <c r="FK1664" s="797"/>
      <c r="FL1664" s="797"/>
      <c r="FM1664" s="797"/>
      <c r="FN1664" s="797"/>
      <c r="FO1664" s="797"/>
      <c r="FP1664" s="797"/>
      <c r="FQ1664" s="797"/>
      <c r="FR1664" s="797"/>
      <c r="FS1664" s="797"/>
      <c r="FT1664" s="797"/>
      <c r="FU1664" s="797"/>
      <c r="FV1664" s="797"/>
      <c r="FW1664" s="797"/>
      <c r="FX1664" s="797"/>
      <c r="FY1664" s="797"/>
      <c r="FZ1664" s="797"/>
      <c r="GA1664" s="797"/>
      <c r="GB1664" s="797"/>
      <c r="GC1664" s="797"/>
      <c r="GD1664" s="797"/>
      <c r="GE1664" s="797"/>
      <c r="GF1664" s="797"/>
      <c r="GG1664" s="797"/>
      <c r="GH1664" s="797"/>
      <c r="GI1664" s="797"/>
      <c r="GJ1664" s="797"/>
      <c r="GK1664" s="797"/>
      <c r="GL1664" s="797"/>
      <c r="GM1664" s="797"/>
      <c r="GN1664" s="797"/>
      <c r="GO1664" s="797"/>
      <c r="GP1664" s="797"/>
      <c r="GQ1664" s="797"/>
      <c r="GR1664" s="797"/>
      <c r="GS1664" s="797"/>
      <c r="GT1664" s="797"/>
      <c r="GU1664" s="797"/>
      <c r="GV1664" s="797"/>
      <c r="GW1664" s="797"/>
      <c r="GX1664" s="797"/>
      <c r="GY1664" s="797"/>
      <c r="GZ1664" s="797"/>
      <c r="HA1664" s="797"/>
      <c r="HB1664" s="797"/>
      <c r="HC1664" s="797"/>
      <c r="HD1664" s="797"/>
      <c r="HE1664" s="797"/>
      <c r="HF1664" s="797"/>
      <c r="HG1664" s="797"/>
      <c r="HH1664" s="797"/>
      <c r="HI1664" s="797"/>
      <c r="HJ1664" s="797"/>
      <c r="HK1664" s="797"/>
      <c r="HL1664" s="797"/>
      <c r="HM1664" s="797"/>
      <c r="HN1664" s="797"/>
      <c r="HO1664" s="797"/>
      <c r="HP1664" s="797"/>
      <c r="HQ1664" s="797"/>
      <c r="HR1664" s="797"/>
      <c r="HS1664" s="797"/>
      <c r="HT1664" s="797"/>
      <c r="HU1664" s="797"/>
      <c r="HV1664" s="797"/>
      <c r="HW1664" s="797"/>
      <c r="HX1664" s="797"/>
      <c r="HY1664" s="797"/>
      <c r="HZ1664" s="797"/>
      <c r="IA1664" s="797"/>
      <c r="IB1664" s="797"/>
      <c r="IC1664" s="797"/>
      <c r="ID1664" s="797"/>
      <c r="IE1664" s="797"/>
      <c r="IF1664" s="797"/>
      <c r="IG1664" s="797"/>
      <c r="IH1664" s="797"/>
      <c r="II1664" s="797"/>
      <c r="IJ1664" s="797"/>
      <c r="IK1664" s="797"/>
      <c r="IL1664" s="797"/>
      <c r="IM1664" s="797"/>
      <c r="IN1664" s="797"/>
      <c r="IO1664" s="797"/>
      <c r="IP1664" s="797"/>
      <c r="IQ1664" s="797"/>
      <c r="IR1664" s="797"/>
      <c r="IS1664" s="797"/>
      <c r="IT1664" s="797"/>
      <c r="IU1664" s="797"/>
    </row>
    <row r="1665" spans="1:255" s="359" customFormat="1" ht="15.75" hidden="1" customHeight="1">
      <c r="A1665" s="342"/>
      <c r="B1665" s="417"/>
      <c r="C1665" s="551" t="s">
        <v>1335</v>
      </c>
      <c r="D1665" s="342" t="s">
        <v>217</v>
      </c>
      <c r="E1665" s="857">
        <v>9.2099999999999994E-3</v>
      </c>
      <c r="F1665" s="392">
        <f>F1664*E1665</f>
        <v>0</v>
      </c>
      <c r="G1665" s="392"/>
      <c r="H1665" s="392"/>
      <c r="I1665" s="392"/>
      <c r="J1665" s="392"/>
      <c r="K1665" s="392">
        <v>21.54</v>
      </c>
      <c r="L1665" s="392">
        <f>F1665*K1665</f>
        <v>0</v>
      </c>
      <c r="M1665" s="392">
        <f>H1665+J1665+L1665</f>
        <v>0</v>
      </c>
      <c r="N1665" s="358"/>
      <c r="O1665" s="797"/>
      <c r="P1665" s="798"/>
      <c r="Q1665" s="798"/>
      <c r="R1665" s="798"/>
      <c r="S1665" s="798"/>
      <c r="T1665" s="798"/>
      <c r="U1665" s="798"/>
      <c r="V1665" s="798"/>
      <c r="W1665" s="798"/>
      <c r="X1665" s="798"/>
      <c r="Y1665" s="798"/>
      <c r="Z1665" s="798"/>
      <c r="AA1665" s="797"/>
      <c r="AB1665" s="797"/>
      <c r="AC1665" s="797"/>
      <c r="AD1665" s="797"/>
      <c r="AE1665" s="797"/>
      <c r="AF1665" s="797"/>
      <c r="AG1665" s="797"/>
      <c r="AH1665" s="797"/>
      <c r="AI1665" s="797"/>
      <c r="AJ1665" s="797"/>
      <c r="AK1665" s="797"/>
      <c r="AL1665" s="797"/>
      <c r="AM1665" s="797"/>
      <c r="AN1665" s="797"/>
      <c r="AO1665" s="797"/>
      <c r="AP1665" s="797"/>
      <c r="AQ1665" s="797"/>
      <c r="AR1665" s="797"/>
      <c r="AS1665" s="797"/>
      <c r="AT1665" s="797"/>
      <c r="AU1665" s="797"/>
      <c r="AV1665" s="797"/>
      <c r="AW1665" s="797"/>
      <c r="AX1665" s="797"/>
      <c r="AY1665" s="797"/>
      <c r="AZ1665" s="797"/>
      <c r="BA1665" s="797"/>
      <c r="BB1665" s="797"/>
      <c r="BC1665" s="797"/>
      <c r="BD1665" s="797"/>
      <c r="BE1665" s="797"/>
      <c r="BF1665" s="797"/>
      <c r="BG1665" s="797"/>
      <c r="BH1665" s="797"/>
      <c r="BI1665" s="797"/>
      <c r="BJ1665" s="797"/>
      <c r="BK1665" s="797"/>
      <c r="BL1665" s="797"/>
      <c r="BM1665" s="797"/>
      <c r="BN1665" s="797"/>
      <c r="BO1665" s="797"/>
      <c r="BP1665" s="797"/>
      <c r="BQ1665" s="797"/>
      <c r="BR1665" s="797"/>
      <c r="BS1665" s="797"/>
      <c r="BT1665" s="797"/>
      <c r="BU1665" s="797"/>
      <c r="BV1665" s="797"/>
      <c r="BW1665" s="797"/>
      <c r="BX1665" s="797"/>
      <c r="BY1665" s="797"/>
      <c r="BZ1665" s="797"/>
      <c r="CA1665" s="797"/>
      <c r="CB1665" s="797"/>
      <c r="CC1665" s="797"/>
      <c r="CD1665" s="797"/>
      <c r="CE1665" s="797"/>
      <c r="CF1665" s="797"/>
      <c r="CG1665" s="797"/>
      <c r="CH1665" s="797"/>
      <c r="CI1665" s="797"/>
      <c r="CJ1665" s="797"/>
      <c r="CK1665" s="797"/>
      <c r="CL1665" s="797"/>
      <c r="CM1665" s="797"/>
      <c r="CN1665" s="797"/>
      <c r="CO1665" s="797"/>
      <c r="CP1665" s="797"/>
      <c r="CQ1665" s="797"/>
      <c r="CR1665" s="797"/>
      <c r="CS1665" s="797"/>
      <c r="CT1665" s="797"/>
      <c r="CU1665" s="797"/>
      <c r="CV1665" s="797"/>
      <c r="CW1665" s="797"/>
      <c r="CX1665" s="797"/>
      <c r="CY1665" s="797"/>
      <c r="CZ1665" s="797"/>
      <c r="DA1665" s="797"/>
      <c r="DB1665" s="797"/>
      <c r="DC1665" s="797"/>
      <c r="DD1665" s="797"/>
      <c r="DE1665" s="797"/>
      <c r="DF1665" s="797"/>
      <c r="DG1665" s="797"/>
      <c r="DH1665" s="797"/>
      <c r="DI1665" s="797"/>
      <c r="DJ1665" s="797"/>
      <c r="DK1665" s="797"/>
      <c r="DL1665" s="797"/>
      <c r="DM1665" s="797"/>
      <c r="DN1665" s="797"/>
      <c r="DO1665" s="797"/>
      <c r="DP1665" s="797"/>
      <c r="DQ1665" s="797"/>
      <c r="DR1665" s="797"/>
      <c r="DS1665" s="797"/>
      <c r="DT1665" s="797"/>
      <c r="DU1665" s="797"/>
      <c r="DV1665" s="797"/>
      <c r="DW1665" s="797"/>
      <c r="DX1665" s="797"/>
      <c r="DY1665" s="797"/>
      <c r="DZ1665" s="797"/>
      <c r="EA1665" s="797"/>
      <c r="EB1665" s="797"/>
      <c r="EC1665" s="797"/>
      <c r="ED1665" s="797"/>
      <c r="EE1665" s="797"/>
      <c r="EF1665" s="797"/>
      <c r="EG1665" s="797"/>
      <c r="EH1665" s="797"/>
      <c r="EI1665" s="797"/>
      <c r="EJ1665" s="797"/>
      <c r="EK1665" s="797"/>
      <c r="EL1665" s="797"/>
      <c r="EM1665" s="797"/>
      <c r="EN1665" s="797"/>
      <c r="EO1665" s="797"/>
      <c r="EP1665" s="797"/>
      <c r="EQ1665" s="797"/>
      <c r="ER1665" s="797"/>
      <c r="ES1665" s="797"/>
      <c r="ET1665" s="797"/>
      <c r="EU1665" s="797"/>
      <c r="EV1665" s="797"/>
      <c r="EW1665" s="797"/>
      <c r="EX1665" s="797"/>
      <c r="EY1665" s="797"/>
      <c r="EZ1665" s="797"/>
      <c r="FA1665" s="797"/>
      <c r="FB1665" s="797"/>
      <c r="FC1665" s="797"/>
      <c r="FD1665" s="797"/>
      <c r="FE1665" s="797"/>
      <c r="FF1665" s="797"/>
      <c r="FG1665" s="797"/>
      <c r="FH1665" s="797"/>
      <c r="FI1665" s="797"/>
      <c r="FJ1665" s="797"/>
      <c r="FK1665" s="797"/>
      <c r="FL1665" s="797"/>
      <c r="FM1665" s="797"/>
      <c r="FN1665" s="797"/>
      <c r="FO1665" s="797"/>
      <c r="FP1665" s="797"/>
      <c r="FQ1665" s="797"/>
      <c r="FR1665" s="797"/>
      <c r="FS1665" s="797"/>
      <c r="FT1665" s="797"/>
      <c r="FU1665" s="797"/>
      <c r="FV1665" s="797"/>
      <c r="FW1665" s="797"/>
      <c r="FX1665" s="797"/>
      <c r="FY1665" s="797"/>
      <c r="FZ1665" s="797"/>
      <c r="GA1665" s="797"/>
      <c r="GB1665" s="797"/>
      <c r="GC1665" s="797"/>
      <c r="GD1665" s="797"/>
      <c r="GE1665" s="797"/>
      <c r="GF1665" s="797"/>
      <c r="GG1665" s="797"/>
      <c r="GH1665" s="797"/>
      <c r="GI1665" s="797"/>
      <c r="GJ1665" s="797"/>
      <c r="GK1665" s="797"/>
      <c r="GL1665" s="797"/>
      <c r="GM1665" s="797"/>
      <c r="GN1665" s="797"/>
      <c r="GO1665" s="797"/>
      <c r="GP1665" s="797"/>
      <c r="GQ1665" s="797"/>
      <c r="GR1665" s="797"/>
      <c r="GS1665" s="797"/>
      <c r="GT1665" s="797"/>
      <c r="GU1665" s="797"/>
      <c r="GV1665" s="797"/>
      <c r="GW1665" s="797"/>
      <c r="GX1665" s="797"/>
      <c r="GY1665" s="797"/>
      <c r="GZ1665" s="797"/>
      <c r="HA1665" s="797"/>
      <c r="HB1665" s="797"/>
      <c r="HC1665" s="797"/>
      <c r="HD1665" s="797"/>
      <c r="HE1665" s="797"/>
      <c r="HF1665" s="797"/>
      <c r="HG1665" s="797"/>
      <c r="HH1665" s="797"/>
      <c r="HI1665" s="797"/>
      <c r="HJ1665" s="797"/>
      <c r="HK1665" s="797"/>
      <c r="HL1665" s="797"/>
      <c r="HM1665" s="797"/>
      <c r="HN1665" s="797"/>
      <c r="HO1665" s="797"/>
      <c r="HP1665" s="797"/>
      <c r="HQ1665" s="797"/>
      <c r="HR1665" s="797"/>
      <c r="HS1665" s="797"/>
      <c r="HT1665" s="797"/>
      <c r="HU1665" s="797"/>
      <c r="HV1665" s="797"/>
      <c r="HW1665" s="797"/>
      <c r="HX1665" s="797"/>
      <c r="HY1665" s="797"/>
      <c r="HZ1665" s="797"/>
      <c r="IA1665" s="797"/>
      <c r="IB1665" s="797"/>
      <c r="IC1665" s="797"/>
      <c r="ID1665" s="797"/>
      <c r="IE1665" s="797"/>
      <c r="IF1665" s="797"/>
      <c r="IG1665" s="797"/>
      <c r="IH1665" s="797"/>
      <c r="II1665" s="797"/>
      <c r="IJ1665" s="797"/>
      <c r="IK1665" s="797"/>
      <c r="IL1665" s="797"/>
      <c r="IM1665" s="797"/>
      <c r="IN1665" s="797"/>
      <c r="IO1665" s="797"/>
      <c r="IP1665" s="797"/>
      <c r="IQ1665" s="797"/>
      <c r="IR1665" s="797"/>
      <c r="IS1665" s="797"/>
      <c r="IT1665" s="797"/>
      <c r="IU1665" s="797"/>
    </row>
    <row r="1666" spans="1:255" s="463" customFormat="1" ht="18" hidden="1" customHeight="1">
      <c r="A1666" s="421">
        <v>5</v>
      </c>
      <c r="B1666" s="500" t="s">
        <v>1198</v>
      </c>
      <c r="C1666" s="420" t="s">
        <v>1137</v>
      </c>
      <c r="D1666" s="421" t="s">
        <v>88</v>
      </c>
      <c r="E1666" s="856"/>
      <c r="F1666" s="384">
        <f>'დეფექტური აქტი'!E387</f>
        <v>0</v>
      </c>
      <c r="G1666" s="389"/>
      <c r="H1666" s="389"/>
      <c r="I1666" s="389"/>
      <c r="J1666" s="389"/>
      <c r="K1666" s="389"/>
      <c r="L1666" s="389"/>
      <c r="M1666" s="389"/>
      <c r="N1666" s="348"/>
      <c r="O1666" s="799"/>
      <c r="P1666" s="800"/>
      <c r="Q1666" s="800"/>
      <c r="R1666" s="800"/>
      <c r="S1666" s="800"/>
      <c r="T1666" s="800"/>
      <c r="U1666" s="800"/>
      <c r="V1666" s="800"/>
      <c r="W1666" s="800"/>
      <c r="X1666" s="800"/>
      <c r="Y1666" s="800"/>
      <c r="Z1666" s="800"/>
      <c r="AA1666" s="799"/>
      <c r="AB1666" s="799"/>
      <c r="AC1666" s="799"/>
      <c r="AD1666" s="799"/>
      <c r="AE1666" s="799"/>
      <c r="AF1666" s="799"/>
      <c r="AG1666" s="799"/>
      <c r="AH1666" s="799"/>
      <c r="AI1666" s="799"/>
      <c r="AJ1666" s="799"/>
      <c r="AK1666" s="799"/>
      <c r="AL1666" s="799"/>
      <c r="AM1666" s="799"/>
      <c r="AN1666" s="799"/>
      <c r="AO1666" s="799"/>
      <c r="AP1666" s="799"/>
      <c r="AQ1666" s="799"/>
      <c r="AR1666" s="799"/>
      <c r="AS1666" s="799"/>
      <c r="AT1666" s="799"/>
      <c r="AU1666" s="799"/>
      <c r="AV1666" s="799"/>
      <c r="AW1666" s="799"/>
      <c r="AX1666" s="799"/>
      <c r="AY1666" s="799"/>
      <c r="AZ1666" s="799"/>
      <c r="BA1666" s="799"/>
      <c r="BB1666" s="799"/>
      <c r="BC1666" s="799"/>
      <c r="BD1666" s="799"/>
      <c r="BE1666" s="799"/>
      <c r="BF1666" s="799"/>
      <c r="BG1666" s="799"/>
      <c r="BH1666" s="799"/>
      <c r="BI1666" s="799"/>
      <c r="BJ1666" s="799"/>
      <c r="BK1666" s="799"/>
      <c r="BL1666" s="799"/>
      <c r="BM1666" s="799"/>
      <c r="BN1666" s="799"/>
      <c r="BO1666" s="799"/>
      <c r="BP1666" s="799"/>
      <c r="BQ1666" s="799"/>
      <c r="BR1666" s="799"/>
      <c r="BS1666" s="799"/>
      <c r="BT1666" s="799"/>
      <c r="BU1666" s="799"/>
      <c r="BV1666" s="799"/>
      <c r="BW1666" s="799"/>
      <c r="BX1666" s="799"/>
      <c r="BY1666" s="799"/>
      <c r="BZ1666" s="799"/>
      <c r="CA1666" s="799"/>
      <c r="CB1666" s="799"/>
      <c r="CC1666" s="799"/>
      <c r="CD1666" s="799"/>
      <c r="CE1666" s="799"/>
      <c r="CF1666" s="799"/>
      <c r="CG1666" s="799"/>
      <c r="CH1666" s="799"/>
      <c r="CI1666" s="799"/>
      <c r="CJ1666" s="799"/>
      <c r="CK1666" s="799"/>
      <c r="CL1666" s="799"/>
      <c r="CM1666" s="799"/>
      <c r="CN1666" s="799"/>
      <c r="CO1666" s="799"/>
      <c r="CP1666" s="799"/>
      <c r="CQ1666" s="799"/>
      <c r="CR1666" s="799"/>
      <c r="CS1666" s="799"/>
      <c r="CT1666" s="799"/>
      <c r="CU1666" s="799"/>
      <c r="CV1666" s="799"/>
      <c r="CW1666" s="799"/>
      <c r="CX1666" s="799"/>
      <c r="CY1666" s="799"/>
      <c r="CZ1666" s="799"/>
      <c r="DA1666" s="799"/>
      <c r="DB1666" s="799"/>
      <c r="DC1666" s="799"/>
      <c r="DD1666" s="799"/>
      <c r="DE1666" s="799"/>
      <c r="DF1666" s="799"/>
      <c r="DG1666" s="799"/>
      <c r="DH1666" s="799"/>
      <c r="DI1666" s="799"/>
      <c r="DJ1666" s="799"/>
      <c r="DK1666" s="799"/>
      <c r="DL1666" s="799"/>
      <c r="DM1666" s="799"/>
      <c r="DN1666" s="799"/>
      <c r="DO1666" s="799"/>
      <c r="DP1666" s="799"/>
      <c r="DQ1666" s="799"/>
      <c r="DR1666" s="799"/>
      <c r="DS1666" s="799"/>
      <c r="DT1666" s="799"/>
      <c r="DU1666" s="799"/>
      <c r="DV1666" s="799"/>
      <c r="DW1666" s="799"/>
      <c r="DX1666" s="799"/>
      <c r="DY1666" s="799"/>
      <c r="DZ1666" s="799"/>
      <c r="EA1666" s="799"/>
      <c r="EB1666" s="799"/>
      <c r="EC1666" s="799"/>
      <c r="ED1666" s="799"/>
      <c r="EE1666" s="799"/>
      <c r="EF1666" s="799"/>
      <c r="EG1666" s="799"/>
      <c r="EH1666" s="799"/>
      <c r="EI1666" s="799"/>
      <c r="EJ1666" s="799"/>
      <c r="EK1666" s="799"/>
      <c r="EL1666" s="799"/>
      <c r="EM1666" s="799"/>
      <c r="EN1666" s="799"/>
      <c r="EO1666" s="799"/>
      <c r="EP1666" s="799"/>
      <c r="EQ1666" s="799"/>
      <c r="ER1666" s="799"/>
      <c r="ES1666" s="799"/>
      <c r="ET1666" s="799"/>
      <c r="EU1666" s="799"/>
      <c r="EV1666" s="799"/>
      <c r="EW1666" s="799"/>
      <c r="EX1666" s="799"/>
      <c r="EY1666" s="799"/>
      <c r="EZ1666" s="799"/>
      <c r="FA1666" s="799"/>
      <c r="FB1666" s="799"/>
      <c r="FC1666" s="799"/>
      <c r="FD1666" s="799"/>
      <c r="FE1666" s="799"/>
      <c r="FF1666" s="799"/>
      <c r="FG1666" s="799"/>
      <c r="FH1666" s="799"/>
      <c r="FI1666" s="799"/>
      <c r="FJ1666" s="799"/>
      <c r="FK1666" s="799"/>
      <c r="FL1666" s="799"/>
      <c r="FM1666" s="799"/>
      <c r="FN1666" s="799"/>
      <c r="FO1666" s="799"/>
      <c r="FP1666" s="799"/>
      <c r="FQ1666" s="799"/>
      <c r="FR1666" s="799"/>
      <c r="FS1666" s="799"/>
      <c r="FT1666" s="799"/>
      <c r="FU1666" s="799"/>
      <c r="FV1666" s="799"/>
      <c r="FW1666" s="799"/>
      <c r="FX1666" s="799"/>
      <c r="FY1666" s="799"/>
      <c r="FZ1666" s="799"/>
      <c r="GA1666" s="799"/>
      <c r="GB1666" s="799"/>
      <c r="GC1666" s="799"/>
      <c r="GD1666" s="799"/>
      <c r="GE1666" s="799"/>
      <c r="GF1666" s="799"/>
      <c r="GG1666" s="799"/>
      <c r="GH1666" s="799"/>
      <c r="GI1666" s="799"/>
      <c r="GJ1666" s="799"/>
      <c r="GK1666" s="799"/>
      <c r="GL1666" s="799"/>
      <c r="GM1666" s="799"/>
      <c r="GN1666" s="799"/>
      <c r="GO1666" s="799"/>
      <c r="GP1666" s="799"/>
      <c r="GQ1666" s="799"/>
      <c r="GR1666" s="799"/>
      <c r="GS1666" s="799"/>
      <c r="GT1666" s="799"/>
      <c r="GU1666" s="799"/>
      <c r="GV1666" s="799"/>
      <c r="GW1666" s="799"/>
      <c r="GX1666" s="799"/>
      <c r="GY1666" s="799"/>
      <c r="GZ1666" s="799"/>
      <c r="HA1666" s="799"/>
      <c r="HB1666" s="799"/>
      <c r="HC1666" s="799"/>
      <c r="HD1666" s="799"/>
      <c r="HE1666" s="799"/>
      <c r="HF1666" s="799"/>
      <c r="HG1666" s="799"/>
      <c r="HH1666" s="799"/>
      <c r="HI1666" s="799"/>
      <c r="HJ1666" s="799"/>
      <c r="HK1666" s="799"/>
      <c r="HL1666" s="799"/>
      <c r="HM1666" s="799"/>
      <c r="HN1666" s="799"/>
      <c r="HO1666" s="799"/>
      <c r="HP1666" s="799"/>
      <c r="HQ1666" s="799"/>
      <c r="HR1666" s="799"/>
      <c r="HS1666" s="799"/>
      <c r="HT1666" s="799"/>
      <c r="HU1666" s="799"/>
      <c r="HV1666" s="799"/>
      <c r="HW1666" s="799"/>
      <c r="HX1666" s="799"/>
      <c r="HY1666" s="799"/>
      <c r="HZ1666" s="799"/>
      <c r="IA1666" s="799"/>
      <c r="IB1666" s="799"/>
      <c r="IC1666" s="799"/>
      <c r="ID1666" s="799"/>
      <c r="IE1666" s="799"/>
      <c r="IF1666" s="799"/>
      <c r="IG1666" s="799"/>
      <c r="IH1666" s="799"/>
      <c r="II1666" s="799"/>
      <c r="IJ1666" s="799"/>
      <c r="IK1666" s="799"/>
      <c r="IL1666" s="799"/>
      <c r="IM1666" s="799"/>
      <c r="IN1666" s="799"/>
      <c r="IO1666" s="799"/>
      <c r="IP1666" s="799"/>
      <c r="IQ1666" s="799"/>
      <c r="IR1666" s="799"/>
      <c r="IS1666" s="799"/>
      <c r="IT1666" s="799"/>
      <c r="IU1666" s="799"/>
    </row>
    <row r="1667" spans="1:255" s="463" customFormat="1" ht="18" hidden="1" customHeight="1">
      <c r="A1667" s="330"/>
      <c r="B1667" s="328"/>
      <c r="C1667" s="335" t="s">
        <v>209</v>
      </c>
      <c r="D1667" s="336" t="s">
        <v>80</v>
      </c>
      <c r="E1667" s="856">
        <v>0.13400000000000001</v>
      </c>
      <c r="F1667" s="389">
        <f>F1666*E1667</f>
        <v>0</v>
      </c>
      <c r="G1667" s="389"/>
      <c r="H1667" s="389"/>
      <c r="I1667" s="389"/>
      <c r="J1667" s="389"/>
      <c r="K1667" s="389"/>
      <c r="L1667" s="389"/>
      <c r="M1667" s="389"/>
      <c r="N1667" s="348"/>
      <c r="O1667" s="799"/>
      <c r="P1667" s="800"/>
      <c r="Q1667" s="800"/>
      <c r="R1667" s="800"/>
      <c r="S1667" s="800"/>
      <c r="T1667" s="800"/>
      <c r="U1667" s="800"/>
      <c r="V1667" s="800"/>
      <c r="W1667" s="800"/>
      <c r="X1667" s="800"/>
      <c r="Y1667" s="800"/>
      <c r="Z1667" s="800"/>
      <c r="AA1667" s="799"/>
      <c r="AB1667" s="799"/>
      <c r="AC1667" s="799"/>
      <c r="AD1667" s="799"/>
      <c r="AE1667" s="799"/>
      <c r="AF1667" s="799"/>
      <c r="AG1667" s="799"/>
      <c r="AH1667" s="799"/>
      <c r="AI1667" s="799"/>
      <c r="AJ1667" s="799"/>
      <c r="AK1667" s="799"/>
      <c r="AL1667" s="799"/>
      <c r="AM1667" s="799"/>
      <c r="AN1667" s="799"/>
      <c r="AO1667" s="799"/>
      <c r="AP1667" s="799"/>
      <c r="AQ1667" s="799"/>
      <c r="AR1667" s="799"/>
      <c r="AS1667" s="799"/>
      <c r="AT1667" s="799"/>
      <c r="AU1667" s="799"/>
      <c r="AV1667" s="799"/>
      <c r="AW1667" s="799"/>
      <c r="AX1667" s="799"/>
      <c r="AY1667" s="799"/>
      <c r="AZ1667" s="799"/>
      <c r="BA1667" s="799"/>
      <c r="BB1667" s="799"/>
      <c r="BC1667" s="799"/>
      <c r="BD1667" s="799"/>
      <c r="BE1667" s="799"/>
      <c r="BF1667" s="799"/>
      <c r="BG1667" s="799"/>
      <c r="BH1667" s="799"/>
      <c r="BI1667" s="799"/>
      <c r="BJ1667" s="799"/>
      <c r="BK1667" s="799"/>
      <c r="BL1667" s="799"/>
      <c r="BM1667" s="799"/>
      <c r="BN1667" s="799"/>
      <c r="BO1667" s="799"/>
      <c r="BP1667" s="799"/>
      <c r="BQ1667" s="799"/>
      <c r="BR1667" s="799"/>
      <c r="BS1667" s="799"/>
      <c r="BT1667" s="799"/>
      <c r="BU1667" s="799"/>
      <c r="BV1667" s="799"/>
      <c r="BW1667" s="799"/>
      <c r="BX1667" s="799"/>
      <c r="BY1667" s="799"/>
      <c r="BZ1667" s="799"/>
      <c r="CA1667" s="799"/>
      <c r="CB1667" s="799"/>
      <c r="CC1667" s="799"/>
      <c r="CD1667" s="799"/>
      <c r="CE1667" s="799"/>
      <c r="CF1667" s="799"/>
      <c r="CG1667" s="799"/>
      <c r="CH1667" s="799"/>
      <c r="CI1667" s="799"/>
      <c r="CJ1667" s="799"/>
      <c r="CK1667" s="799"/>
      <c r="CL1667" s="799"/>
      <c r="CM1667" s="799"/>
      <c r="CN1667" s="799"/>
      <c r="CO1667" s="799"/>
      <c r="CP1667" s="799"/>
      <c r="CQ1667" s="799"/>
      <c r="CR1667" s="799"/>
      <c r="CS1667" s="799"/>
      <c r="CT1667" s="799"/>
      <c r="CU1667" s="799"/>
      <c r="CV1667" s="799"/>
      <c r="CW1667" s="799"/>
      <c r="CX1667" s="799"/>
      <c r="CY1667" s="799"/>
      <c r="CZ1667" s="799"/>
      <c r="DA1667" s="799"/>
      <c r="DB1667" s="799"/>
      <c r="DC1667" s="799"/>
      <c r="DD1667" s="799"/>
      <c r="DE1667" s="799"/>
      <c r="DF1667" s="799"/>
      <c r="DG1667" s="799"/>
      <c r="DH1667" s="799"/>
      <c r="DI1667" s="799"/>
      <c r="DJ1667" s="799"/>
      <c r="DK1667" s="799"/>
      <c r="DL1667" s="799"/>
      <c r="DM1667" s="799"/>
      <c r="DN1667" s="799"/>
      <c r="DO1667" s="799"/>
      <c r="DP1667" s="799"/>
      <c r="DQ1667" s="799"/>
      <c r="DR1667" s="799"/>
      <c r="DS1667" s="799"/>
      <c r="DT1667" s="799"/>
      <c r="DU1667" s="799"/>
      <c r="DV1667" s="799"/>
      <c r="DW1667" s="799"/>
      <c r="DX1667" s="799"/>
      <c r="DY1667" s="799"/>
      <c r="DZ1667" s="799"/>
      <c r="EA1667" s="799"/>
      <c r="EB1667" s="799"/>
      <c r="EC1667" s="799"/>
      <c r="ED1667" s="799"/>
      <c r="EE1667" s="799"/>
      <c r="EF1667" s="799"/>
      <c r="EG1667" s="799"/>
      <c r="EH1667" s="799"/>
      <c r="EI1667" s="799"/>
      <c r="EJ1667" s="799"/>
      <c r="EK1667" s="799"/>
      <c r="EL1667" s="799"/>
      <c r="EM1667" s="799"/>
      <c r="EN1667" s="799"/>
      <c r="EO1667" s="799"/>
      <c r="EP1667" s="799"/>
      <c r="EQ1667" s="799"/>
      <c r="ER1667" s="799"/>
      <c r="ES1667" s="799"/>
      <c r="ET1667" s="799"/>
      <c r="EU1667" s="799"/>
      <c r="EV1667" s="799"/>
      <c r="EW1667" s="799"/>
      <c r="EX1667" s="799"/>
      <c r="EY1667" s="799"/>
      <c r="EZ1667" s="799"/>
      <c r="FA1667" s="799"/>
      <c r="FB1667" s="799"/>
      <c r="FC1667" s="799"/>
      <c r="FD1667" s="799"/>
      <c r="FE1667" s="799"/>
      <c r="FF1667" s="799"/>
      <c r="FG1667" s="799"/>
      <c r="FH1667" s="799"/>
      <c r="FI1667" s="799"/>
      <c r="FJ1667" s="799"/>
      <c r="FK1667" s="799"/>
      <c r="FL1667" s="799"/>
      <c r="FM1667" s="799"/>
      <c r="FN1667" s="799"/>
      <c r="FO1667" s="799"/>
      <c r="FP1667" s="799"/>
      <c r="FQ1667" s="799"/>
      <c r="FR1667" s="799"/>
      <c r="FS1667" s="799"/>
      <c r="FT1667" s="799"/>
      <c r="FU1667" s="799"/>
      <c r="FV1667" s="799"/>
      <c r="FW1667" s="799"/>
      <c r="FX1667" s="799"/>
      <c r="FY1667" s="799"/>
      <c r="FZ1667" s="799"/>
      <c r="GA1667" s="799"/>
      <c r="GB1667" s="799"/>
      <c r="GC1667" s="799"/>
      <c r="GD1667" s="799"/>
      <c r="GE1667" s="799"/>
      <c r="GF1667" s="799"/>
      <c r="GG1667" s="799"/>
      <c r="GH1667" s="799"/>
      <c r="GI1667" s="799"/>
      <c r="GJ1667" s="799"/>
      <c r="GK1667" s="799"/>
      <c r="GL1667" s="799"/>
      <c r="GM1667" s="799"/>
      <c r="GN1667" s="799"/>
      <c r="GO1667" s="799"/>
      <c r="GP1667" s="799"/>
      <c r="GQ1667" s="799"/>
      <c r="GR1667" s="799"/>
      <c r="GS1667" s="799"/>
      <c r="GT1667" s="799"/>
      <c r="GU1667" s="799"/>
      <c r="GV1667" s="799"/>
      <c r="GW1667" s="799"/>
      <c r="GX1667" s="799"/>
      <c r="GY1667" s="799"/>
      <c r="GZ1667" s="799"/>
      <c r="HA1667" s="799"/>
      <c r="HB1667" s="799"/>
      <c r="HC1667" s="799"/>
      <c r="HD1667" s="799"/>
      <c r="HE1667" s="799"/>
      <c r="HF1667" s="799"/>
      <c r="HG1667" s="799"/>
      <c r="HH1667" s="799"/>
      <c r="HI1667" s="799"/>
      <c r="HJ1667" s="799"/>
      <c r="HK1667" s="799"/>
      <c r="HL1667" s="799"/>
      <c r="HM1667" s="799"/>
      <c r="HN1667" s="799"/>
      <c r="HO1667" s="799"/>
      <c r="HP1667" s="799"/>
      <c r="HQ1667" s="799"/>
      <c r="HR1667" s="799"/>
      <c r="HS1667" s="799"/>
      <c r="HT1667" s="799"/>
      <c r="HU1667" s="799"/>
      <c r="HV1667" s="799"/>
      <c r="HW1667" s="799"/>
      <c r="HX1667" s="799"/>
      <c r="HY1667" s="799"/>
      <c r="HZ1667" s="799"/>
      <c r="IA1667" s="799"/>
      <c r="IB1667" s="799"/>
      <c r="IC1667" s="799"/>
      <c r="ID1667" s="799"/>
      <c r="IE1667" s="799"/>
      <c r="IF1667" s="799"/>
      <c r="IG1667" s="799"/>
      <c r="IH1667" s="799"/>
      <c r="II1667" s="799"/>
      <c r="IJ1667" s="799"/>
      <c r="IK1667" s="799"/>
      <c r="IL1667" s="799"/>
      <c r="IM1667" s="799"/>
      <c r="IN1667" s="799"/>
      <c r="IO1667" s="799"/>
      <c r="IP1667" s="799"/>
      <c r="IQ1667" s="799"/>
      <c r="IR1667" s="799"/>
      <c r="IS1667" s="799"/>
      <c r="IT1667" s="799"/>
      <c r="IU1667" s="799"/>
    </row>
    <row r="1668" spans="1:255" s="463" customFormat="1" ht="18" hidden="1" customHeight="1">
      <c r="A1668" s="419"/>
      <c r="B1668" s="417"/>
      <c r="C1668" s="551" t="s">
        <v>1199</v>
      </c>
      <c r="D1668" s="342" t="s">
        <v>217</v>
      </c>
      <c r="E1668" s="856">
        <v>0.13</v>
      </c>
      <c r="F1668" s="389">
        <f>F1666*E1668</f>
        <v>0</v>
      </c>
      <c r="G1668" s="389"/>
      <c r="H1668" s="389"/>
      <c r="I1668" s="389"/>
      <c r="J1668" s="389"/>
      <c r="K1668" s="389"/>
      <c r="L1668" s="389"/>
      <c r="M1668" s="389"/>
      <c r="N1668" s="348"/>
      <c r="O1668" s="799"/>
      <c r="P1668" s="800"/>
      <c r="Q1668" s="800"/>
      <c r="R1668" s="800"/>
      <c r="S1668" s="800"/>
      <c r="T1668" s="800"/>
      <c r="U1668" s="800"/>
      <c r="V1668" s="800"/>
      <c r="W1668" s="800"/>
      <c r="X1668" s="800"/>
      <c r="Y1668" s="800"/>
      <c r="Z1668" s="800"/>
      <c r="AA1668" s="799"/>
      <c r="AB1668" s="799"/>
      <c r="AC1668" s="799"/>
      <c r="AD1668" s="799"/>
      <c r="AE1668" s="799"/>
      <c r="AF1668" s="799"/>
      <c r="AG1668" s="799"/>
      <c r="AH1668" s="799"/>
      <c r="AI1668" s="799"/>
      <c r="AJ1668" s="799"/>
      <c r="AK1668" s="799"/>
      <c r="AL1668" s="799"/>
      <c r="AM1668" s="799"/>
      <c r="AN1668" s="799"/>
      <c r="AO1668" s="799"/>
      <c r="AP1668" s="799"/>
      <c r="AQ1668" s="799"/>
      <c r="AR1668" s="799"/>
      <c r="AS1668" s="799"/>
      <c r="AT1668" s="799"/>
      <c r="AU1668" s="799"/>
      <c r="AV1668" s="799"/>
      <c r="AW1668" s="799"/>
      <c r="AX1668" s="799"/>
      <c r="AY1668" s="799"/>
      <c r="AZ1668" s="799"/>
      <c r="BA1668" s="799"/>
      <c r="BB1668" s="799"/>
      <c r="BC1668" s="799"/>
      <c r="BD1668" s="799"/>
      <c r="BE1668" s="799"/>
      <c r="BF1668" s="799"/>
      <c r="BG1668" s="799"/>
      <c r="BH1668" s="799"/>
      <c r="BI1668" s="799"/>
      <c r="BJ1668" s="799"/>
      <c r="BK1668" s="799"/>
      <c r="BL1668" s="799"/>
      <c r="BM1668" s="799"/>
      <c r="BN1668" s="799"/>
      <c r="BO1668" s="799"/>
      <c r="BP1668" s="799"/>
      <c r="BQ1668" s="799"/>
      <c r="BR1668" s="799"/>
      <c r="BS1668" s="799"/>
      <c r="BT1668" s="799"/>
      <c r="BU1668" s="799"/>
      <c r="BV1668" s="799"/>
      <c r="BW1668" s="799"/>
      <c r="BX1668" s="799"/>
      <c r="BY1668" s="799"/>
      <c r="BZ1668" s="799"/>
      <c r="CA1668" s="799"/>
      <c r="CB1668" s="799"/>
      <c r="CC1668" s="799"/>
      <c r="CD1668" s="799"/>
      <c r="CE1668" s="799"/>
      <c r="CF1668" s="799"/>
      <c r="CG1668" s="799"/>
      <c r="CH1668" s="799"/>
      <c r="CI1668" s="799"/>
      <c r="CJ1668" s="799"/>
      <c r="CK1668" s="799"/>
      <c r="CL1668" s="799"/>
      <c r="CM1668" s="799"/>
      <c r="CN1668" s="799"/>
      <c r="CO1668" s="799"/>
      <c r="CP1668" s="799"/>
      <c r="CQ1668" s="799"/>
      <c r="CR1668" s="799"/>
      <c r="CS1668" s="799"/>
      <c r="CT1668" s="799"/>
      <c r="CU1668" s="799"/>
      <c r="CV1668" s="799"/>
      <c r="CW1668" s="799"/>
      <c r="CX1668" s="799"/>
      <c r="CY1668" s="799"/>
      <c r="CZ1668" s="799"/>
      <c r="DA1668" s="799"/>
      <c r="DB1668" s="799"/>
      <c r="DC1668" s="799"/>
      <c r="DD1668" s="799"/>
      <c r="DE1668" s="799"/>
      <c r="DF1668" s="799"/>
      <c r="DG1668" s="799"/>
      <c r="DH1668" s="799"/>
      <c r="DI1668" s="799"/>
      <c r="DJ1668" s="799"/>
      <c r="DK1668" s="799"/>
      <c r="DL1668" s="799"/>
      <c r="DM1668" s="799"/>
      <c r="DN1668" s="799"/>
      <c r="DO1668" s="799"/>
      <c r="DP1668" s="799"/>
      <c r="DQ1668" s="799"/>
      <c r="DR1668" s="799"/>
      <c r="DS1668" s="799"/>
      <c r="DT1668" s="799"/>
      <c r="DU1668" s="799"/>
      <c r="DV1668" s="799"/>
      <c r="DW1668" s="799"/>
      <c r="DX1668" s="799"/>
      <c r="DY1668" s="799"/>
      <c r="DZ1668" s="799"/>
      <c r="EA1668" s="799"/>
      <c r="EB1668" s="799"/>
      <c r="EC1668" s="799"/>
      <c r="ED1668" s="799"/>
      <c r="EE1668" s="799"/>
      <c r="EF1668" s="799"/>
      <c r="EG1668" s="799"/>
      <c r="EH1668" s="799"/>
      <c r="EI1668" s="799"/>
      <c r="EJ1668" s="799"/>
      <c r="EK1668" s="799"/>
      <c r="EL1668" s="799"/>
      <c r="EM1668" s="799"/>
      <c r="EN1668" s="799"/>
      <c r="EO1668" s="799"/>
      <c r="EP1668" s="799"/>
      <c r="EQ1668" s="799"/>
      <c r="ER1668" s="799"/>
      <c r="ES1668" s="799"/>
      <c r="ET1668" s="799"/>
      <c r="EU1668" s="799"/>
      <c r="EV1668" s="799"/>
      <c r="EW1668" s="799"/>
      <c r="EX1668" s="799"/>
      <c r="EY1668" s="799"/>
      <c r="EZ1668" s="799"/>
      <c r="FA1668" s="799"/>
      <c r="FB1668" s="799"/>
      <c r="FC1668" s="799"/>
      <c r="FD1668" s="799"/>
      <c r="FE1668" s="799"/>
      <c r="FF1668" s="799"/>
      <c r="FG1668" s="799"/>
      <c r="FH1668" s="799"/>
      <c r="FI1668" s="799"/>
      <c r="FJ1668" s="799"/>
      <c r="FK1668" s="799"/>
      <c r="FL1668" s="799"/>
      <c r="FM1668" s="799"/>
      <c r="FN1668" s="799"/>
      <c r="FO1668" s="799"/>
      <c r="FP1668" s="799"/>
      <c r="FQ1668" s="799"/>
      <c r="FR1668" s="799"/>
      <c r="FS1668" s="799"/>
      <c r="FT1668" s="799"/>
      <c r="FU1668" s="799"/>
      <c r="FV1668" s="799"/>
      <c r="FW1668" s="799"/>
      <c r="FX1668" s="799"/>
      <c r="FY1668" s="799"/>
      <c r="FZ1668" s="799"/>
      <c r="GA1668" s="799"/>
      <c r="GB1668" s="799"/>
      <c r="GC1668" s="799"/>
      <c r="GD1668" s="799"/>
      <c r="GE1668" s="799"/>
      <c r="GF1668" s="799"/>
      <c r="GG1668" s="799"/>
      <c r="GH1668" s="799"/>
      <c r="GI1668" s="799"/>
      <c r="GJ1668" s="799"/>
      <c r="GK1668" s="799"/>
      <c r="GL1668" s="799"/>
      <c r="GM1668" s="799"/>
      <c r="GN1668" s="799"/>
      <c r="GO1668" s="799"/>
      <c r="GP1668" s="799"/>
      <c r="GQ1668" s="799"/>
      <c r="GR1668" s="799"/>
      <c r="GS1668" s="799"/>
      <c r="GT1668" s="799"/>
      <c r="GU1668" s="799"/>
      <c r="GV1668" s="799"/>
      <c r="GW1668" s="799"/>
      <c r="GX1668" s="799"/>
      <c r="GY1668" s="799"/>
      <c r="GZ1668" s="799"/>
      <c r="HA1668" s="799"/>
      <c r="HB1668" s="799"/>
      <c r="HC1668" s="799"/>
      <c r="HD1668" s="799"/>
      <c r="HE1668" s="799"/>
      <c r="HF1668" s="799"/>
      <c r="HG1668" s="799"/>
      <c r="HH1668" s="799"/>
      <c r="HI1668" s="799"/>
      <c r="HJ1668" s="799"/>
      <c r="HK1668" s="799"/>
      <c r="HL1668" s="799"/>
      <c r="HM1668" s="799"/>
      <c r="HN1668" s="799"/>
      <c r="HO1668" s="799"/>
      <c r="HP1668" s="799"/>
      <c r="HQ1668" s="799"/>
      <c r="HR1668" s="799"/>
      <c r="HS1668" s="799"/>
      <c r="HT1668" s="799"/>
      <c r="HU1668" s="799"/>
      <c r="HV1668" s="799"/>
      <c r="HW1668" s="799"/>
      <c r="HX1668" s="799"/>
      <c r="HY1668" s="799"/>
      <c r="HZ1668" s="799"/>
      <c r="IA1668" s="799"/>
      <c r="IB1668" s="799"/>
      <c r="IC1668" s="799"/>
      <c r="ID1668" s="799"/>
      <c r="IE1668" s="799"/>
      <c r="IF1668" s="799"/>
      <c r="IG1668" s="799"/>
      <c r="IH1668" s="799"/>
      <c r="II1668" s="799"/>
      <c r="IJ1668" s="799"/>
      <c r="IK1668" s="799"/>
      <c r="IL1668" s="799"/>
      <c r="IM1668" s="799"/>
      <c r="IN1668" s="799"/>
      <c r="IO1668" s="799"/>
      <c r="IP1668" s="799"/>
      <c r="IQ1668" s="799"/>
      <c r="IR1668" s="799"/>
      <c r="IS1668" s="799"/>
      <c r="IT1668" s="799"/>
      <c r="IU1668" s="799"/>
    </row>
    <row r="1669" spans="1:255" s="88" customFormat="1" hidden="1">
      <c r="A1669" s="140">
        <v>6</v>
      </c>
      <c r="B1669" s="1429"/>
      <c r="C1669" s="227" t="s">
        <v>499</v>
      </c>
      <c r="D1669" s="228" t="s">
        <v>206</v>
      </c>
      <c r="E1669" s="858"/>
      <c r="F1669" s="384">
        <f>'დეფექტური აქტი'!E388*1.95</f>
        <v>0</v>
      </c>
      <c r="G1669" s="422"/>
      <c r="H1669" s="422"/>
      <c r="I1669" s="422"/>
      <c r="J1669" s="422"/>
      <c r="K1669" s="422"/>
      <c r="L1669" s="422"/>
      <c r="M1669" s="422">
        <f>H1669+J1669+L1669</f>
        <v>0</v>
      </c>
      <c r="N1669" s="801"/>
      <c r="O1669" s="801"/>
      <c r="P1669" s="802"/>
      <c r="Q1669" s="802"/>
      <c r="R1669" s="802"/>
      <c r="S1669" s="802"/>
      <c r="T1669" s="802"/>
      <c r="U1669" s="802"/>
      <c r="V1669" s="802"/>
      <c r="W1669" s="802"/>
      <c r="X1669" s="802"/>
      <c r="Y1669" s="802"/>
      <c r="Z1669" s="802"/>
      <c r="AA1669" s="801"/>
      <c r="AB1669" s="801"/>
      <c r="AC1669" s="801"/>
      <c r="AD1669" s="801"/>
      <c r="AE1669" s="801"/>
      <c r="AF1669" s="801"/>
      <c r="AG1669" s="801"/>
      <c r="AH1669" s="801"/>
      <c r="AI1669" s="801"/>
      <c r="AJ1669" s="801"/>
      <c r="AK1669" s="801"/>
      <c r="AL1669" s="801"/>
      <c r="AM1669" s="801"/>
      <c r="AN1669" s="801"/>
      <c r="AO1669" s="801"/>
      <c r="AP1669" s="801"/>
      <c r="AQ1669" s="801"/>
      <c r="AR1669" s="801"/>
      <c r="AS1669" s="801"/>
      <c r="AT1669" s="801"/>
      <c r="AU1669" s="801"/>
      <c r="AV1669" s="801"/>
      <c r="AW1669" s="801"/>
      <c r="AX1669" s="801"/>
      <c r="AY1669" s="801"/>
      <c r="AZ1669" s="801"/>
      <c r="BA1669" s="801"/>
      <c r="BB1669" s="801"/>
      <c r="BC1669" s="801"/>
      <c r="BD1669" s="801"/>
      <c r="BE1669" s="801"/>
      <c r="BF1669" s="801"/>
      <c r="BG1669" s="801"/>
      <c r="BH1669" s="801"/>
      <c r="BI1669" s="801"/>
      <c r="BJ1669" s="801"/>
      <c r="BK1669" s="801"/>
      <c r="BL1669" s="801"/>
      <c r="BM1669" s="801"/>
      <c r="BN1669" s="801"/>
      <c r="BO1669" s="801"/>
      <c r="BP1669" s="801"/>
      <c r="BQ1669" s="801"/>
      <c r="BR1669" s="801"/>
      <c r="BS1669" s="801"/>
      <c r="BT1669" s="801"/>
      <c r="BU1669" s="801"/>
      <c r="BV1669" s="801"/>
      <c r="BW1669" s="801"/>
      <c r="BX1669" s="801"/>
      <c r="BY1669" s="801"/>
      <c r="BZ1669" s="801"/>
      <c r="CA1669" s="801"/>
      <c r="CB1669" s="801"/>
      <c r="CC1669" s="801"/>
      <c r="CD1669" s="801"/>
      <c r="CE1669" s="801"/>
      <c r="CF1669" s="801"/>
      <c r="CG1669" s="801"/>
      <c r="CH1669" s="801"/>
      <c r="CI1669" s="801"/>
      <c r="CJ1669" s="801"/>
      <c r="CK1669" s="801"/>
      <c r="CL1669" s="801"/>
      <c r="CM1669" s="801"/>
      <c r="CN1669" s="801"/>
      <c r="CO1669" s="801"/>
      <c r="CP1669" s="801"/>
      <c r="CQ1669" s="801"/>
      <c r="CR1669" s="801"/>
      <c r="CS1669" s="801"/>
      <c r="CT1669" s="801"/>
      <c r="CU1669" s="801"/>
      <c r="CV1669" s="801"/>
      <c r="CW1669" s="801"/>
      <c r="CX1669" s="801"/>
      <c r="CY1669" s="801"/>
      <c r="CZ1669" s="801"/>
      <c r="DA1669" s="801"/>
      <c r="DB1669" s="801"/>
      <c r="DC1669" s="801"/>
      <c r="DD1669" s="801"/>
      <c r="DE1669" s="801"/>
      <c r="DF1669" s="801"/>
      <c r="DG1669" s="801"/>
      <c r="DH1669" s="801"/>
      <c r="DI1669" s="801"/>
      <c r="DJ1669" s="801"/>
      <c r="DK1669" s="801"/>
      <c r="DL1669" s="801"/>
      <c r="DM1669" s="801"/>
      <c r="DN1669" s="801"/>
      <c r="DO1669" s="801"/>
      <c r="DP1669" s="801"/>
      <c r="DQ1669" s="801"/>
      <c r="DR1669" s="801"/>
      <c r="DS1669" s="801"/>
      <c r="DT1669" s="801"/>
      <c r="DU1669" s="801"/>
      <c r="DV1669" s="801"/>
      <c r="DW1669" s="801"/>
      <c r="DX1669" s="801"/>
      <c r="DY1669" s="801"/>
      <c r="DZ1669" s="801"/>
      <c r="EA1669" s="801"/>
      <c r="EB1669" s="801"/>
      <c r="EC1669" s="801"/>
      <c r="ED1669" s="801"/>
      <c r="EE1669" s="801"/>
      <c r="EF1669" s="801"/>
      <c r="EG1669" s="801"/>
      <c r="EH1669" s="801"/>
      <c r="EI1669" s="801"/>
      <c r="EJ1669" s="801"/>
      <c r="EK1669" s="801"/>
      <c r="EL1669" s="801"/>
      <c r="EM1669" s="801"/>
      <c r="EN1669" s="801"/>
      <c r="EO1669" s="801"/>
      <c r="EP1669" s="801"/>
      <c r="EQ1669" s="801"/>
      <c r="ER1669" s="801"/>
      <c r="ES1669" s="801"/>
      <c r="ET1669" s="801"/>
      <c r="EU1669" s="801"/>
      <c r="EV1669" s="801"/>
      <c r="EW1669" s="801"/>
      <c r="EX1669" s="801"/>
      <c r="EY1669" s="801"/>
      <c r="EZ1669" s="801"/>
      <c r="FA1669" s="801"/>
      <c r="FB1669" s="801"/>
      <c r="FC1669" s="801"/>
      <c r="FD1669" s="801"/>
      <c r="FE1669" s="801"/>
      <c r="FF1669" s="801"/>
      <c r="FG1669" s="801"/>
      <c r="FH1669" s="801"/>
      <c r="FI1669" s="801"/>
      <c r="FJ1669" s="801"/>
      <c r="FK1669" s="801"/>
      <c r="FL1669" s="801"/>
      <c r="FM1669" s="801"/>
      <c r="FN1669" s="801"/>
      <c r="FO1669" s="801"/>
      <c r="FP1669" s="801"/>
      <c r="FQ1669" s="801"/>
      <c r="FR1669" s="801"/>
      <c r="FS1669" s="801"/>
      <c r="FT1669" s="801"/>
      <c r="FU1669" s="801"/>
      <c r="FV1669" s="801"/>
      <c r="FW1669" s="801"/>
      <c r="FX1669" s="801"/>
      <c r="FY1669" s="801"/>
      <c r="FZ1669" s="801"/>
      <c r="GA1669" s="801"/>
      <c r="GB1669" s="801"/>
      <c r="GC1669" s="801"/>
      <c r="GD1669" s="801"/>
      <c r="GE1669" s="801"/>
      <c r="GF1669" s="801"/>
      <c r="GG1669" s="801"/>
      <c r="GH1669" s="801"/>
      <c r="GI1669" s="801"/>
      <c r="GJ1669" s="801"/>
      <c r="GK1669" s="801"/>
      <c r="GL1669" s="801"/>
      <c r="GM1669" s="801"/>
      <c r="GN1669" s="801"/>
      <c r="GO1669" s="801"/>
      <c r="GP1669" s="801"/>
      <c r="GQ1669" s="801"/>
      <c r="GR1669" s="801"/>
      <c r="GS1669" s="801"/>
      <c r="GT1669" s="801"/>
      <c r="GU1669" s="801"/>
      <c r="GV1669" s="801"/>
      <c r="GW1669" s="801"/>
      <c r="GX1669" s="801"/>
      <c r="GY1669" s="801"/>
      <c r="GZ1669" s="801"/>
      <c r="HA1669" s="801"/>
      <c r="HB1669" s="801"/>
      <c r="HC1669" s="801"/>
      <c r="HD1669" s="801"/>
      <c r="HE1669" s="801"/>
      <c r="HF1669" s="801"/>
      <c r="HG1669" s="801"/>
      <c r="HH1669" s="801"/>
      <c r="HI1669" s="801"/>
      <c r="HJ1669" s="801"/>
      <c r="HK1669" s="801"/>
      <c r="HL1669" s="801"/>
      <c r="HM1669" s="801"/>
      <c r="HN1669" s="801"/>
      <c r="HO1669" s="801"/>
      <c r="HP1669" s="801"/>
      <c r="HQ1669" s="801"/>
      <c r="HR1669" s="801"/>
      <c r="HS1669" s="801"/>
      <c r="HT1669" s="801"/>
      <c r="HU1669" s="801"/>
      <c r="HV1669" s="801"/>
      <c r="HW1669" s="801"/>
      <c r="HX1669" s="801"/>
      <c r="HY1669" s="801"/>
      <c r="HZ1669" s="801"/>
      <c r="IA1669" s="801"/>
      <c r="IB1669" s="801"/>
      <c r="IC1669" s="801"/>
      <c r="ID1669" s="801"/>
      <c r="IE1669" s="801"/>
      <c r="IF1669" s="801"/>
      <c r="IG1669" s="801"/>
      <c r="IH1669" s="801"/>
      <c r="II1669" s="801"/>
      <c r="IJ1669" s="801"/>
      <c r="IK1669" s="801"/>
      <c r="IL1669" s="801"/>
      <c r="IM1669" s="801"/>
      <c r="IN1669" s="801"/>
      <c r="IO1669" s="801"/>
      <c r="IP1669" s="801"/>
      <c r="IQ1669" s="801"/>
      <c r="IR1669" s="801"/>
      <c r="IS1669" s="801"/>
      <c r="IT1669" s="801"/>
      <c r="IU1669" s="801"/>
    </row>
    <row r="1670" spans="1:255" s="88" customFormat="1" hidden="1">
      <c r="A1670" s="86"/>
      <c r="B1670" s="1430"/>
      <c r="C1670" s="229" t="s">
        <v>209</v>
      </c>
      <c r="D1670" s="230" t="s">
        <v>80</v>
      </c>
      <c r="E1670" s="387">
        <v>0.53</v>
      </c>
      <c r="F1670" s="387">
        <f>F1669*E1670</f>
        <v>0</v>
      </c>
      <c r="G1670" s="393"/>
      <c r="H1670" s="605"/>
      <c r="I1670" s="393">
        <v>4.5999999999999996</v>
      </c>
      <c r="J1670" s="393">
        <f>F1670*I1670</f>
        <v>0</v>
      </c>
      <c r="K1670" s="393"/>
      <c r="L1670" s="393"/>
      <c r="M1670" s="393">
        <f>H1670+J1670+L1670</f>
        <v>0</v>
      </c>
      <c r="N1670" s="801"/>
      <c r="O1670" s="801"/>
      <c r="P1670" s="802"/>
      <c r="Q1670" s="802"/>
      <c r="R1670" s="802"/>
      <c r="S1670" s="802"/>
      <c r="T1670" s="802"/>
      <c r="U1670" s="802"/>
      <c r="V1670" s="802"/>
      <c r="W1670" s="802"/>
      <c r="X1670" s="802"/>
      <c r="Y1670" s="802"/>
      <c r="Z1670" s="802"/>
      <c r="AA1670" s="801"/>
      <c r="AB1670" s="801"/>
      <c r="AC1670" s="801"/>
      <c r="AD1670" s="801"/>
      <c r="AE1670" s="801"/>
      <c r="AF1670" s="801"/>
      <c r="AG1670" s="801"/>
      <c r="AH1670" s="801"/>
      <c r="AI1670" s="801"/>
      <c r="AJ1670" s="801"/>
      <c r="AK1670" s="801"/>
      <c r="AL1670" s="801"/>
      <c r="AM1670" s="801"/>
      <c r="AN1670" s="801"/>
      <c r="AO1670" s="801"/>
      <c r="AP1670" s="801"/>
      <c r="AQ1670" s="801"/>
      <c r="AR1670" s="801"/>
      <c r="AS1670" s="801"/>
      <c r="AT1670" s="801"/>
      <c r="AU1670" s="801"/>
      <c r="AV1670" s="801"/>
      <c r="AW1670" s="801"/>
      <c r="AX1670" s="801"/>
      <c r="AY1670" s="801"/>
      <c r="AZ1670" s="801"/>
      <c r="BA1670" s="801"/>
      <c r="BB1670" s="801"/>
      <c r="BC1670" s="801"/>
      <c r="BD1670" s="801"/>
      <c r="BE1670" s="801"/>
      <c r="BF1670" s="801"/>
      <c r="BG1670" s="801"/>
      <c r="BH1670" s="801"/>
      <c r="BI1670" s="801"/>
      <c r="BJ1670" s="801"/>
      <c r="BK1670" s="801"/>
      <c r="BL1670" s="801"/>
      <c r="BM1670" s="801"/>
      <c r="BN1670" s="801"/>
      <c r="BO1670" s="801"/>
      <c r="BP1670" s="801"/>
      <c r="BQ1670" s="801"/>
      <c r="BR1670" s="801"/>
      <c r="BS1670" s="801"/>
      <c r="BT1670" s="801"/>
      <c r="BU1670" s="801"/>
      <c r="BV1670" s="801"/>
      <c r="BW1670" s="801"/>
      <c r="BX1670" s="801"/>
      <c r="BY1670" s="801"/>
      <c r="BZ1670" s="801"/>
      <c r="CA1670" s="801"/>
      <c r="CB1670" s="801"/>
      <c r="CC1670" s="801"/>
      <c r="CD1670" s="801"/>
      <c r="CE1670" s="801"/>
      <c r="CF1670" s="801"/>
      <c r="CG1670" s="801"/>
      <c r="CH1670" s="801"/>
      <c r="CI1670" s="801"/>
      <c r="CJ1670" s="801"/>
      <c r="CK1670" s="801"/>
      <c r="CL1670" s="801"/>
      <c r="CM1670" s="801"/>
      <c r="CN1670" s="801"/>
      <c r="CO1670" s="801"/>
      <c r="CP1670" s="801"/>
      <c r="CQ1670" s="801"/>
      <c r="CR1670" s="801"/>
      <c r="CS1670" s="801"/>
      <c r="CT1670" s="801"/>
      <c r="CU1670" s="801"/>
      <c r="CV1670" s="801"/>
      <c r="CW1670" s="801"/>
      <c r="CX1670" s="801"/>
      <c r="CY1670" s="801"/>
      <c r="CZ1670" s="801"/>
      <c r="DA1670" s="801"/>
      <c r="DB1670" s="801"/>
      <c r="DC1670" s="801"/>
      <c r="DD1670" s="801"/>
      <c r="DE1670" s="801"/>
      <c r="DF1670" s="801"/>
      <c r="DG1670" s="801"/>
      <c r="DH1670" s="801"/>
      <c r="DI1670" s="801"/>
      <c r="DJ1670" s="801"/>
      <c r="DK1670" s="801"/>
      <c r="DL1670" s="801"/>
      <c r="DM1670" s="801"/>
      <c r="DN1670" s="801"/>
      <c r="DO1670" s="801"/>
      <c r="DP1670" s="801"/>
      <c r="DQ1670" s="801"/>
      <c r="DR1670" s="801"/>
      <c r="DS1670" s="801"/>
      <c r="DT1670" s="801"/>
      <c r="DU1670" s="801"/>
      <c r="DV1670" s="801"/>
      <c r="DW1670" s="801"/>
      <c r="DX1670" s="801"/>
      <c r="DY1670" s="801"/>
      <c r="DZ1670" s="801"/>
      <c r="EA1670" s="801"/>
      <c r="EB1670" s="801"/>
      <c r="EC1670" s="801"/>
      <c r="ED1670" s="801"/>
      <c r="EE1670" s="801"/>
      <c r="EF1670" s="801"/>
      <c r="EG1670" s="801"/>
      <c r="EH1670" s="801"/>
      <c r="EI1670" s="801"/>
      <c r="EJ1670" s="801"/>
      <c r="EK1670" s="801"/>
      <c r="EL1670" s="801"/>
      <c r="EM1670" s="801"/>
      <c r="EN1670" s="801"/>
      <c r="EO1670" s="801"/>
      <c r="EP1670" s="801"/>
      <c r="EQ1670" s="801"/>
      <c r="ER1670" s="801"/>
      <c r="ES1670" s="801"/>
      <c r="ET1670" s="801"/>
      <c r="EU1670" s="801"/>
      <c r="EV1670" s="801"/>
      <c r="EW1670" s="801"/>
      <c r="EX1670" s="801"/>
      <c r="EY1670" s="801"/>
      <c r="EZ1670" s="801"/>
      <c r="FA1670" s="801"/>
      <c r="FB1670" s="801"/>
      <c r="FC1670" s="801"/>
      <c r="FD1670" s="801"/>
      <c r="FE1670" s="801"/>
      <c r="FF1670" s="801"/>
      <c r="FG1670" s="801"/>
      <c r="FH1670" s="801"/>
      <c r="FI1670" s="801"/>
      <c r="FJ1670" s="801"/>
      <c r="FK1670" s="801"/>
      <c r="FL1670" s="801"/>
      <c r="FM1670" s="801"/>
      <c r="FN1670" s="801"/>
      <c r="FO1670" s="801"/>
      <c r="FP1670" s="801"/>
      <c r="FQ1670" s="801"/>
      <c r="FR1670" s="801"/>
      <c r="FS1670" s="801"/>
      <c r="FT1670" s="801"/>
      <c r="FU1670" s="801"/>
      <c r="FV1670" s="801"/>
      <c r="FW1670" s="801"/>
      <c r="FX1670" s="801"/>
      <c r="FY1670" s="801"/>
      <c r="FZ1670" s="801"/>
      <c r="GA1670" s="801"/>
      <c r="GB1670" s="801"/>
      <c r="GC1670" s="801"/>
      <c r="GD1670" s="801"/>
      <c r="GE1670" s="801"/>
      <c r="GF1670" s="801"/>
      <c r="GG1670" s="801"/>
      <c r="GH1670" s="801"/>
      <c r="GI1670" s="801"/>
      <c r="GJ1670" s="801"/>
      <c r="GK1670" s="801"/>
      <c r="GL1670" s="801"/>
      <c r="GM1670" s="801"/>
      <c r="GN1670" s="801"/>
      <c r="GO1670" s="801"/>
      <c r="GP1670" s="801"/>
      <c r="GQ1670" s="801"/>
      <c r="GR1670" s="801"/>
      <c r="GS1670" s="801"/>
      <c r="GT1670" s="801"/>
      <c r="GU1670" s="801"/>
      <c r="GV1670" s="801"/>
      <c r="GW1670" s="801"/>
      <c r="GX1670" s="801"/>
      <c r="GY1670" s="801"/>
      <c r="GZ1670" s="801"/>
      <c r="HA1670" s="801"/>
      <c r="HB1670" s="801"/>
      <c r="HC1670" s="801"/>
      <c r="HD1670" s="801"/>
      <c r="HE1670" s="801"/>
      <c r="HF1670" s="801"/>
      <c r="HG1670" s="801"/>
      <c r="HH1670" s="801"/>
      <c r="HI1670" s="801"/>
      <c r="HJ1670" s="801"/>
      <c r="HK1670" s="801"/>
      <c r="HL1670" s="801"/>
      <c r="HM1670" s="801"/>
      <c r="HN1670" s="801"/>
      <c r="HO1670" s="801"/>
      <c r="HP1670" s="801"/>
      <c r="HQ1670" s="801"/>
      <c r="HR1670" s="801"/>
      <c r="HS1670" s="801"/>
      <c r="HT1670" s="801"/>
      <c r="HU1670" s="801"/>
      <c r="HV1670" s="801"/>
      <c r="HW1670" s="801"/>
      <c r="HX1670" s="801"/>
      <c r="HY1670" s="801"/>
      <c r="HZ1670" s="801"/>
      <c r="IA1670" s="801"/>
      <c r="IB1670" s="801"/>
      <c r="IC1670" s="801"/>
      <c r="ID1670" s="801"/>
      <c r="IE1670" s="801"/>
      <c r="IF1670" s="801"/>
      <c r="IG1670" s="801"/>
      <c r="IH1670" s="801"/>
      <c r="II1670" s="801"/>
      <c r="IJ1670" s="801"/>
      <c r="IK1670" s="801"/>
      <c r="IL1670" s="801"/>
      <c r="IM1670" s="801"/>
      <c r="IN1670" s="801"/>
      <c r="IO1670" s="801"/>
      <c r="IP1670" s="801"/>
      <c r="IQ1670" s="801"/>
      <c r="IR1670" s="801"/>
      <c r="IS1670" s="801"/>
      <c r="IT1670" s="801"/>
      <c r="IU1670" s="801"/>
    </row>
    <row r="1671" spans="1:255" s="359" customFormat="1" hidden="1">
      <c r="A1671" s="98">
        <v>7</v>
      </c>
      <c r="B1671" s="462"/>
      <c r="C1671" s="127" t="s">
        <v>735</v>
      </c>
      <c r="D1671" s="99" t="s">
        <v>206</v>
      </c>
      <c r="E1671" s="501"/>
      <c r="F1671" s="397">
        <f>'დეფექტური აქტი'!E389*1.95</f>
        <v>0</v>
      </c>
      <c r="G1671" s="501"/>
      <c r="H1671" s="501"/>
      <c r="I1671" s="501"/>
      <c r="J1671" s="501"/>
      <c r="K1671" s="501">
        <v>3.02</v>
      </c>
      <c r="L1671" s="501">
        <f>F1671*K1671</f>
        <v>0</v>
      </c>
      <c r="M1671" s="501">
        <f>H1671+J1671+L1671</f>
        <v>0</v>
      </c>
      <c r="N1671" s="502"/>
      <c r="O1671" s="797"/>
      <c r="P1671" s="798"/>
      <c r="Q1671" s="798"/>
      <c r="R1671" s="798"/>
      <c r="S1671" s="798"/>
      <c r="T1671" s="798"/>
      <c r="U1671" s="798"/>
      <c r="V1671" s="798"/>
      <c r="W1671" s="798"/>
      <c r="X1671" s="798"/>
      <c r="Y1671" s="798"/>
      <c r="Z1671" s="798"/>
      <c r="AA1671" s="797"/>
      <c r="AB1671" s="797"/>
      <c r="AC1671" s="797"/>
      <c r="AD1671" s="797"/>
      <c r="AE1671" s="797"/>
      <c r="AF1671" s="797"/>
      <c r="AG1671" s="797"/>
      <c r="AH1671" s="797"/>
      <c r="AI1671" s="797"/>
      <c r="AJ1671" s="797"/>
      <c r="AK1671" s="797"/>
      <c r="AL1671" s="797"/>
      <c r="AM1671" s="797"/>
      <c r="AN1671" s="797"/>
      <c r="AO1671" s="797"/>
      <c r="AP1671" s="797"/>
      <c r="AQ1671" s="797"/>
      <c r="AR1671" s="797"/>
      <c r="AS1671" s="797"/>
      <c r="AT1671" s="797"/>
      <c r="AU1671" s="797"/>
      <c r="AV1671" s="797"/>
      <c r="AW1671" s="797"/>
      <c r="AX1671" s="797"/>
      <c r="AY1671" s="797"/>
      <c r="AZ1671" s="797"/>
      <c r="BA1671" s="797"/>
      <c r="BB1671" s="797"/>
      <c r="BC1671" s="797"/>
      <c r="BD1671" s="797"/>
      <c r="BE1671" s="797"/>
      <c r="BF1671" s="797"/>
      <c r="BG1671" s="797"/>
      <c r="BH1671" s="797"/>
      <c r="BI1671" s="797"/>
      <c r="BJ1671" s="797"/>
      <c r="BK1671" s="797"/>
      <c r="BL1671" s="797"/>
      <c r="BM1671" s="797"/>
      <c r="BN1671" s="797"/>
      <c r="BO1671" s="797"/>
      <c r="BP1671" s="797"/>
      <c r="BQ1671" s="797"/>
      <c r="BR1671" s="797"/>
      <c r="BS1671" s="797"/>
      <c r="BT1671" s="797"/>
      <c r="BU1671" s="797"/>
      <c r="BV1671" s="797"/>
      <c r="BW1671" s="797"/>
      <c r="BX1671" s="797"/>
      <c r="BY1671" s="797"/>
      <c r="BZ1671" s="797"/>
      <c r="CA1671" s="797"/>
      <c r="CB1671" s="797"/>
      <c r="CC1671" s="797"/>
      <c r="CD1671" s="797"/>
      <c r="CE1671" s="797"/>
      <c r="CF1671" s="797"/>
      <c r="CG1671" s="797"/>
      <c r="CH1671" s="797"/>
      <c r="CI1671" s="797"/>
      <c r="CJ1671" s="797"/>
      <c r="CK1671" s="797"/>
      <c r="CL1671" s="797"/>
      <c r="CM1671" s="797"/>
      <c r="CN1671" s="797"/>
      <c r="CO1671" s="797"/>
      <c r="CP1671" s="797"/>
      <c r="CQ1671" s="797"/>
      <c r="CR1671" s="797"/>
      <c r="CS1671" s="797"/>
      <c r="CT1671" s="797"/>
      <c r="CU1671" s="797"/>
      <c r="CV1671" s="797"/>
      <c r="CW1671" s="797"/>
      <c r="CX1671" s="797"/>
      <c r="CY1671" s="797"/>
      <c r="CZ1671" s="797"/>
      <c r="DA1671" s="797"/>
      <c r="DB1671" s="797"/>
      <c r="DC1671" s="797"/>
      <c r="DD1671" s="797"/>
      <c r="DE1671" s="797"/>
      <c r="DF1671" s="797"/>
      <c r="DG1671" s="797"/>
      <c r="DH1671" s="797"/>
      <c r="DI1671" s="797"/>
      <c r="DJ1671" s="797"/>
      <c r="DK1671" s="797"/>
      <c r="DL1671" s="797"/>
      <c r="DM1671" s="797"/>
      <c r="DN1671" s="797"/>
      <c r="DO1671" s="797"/>
      <c r="DP1671" s="797"/>
      <c r="DQ1671" s="797"/>
      <c r="DR1671" s="797"/>
      <c r="DS1671" s="797"/>
      <c r="DT1671" s="797"/>
      <c r="DU1671" s="797"/>
      <c r="DV1671" s="797"/>
      <c r="DW1671" s="797"/>
      <c r="DX1671" s="797"/>
      <c r="DY1671" s="797"/>
      <c r="DZ1671" s="797"/>
      <c r="EA1671" s="797"/>
      <c r="EB1671" s="797"/>
      <c r="EC1671" s="797"/>
      <c r="ED1671" s="797"/>
      <c r="EE1671" s="797"/>
      <c r="EF1671" s="797"/>
      <c r="EG1671" s="797"/>
      <c r="EH1671" s="797"/>
      <c r="EI1671" s="797"/>
      <c r="EJ1671" s="797"/>
      <c r="EK1671" s="797"/>
      <c r="EL1671" s="797"/>
      <c r="EM1671" s="797"/>
      <c r="EN1671" s="797"/>
      <c r="EO1671" s="797"/>
      <c r="EP1671" s="797"/>
      <c r="EQ1671" s="797"/>
      <c r="ER1671" s="797"/>
      <c r="ES1671" s="797"/>
      <c r="ET1671" s="797"/>
      <c r="EU1671" s="797"/>
      <c r="EV1671" s="797"/>
      <c r="EW1671" s="797"/>
      <c r="EX1671" s="797"/>
      <c r="EY1671" s="797"/>
      <c r="EZ1671" s="797"/>
      <c r="FA1671" s="797"/>
      <c r="FB1671" s="797"/>
      <c r="FC1671" s="797"/>
      <c r="FD1671" s="797"/>
      <c r="FE1671" s="797"/>
      <c r="FF1671" s="797"/>
      <c r="FG1671" s="797"/>
      <c r="FH1671" s="797"/>
      <c r="FI1671" s="797"/>
      <c r="FJ1671" s="797"/>
      <c r="FK1671" s="797"/>
      <c r="FL1671" s="797"/>
      <c r="FM1671" s="797"/>
      <c r="FN1671" s="797"/>
      <c r="FO1671" s="797"/>
      <c r="FP1671" s="797"/>
      <c r="FQ1671" s="797"/>
      <c r="FR1671" s="797"/>
      <c r="FS1671" s="797"/>
      <c r="FT1671" s="797"/>
      <c r="FU1671" s="797"/>
      <c r="FV1671" s="797"/>
      <c r="FW1671" s="797"/>
      <c r="FX1671" s="797"/>
      <c r="FY1671" s="797"/>
      <c r="FZ1671" s="797"/>
      <c r="GA1671" s="797"/>
      <c r="GB1671" s="797"/>
      <c r="GC1671" s="797"/>
      <c r="GD1671" s="797"/>
      <c r="GE1671" s="797"/>
      <c r="GF1671" s="797"/>
      <c r="GG1671" s="797"/>
      <c r="GH1671" s="797"/>
      <c r="GI1671" s="797"/>
      <c r="GJ1671" s="797"/>
      <c r="GK1671" s="797"/>
      <c r="GL1671" s="797"/>
      <c r="GM1671" s="797"/>
      <c r="GN1671" s="797"/>
      <c r="GO1671" s="797"/>
      <c r="GP1671" s="797"/>
      <c r="GQ1671" s="797"/>
      <c r="GR1671" s="797"/>
      <c r="GS1671" s="797"/>
      <c r="GT1671" s="797"/>
      <c r="GU1671" s="797"/>
      <c r="GV1671" s="797"/>
      <c r="GW1671" s="797"/>
      <c r="GX1671" s="797"/>
      <c r="GY1671" s="797"/>
      <c r="GZ1671" s="797"/>
      <c r="HA1671" s="797"/>
      <c r="HB1671" s="797"/>
      <c r="HC1671" s="797"/>
      <c r="HD1671" s="797"/>
      <c r="HE1671" s="797"/>
      <c r="HF1671" s="797"/>
      <c r="HG1671" s="797"/>
      <c r="HH1671" s="797"/>
      <c r="HI1671" s="797"/>
      <c r="HJ1671" s="797"/>
      <c r="HK1671" s="797"/>
      <c r="HL1671" s="797"/>
      <c r="HM1671" s="797"/>
      <c r="HN1671" s="797"/>
      <c r="HO1671" s="797"/>
      <c r="HP1671" s="797"/>
      <c r="HQ1671" s="797"/>
      <c r="HR1671" s="797"/>
      <c r="HS1671" s="797"/>
      <c r="HT1671" s="797"/>
      <c r="HU1671" s="797"/>
      <c r="HV1671" s="797"/>
      <c r="HW1671" s="797"/>
      <c r="HX1671" s="797"/>
      <c r="HY1671" s="797"/>
      <c r="HZ1671" s="797"/>
      <c r="IA1671" s="797"/>
      <c r="IB1671" s="797"/>
      <c r="IC1671" s="797"/>
      <c r="ID1671" s="797"/>
      <c r="IE1671" s="797"/>
      <c r="IF1671" s="797"/>
      <c r="IG1671" s="797"/>
      <c r="IH1671" s="797"/>
      <c r="II1671" s="797"/>
      <c r="IJ1671" s="797"/>
      <c r="IK1671" s="797"/>
      <c r="IL1671" s="797"/>
      <c r="IM1671" s="797"/>
      <c r="IN1671" s="797"/>
      <c r="IO1671" s="797"/>
      <c r="IP1671" s="797"/>
      <c r="IQ1671" s="797"/>
      <c r="IR1671" s="797"/>
      <c r="IS1671" s="797"/>
      <c r="IT1671" s="797"/>
      <c r="IU1671" s="797"/>
    </row>
    <row r="1672" spans="1:255" s="359" customFormat="1" hidden="1">
      <c r="A1672" s="336">
        <v>8</v>
      </c>
      <c r="B1672" s="328" t="s">
        <v>1336</v>
      </c>
      <c r="C1672" s="329" t="s">
        <v>1337</v>
      </c>
      <c r="D1672" s="330" t="s">
        <v>88</v>
      </c>
      <c r="E1672" s="389"/>
      <c r="F1672" s="384">
        <f>'დეფექტური აქტი'!E390</f>
        <v>0</v>
      </c>
      <c r="G1672" s="389"/>
      <c r="H1672" s="389"/>
      <c r="I1672" s="389"/>
      <c r="J1672" s="389"/>
      <c r="K1672" s="389"/>
      <c r="L1672" s="389"/>
      <c r="M1672" s="389"/>
      <c r="N1672" s="358"/>
      <c r="O1672" s="797"/>
      <c r="P1672" s="798"/>
      <c r="Q1672" s="798"/>
      <c r="R1672" s="798"/>
      <c r="S1672" s="798"/>
      <c r="T1672" s="798"/>
      <c r="U1672" s="798"/>
      <c r="V1672" s="798"/>
      <c r="W1672" s="798"/>
      <c r="X1672" s="798"/>
      <c r="Y1672" s="798"/>
      <c r="Z1672" s="798"/>
      <c r="AA1672" s="797"/>
      <c r="AB1672" s="797"/>
      <c r="AC1672" s="797"/>
      <c r="AD1672" s="797"/>
      <c r="AE1672" s="797"/>
      <c r="AF1672" s="797"/>
      <c r="AG1672" s="797"/>
      <c r="AH1672" s="797"/>
      <c r="AI1672" s="797"/>
      <c r="AJ1672" s="797"/>
      <c r="AK1672" s="797"/>
      <c r="AL1672" s="797"/>
      <c r="AM1672" s="797"/>
      <c r="AN1672" s="797"/>
      <c r="AO1672" s="797"/>
      <c r="AP1672" s="797"/>
      <c r="AQ1672" s="797"/>
      <c r="AR1672" s="797"/>
      <c r="AS1672" s="797"/>
      <c r="AT1672" s="797"/>
      <c r="AU1672" s="797"/>
      <c r="AV1672" s="797"/>
      <c r="AW1672" s="797"/>
      <c r="AX1672" s="797"/>
      <c r="AY1672" s="797"/>
      <c r="AZ1672" s="797"/>
      <c r="BA1672" s="797"/>
      <c r="BB1672" s="797"/>
      <c r="BC1672" s="797"/>
      <c r="BD1672" s="797"/>
      <c r="BE1672" s="797"/>
      <c r="BF1672" s="797"/>
      <c r="BG1672" s="797"/>
      <c r="BH1672" s="797"/>
      <c r="BI1672" s="797"/>
      <c r="BJ1672" s="797"/>
      <c r="BK1672" s="797"/>
      <c r="BL1672" s="797"/>
      <c r="BM1672" s="797"/>
      <c r="BN1672" s="797"/>
      <c r="BO1672" s="797"/>
      <c r="BP1672" s="797"/>
      <c r="BQ1672" s="797"/>
      <c r="BR1672" s="797"/>
      <c r="BS1672" s="797"/>
      <c r="BT1672" s="797"/>
      <c r="BU1672" s="797"/>
      <c r="BV1672" s="797"/>
      <c r="BW1672" s="797"/>
      <c r="BX1672" s="797"/>
      <c r="BY1672" s="797"/>
      <c r="BZ1672" s="797"/>
      <c r="CA1672" s="797"/>
      <c r="CB1672" s="797"/>
      <c r="CC1672" s="797"/>
      <c r="CD1672" s="797"/>
      <c r="CE1672" s="797"/>
      <c r="CF1672" s="797"/>
      <c r="CG1672" s="797"/>
      <c r="CH1672" s="797"/>
      <c r="CI1672" s="797"/>
      <c r="CJ1672" s="797"/>
      <c r="CK1672" s="797"/>
      <c r="CL1672" s="797"/>
      <c r="CM1672" s="797"/>
      <c r="CN1672" s="797"/>
      <c r="CO1672" s="797"/>
      <c r="CP1672" s="797"/>
      <c r="CQ1672" s="797"/>
      <c r="CR1672" s="797"/>
      <c r="CS1672" s="797"/>
      <c r="CT1672" s="797"/>
      <c r="CU1672" s="797"/>
      <c r="CV1672" s="797"/>
      <c r="CW1672" s="797"/>
      <c r="CX1672" s="797"/>
      <c r="CY1672" s="797"/>
      <c r="CZ1672" s="797"/>
      <c r="DA1672" s="797"/>
      <c r="DB1672" s="797"/>
      <c r="DC1672" s="797"/>
      <c r="DD1672" s="797"/>
      <c r="DE1672" s="797"/>
      <c r="DF1672" s="797"/>
      <c r="DG1672" s="797"/>
      <c r="DH1672" s="797"/>
      <c r="DI1672" s="797"/>
      <c r="DJ1672" s="797"/>
      <c r="DK1672" s="797"/>
      <c r="DL1672" s="797"/>
      <c r="DM1672" s="797"/>
      <c r="DN1672" s="797"/>
      <c r="DO1672" s="797"/>
      <c r="DP1672" s="797"/>
      <c r="DQ1672" s="797"/>
      <c r="DR1672" s="797"/>
      <c r="DS1672" s="797"/>
      <c r="DT1672" s="797"/>
      <c r="DU1672" s="797"/>
      <c r="DV1672" s="797"/>
      <c r="DW1672" s="797"/>
      <c r="DX1672" s="797"/>
      <c r="DY1672" s="797"/>
      <c r="DZ1672" s="797"/>
      <c r="EA1672" s="797"/>
      <c r="EB1672" s="797"/>
      <c r="EC1672" s="797"/>
      <c r="ED1672" s="797"/>
      <c r="EE1672" s="797"/>
      <c r="EF1672" s="797"/>
      <c r="EG1672" s="797"/>
      <c r="EH1672" s="797"/>
      <c r="EI1672" s="797"/>
      <c r="EJ1672" s="797"/>
      <c r="EK1672" s="797"/>
      <c r="EL1672" s="797"/>
      <c r="EM1672" s="797"/>
      <c r="EN1672" s="797"/>
      <c r="EO1672" s="797"/>
      <c r="EP1672" s="797"/>
      <c r="EQ1672" s="797"/>
      <c r="ER1672" s="797"/>
      <c r="ES1672" s="797"/>
      <c r="ET1672" s="797"/>
      <c r="EU1672" s="797"/>
      <c r="EV1672" s="797"/>
      <c r="EW1672" s="797"/>
      <c r="EX1672" s="797"/>
      <c r="EY1672" s="797"/>
      <c r="EZ1672" s="797"/>
      <c r="FA1672" s="797"/>
      <c r="FB1672" s="797"/>
      <c r="FC1672" s="797"/>
      <c r="FD1672" s="797"/>
      <c r="FE1672" s="797"/>
      <c r="FF1672" s="797"/>
      <c r="FG1672" s="797"/>
      <c r="FH1672" s="797"/>
      <c r="FI1672" s="797"/>
      <c r="FJ1672" s="797"/>
      <c r="FK1672" s="797"/>
      <c r="FL1672" s="797"/>
      <c r="FM1672" s="797"/>
      <c r="FN1672" s="797"/>
      <c r="FO1672" s="797"/>
      <c r="FP1672" s="797"/>
      <c r="FQ1672" s="797"/>
      <c r="FR1672" s="797"/>
      <c r="FS1672" s="797"/>
      <c r="FT1672" s="797"/>
      <c r="FU1672" s="797"/>
      <c r="FV1672" s="797"/>
      <c r="FW1672" s="797"/>
      <c r="FX1672" s="797"/>
      <c r="FY1672" s="797"/>
      <c r="FZ1672" s="797"/>
      <c r="GA1672" s="797"/>
      <c r="GB1672" s="797"/>
      <c r="GC1672" s="797"/>
      <c r="GD1672" s="797"/>
      <c r="GE1672" s="797"/>
      <c r="GF1672" s="797"/>
      <c r="GG1672" s="797"/>
      <c r="GH1672" s="797"/>
      <c r="GI1672" s="797"/>
      <c r="GJ1672" s="797"/>
      <c r="GK1672" s="797"/>
      <c r="GL1672" s="797"/>
      <c r="GM1672" s="797"/>
      <c r="GN1672" s="797"/>
      <c r="GO1672" s="797"/>
      <c r="GP1672" s="797"/>
      <c r="GQ1672" s="797"/>
      <c r="GR1672" s="797"/>
      <c r="GS1672" s="797"/>
      <c r="GT1672" s="797"/>
      <c r="GU1672" s="797"/>
      <c r="GV1672" s="797"/>
      <c r="GW1672" s="797"/>
      <c r="GX1672" s="797"/>
      <c r="GY1672" s="797"/>
      <c r="GZ1672" s="797"/>
      <c r="HA1672" s="797"/>
      <c r="HB1672" s="797"/>
      <c r="HC1672" s="797"/>
      <c r="HD1672" s="797"/>
      <c r="HE1672" s="797"/>
      <c r="HF1672" s="797"/>
      <c r="HG1672" s="797"/>
      <c r="HH1672" s="797"/>
      <c r="HI1672" s="797"/>
      <c r="HJ1672" s="797"/>
      <c r="HK1672" s="797"/>
      <c r="HL1672" s="797"/>
      <c r="HM1672" s="797"/>
      <c r="HN1672" s="797"/>
      <c r="HO1672" s="797"/>
      <c r="HP1672" s="797"/>
      <c r="HQ1672" s="797"/>
      <c r="HR1672" s="797"/>
      <c r="HS1672" s="797"/>
      <c r="HT1672" s="797"/>
      <c r="HU1672" s="797"/>
      <c r="HV1672" s="797"/>
      <c r="HW1672" s="797"/>
      <c r="HX1672" s="797"/>
      <c r="HY1672" s="797"/>
      <c r="HZ1672" s="797"/>
      <c r="IA1672" s="797"/>
      <c r="IB1672" s="797"/>
      <c r="IC1672" s="797"/>
      <c r="ID1672" s="797"/>
      <c r="IE1672" s="797"/>
      <c r="IF1672" s="797"/>
      <c r="IG1672" s="797"/>
      <c r="IH1672" s="797"/>
      <c r="II1672" s="797"/>
      <c r="IJ1672" s="797"/>
      <c r="IK1672" s="797"/>
      <c r="IL1672" s="797"/>
      <c r="IM1672" s="797"/>
      <c r="IN1672" s="797"/>
      <c r="IO1672" s="797"/>
      <c r="IP1672" s="797"/>
      <c r="IQ1672" s="797"/>
      <c r="IR1672" s="797"/>
      <c r="IS1672" s="797"/>
      <c r="IT1672" s="797"/>
      <c r="IU1672" s="797"/>
    </row>
    <row r="1673" spans="1:255" s="359" customFormat="1" ht="16.5" hidden="1" customHeight="1">
      <c r="A1673" s="336"/>
      <c r="B1673" s="328"/>
      <c r="C1673" s="341" t="s">
        <v>209</v>
      </c>
      <c r="D1673" s="336" t="s">
        <v>80</v>
      </c>
      <c r="E1673" s="856">
        <v>1.8</v>
      </c>
      <c r="F1673" s="389">
        <f>F1672*E1673</f>
        <v>0</v>
      </c>
      <c r="G1673" s="389"/>
      <c r="H1673" s="389"/>
      <c r="I1673" s="389">
        <v>6</v>
      </c>
      <c r="J1673" s="389">
        <f>F1673*I1673</f>
        <v>0</v>
      </c>
      <c r="K1673" s="389"/>
      <c r="L1673" s="389"/>
      <c r="M1673" s="389">
        <f>H1673+J1673+L1673</f>
        <v>0</v>
      </c>
      <c r="N1673" s="358"/>
      <c r="O1673" s="797"/>
      <c r="P1673" s="798"/>
      <c r="Q1673" s="798"/>
      <c r="R1673" s="798"/>
      <c r="S1673" s="798"/>
      <c r="T1673" s="798"/>
      <c r="U1673" s="798"/>
      <c r="V1673" s="798"/>
      <c r="W1673" s="798"/>
      <c r="X1673" s="798"/>
      <c r="Y1673" s="798"/>
      <c r="Z1673" s="798"/>
      <c r="AA1673" s="797"/>
      <c r="AB1673" s="797"/>
      <c r="AC1673" s="797"/>
      <c r="AD1673" s="797"/>
      <c r="AE1673" s="797"/>
      <c r="AF1673" s="797"/>
      <c r="AG1673" s="797"/>
      <c r="AH1673" s="797"/>
      <c r="AI1673" s="797"/>
      <c r="AJ1673" s="797"/>
      <c r="AK1673" s="797"/>
      <c r="AL1673" s="797"/>
      <c r="AM1673" s="797"/>
      <c r="AN1673" s="797"/>
      <c r="AO1673" s="797"/>
      <c r="AP1673" s="797"/>
      <c r="AQ1673" s="797"/>
      <c r="AR1673" s="797"/>
      <c r="AS1673" s="797"/>
      <c r="AT1673" s="797"/>
      <c r="AU1673" s="797"/>
      <c r="AV1673" s="797"/>
      <c r="AW1673" s="797"/>
      <c r="AX1673" s="797"/>
      <c r="AY1673" s="797"/>
      <c r="AZ1673" s="797"/>
      <c r="BA1673" s="797"/>
      <c r="BB1673" s="797"/>
      <c r="BC1673" s="797"/>
      <c r="BD1673" s="797"/>
      <c r="BE1673" s="797"/>
      <c r="BF1673" s="797"/>
      <c r="BG1673" s="797"/>
      <c r="BH1673" s="797"/>
      <c r="BI1673" s="797"/>
      <c r="BJ1673" s="797"/>
      <c r="BK1673" s="797"/>
      <c r="BL1673" s="797"/>
      <c r="BM1673" s="797"/>
      <c r="BN1673" s="797"/>
      <c r="BO1673" s="797"/>
      <c r="BP1673" s="797"/>
      <c r="BQ1673" s="797"/>
      <c r="BR1673" s="797"/>
      <c r="BS1673" s="797"/>
      <c r="BT1673" s="797"/>
      <c r="BU1673" s="797"/>
      <c r="BV1673" s="797"/>
      <c r="BW1673" s="797"/>
      <c r="BX1673" s="797"/>
      <c r="BY1673" s="797"/>
      <c r="BZ1673" s="797"/>
      <c r="CA1673" s="797"/>
      <c r="CB1673" s="797"/>
      <c r="CC1673" s="797"/>
      <c r="CD1673" s="797"/>
      <c r="CE1673" s="797"/>
      <c r="CF1673" s="797"/>
      <c r="CG1673" s="797"/>
      <c r="CH1673" s="797"/>
      <c r="CI1673" s="797"/>
      <c r="CJ1673" s="797"/>
      <c r="CK1673" s="797"/>
      <c r="CL1673" s="797"/>
      <c r="CM1673" s="797"/>
      <c r="CN1673" s="797"/>
      <c r="CO1673" s="797"/>
      <c r="CP1673" s="797"/>
      <c r="CQ1673" s="797"/>
      <c r="CR1673" s="797"/>
      <c r="CS1673" s="797"/>
      <c r="CT1673" s="797"/>
      <c r="CU1673" s="797"/>
      <c r="CV1673" s="797"/>
      <c r="CW1673" s="797"/>
      <c r="CX1673" s="797"/>
      <c r="CY1673" s="797"/>
      <c r="CZ1673" s="797"/>
      <c r="DA1673" s="797"/>
      <c r="DB1673" s="797"/>
      <c r="DC1673" s="797"/>
      <c r="DD1673" s="797"/>
      <c r="DE1673" s="797"/>
      <c r="DF1673" s="797"/>
      <c r="DG1673" s="797"/>
      <c r="DH1673" s="797"/>
      <c r="DI1673" s="797"/>
      <c r="DJ1673" s="797"/>
      <c r="DK1673" s="797"/>
      <c r="DL1673" s="797"/>
      <c r="DM1673" s="797"/>
      <c r="DN1673" s="797"/>
      <c r="DO1673" s="797"/>
      <c r="DP1673" s="797"/>
      <c r="DQ1673" s="797"/>
      <c r="DR1673" s="797"/>
      <c r="DS1673" s="797"/>
      <c r="DT1673" s="797"/>
      <c r="DU1673" s="797"/>
      <c r="DV1673" s="797"/>
      <c r="DW1673" s="797"/>
      <c r="DX1673" s="797"/>
      <c r="DY1673" s="797"/>
      <c r="DZ1673" s="797"/>
      <c r="EA1673" s="797"/>
      <c r="EB1673" s="797"/>
      <c r="EC1673" s="797"/>
      <c r="ED1673" s="797"/>
      <c r="EE1673" s="797"/>
      <c r="EF1673" s="797"/>
      <c r="EG1673" s="797"/>
      <c r="EH1673" s="797"/>
      <c r="EI1673" s="797"/>
      <c r="EJ1673" s="797"/>
      <c r="EK1673" s="797"/>
      <c r="EL1673" s="797"/>
      <c r="EM1673" s="797"/>
      <c r="EN1673" s="797"/>
      <c r="EO1673" s="797"/>
      <c r="EP1673" s="797"/>
      <c r="EQ1673" s="797"/>
      <c r="ER1673" s="797"/>
      <c r="ES1673" s="797"/>
      <c r="ET1673" s="797"/>
      <c r="EU1673" s="797"/>
      <c r="EV1673" s="797"/>
      <c r="EW1673" s="797"/>
      <c r="EX1673" s="797"/>
      <c r="EY1673" s="797"/>
      <c r="EZ1673" s="797"/>
      <c r="FA1673" s="797"/>
      <c r="FB1673" s="797"/>
      <c r="FC1673" s="797"/>
      <c r="FD1673" s="797"/>
      <c r="FE1673" s="797"/>
      <c r="FF1673" s="797"/>
      <c r="FG1673" s="797"/>
      <c r="FH1673" s="797"/>
      <c r="FI1673" s="797"/>
      <c r="FJ1673" s="797"/>
      <c r="FK1673" s="797"/>
      <c r="FL1673" s="797"/>
      <c r="FM1673" s="797"/>
      <c r="FN1673" s="797"/>
      <c r="FO1673" s="797"/>
      <c r="FP1673" s="797"/>
      <c r="FQ1673" s="797"/>
      <c r="FR1673" s="797"/>
      <c r="FS1673" s="797"/>
      <c r="FT1673" s="797"/>
      <c r="FU1673" s="797"/>
      <c r="FV1673" s="797"/>
      <c r="FW1673" s="797"/>
      <c r="FX1673" s="797"/>
      <c r="FY1673" s="797"/>
      <c r="FZ1673" s="797"/>
      <c r="GA1673" s="797"/>
      <c r="GB1673" s="797"/>
      <c r="GC1673" s="797"/>
      <c r="GD1673" s="797"/>
      <c r="GE1673" s="797"/>
      <c r="GF1673" s="797"/>
      <c r="GG1673" s="797"/>
      <c r="GH1673" s="797"/>
      <c r="GI1673" s="797"/>
      <c r="GJ1673" s="797"/>
      <c r="GK1673" s="797"/>
      <c r="GL1673" s="797"/>
      <c r="GM1673" s="797"/>
      <c r="GN1673" s="797"/>
      <c r="GO1673" s="797"/>
      <c r="GP1673" s="797"/>
      <c r="GQ1673" s="797"/>
      <c r="GR1673" s="797"/>
      <c r="GS1673" s="797"/>
      <c r="GT1673" s="797"/>
      <c r="GU1673" s="797"/>
      <c r="GV1673" s="797"/>
      <c r="GW1673" s="797"/>
      <c r="GX1673" s="797"/>
      <c r="GY1673" s="797"/>
      <c r="GZ1673" s="797"/>
      <c r="HA1673" s="797"/>
      <c r="HB1673" s="797"/>
      <c r="HC1673" s="797"/>
      <c r="HD1673" s="797"/>
      <c r="HE1673" s="797"/>
      <c r="HF1673" s="797"/>
      <c r="HG1673" s="797"/>
      <c r="HH1673" s="797"/>
      <c r="HI1673" s="797"/>
      <c r="HJ1673" s="797"/>
      <c r="HK1673" s="797"/>
      <c r="HL1673" s="797"/>
      <c r="HM1673" s="797"/>
      <c r="HN1673" s="797"/>
      <c r="HO1673" s="797"/>
      <c r="HP1673" s="797"/>
      <c r="HQ1673" s="797"/>
      <c r="HR1673" s="797"/>
      <c r="HS1673" s="797"/>
      <c r="HT1673" s="797"/>
      <c r="HU1673" s="797"/>
      <c r="HV1673" s="797"/>
      <c r="HW1673" s="797"/>
      <c r="HX1673" s="797"/>
      <c r="HY1673" s="797"/>
      <c r="HZ1673" s="797"/>
      <c r="IA1673" s="797"/>
      <c r="IB1673" s="797"/>
      <c r="IC1673" s="797"/>
      <c r="ID1673" s="797"/>
      <c r="IE1673" s="797"/>
      <c r="IF1673" s="797"/>
      <c r="IG1673" s="797"/>
      <c r="IH1673" s="797"/>
      <c r="II1673" s="797"/>
      <c r="IJ1673" s="797"/>
      <c r="IK1673" s="797"/>
      <c r="IL1673" s="797"/>
      <c r="IM1673" s="797"/>
      <c r="IN1673" s="797"/>
      <c r="IO1673" s="797"/>
      <c r="IP1673" s="797"/>
      <c r="IQ1673" s="797"/>
      <c r="IR1673" s="797"/>
      <c r="IS1673" s="797"/>
      <c r="IT1673" s="797"/>
      <c r="IU1673" s="797"/>
    </row>
    <row r="1674" spans="1:255" s="359" customFormat="1" hidden="1">
      <c r="A1674" s="336"/>
      <c r="B1674" s="328"/>
      <c r="C1674" s="341" t="s">
        <v>210</v>
      </c>
      <c r="D1674" s="336"/>
      <c r="E1674" s="856"/>
      <c r="F1674" s="389">
        <f>E1674*2353</f>
        <v>0</v>
      </c>
      <c r="G1674" s="389"/>
      <c r="H1674" s="389"/>
      <c r="I1674" s="389"/>
      <c r="J1674" s="389"/>
      <c r="K1674" s="389"/>
      <c r="L1674" s="389"/>
      <c r="M1674" s="389"/>
      <c r="N1674" s="358"/>
      <c r="O1674" s="797"/>
      <c r="P1674" s="798"/>
      <c r="Q1674" s="798"/>
      <c r="R1674" s="798"/>
      <c r="S1674" s="798"/>
      <c r="T1674" s="798"/>
      <c r="U1674" s="798"/>
      <c r="V1674" s="798"/>
      <c r="W1674" s="798"/>
      <c r="X1674" s="798"/>
      <c r="Y1674" s="798"/>
      <c r="Z1674" s="798"/>
      <c r="AA1674" s="797"/>
      <c r="AB1674" s="797"/>
      <c r="AC1674" s="797"/>
      <c r="AD1674" s="797"/>
      <c r="AE1674" s="797"/>
      <c r="AF1674" s="797"/>
      <c r="AG1674" s="797"/>
      <c r="AH1674" s="797"/>
      <c r="AI1674" s="797"/>
      <c r="AJ1674" s="797"/>
      <c r="AK1674" s="797"/>
      <c r="AL1674" s="797"/>
      <c r="AM1674" s="797"/>
      <c r="AN1674" s="797"/>
      <c r="AO1674" s="797"/>
      <c r="AP1674" s="797"/>
      <c r="AQ1674" s="797"/>
      <c r="AR1674" s="797"/>
      <c r="AS1674" s="797"/>
      <c r="AT1674" s="797"/>
      <c r="AU1674" s="797"/>
      <c r="AV1674" s="797"/>
      <c r="AW1674" s="797"/>
      <c r="AX1674" s="797"/>
      <c r="AY1674" s="797"/>
      <c r="AZ1674" s="797"/>
      <c r="BA1674" s="797"/>
      <c r="BB1674" s="797"/>
      <c r="BC1674" s="797"/>
      <c r="BD1674" s="797"/>
      <c r="BE1674" s="797"/>
      <c r="BF1674" s="797"/>
      <c r="BG1674" s="797"/>
      <c r="BH1674" s="797"/>
      <c r="BI1674" s="797"/>
      <c r="BJ1674" s="797"/>
      <c r="BK1674" s="797"/>
      <c r="BL1674" s="797"/>
      <c r="BM1674" s="797"/>
      <c r="BN1674" s="797"/>
      <c r="BO1674" s="797"/>
      <c r="BP1674" s="797"/>
      <c r="BQ1674" s="797"/>
      <c r="BR1674" s="797"/>
      <c r="BS1674" s="797"/>
      <c r="BT1674" s="797"/>
      <c r="BU1674" s="797"/>
      <c r="BV1674" s="797"/>
      <c r="BW1674" s="797"/>
      <c r="BX1674" s="797"/>
      <c r="BY1674" s="797"/>
      <c r="BZ1674" s="797"/>
      <c r="CA1674" s="797"/>
      <c r="CB1674" s="797"/>
      <c r="CC1674" s="797"/>
      <c r="CD1674" s="797"/>
      <c r="CE1674" s="797"/>
      <c r="CF1674" s="797"/>
      <c r="CG1674" s="797"/>
      <c r="CH1674" s="797"/>
      <c r="CI1674" s="797"/>
      <c r="CJ1674" s="797"/>
      <c r="CK1674" s="797"/>
      <c r="CL1674" s="797"/>
      <c r="CM1674" s="797"/>
      <c r="CN1674" s="797"/>
      <c r="CO1674" s="797"/>
      <c r="CP1674" s="797"/>
      <c r="CQ1674" s="797"/>
      <c r="CR1674" s="797"/>
      <c r="CS1674" s="797"/>
      <c r="CT1674" s="797"/>
      <c r="CU1674" s="797"/>
      <c r="CV1674" s="797"/>
      <c r="CW1674" s="797"/>
      <c r="CX1674" s="797"/>
      <c r="CY1674" s="797"/>
      <c r="CZ1674" s="797"/>
      <c r="DA1674" s="797"/>
      <c r="DB1674" s="797"/>
      <c r="DC1674" s="797"/>
      <c r="DD1674" s="797"/>
      <c r="DE1674" s="797"/>
      <c r="DF1674" s="797"/>
      <c r="DG1674" s="797"/>
      <c r="DH1674" s="797"/>
      <c r="DI1674" s="797"/>
      <c r="DJ1674" s="797"/>
      <c r="DK1674" s="797"/>
      <c r="DL1674" s="797"/>
      <c r="DM1674" s="797"/>
      <c r="DN1674" s="797"/>
      <c r="DO1674" s="797"/>
      <c r="DP1674" s="797"/>
      <c r="DQ1674" s="797"/>
      <c r="DR1674" s="797"/>
      <c r="DS1674" s="797"/>
      <c r="DT1674" s="797"/>
      <c r="DU1674" s="797"/>
      <c r="DV1674" s="797"/>
      <c r="DW1674" s="797"/>
      <c r="DX1674" s="797"/>
      <c r="DY1674" s="797"/>
      <c r="DZ1674" s="797"/>
      <c r="EA1674" s="797"/>
      <c r="EB1674" s="797"/>
      <c r="EC1674" s="797"/>
      <c r="ED1674" s="797"/>
      <c r="EE1674" s="797"/>
      <c r="EF1674" s="797"/>
      <c r="EG1674" s="797"/>
      <c r="EH1674" s="797"/>
      <c r="EI1674" s="797"/>
      <c r="EJ1674" s="797"/>
      <c r="EK1674" s="797"/>
      <c r="EL1674" s="797"/>
      <c r="EM1674" s="797"/>
      <c r="EN1674" s="797"/>
      <c r="EO1674" s="797"/>
      <c r="EP1674" s="797"/>
      <c r="EQ1674" s="797"/>
      <c r="ER1674" s="797"/>
      <c r="ES1674" s="797"/>
      <c r="ET1674" s="797"/>
      <c r="EU1674" s="797"/>
      <c r="EV1674" s="797"/>
      <c r="EW1674" s="797"/>
      <c r="EX1674" s="797"/>
      <c r="EY1674" s="797"/>
      <c r="EZ1674" s="797"/>
      <c r="FA1674" s="797"/>
      <c r="FB1674" s="797"/>
      <c r="FC1674" s="797"/>
      <c r="FD1674" s="797"/>
      <c r="FE1674" s="797"/>
      <c r="FF1674" s="797"/>
      <c r="FG1674" s="797"/>
      <c r="FH1674" s="797"/>
      <c r="FI1674" s="797"/>
      <c r="FJ1674" s="797"/>
      <c r="FK1674" s="797"/>
      <c r="FL1674" s="797"/>
      <c r="FM1674" s="797"/>
      <c r="FN1674" s="797"/>
      <c r="FO1674" s="797"/>
      <c r="FP1674" s="797"/>
      <c r="FQ1674" s="797"/>
      <c r="FR1674" s="797"/>
      <c r="FS1674" s="797"/>
      <c r="FT1674" s="797"/>
      <c r="FU1674" s="797"/>
      <c r="FV1674" s="797"/>
      <c r="FW1674" s="797"/>
      <c r="FX1674" s="797"/>
      <c r="FY1674" s="797"/>
      <c r="FZ1674" s="797"/>
      <c r="GA1674" s="797"/>
      <c r="GB1674" s="797"/>
      <c r="GC1674" s="797"/>
      <c r="GD1674" s="797"/>
      <c r="GE1674" s="797"/>
      <c r="GF1674" s="797"/>
      <c r="GG1674" s="797"/>
      <c r="GH1674" s="797"/>
      <c r="GI1674" s="797"/>
      <c r="GJ1674" s="797"/>
      <c r="GK1674" s="797"/>
      <c r="GL1674" s="797"/>
      <c r="GM1674" s="797"/>
      <c r="GN1674" s="797"/>
      <c r="GO1674" s="797"/>
      <c r="GP1674" s="797"/>
      <c r="GQ1674" s="797"/>
      <c r="GR1674" s="797"/>
      <c r="GS1674" s="797"/>
      <c r="GT1674" s="797"/>
      <c r="GU1674" s="797"/>
      <c r="GV1674" s="797"/>
      <c r="GW1674" s="797"/>
      <c r="GX1674" s="797"/>
      <c r="GY1674" s="797"/>
      <c r="GZ1674" s="797"/>
      <c r="HA1674" s="797"/>
      <c r="HB1674" s="797"/>
      <c r="HC1674" s="797"/>
      <c r="HD1674" s="797"/>
      <c r="HE1674" s="797"/>
      <c r="HF1674" s="797"/>
      <c r="HG1674" s="797"/>
      <c r="HH1674" s="797"/>
      <c r="HI1674" s="797"/>
      <c r="HJ1674" s="797"/>
      <c r="HK1674" s="797"/>
      <c r="HL1674" s="797"/>
      <c r="HM1674" s="797"/>
      <c r="HN1674" s="797"/>
      <c r="HO1674" s="797"/>
      <c r="HP1674" s="797"/>
      <c r="HQ1674" s="797"/>
      <c r="HR1674" s="797"/>
      <c r="HS1674" s="797"/>
      <c r="HT1674" s="797"/>
      <c r="HU1674" s="797"/>
      <c r="HV1674" s="797"/>
      <c r="HW1674" s="797"/>
      <c r="HX1674" s="797"/>
      <c r="HY1674" s="797"/>
      <c r="HZ1674" s="797"/>
      <c r="IA1674" s="797"/>
      <c r="IB1674" s="797"/>
      <c r="IC1674" s="797"/>
      <c r="ID1674" s="797"/>
      <c r="IE1674" s="797"/>
      <c r="IF1674" s="797"/>
      <c r="IG1674" s="797"/>
      <c r="IH1674" s="797"/>
      <c r="II1674" s="797"/>
      <c r="IJ1674" s="797"/>
      <c r="IK1674" s="797"/>
      <c r="IL1674" s="797"/>
      <c r="IM1674" s="797"/>
      <c r="IN1674" s="797"/>
      <c r="IO1674" s="797"/>
      <c r="IP1674" s="797"/>
      <c r="IQ1674" s="797"/>
      <c r="IR1674" s="797"/>
      <c r="IS1674" s="797"/>
      <c r="IT1674" s="797"/>
      <c r="IU1674" s="797"/>
    </row>
    <row r="1675" spans="1:255" s="359" customFormat="1" hidden="1">
      <c r="A1675" s="342"/>
      <c r="B1675" s="417"/>
      <c r="C1675" s="344" t="s">
        <v>354</v>
      </c>
      <c r="D1675" s="342" t="s">
        <v>88</v>
      </c>
      <c r="E1675" s="857">
        <v>1.1000000000000001</v>
      </c>
      <c r="F1675" s="392">
        <f>F1672*E1675</f>
        <v>0</v>
      </c>
      <c r="G1675" s="392">
        <v>25.4</v>
      </c>
      <c r="H1675" s="392">
        <f>F1675*G1675</f>
        <v>0</v>
      </c>
      <c r="I1675" s="392"/>
      <c r="J1675" s="392"/>
      <c r="K1675" s="392"/>
      <c r="L1675" s="392"/>
      <c r="M1675" s="392">
        <f>H1675+J1675+L1675</f>
        <v>0</v>
      </c>
      <c r="N1675" s="358"/>
      <c r="O1675" s="797"/>
      <c r="P1675" s="798"/>
      <c r="Q1675" s="798"/>
      <c r="R1675" s="798"/>
      <c r="S1675" s="798"/>
      <c r="T1675" s="798"/>
      <c r="U1675" s="798"/>
      <c r="V1675" s="798"/>
      <c r="W1675" s="798"/>
      <c r="X1675" s="798"/>
      <c r="Y1675" s="798"/>
      <c r="Z1675" s="798"/>
      <c r="AA1675" s="797"/>
      <c r="AB1675" s="797"/>
      <c r="AC1675" s="797"/>
      <c r="AD1675" s="797"/>
      <c r="AE1675" s="797"/>
      <c r="AF1675" s="797"/>
      <c r="AG1675" s="797"/>
      <c r="AH1675" s="797"/>
      <c r="AI1675" s="797"/>
      <c r="AJ1675" s="797"/>
      <c r="AK1675" s="797"/>
      <c r="AL1675" s="797"/>
      <c r="AM1675" s="797"/>
      <c r="AN1675" s="797"/>
      <c r="AO1675" s="797"/>
      <c r="AP1675" s="797"/>
      <c r="AQ1675" s="797"/>
      <c r="AR1675" s="797"/>
      <c r="AS1675" s="797"/>
      <c r="AT1675" s="797"/>
      <c r="AU1675" s="797"/>
      <c r="AV1675" s="797"/>
      <c r="AW1675" s="797"/>
      <c r="AX1675" s="797"/>
      <c r="AY1675" s="797"/>
      <c r="AZ1675" s="797"/>
      <c r="BA1675" s="797"/>
      <c r="BB1675" s="797"/>
      <c r="BC1675" s="797"/>
      <c r="BD1675" s="797"/>
      <c r="BE1675" s="797"/>
      <c r="BF1675" s="797"/>
      <c r="BG1675" s="797"/>
      <c r="BH1675" s="797"/>
      <c r="BI1675" s="797"/>
      <c r="BJ1675" s="797"/>
      <c r="BK1675" s="797"/>
      <c r="BL1675" s="797"/>
      <c r="BM1675" s="797"/>
      <c r="BN1675" s="797"/>
      <c r="BO1675" s="797"/>
      <c r="BP1675" s="797"/>
      <c r="BQ1675" s="797"/>
      <c r="BR1675" s="797"/>
      <c r="BS1675" s="797"/>
      <c r="BT1675" s="797"/>
      <c r="BU1675" s="797"/>
      <c r="BV1675" s="797"/>
      <c r="BW1675" s="797"/>
      <c r="BX1675" s="797"/>
      <c r="BY1675" s="797"/>
      <c r="BZ1675" s="797"/>
      <c r="CA1675" s="797"/>
      <c r="CB1675" s="797"/>
      <c r="CC1675" s="797"/>
      <c r="CD1675" s="797"/>
      <c r="CE1675" s="797"/>
      <c r="CF1675" s="797"/>
      <c r="CG1675" s="797"/>
      <c r="CH1675" s="797"/>
      <c r="CI1675" s="797"/>
      <c r="CJ1675" s="797"/>
      <c r="CK1675" s="797"/>
      <c r="CL1675" s="797"/>
      <c r="CM1675" s="797"/>
      <c r="CN1675" s="797"/>
      <c r="CO1675" s="797"/>
      <c r="CP1675" s="797"/>
      <c r="CQ1675" s="797"/>
      <c r="CR1675" s="797"/>
      <c r="CS1675" s="797"/>
      <c r="CT1675" s="797"/>
      <c r="CU1675" s="797"/>
      <c r="CV1675" s="797"/>
      <c r="CW1675" s="797"/>
      <c r="CX1675" s="797"/>
      <c r="CY1675" s="797"/>
      <c r="CZ1675" s="797"/>
      <c r="DA1675" s="797"/>
      <c r="DB1675" s="797"/>
      <c r="DC1675" s="797"/>
      <c r="DD1675" s="797"/>
      <c r="DE1675" s="797"/>
      <c r="DF1675" s="797"/>
      <c r="DG1675" s="797"/>
      <c r="DH1675" s="797"/>
      <c r="DI1675" s="797"/>
      <c r="DJ1675" s="797"/>
      <c r="DK1675" s="797"/>
      <c r="DL1675" s="797"/>
      <c r="DM1675" s="797"/>
      <c r="DN1675" s="797"/>
      <c r="DO1675" s="797"/>
      <c r="DP1675" s="797"/>
      <c r="DQ1675" s="797"/>
      <c r="DR1675" s="797"/>
      <c r="DS1675" s="797"/>
      <c r="DT1675" s="797"/>
      <c r="DU1675" s="797"/>
      <c r="DV1675" s="797"/>
      <c r="DW1675" s="797"/>
      <c r="DX1675" s="797"/>
      <c r="DY1675" s="797"/>
      <c r="DZ1675" s="797"/>
      <c r="EA1675" s="797"/>
      <c r="EB1675" s="797"/>
      <c r="EC1675" s="797"/>
      <c r="ED1675" s="797"/>
      <c r="EE1675" s="797"/>
      <c r="EF1675" s="797"/>
      <c r="EG1675" s="797"/>
      <c r="EH1675" s="797"/>
      <c r="EI1675" s="797"/>
      <c r="EJ1675" s="797"/>
      <c r="EK1675" s="797"/>
      <c r="EL1675" s="797"/>
      <c r="EM1675" s="797"/>
      <c r="EN1675" s="797"/>
      <c r="EO1675" s="797"/>
      <c r="EP1675" s="797"/>
      <c r="EQ1675" s="797"/>
      <c r="ER1675" s="797"/>
      <c r="ES1675" s="797"/>
      <c r="ET1675" s="797"/>
      <c r="EU1675" s="797"/>
      <c r="EV1675" s="797"/>
      <c r="EW1675" s="797"/>
      <c r="EX1675" s="797"/>
      <c r="EY1675" s="797"/>
      <c r="EZ1675" s="797"/>
      <c r="FA1675" s="797"/>
      <c r="FB1675" s="797"/>
      <c r="FC1675" s="797"/>
      <c r="FD1675" s="797"/>
      <c r="FE1675" s="797"/>
      <c r="FF1675" s="797"/>
      <c r="FG1675" s="797"/>
      <c r="FH1675" s="797"/>
      <c r="FI1675" s="797"/>
      <c r="FJ1675" s="797"/>
      <c r="FK1675" s="797"/>
      <c r="FL1675" s="797"/>
      <c r="FM1675" s="797"/>
      <c r="FN1675" s="797"/>
      <c r="FO1675" s="797"/>
      <c r="FP1675" s="797"/>
      <c r="FQ1675" s="797"/>
      <c r="FR1675" s="797"/>
      <c r="FS1675" s="797"/>
      <c r="FT1675" s="797"/>
      <c r="FU1675" s="797"/>
      <c r="FV1675" s="797"/>
      <c r="FW1675" s="797"/>
      <c r="FX1675" s="797"/>
      <c r="FY1675" s="797"/>
      <c r="FZ1675" s="797"/>
      <c r="GA1675" s="797"/>
      <c r="GB1675" s="797"/>
      <c r="GC1675" s="797"/>
      <c r="GD1675" s="797"/>
      <c r="GE1675" s="797"/>
      <c r="GF1675" s="797"/>
      <c r="GG1675" s="797"/>
      <c r="GH1675" s="797"/>
      <c r="GI1675" s="797"/>
      <c r="GJ1675" s="797"/>
      <c r="GK1675" s="797"/>
      <c r="GL1675" s="797"/>
      <c r="GM1675" s="797"/>
      <c r="GN1675" s="797"/>
      <c r="GO1675" s="797"/>
      <c r="GP1675" s="797"/>
      <c r="GQ1675" s="797"/>
      <c r="GR1675" s="797"/>
      <c r="GS1675" s="797"/>
      <c r="GT1675" s="797"/>
      <c r="GU1675" s="797"/>
      <c r="GV1675" s="797"/>
      <c r="GW1675" s="797"/>
      <c r="GX1675" s="797"/>
      <c r="GY1675" s="797"/>
      <c r="GZ1675" s="797"/>
      <c r="HA1675" s="797"/>
      <c r="HB1675" s="797"/>
      <c r="HC1675" s="797"/>
      <c r="HD1675" s="797"/>
      <c r="HE1675" s="797"/>
      <c r="HF1675" s="797"/>
      <c r="HG1675" s="797"/>
      <c r="HH1675" s="797"/>
      <c r="HI1675" s="797"/>
      <c r="HJ1675" s="797"/>
      <c r="HK1675" s="797"/>
      <c r="HL1675" s="797"/>
      <c r="HM1675" s="797"/>
      <c r="HN1675" s="797"/>
      <c r="HO1675" s="797"/>
      <c r="HP1675" s="797"/>
      <c r="HQ1675" s="797"/>
      <c r="HR1675" s="797"/>
      <c r="HS1675" s="797"/>
      <c r="HT1675" s="797"/>
      <c r="HU1675" s="797"/>
      <c r="HV1675" s="797"/>
      <c r="HW1675" s="797"/>
      <c r="HX1675" s="797"/>
      <c r="HY1675" s="797"/>
      <c r="HZ1675" s="797"/>
      <c r="IA1675" s="797"/>
      <c r="IB1675" s="797"/>
      <c r="IC1675" s="797"/>
      <c r="ID1675" s="797"/>
      <c r="IE1675" s="797"/>
      <c r="IF1675" s="797"/>
      <c r="IG1675" s="797"/>
      <c r="IH1675" s="797"/>
      <c r="II1675" s="797"/>
      <c r="IJ1675" s="797"/>
      <c r="IK1675" s="797"/>
      <c r="IL1675" s="797"/>
      <c r="IM1675" s="797"/>
      <c r="IN1675" s="797"/>
      <c r="IO1675" s="797"/>
      <c r="IP1675" s="797"/>
      <c r="IQ1675" s="797"/>
      <c r="IR1675" s="797"/>
      <c r="IS1675" s="797"/>
      <c r="IT1675" s="797"/>
      <c r="IU1675" s="797"/>
    </row>
    <row r="1676" spans="1:255" s="361" customFormat="1" ht="16.5" hidden="1" customHeight="1">
      <c r="A1676" s="336">
        <v>9</v>
      </c>
      <c r="B1676" s="328" t="s">
        <v>890</v>
      </c>
      <c r="C1676" s="329" t="s">
        <v>1410</v>
      </c>
      <c r="D1676" s="330" t="s">
        <v>88</v>
      </c>
      <c r="E1676" s="389"/>
      <c r="F1676" s="384">
        <f>'დეფექტური აქტი'!E391</f>
        <v>0</v>
      </c>
      <c r="G1676" s="389"/>
      <c r="H1676" s="389"/>
      <c r="I1676" s="389"/>
      <c r="J1676" s="389"/>
      <c r="K1676" s="389"/>
      <c r="L1676" s="389"/>
      <c r="M1676" s="389"/>
      <c r="N1676" s="348"/>
      <c r="O1676" s="803"/>
      <c r="P1676" s="804"/>
      <c r="Q1676" s="804"/>
      <c r="R1676" s="804"/>
      <c r="S1676" s="804"/>
      <c r="T1676" s="804"/>
      <c r="U1676" s="804"/>
      <c r="V1676" s="804"/>
      <c r="W1676" s="804"/>
      <c r="X1676" s="804"/>
      <c r="Y1676" s="804"/>
      <c r="Z1676" s="804"/>
      <c r="AA1676" s="803"/>
      <c r="AB1676" s="803"/>
      <c r="AC1676" s="803"/>
      <c r="AD1676" s="803"/>
      <c r="AE1676" s="803"/>
      <c r="AF1676" s="803"/>
      <c r="AG1676" s="803"/>
      <c r="AH1676" s="803"/>
      <c r="AI1676" s="803"/>
      <c r="AJ1676" s="803"/>
      <c r="AK1676" s="803"/>
      <c r="AL1676" s="803"/>
      <c r="AM1676" s="803"/>
      <c r="AN1676" s="803"/>
      <c r="AO1676" s="803"/>
      <c r="AP1676" s="803"/>
      <c r="AQ1676" s="803"/>
      <c r="AR1676" s="803"/>
      <c r="AS1676" s="803"/>
      <c r="AT1676" s="803"/>
      <c r="AU1676" s="803"/>
      <c r="AV1676" s="803"/>
      <c r="AW1676" s="803"/>
      <c r="AX1676" s="803"/>
      <c r="AY1676" s="803"/>
      <c r="AZ1676" s="803"/>
      <c r="BA1676" s="803"/>
      <c r="BB1676" s="803"/>
      <c r="BC1676" s="803"/>
      <c r="BD1676" s="803"/>
      <c r="BE1676" s="803"/>
      <c r="BF1676" s="803"/>
      <c r="BG1676" s="803"/>
      <c r="BH1676" s="803"/>
      <c r="BI1676" s="803"/>
      <c r="BJ1676" s="803"/>
      <c r="BK1676" s="803"/>
      <c r="BL1676" s="803"/>
      <c r="BM1676" s="803"/>
      <c r="BN1676" s="803"/>
      <c r="BO1676" s="803"/>
      <c r="BP1676" s="803"/>
      <c r="BQ1676" s="803"/>
      <c r="BR1676" s="803"/>
      <c r="BS1676" s="803"/>
      <c r="BT1676" s="803"/>
      <c r="BU1676" s="803"/>
      <c r="BV1676" s="803"/>
      <c r="BW1676" s="803"/>
      <c r="BX1676" s="803"/>
      <c r="BY1676" s="803"/>
      <c r="BZ1676" s="803"/>
      <c r="CA1676" s="803"/>
      <c r="CB1676" s="803"/>
      <c r="CC1676" s="803"/>
      <c r="CD1676" s="803"/>
      <c r="CE1676" s="803"/>
      <c r="CF1676" s="803"/>
      <c r="CG1676" s="803"/>
      <c r="CH1676" s="803"/>
      <c r="CI1676" s="803"/>
      <c r="CJ1676" s="803"/>
      <c r="CK1676" s="803"/>
      <c r="CL1676" s="803"/>
      <c r="CM1676" s="803"/>
      <c r="CN1676" s="803"/>
      <c r="CO1676" s="803"/>
      <c r="CP1676" s="803"/>
      <c r="CQ1676" s="803"/>
      <c r="CR1676" s="803"/>
      <c r="CS1676" s="803"/>
      <c r="CT1676" s="803"/>
      <c r="CU1676" s="803"/>
      <c r="CV1676" s="803"/>
      <c r="CW1676" s="803"/>
      <c r="CX1676" s="803"/>
      <c r="CY1676" s="803"/>
      <c r="CZ1676" s="803"/>
      <c r="DA1676" s="803"/>
      <c r="DB1676" s="803"/>
      <c r="DC1676" s="803"/>
      <c r="DD1676" s="803"/>
      <c r="DE1676" s="803"/>
      <c r="DF1676" s="803"/>
      <c r="DG1676" s="803"/>
      <c r="DH1676" s="803"/>
      <c r="DI1676" s="803"/>
      <c r="DJ1676" s="803"/>
      <c r="DK1676" s="803"/>
      <c r="DL1676" s="803"/>
      <c r="DM1676" s="803"/>
      <c r="DN1676" s="803"/>
      <c r="DO1676" s="803"/>
      <c r="DP1676" s="803"/>
      <c r="DQ1676" s="803"/>
      <c r="DR1676" s="803"/>
      <c r="DS1676" s="803"/>
      <c r="DT1676" s="803"/>
      <c r="DU1676" s="803"/>
      <c r="DV1676" s="803"/>
      <c r="DW1676" s="803"/>
      <c r="DX1676" s="803"/>
      <c r="DY1676" s="803"/>
      <c r="DZ1676" s="803"/>
      <c r="EA1676" s="803"/>
      <c r="EB1676" s="803"/>
      <c r="EC1676" s="803"/>
      <c r="ED1676" s="803"/>
      <c r="EE1676" s="803"/>
      <c r="EF1676" s="803"/>
      <c r="EG1676" s="803"/>
      <c r="EH1676" s="803"/>
      <c r="EI1676" s="803"/>
      <c r="EJ1676" s="803"/>
      <c r="EK1676" s="803"/>
      <c r="EL1676" s="803"/>
      <c r="EM1676" s="803"/>
      <c r="EN1676" s="803"/>
      <c r="EO1676" s="803"/>
      <c r="EP1676" s="803"/>
      <c r="EQ1676" s="803"/>
      <c r="ER1676" s="803"/>
      <c r="ES1676" s="803"/>
      <c r="ET1676" s="803"/>
      <c r="EU1676" s="803"/>
      <c r="EV1676" s="803"/>
      <c r="EW1676" s="803"/>
      <c r="EX1676" s="803"/>
      <c r="EY1676" s="803"/>
      <c r="EZ1676" s="803"/>
      <c r="FA1676" s="803"/>
      <c r="FB1676" s="803"/>
      <c r="FC1676" s="803"/>
      <c r="FD1676" s="803"/>
      <c r="FE1676" s="803"/>
      <c r="FF1676" s="803"/>
      <c r="FG1676" s="803"/>
      <c r="FH1676" s="803"/>
      <c r="FI1676" s="803"/>
      <c r="FJ1676" s="803"/>
      <c r="FK1676" s="803"/>
      <c r="FL1676" s="803"/>
      <c r="FM1676" s="803"/>
      <c r="FN1676" s="803"/>
      <c r="FO1676" s="803"/>
      <c r="FP1676" s="803"/>
      <c r="FQ1676" s="803"/>
      <c r="FR1676" s="803"/>
      <c r="FS1676" s="803"/>
      <c r="FT1676" s="803"/>
      <c r="FU1676" s="803"/>
      <c r="FV1676" s="803"/>
      <c r="FW1676" s="803"/>
      <c r="FX1676" s="803"/>
      <c r="FY1676" s="803"/>
      <c r="FZ1676" s="803"/>
      <c r="GA1676" s="803"/>
      <c r="GB1676" s="803"/>
      <c r="GC1676" s="803"/>
      <c r="GD1676" s="803"/>
      <c r="GE1676" s="803"/>
      <c r="GF1676" s="803"/>
      <c r="GG1676" s="803"/>
      <c r="GH1676" s="803"/>
      <c r="GI1676" s="803"/>
      <c r="GJ1676" s="803"/>
      <c r="GK1676" s="803"/>
      <c r="GL1676" s="803"/>
      <c r="GM1676" s="803"/>
      <c r="GN1676" s="803"/>
      <c r="GO1676" s="803"/>
      <c r="GP1676" s="803"/>
      <c r="GQ1676" s="803"/>
      <c r="GR1676" s="803"/>
      <c r="GS1676" s="803"/>
      <c r="GT1676" s="803"/>
      <c r="GU1676" s="803"/>
      <c r="GV1676" s="803"/>
      <c r="GW1676" s="803"/>
      <c r="GX1676" s="803"/>
      <c r="GY1676" s="803"/>
      <c r="GZ1676" s="803"/>
      <c r="HA1676" s="803"/>
      <c r="HB1676" s="803"/>
      <c r="HC1676" s="803"/>
      <c r="HD1676" s="803"/>
      <c r="HE1676" s="803"/>
      <c r="HF1676" s="803"/>
      <c r="HG1676" s="803"/>
      <c r="HH1676" s="803"/>
      <c r="HI1676" s="803"/>
      <c r="HJ1676" s="803"/>
      <c r="HK1676" s="803"/>
      <c r="HL1676" s="803"/>
      <c r="HM1676" s="803"/>
      <c r="HN1676" s="803"/>
      <c r="HO1676" s="803"/>
      <c r="HP1676" s="803"/>
      <c r="HQ1676" s="803"/>
      <c r="HR1676" s="803"/>
      <c r="HS1676" s="803"/>
      <c r="HT1676" s="803"/>
      <c r="HU1676" s="803"/>
      <c r="HV1676" s="803"/>
      <c r="HW1676" s="803"/>
      <c r="HX1676" s="803"/>
      <c r="HY1676" s="803"/>
      <c r="HZ1676" s="803"/>
      <c r="IA1676" s="803"/>
      <c r="IB1676" s="803"/>
      <c r="IC1676" s="803"/>
      <c r="ID1676" s="803"/>
      <c r="IE1676" s="803"/>
      <c r="IF1676" s="803"/>
      <c r="IG1676" s="803"/>
      <c r="IH1676" s="803"/>
      <c r="II1676" s="803"/>
      <c r="IJ1676" s="803"/>
      <c r="IK1676" s="803"/>
      <c r="IL1676" s="803"/>
      <c r="IM1676" s="803"/>
      <c r="IN1676" s="803"/>
      <c r="IO1676" s="803"/>
      <c r="IP1676" s="803"/>
      <c r="IQ1676" s="803"/>
      <c r="IR1676" s="803"/>
      <c r="IS1676" s="803"/>
      <c r="IT1676" s="803"/>
      <c r="IU1676" s="803"/>
    </row>
    <row r="1677" spans="1:255" s="361" customFormat="1" ht="16.5" hidden="1" customHeight="1">
      <c r="A1677" s="336"/>
      <c r="B1677" s="328"/>
      <c r="C1677" s="335" t="s">
        <v>209</v>
      </c>
      <c r="D1677" s="336" t="s">
        <v>80</v>
      </c>
      <c r="E1677" s="856">
        <v>1.21</v>
      </c>
      <c r="F1677" s="389">
        <f>F1676*E1677</f>
        <v>0</v>
      </c>
      <c r="G1677" s="389"/>
      <c r="H1677" s="389"/>
      <c r="I1677" s="389">
        <v>4.5999999999999996</v>
      </c>
      <c r="J1677" s="389">
        <f>F1677*I1677</f>
        <v>0</v>
      </c>
      <c r="K1677" s="389"/>
      <c r="L1677" s="389"/>
      <c r="M1677" s="389">
        <f>H1677+J1677+L1677</f>
        <v>0</v>
      </c>
      <c r="N1677" s="348"/>
      <c r="O1677" s="803"/>
      <c r="P1677" s="804"/>
      <c r="Q1677" s="804"/>
      <c r="R1677" s="804"/>
      <c r="S1677" s="804"/>
      <c r="T1677" s="804"/>
      <c r="U1677" s="804"/>
      <c r="V1677" s="804"/>
      <c r="W1677" s="804"/>
      <c r="X1677" s="804"/>
      <c r="Y1677" s="804"/>
      <c r="Z1677" s="804"/>
      <c r="AA1677" s="803"/>
      <c r="AB1677" s="803"/>
      <c r="AC1677" s="803"/>
      <c r="AD1677" s="803"/>
      <c r="AE1677" s="803"/>
      <c r="AF1677" s="803"/>
      <c r="AG1677" s="803"/>
      <c r="AH1677" s="803"/>
      <c r="AI1677" s="803"/>
      <c r="AJ1677" s="803"/>
      <c r="AK1677" s="803"/>
      <c r="AL1677" s="803"/>
      <c r="AM1677" s="803"/>
      <c r="AN1677" s="803"/>
      <c r="AO1677" s="803"/>
      <c r="AP1677" s="803"/>
      <c r="AQ1677" s="803"/>
      <c r="AR1677" s="803"/>
      <c r="AS1677" s="803"/>
      <c r="AT1677" s="803"/>
      <c r="AU1677" s="803"/>
      <c r="AV1677" s="803"/>
      <c r="AW1677" s="803"/>
      <c r="AX1677" s="803"/>
      <c r="AY1677" s="803"/>
      <c r="AZ1677" s="803"/>
      <c r="BA1677" s="803"/>
      <c r="BB1677" s="803"/>
      <c r="BC1677" s="803"/>
      <c r="BD1677" s="803"/>
      <c r="BE1677" s="803"/>
      <c r="BF1677" s="803"/>
      <c r="BG1677" s="803"/>
      <c r="BH1677" s="803"/>
      <c r="BI1677" s="803"/>
      <c r="BJ1677" s="803"/>
      <c r="BK1677" s="803"/>
      <c r="BL1677" s="803"/>
      <c r="BM1677" s="803"/>
      <c r="BN1677" s="803"/>
      <c r="BO1677" s="803"/>
      <c r="BP1677" s="803"/>
      <c r="BQ1677" s="803"/>
      <c r="BR1677" s="803"/>
      <c r="BS1677" s="803"/>
      <c r="BT1677" s="803"/>
      <c r="BU1677" s="803"/>
      <c r="BV1677" s="803"/>
      <c r="BW1677" s="803"/>
      <c r="BX1677" s="803"/>
      <c r="BY1677" s="803"/>
      <c r="BZ1677" s="803"/>
      <c r="CA1677" s="803"/>
      <c r="CB1677" s="803"/>
      <c r="CC1677" s="803"/>
      <c r="CD1677" s="803"/>
      <c r="CE1677" s="803"/>
      <c r="CF1677" s="803"/>
      <c r="CG1677" s="803"/>
      <c r="CH1677" s="803"/>
      <c r="CI1677" s="803"/>
      <c r="CJ1677" s="803"/>
      <c r="CK1677" s="803"/>
      <c r="CL1677" s="803"/>
      <c r="CM1677" s="803"/>
      <c r="CN1677" s="803"/>
      <c r="CO1677" s="803"/>
      <c r="CP1677" s="803"/>
      <c r="CQ1677" s="803"/>
      <c r="CR1677" s="803"/>
      <c r="CS1677" s="803"/>
      <c r="CT1677" s="803"/>
      <c r="CU1677" s="803"/>
      <c r="CV1677" s="803"/>
      <c r="CW1677" s="803"/>
      <c r="CX1677" s="803"/>
      <c r="CY1677" s="803"/>
      <c r="CZ1677" s="803"/>
      <c r="DA1677" s="803"/>
      <c r="DB1677" s="803"/>
      <c r="DC1677" s="803"/>
      <c r="DD1677" s="803"/>
      <c r="DE1677" s="803"/>
      <c r="DF1677" s="803"/>
      <c r="DG1677" s="803"/>
      <c r="DH1677" s="803"/>
      <c r="DI1677" s="803"/>
      <c r="DJ1677" s="803"/>
      <c r="DK1677" s="803"/>
      <c r="DL1677" s="803"/>
      <c r="DM1677" s="803"/>
      <c r="DN1677" s="803"/>
      <c r="DO1677" s="803"/>
      <c r="DP1677" s="803"/>
      <c r="DQ1677" s="803"/>
      <c r="DR1677" s="803"/>
      <c r="DS1677" s="803"/>
      <c r="DT1677" s="803"/>
      <c r="DU1677" s="803"/>
      <c r="DV1677" s="803"/>
      <c r="DW1677" s="803"/>
      <c r="DX1677" s="803"/>
      <c r="DY1677" s="803"/>
      <c r="DZ1677" s="803"/>
      <c r="EA1677" s="803"/>
      <c r="EB1677" s="803"/>
      <c r="EC1677" s="803"/>
      <c r="ED1677" s="803"/>
      <c r="EE1677" s="803"/>
      <c r="EF1677" s="803"/>
      <c r="EG1677" s="803"/>
      <c r="EH1677" s="803"/>
      <c r="EI1677" s="803"/>
      <c r="EJ1677" s="803"/>
      <c r="EK1677" s="803"/>
      <c r="EL1677" s="803"/>
      <c r="EM1677" s="803"/>
      <c r="EN1677" s="803"/>
      <c r="EO1677" s="803"/>
      <c r="EP1677" s="803"/>
      <c r="EQ1677" s="803"/>
      <c r="ER1677" s="803"/>
      <c r="ES1677" s="803"/>
      <c r="ET1677" s="803"/>
      <c r="EU1677" s="803"/>
      <c r="EV1677" s="803"/>
      <c r="EW1677" s="803"/>
      <c r="EX1677" s="803"/>
      <c r="EY1677" s="803"/>
      <c r="EZ1677" s="803"/>
      <c r="FA1677" s="803"/>
      <c r="FB1677" s="803"/>
      <c r="FC1677" s="803"/>
      <c r="FD1677" s="803"/>
      <c r="FE1677" s="803"/>
      <c r="FF1677" s="803"/>
      <c r="FG1677" s="803"/>
      <c r="FH1677" s="803"/>
      <c r="FI1677" s="803"/>
      <c r="FJ1677" s="803"/>
      <c r="FK1677" s="803"/>
      <c r="FL1677" s="803"/>
      <c r="FM1677" s="803"/>
      <c r="FN1677" s="803"/>
      <c r="FO1677" s="803"/>
      <c r="FP1677" s="803"/>
      <c r="FQ1677" s="803"/>
      <c r="FR1677" s="803"/>
      <c r="FS1677" s="803"/>
      <c r="FT1677" s="803"/>
      <c r="FU1677" s="803"/>
      <c r="FV1677" s="803"/>
      <c r="FW1677" s="803"/>
      <c r="FX1677" s="803"/>
      <c r="FY1677" s="803"/>
      <c r="FZ1677" s="803"/>
      <c r="GA1677" s="803"/>
      <c r="GB1677" s="803"/>
      <c r="GC1677" s="803"/>
      <c r="GD1677" s="803"/>
      <c r="GE1677" s="803"/>
      <c r="GF1677" s="803"/>
      <c r="GG1677" s="803"/>
      <c r="GH1677" s="803"/>
      <c r="GI1677" s="803"/>
      <c r="GJ1677" s="803"/>
      <c r="GK1677" s="803"/>
      <c r="GL1677" s="803"/>
      <c r="GM1677" s="803"/>
      <c r="GN1677" s="803"/>
      <c r="GO1677" s="803"/>
      <c r="GP1677" s="803"/>
      <c r="GQ1677" s="803"/>
      <c r="GR1677" s="803"/>
      <c r="GS1677" s="803"/>
      <c r="GT1677" s="803"/>
      <c r="GU1677" s="803"/>
      <c r="GV1677" s="803"/>
      <c r="GW1677" s="803"/>
      <c r="GX1677" s="803"/>
      <c r="GY1677" s="803"/>
      <c r="GZ1677" s="803"/>
      <c r="HA1677" s="803"/>
      <c r="HB1677" s="803"/>
      <c r="HC1677" s="803"/>
      <c r="HD1677" s="803"/>
      <c r="HE1677" s="803"/>
      <c r="HF1677" s="803"/>
      <c r="HG1677" s="803"/>
      <c r="HH1677" s="803"/>
      <c r="HI1677" s="803"/>
      <c r="HJ1677" s="803"/>
      <c r="HK1677" s="803"/>
      <c r="HL1677" s="803"/>
      <c r="HM1677" s="803"/>
      <c r="HN1677" s="803"/>
      <c r="HO1677" s="803"/>
      <c r="HP1677" s="803"/>
      <c r="HQ1677" s="803"/>
      <c r="HR1677" s="803"/>
      <c r="HS1677" s="803"/>
      <c r="HT1677" s="803"/>
      <c r="HU1677" s="803"/>
      <c r="HV1677" s="803"/>
      <c r="HW1677" s="803"/>
      <c r="HX1677" s="803"/>
      <c r="HY1677" s="803"/>
      <c r="HZ1677" s="803"/>
      <c r="IA1677" s="803"/>
      <c r="IB1677" s="803"/>
      <c r="IC1677" s="803"/>
      <c r="ID1677" s="803"/>
      <c r="IE1677" s="803"/>
      <c r="IF1677" s="803"/>
      <c r="IG1677" s="803"/>
      <c r="IH1677" s="803"/>
      <c r="II1677" s="803"/>
      <c r="IJ1677" s="803"/>
      <c r="IK1677" s="803"/>
      <c r="IL1677" s="803"/>
      <c r="IM1677" s="803"/>
      <c r="IN1677" s="803"/>
      <c r="IO1677" s="803"/>
      <c r="IP1677" s="803"/>
      <c r="IQ1677" s="803"/>
      <c r="IR1677" s="803"/>
      <c r="IS1677" s="803"/>
      <c r="IT1677" s="803"/>
      <c r="IU1677" s="803"/>
    </row>
    <row r="1678" spans="1:255" s="361" customFormat="1" ht="16.5" hidden="1" customHeight="1">
      <c r="A1678" s="342"/>
      <c r="B1678" s="417"/>
      <c r="C1678" s="551" t="s">
        <v>354</v>
      </c>
      <c r="D1678" s="342" t="s">
        <v>88</v>
      </c>
      <c r="E1678" s="857">
        <v>1.1000000000000001</v>
      </c>
      <c r="F1678" s="392">
        <f>F1676*E1678</f>
        <v>0</v>
      </c>
      <c r="G1678" s="392">
        <v>25.4</v>
      </c>
      <c r="H1678" s="392">
        <f>F1678*G1678</f>
        <v>0</v>
      </c>
      <c r="I1678" s="392"/>
      <c r="J1678" s="392"/>
      <c r="K1678" s="392"/>
      <c r="L1678" s="392"/>
      <c r="M1678" s="392">
        <f>H1678+J1678+L1678</f>
        <v>0</v>
      </c>
      <c r="N1678" s="348"/>
      <c r="O1678" s="803"/>
      <c r="P1678" s="804"/>
      <c r="Q1678" s="804"/>
      <c r="R1678" s="804"/>
      <c r="S1678" s="804"/>
      <c r="T1678" s="804"/>
      <c r="U1678" s="804"/>
      <c r="V1678" s="804"/>
      <c r="W1678" s="804"/>
      <c r="X1678" s="804"/>
      <c r="Y1678" s="804"/>
      <c r="Z1678" s="804"/>
      <c r="AA1678" s="803"/>
      <c r="AB1678" s="803"/>
      <c r="AC1678" s="803"/>
      <c r="AD1678" s="803"/>
      <c r="AE1678" s="803"/>
      <c r="AF1678" s="803"/>
      <c r="AG1678" s="803"/>
      <c r="AH1678" s="803"/>
      <c r="AI1678" s="803"/>
      <c r="AJ1678" s="803"/>
      <c r="AK1678" s="803"/>
      <c r="AL1678" s="803"/>
      <c r="AM1678" s="803"/>
      <c r="AN1678" s="803"/>
      <c r="AO1678" s="803"/>
      <c r="AP1678" s="803"/>
      <c r="AQ1678" s="803"/>
      <c r="AR1678" s="803"/>
      <c r="AS1678" s="803"/>
      <c r="AT1678" s="803"/>
      <c r="AU1678" s="803"/>
      <c r="AV1678" s="803"/>
      <c r="AW1678" s="803"/>
      <c r="AX1678" s="803"/>
      <c r="AY1678" s="803"/>
      <c r="AZ1678" s="803"/>
      <c r="BA1678" s="803"/>
      <c r="BB1678" s="803"/>
      <c r="BC1678" s="803"/>
      <c r="BD1678" s="803"/>
      <c r="BE1678" s="803"/>
      <c r="BF1678" s="803"/>
      <c r="BG1678" s="803"/>
      <c r="BH1678" s="803"/>
      <c r="BI1678" s="803"/>
      <c r="BJ1678" s="803"/>
      <c r="BK1678" s="803"/>
      <c r="BL1678" s="803"/>
      <c r="BM1678" s="803"/>
      <c r="BN1678" s="803"/>
      <c r="BO1678" s="803"/>
      <c r="BP1678" s="803"/>
      <c r="BQ1678" s="803"/>
      <c r="BR1678" s="803"/>
      <c r="BS1678" s="803"/>
      <c r="BT1678" s="803"/>
      <c r="BU1678" s="803"/>
      <c r="BV1678" s="803"/>
      <c r="BW1678" s="803"/>
      <c r="BX1678" s="803"/>
      <c r="BY1678" s="803"/>
      <c r="BZ1678" s="803"/>
      <c r="CA1678" s="803"/>
      <c r="CB1678" s="803"/>
      <c r="CC1678" s="803"/>
      <c r="CD1678" s="803"/>
      <c r="CE1678" s="803"/>
      <c r="CF1678" s="803"/>
      <c r="CG1678" s="803"/>
      <c r="CH1678" s="803"/>
      <c r="CI1678" s="803"/>
      <c r="CJ1678" s="803"/>
      <c r="CK1678" s="803"/>
      <c r="CL1678" s="803"/>
      <c r="CM1678" s="803"/>
      <c r="CN1678" s="803"/>
      <c r="CO1678" s="803"/>
      <c r="CP1678" s="803"/>
      <c r="CQ1678" s="803"/>
      <c r="CR1678" s="803"/>
      <c r="CS1678" s="803"/>
      <c r="CT1678" s="803"/>
      <c r="CU1678" s="803"/>
      <c r="CV1678" s="803"/>
      <c r="CW1678" s="803"/>
      <c r="CX1678" s="803"/>
      <c r="CY1678" s="803"/>
      <c r="CZ1678" s="803"/>
      <c r="DA1678" s="803"/>
      <c r="DB1678" s="803"/>
      <c r="DC1678" s="803"/>
      <c r="DD1678" s="803"/>
      <c r="DE1678" s="803"/>
      <c r="DF1678" s="803"/>
      <c r="DG1678" s="803"/>
      <c r="DH1678" s="803"/>
      <c r="DI1678" s="803"/>
      <c r="DJ1678" s="803"/>
      <c r="DK1678" s="803"/>
      <c r="DL1678" s="803"/>
      <c r="DM1678" s="803"/>
      <c r="DN1678" s="803"/>
      <c r="DO1678" s="803"/>
      <c r="DP1678" s="803"/>
      <c r="DQ1678" s="803"/>
      <c r="DR1678" s="803"/>
      <c r="DS1678" s="803"/>
      <c r="DT1678" s="803"/>
      <c r="DU1678" s="803"/>
      <c r="DV1678" s="803"/>
      <c r="DW1678" s="803"/>
      <c r="DX1678" s="803"/>
      <c r="DY1678" s="803"/>
      <c r="DZ1678" s="803"/>
      <c r="EA1678" s="803"/>
      <c r="EB1678" s="803"/>
      <c r="EC1678" s="803"/>
      <c r="ED1678" s="803"/>
      <c r="EE1678" s="803"/>
      <c r="EF1678" s="803"/>
      <c r="EG1678" s="803"/>
      <c r="EH1678" s="803"/>
      <c r="EI1678" s="803"/>
      <c r="EJ1678" s="803"/>
      <c r="EK1678" s="803"/>
      <c r="EL1678" s="803"/>
      <c r="EM1678" s="803"/>
      <c r="EN1678" s="803"/>
      <c r="EO1678" s="803"/>
      <c r="EP1678" s="803"/>
      <c r="EQ1678" s="803"/>
      <c r="ER1678" s="803"/>
      <c r="ES1678" s="803"/>
      <c r="ET1678" s="803"/>
      <c r="EU1678" s="803"/>
      <c r="EV1678" s="803"/>
      <c r="EW1678" s="803"/>
      <c r="EX1678" s="803"/>
      <c r="EY1678" s="803"/>
      <c r="EZ1678" s="803"/>
      <c r="FA1678" s="803"/>
      <c r="FB1678" s="803"/>
      <c r="FC1678" s="803"/>
      <c r="FD1678" s="803"/>
      <c r="FE1678" s="803"/>
      <c r="FF1678" s="803"/>
      <c r="FG1678" s="803"/>
      <c r="FH1678" s="803"/>
      <c r="FI1678" s="803"/>
      <c r="FJ1678" s="803"/>
      <c r="FK1678" s="803"/>
      <c r="FL1678" s="803"/>
      <c r="FM1678" s="803"/>
      <c r="FN1678" s="803"/>
      <c r="FO1678" s="803"/>
      <c r="FP1678" s="803"/>
      <c r="FQ1678" s="803"/>
      <c r="FR1678" s="803"/>
      <c r="FS1678" s="803"/>
      <c r="FT1678" s="803"/>
      <c r="FU1678" s="803"/>
      <c r="FV1678" s="803"/>
      <c r="FW1678" s="803"/>
      <c r="FX1678" s="803"/>
      <c r="FY1678" s="803"/>
      <c r="FZ1678" s="803"/>
      <c r="GA1678" s="803"/>
      <c r="GB1678" s="803"/>
      <c r="GC1678" s="803"/>
      <c r="GD1678" s="803"/>
      <c r="GE1678" s="803"/>
      <c r="GF1678" s="803"/>
      <c r="GG1678" s="803"/>
      <c r="GH1678" s="803"/>
      <c r="GI1678" s="803"/>
      <c r="GJ1678" s="803"/>
      <c r="GK1678" s="803"/>
      <c r="GL1678" s="803"/>
      <c r="GM1678" s="803"/>
      <c r="GN1678" s="803"/>
      <c r="GO1678" s="803"/>
      <c r="GP1678" s="803"/>
      <c r="GQ1678" s="803"/>
      <c r="GR1678" s="803"/>
      <c r="GS1678" s="803"/>
      <c r="GT1678" s="803"/>
      <c r="GU1678" s="803"/>
      <c r="GV1678" s="803"/>
      <c r="GW1678" s="803"/>
      <c r="GX1678" s="803"/>
      <c r="GY1678" s="803"/>
      <c r="GZ1678" s="803"/>
      <c r="HA1678" s="803"/>
      <c r="HB1678" s="803"/>
      <c r="HC1678" s="803"/>
      <c r="HD1678" s="803"/>
      <c r="HE1678" s="803"/>
      <c r="HF1678" s="803"/>
      <c r="HG1678" s="803"/>
      <c r="HH1678" s="803"/>
      <c r="HI1678" s="803"/>
      <c r="HJ1678" s="803"/>
      <c r="HK1678" s="803"/>
      <c r="HL1678" s="803"/>
      <c r="HM1678" s="803"/>
      <c r="HN1678" s="803"/>
      <c r="HO1678" s="803"/>
      <c r="HP1678" s="803"/>
      <c r="HQ1678" s="803"/>
      <c r="HR1678" s="803"/>
      <c r="HS1678" s="803"/>
      <c r="HT1678" s="803"/>
      <c r="HU1678" s="803"/>
      <c r="HV1678" s="803"/>
      <c r="HW1678" s="803"/>
      <c r="HX1678" s="803"/>
      <c r="HY1678" s="803"/>
      <c r="HZ1678" s="803"/>
      <c r="IA1678" s="803"/>
      <c r="IB1678" s="803"/>
      <c r="IC1678" s="803"/>
      <c r="ID1678" s="803"/>
      <c r="IE1678" s="803"/>
      <c r="IF1678" s="803"/>
      <c r="IG1678" s="803"/>
      <c r="IH1678" s="803"/>
      <c r="II1678" s="803"/>
      <c r="IJ1678" s="803"/>
      <c r="IK1678" s="803"/>
      <c r="IL1678" s="803"/>
      <c r="IM1678" s="803"/>
      <c r="IN1678" s="803"/>
      <c r="IO1678" s="803"/>
      <c r="IP1678" s="803"/>
      <c r="IQ1678" s="803"/>
      <c r="IR1678" s="803"/>
      <c r="IS1678" s="803"/>
      <c r="IT1678" s="803"/>
      <c r="IU1678" s="803"/>
    </row>
    <row r="1679" spans="1:255" s="359" customFormat="1" ht="27" hidden="1">
      <c r="A1679" s="336">
        <v>10</v>
      </c>
      <c r="B1679" s="328" t="s">
        <v>1195</v>
      </c>
      <c r="C1679" s="329" t="s">
        <v>1411</v>
      </c>
      <c r="D1679" s="330" t="s">
        <v>88</v>
      </c>
      <c r="E1679" s="389"/>
      <c r="F1679" s="384">
        <f>'დეფექტური აქტი'!E392</f>
        <v>0</v>
      </c>
      <c r="G1679" s="389"/>
      <c r="H1679" s="389"/>
      <c r="I1679" s="389"/>
      <c r="J1679" s="389"/>
      <c r="K1679" s="389"/>
      <c r="L1679" s="389"/>
      <c r="M1679" s="389"/>
      <c r="N1679" s="358"/>
      <c r="O1679" s="797"/>
      <c r="P1679" s="798"/>
      <c r="Q1679" s="798"/>
      <c r="R1679" s="798"/>
      <c r="S1679" s="798"/>
      <c r="T1679" s="798"/>
      <c r="U1679" s="798"/>
      <c r="V1679" s="798"/>
      <c r="W1679" s="798"/>
      <c r="X1679" s="798"/>
      <c r="Y1679" s="798"/>
      <c r="Z1679" s="798"/>
      <c r="AA1679" s="797"/>
      <c r="AB1679" s="797"/>
      <c r="AC1679" s="797"/>
      <c r="AD1679" s="797"/>
      <c r="AE1679" s="797"/>
      <c r="AF1679" s="797"/>
      <c r="AG1679" s="797"/>
      <c r="AH1679" s="797"/>
      <c r="AI1679" s="797"/>
      <c r="AJ1679" s="797"/>
      <c r="AK1679" s="797"/>
      <c r="AL1679" s="797"/>
      <c r="AM1679" s="797"/>
      <c r="AN1679" s="797"/>
      <c r="AO1679" s="797"/>
      <c r="AP1679" s="797"/>
      <c r="AQ1679" s="797"/>
      <c r="AR1679" s="797"/>
      <c r="AS1679" s="797"/>
      <c r="AT1679" s="797"/>
      <c r="AU1679" s="797"/>
      <c r="AV1679" s="797"/>
      <c r="AW1679" s="797"/>
      <c r="AX1679" s="797"/>
      <c r="AY1679" s="797"/>
      <c r="AZ1679" s="797"/>
      <c r="BA1679" s="797"/>
      <c r="BB1679" s="797"/>
      <c r="BC1679" s="797"/>
      <c r="BD1679" s="797"/>
      <c r="BE1679" s="797"/>
      <c r="BF1679" s="797"/>
      <c r="BG1679" s="797"/>
      <c r="BH1679" s="797"/>
      <c r="BI1679" s="797"/>
      <c r="BJ1679" s="797"/>
      <c r="BK1679" s="797"/>
      <c r="BL1679" s="797"/>
      <c r="BM1679" s="797"/>
      <c r="BN1679" s="797"/>
      <c r="BO1679" s="797"/>
      <c r="BP1679" s="797"/>
      <c r="BQ1679" s="797"/>
      <c r="BR1679" s="797"/>
      <c r="BS1679" s="797"/>
      <c r="BT1679" s="797"/>
      <c r="BU1679" s="797"/>
      <c r="BV1679" s="797"/>
      <c r="BW1679" s="797"/>
      <c r="BX1679" s="797"/>
      <c r="BY1679" s="797"/>
      <c r="BZ1679" s="797"/>
      <c r="CA1679" s="797"/>
      <c r="CB1679" s="797"/>
      <c r="CC1679" s="797"/>
      <c r="CD1679" s="797"/>
      <c r="CE1679" s="797"/>
      <c r="CF1679" s="797"/>
      <c r="CG1679" s="797"/>
      <c r="CH1679" s="797"/>
      <c r="CI1679" s="797"/>
      <c r="CJ1679" s="797"/>
      <c r="CK1679" s="797"/>
      <c r="CL1679" s="797"/>
      <c r="CM1679" s="797"/>
      <c r="CN1679" s="797"/>
      <c r="CO1679" s="797"/>
      <c r="CP1679" s="797"/>
      <c r="CQ1679" s="797"/>
      <c r="CR1679" s="797"/>
      <c r="CS1679" s="797"/>
      <c r="CT1679" s="797"/>
      <c r="CU1679" s="797"/>
      <c r="CV1679" s="797"/>
      <c r="CW1679" s="797"/>
      <c r="CX1679" s="797"/>
      <c r="CY1679" s="797"/>
      <c r="CZ1679" s="797"/>
      <c r="DA1679" s="797"/>
      <c r="DB1679" s="797"/>
      <c r="DC1679" s="797"/>
      <c r="DD1679" s="797"/>
      <c r="DE1679" s="797"/>
      <c r="DF1679" s="797"/>
      <c r="DG1679" s="797"/>
      <c r="DH1679" s="797"/>
      <c r="DI1679" s="797"/>
      <c r="DJ1679" s="797"/>
      <c r="DK1679" s="797"/>
      <c r="DL1679" s="797"/>
      <c r="DM1679" s="797"/>
      <c r="DN1679" s="797"/>
      <c r="DO1679" s="797"/>
      <c r="DP1679" s="797"/>
      <c r="DQ1679" s="797"/>
      <c r="DR1679" s="797"/>
      <c r="DS1679" s="797"/>
      <c r="DT1679" s="797"/>
      <c r="DU1679" s="797"/>
      <c r="DV1679" s="797"/>
      <c r="DW1679" s="797"/>
      <c r="DX1679" s="797"/>
      <c r="DY1679" s="797"/>
      <c r="DZ1679" s="797"/>
      <c r="EA1679" s="797"/>
      <c r="EB1679" s="797"/>
      <c r="EC1679" s="797"/>
      <c r="ED1679" s="797"/>
      <c r="EE1679" s="797"/>
      <c r="EF1679" s="797"/>
      <c r="EG1679" s="797"/>
      <c r="EH1679" s="797"/>
      <c r="EI1679" s="797"/>
      <c r="EJ1679" s="797"/>
      <c r="EK1679" s="797"/>
      <c r="EL1679" s="797"/>
      <c r="EM1679" s="797"/>
      <c r="EN1679" s="797"/>
      <c r="EO1679" s="797"/>
      <c r="EP1679" s="797"/>
      <c r="EQ1679" s="797"/>
      <c r="ER1679" s="797"/>
      <c r="ES1679" s="797"/>
      <c r="ET1679" s="797"/>
      <c r="EU1679" s="797"/>
      <c r="EV1679" s="797"/>
      <c r="EW1679" s="797"/>
      <c r="EX1679" s="797"/>
      <c r="EY1679" s="797"/>
      <c r="EZ1679" s="797"/>
      <c r="FA1679" s="797"/>
      <c r="FB1679" s="797"/>
      <c r="FC1679" s="797"/>
      <c r="FD1679" s="797"/>
      <c r="FE1679" s="797"/>
      <c r="FF1679" s="797"/>
      <c r="FG1679" s="797"/>
      <c r="FH1679" s="797"/>
      <c r="FI1679" s="797"/>
      <c r="FJ1679" s="797"/>
      <c r="FK1679" s="797"/>
      <c r="FL1679" s="797"/>
      <c r="FM1679" s="797"/>
      <c r="FN1679" s="797"/>
      <c r="FO1679" s="797"/>
      <c r="FP1679" s="797"/>
      <c r="FQ1679" s="797"/>
      <c r="FR1679" s="797"/>
      <c r="FS1679" s="797"/>
      <c r="FT1679" s="797"/>
      <c r="FU1679" s="797"/>
      <c r="FV1679" s="797"/>
      <c r="FW1679" s="797"/>
      <c r="FX1679" s="797"/>
      <c r="FY1679" s="797"/>
      <c r="FZ1679" s="797"/>
      <c r="GA1679" s="797"/>
      <c r="GB1679" s="797"/>
      <c r="GC1679" s="797"/>
      <c r="GD1679" s="797"/>
      <c r="GE1679" s="797"/>
      <c r="GF1679" s="797"/>
      <c r="GG1679" s="797"/>
      <c r="GH1679" s="797"/>
      <c r="GI1679" s="797"/>
      <c r="GJ1679" s="797"/>
      <c r="GK1679" s="797"/>
      <c r="GL1679" s="797"/>
      <c r="GM1679" s="797"/>
      <c r="GN1679" s="797"/>
      <c r="GO1679" s="797"/>
      <c r="GP1679" s="797"/>
      <c r="GQ1679" s="797"/>
      <c r="GR1679" s="797"/>
      <c r="GS1679" s="797"/>
      <c r="GT1679" s="797"/>
      <c r="GU1679" s="797"/>
      <c r="GV1679" s="797"/>
      <c r="GW1679" s="797"/>
      <c r="GX1679" s="797"/>
      <c r="GY1679" s="797"/>
      <c r="GZ1679" s="797"/>
      <c r="HA1679" s="797"/>
      <c r="HB1679" s="797"/>
      <c r="HC1679" s="797"/>
      <c r="HD1679" s="797"/>
      <c r="HE1679" s="797"/>
      <c r="HF1679" s="797"/>
      <c r="HG1679" s="797"/>
      <c r="HH1679" s="797"/>
      <c r="HI1679" s="797"/>
      <c r="HJ1679" s="797"/>
      <c r="HK1679" s="797"/>
      <c r="HL1679" s="797"/>
      <c r="HM1679" s="797"/>
      <c r="HN1679" s="797"/>
      <c r="HO1679" s="797"/>
      <c r="HP1679" s="797"/>
      <c r="HQ1679" s="797"/>
      <c r="HR1679" s="797"/>
      <c r="HS1679" s="797"/>
      <c r="HT1679" s="797"/>
      <c r="HU1679" s="797"/>
      <c r="HV1679" s="797"/>
      <c r="HW1679" s="797"/>
      <c r="HX1679" s="797"/>
      <c r="HY1679" s="797"/>
      <c r="HZ1679" s="797"/>
      <c r="IA1679" s="797"/>
      <c r="IB1679" s="797"/>
      <c r="IC1679" s="797"/>
      <c r="ID1679" s="797"/>
      <c r="IE1679" s="797"/>
      <c r="IF1679" s="797"/>
      <c r="IG1679" s="797"/>
      <c r="IH1679" s="797"/>
      <c r="II1679" s="797"/>
      <c r="IJ1679" s="797"/>
      <c r="IK1679" s="797"/>
      <c r="IL1679" s="797"/>
      <c r="IM1679" s="797"/>
      <c r="IN1679" s="797"/>
      <c r="IO1679" s="797"/>
      <c r="IP1679" s="797"/>
      <c r="IQ1679" s="797"/>
      <c r="IR1679" s="797"/>
      <c r="IS1679" s="797"/>
      <c r="IT1679" s="797"/>
      <c r="IU1679" s="797"/>
    </row>
    <row r="1680" spans="1:255" s="359" customFormat="1" ht="15.75" hidden="1" customHeight="1">
      <c r="A1680" s="336"/>
      <c r="B1680" s="328"/>
      <c r="C1680" s="335" t="s">
        <v>1335</v>
      </c>
      <c r="D1680" s="336" t="s">
        <v>217</v>
      </c>
      <c r="E1680" s="856">
        <v>9.2099999999999994E-3</v>
      </c>
      <c r="F1680" s="389">
        <f>F1679*E1680</f>
        <v>0</v>
      </c>
      <c r="G1680" s="389"/>
      <c r="H1680" s="389"/>
      <c r="I1680" s="389"/>
      <c r="J1680" s="389"/>
      <c r="K1680" s="389">
        <v>21.54</v>
      </c>
      <c r="L1680" s="389">
        <f>F1680*K1680</f>
        <v>0</v>
      </c>
      <c r="M1680" s="389">
        <f>H1680+J1680+L1680</f>
        <v>0</v>
      </c>
      <c r="N1680" s="358"/>
      <c r="O1680" s="797"/>
      <c r="P1680" s="798"/>
      <c r="Q1680" s="798"/>
      <c r="R1680" s="798"/>
      <c r="S1680" s="798"/>
      <c r="T1680" s="798"/>
      <c r="U1680" s="798"/>
      <c r="V1680" s="798"/>
      <c r="W1680" s="798"/>
      <c r="X1680" s="798"/>
      <c r="Y1680" s="798"/>
      <c r="Z1680" s="798"/>
      <c r="AA1680" s="797"/>
      <c r="AB1680" s="797"/>
      <c r="AC1680" s="797"/>
      <c r="AD1680" s="797"/>
      <c r="AE1680" s="797"/>
      <c r="AF1680" s="797"/>
      <c r="AG1680" s="797"/>
      <c r="AH1680" s="797"/>
      <c r="AI1680" s="797"/>
      <c r="AJ1680" s="797"/>
      <c r="AK1680" s="797"/>
      <c r="AL1680" s="797"/>
      <c r="AM1680" s="797"/>
      <c r="AN1680" s="797"/>
      <c r="AO1680" s="797"/>
      <c r="AP1680" s="797"/>
      <c r="AQ1680" s="797"/>
      <c r="AR1680" s="797"/>
      <c r="AS1680" s="797"/>
      <c r="AT1680" s="797"/>
      <c r="AU1680" s="797"/>
      <c r="AV1680" s="797"/>
      <c r="AW1680" s="797"/>
      <c r="AX1680" s="797"/>
      <c r="AY1680" s="797"/>
      <c r="AZ1680" s="797"/>
      <c r="BA1680" s="797"/>
      <c r="BB1680" s="797"/>
      <c r="BC1680" s="797"/>
      <c r="BD1680" s="797"/>
      <c r="BE1680" s="797"/>
      <c r="BF1680" s="797"/>
      <c r="BG1680" s="797"/>
      <c r="BH1680" s="797"/>
      <c r="BI1680" s="797"/>
      <c r="BJ1680" s="797"/>
      <c r="BK1680" s="797"/>
      <c r="BL1680" s="797"/>
      <c r="BM1680" s="797"/>
      <c r="BN1680" s="797"/>
      <c r="BO1680" s="797"/>
      <c r="BP1680" s="797"/>
      <c r="BQ1680" s="797"/>
      <c r="BR1680" s="797"/>
      <c r="BS1680" s="797"/>
      <c r="BT1680" s="797"/>
      <c r="BU1680" s="797"/>
      <c r="BV1680" s="797"/>
      <c r="BW1680" s="797"/>
      <c r="BX1680" s="797"/>
      <c r="BY1680" s="797"/>
      <c r="BZ1680" s="797"/>
      <c r="CA1680" s="797"/>
      <c r="CB1680" s="797"/>
      <c r="CC1680" s="797"/>
      <c r="CD1680" s="797"/>
      <c r="CE1680" s="797"/>
      <c r="CF1680" s="797"/>
      <c r="CG1680" s="797"/>
      <c r="CH1680" s="797"/>
      <c r="CI1680" s="797"/>
      <c r="CJ1680" s="797"/>
      <c r="CK1680" s="797"/>
      <c r="CL1680" s="797"/>
      <c r="CM1680" s="797"/>
      <c r="CN1680" s="797"/>
      <c r="CO1680" s="797"/>
      <c r="CP1680" s="797"/>
      <c r="CQ1680" s="797"/>
      <c r="CR1680" s="797"/>
      <c r="CS1680" s="797"/>
      <c r="CT1680" s="797"/>
      <c r="CU1680" s="797"/>
      <c r="CV1680" s="797"/>
      <c r="CW1680" s="797"/>
      <c r="CX1680" s="797"/>
      <c r="CY1680" s="797"/>
      <c r="CZ1680" s="797"/>
      <c r="DA1680" s="797"/>
      <c r="DB1680" s="797"/>
      <c r="DC1680" s="797"/>
      <c r="DD1680" s="797"/>
      <c r="DE1680" s="797"/>
      <c r="DF1680" s="797"/>
      <c r="DG1680" s="797"/>
      <c r="DH1680" s="797"/>
      <c r="DI1680" s="797"/>
      <c r="DJ1680" s="797"/>
      <c r="DK1680" s="797"/>
      <c r="DL1680" s="797"/>
      <c r="DM1680" s="797"/>
      <c r="DN1680" s="797"/>
      <c r="DO1680" s="797"/>
      <c r="DP1680" s="797"/>
      <c r="DQ1680" s="797"/>
      <c r="DR1680" s="797"/>
      <c r="DS1680" s="797"/>
      <c r="DT1680" s="797"/>
      <c r="DU1680" s="797"/>
      <c r="DV1680" s="797"/>
      <c r="DW1680" s="797"/>
      <c r="DX1680" s="797"/>
      <c r="DY1680" s="797"/>
      <c r="DZ1680" s="797"/>
      <c r="EA1680" s="797"/>
      <c r="EB1680" s="797"/>
      <c r="EC1680" s="797"/>
      <c r="ED1680" s="797"/>
      <c r="EE1680" s="797"/>
      <c r="EF1680" s="797"/>
      <c r="EG1680" s="797"/>
      <c r="EH1680" s="797"/>
      <c r="EI1680" s="797"/>
      <c r="EJ1680" s="797"/>
      <c r="EK1680" s="797"/>
      <c r="EL1680" s="797"/>
      <c r="EM1680" s="797"/>
      <c r="EN1680" s="797"/>
      <c r="EO1680" s="797"/>
      <c r="EP1680" s="797"/>
      <c r="EQ1680" s="797"/>
      <c r="ER1680" s="797"/>
      <c r="ES1680" s="797"/>
      <c r="ET1680" s="797"/>
      <c r="EU1680" s="797"/>
      <c r="EV1680" s="797"/>
      <c r="EW1680" s="797"/>
      <c r="EX1680" s="797"/>
      <c r="EY1680" s="797"/>
      <c r="EZ1680" s="797"/>
      <c r="FA1680" s="797"/>
      <c r="FB1680" s="797"/>
      <c r="FC1680" s="797"/>
      <c r="FD1680" s="797"/>
      <c r="FE1680" s="797"/>
      <c r="FF1680" s="797"/>
      <c r="FG1680" s="797"/>
      <c r="FH1680" s="797"/>
      <c r="FI1680" s="797"/>
      <c r="FJ1680" s="797"/>
      <c r="FK1680" s="797"/>
      <c r="FL1680" s="797"/>
      <c r="FM1680" s="797"/>
      <c r="FN1680" s="797"/>
      <c r="FO1680" s="797"/>
      <c r="FP1680" s="797"/>
      <c r="FQ1680" s="797"/>
      <c r="FR1680" s="797"/>
      <c r="FS1680" s="797"/>
      <c r="FT1680" s="797"/>
      <c r="FU1680" s="797"/>
      <c r="FV1680" s="797"/>
      <c r="FW1680" s="797"/>
      <c r="FX1680" s="797"/>
      <c r="FY1680" s="797"/>
      <c r="FZ1680" s="797"/>
      <c r="GA1680" s="797"/>
      <c r="GB1680" s="797"/>
      <c r="GC1680" s="797"/>
      <c r="GD1680" s="797"/>
      <c r="GE1680" s="797"/>
      <c r="GF1680" s="797"/>
      <c r="GG1680" s="797"/>
      <c r="GH1680" s="797"/>
      <c r="GI1680" s="797"/>
      <c r="GJ1680" s="797"/>
      <c r="GK1680" s="797"/>
      <c r="GL1680" s="797"/>
      <c r="GM1680" s="797"/>
      <c r="GN1680" s="797"/>
      <c r="GO1680" s="797"/>
      <c r="GP1680" s="797"/>
      <c r="GQ1680" s="797"/>
      <c r="GR1680" s="797"/>
      <c r="GS1680" s="797"/>
      <c r="GT1680" s="797"/>
      <c r="GU1680" s="797"/>
      <c r="GV1680" s="797"/>
      <c r="GW1680" s="797"/>
      <c r="GX1680" s="797"/>
      <c r="GY1680" s="797"/>
      <c r="GZ1680" s="797"/>
      <c r="HA1680" s="797"/>
      <c r="HB1680" s="797"/>
      <c r="HC1680" s="797"/>
      <c r="HD1680" s="797"/>
      <c r="HE1680" s="797"/>
      <c r="HF1680" s="797"/>
      <c r="HG1680" s="797"/>
      <c r="HH1680" s="797"/>
      <c r="HI1680" s="797"/>
      <c r="HJ1680" s="797"/>
      <c r="HK1680" s="797"/>
      <c r="HL1680" s="797"/>
      <c r="HM1680" s="797"/>
      <c r="HN1680" s="797"/>
      <c r="HO1680" s="797"/>
      <c r="HP1680" s="797"/>
      <c r="HQ1680" s="797"/>
      <c r="HR1680" s="797"/>
      <c r="HS1680" s="797"/>
      <c r="HT1680" s="797"/>
      <c r="HU1680" s="797"/>
      <c r="HV1680" s="797"/>
      <c r="HW1680" s="797"/>
      <c r="HX1680" s="797"/>
      <c r="HY1680" s="797"/>
      <c r="HZ1680" s="797"/>
      <c r="IA1680" s="797"/>
      <c r="IB1680" s="797"/>
      <c r="IC1680" s="797"/>
      <c r="ID1680" s="797"/>
      <c r="IE1680" s="797"/>
      <c r="IF1680" s="797"/>
      <c r="IG1680" s="797"/>
      <c r="IH1680" s="797"/>
      <c r="II1680" s="797"/>
      <c r="IJ1680" s="797"/>
      <c r="IK1680" s="797"/>
      <c r="IL1680" s="797"/>
      <c r="IM1680" s="797"/>
      <c r="IN1680" s="797"/>
      <c r="IO1680" s="797"/>
      <c r="IP1680" s="797"/>
      <c r="IQ1680" s="797"/>
      <c r="IR1680" s="797"/>
      <c r="IS1680" s="797"/>
      <c r="IT1680" s="797"/>
      <c r="IU1680" s="797"/>
    </row>
    <row r="1681" spans="1:255" s="359" customFormat="1" ht="15.75" hidden="1" customHeight="1">
      <c r="A1681" s="342"/>
      <c r="B1681" s="417"/>
      <c r="C1681" s="551" t="s">
        <v>1338</v>
      </c>
      <c r="D1681" s="419" t="s">
        <v>88</v>
      </c>
      <c r="E1681" s="857">
        <v>1.1499999999999999</v>
      </c>
      <c r="F1681" s="392">
        <f>F1679*E1681</f>
        <v>0</v>
      </c>
      <c r="G1681" s="392">
        <v>9</v>
      </c>
      <c r="H1681" s="392">
        <f>F1681*G1681</f>
        <v>0</v>
      </c>
      <c r="I1681" s="392"/>
      <c r="J1681" s="392"/>
      <c r="K1681" s="392"/>
      <c r="L1681" s="392"/>
      <c r="M1681" s="392">
        <f>H1681+J1681+L1681</f>
        <v>0</v>
      </c>
      <c r="N1681" s="358"/>
      <c r="O1681" s="797"/>
      <c r="P1681" s="798"/>
      <c r="Q1681" s="798"/>
      <c r="R1681" s="798"/>
      <c r="S1681" s="798"/>
      <c r="T1681" s="798"/>
      <c r="U1681" s="798"/>
      <c r="V1681" s="798"/>
      <c r="W1681" s="798"/>
      <c r="X1681" s="798"/>
      <c r="Y1681" s="798"/>
      <c r="Z1681" s="798"/>
      <c r="AA1681" s="797"/>
      <c r="AB1681" s="797"/>
      <c r="AC1681" s="797"/>
      <c r="AD1681" s="797"/>
      <c r="AE1681" s="797"/>
      <c r="AF1681" s="797"/>
      <c r="AG1681" s="797"/>
      <c r="AH1681" s="797"/>
      <c r="AI1681" s="797"/>
      <c r="AJ1681" s="797"/>
      <c r="AK1681" s="797"/>
      <c r="AL1681" s="797"/>
      <c r="AM1681" s="797"/>
      <c r="AN1681" s="797"/>
      <c r="AO1681" s="797"/>
      <c r="AP1681" s="797"/>
      <c r="AQ1681" s="797"/>
      <c r="AR1681" s="797"/>
      <c r="AS1681" s="797"/>
      <c r="AT1681" s="797"/>
      <c r="AU1681" s="797"/>
      <c r="AV1681" s="797"/>
      <c r="AW1681" s="797"/>
      <c r="AX1681" s="797"/>
      <c r="AY1681" s="797"/>
      <c r="AZ1681" s="797"/>
      <c r="BA1681" s="797"/>
      <c r="BB1681" s="797"/>
      <c r="BC1681" s="797"/>
      <c r="BD1681" s="797"/>
      <c r="BE1681" s="797"/>
      <c r="BF1681" s="797"/>
      <c r="BG1681" s="797"/>
      <c r="BH1681" s="797"/>
      <c r="BI1681" s="797"/>
      <c r="BJ1681" s="797"/>
      <c r="BK1681" s="797"/>
      <c r="BL1681" s="797"/>
      <c r="BM1681" s="797"/>
      <c r="BN1681" s="797"/>
      <c r="BO1681" s="797"/>
      <c r="BP1681" s="797"/>
      <c r="BQ1681" s="797"/>
      <c r="BR1681" s="797"/>
      <c r="BS1681" s="797"/>
      <c r="BT1681" s="797"/>
      <c r="BU1681" s="797"/>
      <c r="BV1681" s="797"/>
      <c r="BW1681" s="797"/>
      <c r="BX1681" s="797"/>
      <c r="BY1681" s="797"/>
      <c r="BZ1681" s="797"/>
      <c r="CA1681" s="797"/>
      <c r="CB1681" s="797"/>
      <c r="CC1681" s="797"/>
      <c r="CD1681" s="797"/>
      <c r="CE1681" s="797"/>
      <c r="CF1681" s="797"/>
      <c r="CG1681" s="797"/>
      <c r="CH1681" s="797"/>
      <c r="CI1681" s="797"/>
      <c r="CJ1681" s="797"/>
      <c r="CK1681" s="797"/>
      <c r="CL1681" s="797"/>
      <c r="CM1681" s="797"/>
      <c r="CN1681" s="797"/>
      <c r="CO1681" s="797"/>
      <c r="CP1681" s="797"/>
      <c r="CQ1681" s="797"/>
      <c r="CR1681" s="797"/>
      <c r="CS1681" s="797"/>
      <c r="CT1681" s="797"/>
      <c r="CU1681" s="797"/>
      <c r="CV1681" s="797"/>
      <c r="CW1681" s="797"/>
      <c r="CX1681" s="797"/>
      <c r="CY1681" s="797"/>
      <c r="CZ1681" s="797"/>
      <c r="DA1681" s="797"/>
      <c r="DB1681" s="797"/>
      <c r="DC1681" s="797"/>
      <c r="DD1681" s="797"/>
      <c r="DE1681" s="797"/>
      <c r="DF1681" s="797"/>
      <c r="DG1681" s="797"/>
      <c r="DH1681" s="797"/>
      <c r="DI1681" s="797"/>
      <c r="DJ1681" s="797"/>
      <c r="DK1681" s="797"/>
      <c r="DL1681" s="797"/>
      <c r="DM1681" s="797"/>
      <c r="DN1681" s="797"/>
      <c r="DO1681" s="797"/>
      <c r="DP1681" s="797"/>
      <c r="DQ1681" s="797"/>
      <c r="DR1681" s="797"/>
      <c r="DS1681" s="797"/>
      <c r="DT1681" s="797"/>
      <c r="DU1681" s="797"/>
      <c r="DV1681" s="797"/>
      <c r="DW1681" s="797"/>
      <c r="DX1681" s="797"/>
      <c r="DY1681" s="797"/>
      <c r="DZ1681" s="797"/>
      <c r="EA1681" s="797"/>
      <c r="EB1681" s="797"/>
      <c r="EC1681" s="797"/>
      <c r="ED1681" s="797"/>
      <c r="EE1681" s="797"/>
      <c r="EF1681" s="797"/>
      <c r="EG1681" s="797"/>
      <c r="EH1681" s="797"/>
      <c r="EI1681" s="797"/>
      <c r="EJ1681" s="797"/>
      <c r="EK1681" s="797"/>
      <c r="EL1681" s="797"/>
      <c r="EM1681" s="797"/>
      <c r="EN1681" s="797"/>
      <c r="EO1681" s="797"/>
      <c r="EP1681" s="797"/>
      <c r="EQ1681" s="797"/>
      <c r="ER1681" s="797"/>
      <c r="ES1681" s="797"/>
      <c r="ET1681" s="797"/>
      <c r="EU1681" s="797"/>
      <c r="EV1681" s="797"/>
      <c r="EW1681" s="797"/>
      <c r="EX1681" s="797"/>
      <c r="EY1681" s="797"/>
      <c r="EZ1681" s="797"/>
      <c r="FA1681" s="797"/>
      <c r="FB1681" s="797"/>
      <c r="FC1681" s="797"/>
      <c r="FD1681" s="797"/>
      <c r="FE1681" s="797"/>
      <c r="FF1681" s="797"/>
      <c r="FG1681" s="797"/>
      <c r="FH1681" s="797"/>
      <c r="FI1681" s="797"/>
      <c r="FJ1681" s="797"/>
      <c r="FK1681" s="797"/>
      <c r="FL1681" s="797"/>
      <c r="FM1681" s="797"/>
      <c r="FN1681" s="797"/>
      <c r="FO1681" s="797"/>
      <c r="FP1681" s="797"/>
      <c r="FQ1681" s="797"/>
      <c r="FR1681" s="797"/>
      <c r="FS1681" s="797"/>
      <c r="FT1681" s="797"/>
      <c r="FU1681" s="797"/>
      <c r="FV1681" s="797"/>
      <c r="FW1681" s="797"/>
      <c r="FX1681" s="797"/>
      <c r="FY1681" s="797"/>
      <c r="FZ1681" s="797"/>
      <c r="GA1681" s="797"/>
      <c r="GB1681" s="797"/>
      <c r="GC1681" s="797"/>
      <c r="GD1681" s="797"/>
      <c r="GE1681" s="797"/>
      <c r="GF1681" s="797"/>
      <c r="GG1681" s="797"/>
      <c r="GH1681" s="797"/>
      <c r="GI1681" s="797"/>
      <c r="GJ1681" s="797"/>
      <c r="GK1681" s="797"/>
      <c r="GL1681" s="797"/>
      <c r="GM1681" s="797"/>
      <c r="GN1681" s="797"/>
      <c r="GO1681" s="797"/>
      <c r="GP1681" s="797"/>
      <c r="GQ1681" s="797"/>
      <c r="GR1681" s="797"/>
      <c r="GS1681" s="797"/>
      <c r="GT1681" s="797"/>
      <c r="GU1681" s="797"/>
      <c r="GV1681" s="797"/>
      <c r="GW1681" s="797"/>
      <c r="GX1681" s="797"/>
      <c r="GY1681" s="797"/>
      <c r="GZ1681" s="797"/>
      <c r="HA1681" s="797"/>
      <c r="HB1681" s="797"/>
      <c r="HC1681" s="797"/>
      <c r="HD1681" s="797"/>
      <c r="HE1681" s="797"/>
      <c r="HF1681" s="797"/>
      <c r="HG1681" s="797"/>
      <c r="HH1681" s="797"/>
      <c r="HI1681" s="797"/>
      <c r="HJ1681" s="797"/>
      <c r="HK1681" s="797"/>
      <c r="HL1681" s="797"/>
      <c r="HM1681" s="797"/>
      <c r="HN1681" s="797"/>
      <c r="HO1681" s="797"/>
      <c r="HP1681" s="797"/>
      <c r="HQ1681" s="797"/>
      <c r="HR1681" s="797"/>
      <c r="HS1681" s="797"/>
      <c r="HT1681" s="797"/>
      <c r="HU1681" s="797"/>
      <c r="HV1681" s="797"/>
      <c r="HW1681" s="797"/>
      <c r="HX1681" s="797"/>
      <c r="HY1681" s="797"/>
      <c r="HZ1681" s="797"/>
      <c r="IA1681" s="797"/>
      <c r="IB1681" s="797"/>
      <c r="IC1681" s="797"/>
      <c r="ID1681" s="797"/>
      <c r="IE1681" s="797"/>
      <c r="IF1681" s="797"/>
      <c r="IG1681" s="797"/>
      <c r="IH1681" s="797"/>
      <c r="II1681" s="797"/>
      <c r="IJ1681" s="797"/>
      <c r="IK1681" s="797"/>
      <c r="IL1681" s="797"/>
      <c r="IM1681" s="797"/>
      <c r="IN1681" s="797"/>
      <c r="IO1681" s="797"/>
      <c r="IP1681" s="797"/>
      <c r="IQ1681" s="797"/>
      <c r="IR1681" s="797"/>
      <c r="IS1681" s="797"/>
      <c r="IT1681" s="797"/>
      <c r="IU1681" s="797"/>
    </row>
    <row r="1682" spans="1:255" s="463" customFormat="1" ht="18" hidden="1" customHeight="1">
      <c r="A1682" s="421">
        <v>11</v>
      </c>
      <c r="B1682" s="500" t="s">
        <v>1198</v>
      </c>
      <c r="C1682" s="420" t="s">
        <v>1339</v>
      </c>
      <c r="D1682" s="421" t="s">
        <v>88</v>
      </c>
      <c r="E1682" s="856"/>
      <c r="F1682" s="384">
        <f>'დეფექტური აქტი'!E393</f>
        <v>0</v>
      </c>
      <c r="G1682" s="389"/>
      <c r="H1682" s="389"/>
      <c r="I1682" s="389"/>
      <c r="J1682" s="389"/>
      <c r="K1682" s="389"/>
      <c r="L1682" s="389"/>
      <c r="M1682" s="389"/>
      <c r="N1682" s="348"/>
      <c r="O1682" s="799"/>
      <c r="P1682" s="800"/>
      <c r="Q1682" s="800"/>
      <c r="R1682" s="800"/>
      <c r="S1682" s="800"/>
      <c r="T1682" s="800"/>
      <c r="U1682" s="800"/>
      <c r="V1682" s="800"/>
      <c r="W1682" s="800"/>
      <c r="X1682" s="800"/>
      <c r="Y1682" s="800"/>
      <c r="Z1682" s="800"/>
      <c r="AA1682" s="799"/>
      <c r="AB1682" s="799"/>
      <c r="AC1682" s="799"/>
      <c r="AD1682" s="799"/>
      <c r="AE1682" s="799"/>
      <c r="AF1682" s="799"/>
      <c r="AG1682" s="799"/>
      <c r="AH1682" s="799"/>
      <c r="AI1682" s="799"/>
      <c r="AJ1682" s="799"/>
      <c r="AK1682" s="799"/>
      <c r="AL1682" s="799"/>
      <c r="AM1682" s="799"/>
      <c r="AN1682" s="799"/>
      <c r="AO1682" s="799"/>
      <c r="AP1682" s="799"/>
      <c r="AQ1682" s="799"/>
      <c r="AR1682" s="799"/>
      <c r="AS1682" s="799"/>
      <c r="AT1682" s="799"/>
      <c r="AU1682" s="799"/>
      <c r="AV1682" s="799"/>
      <c r="AW1682" s="799"/>
      <c r="AX1682" s="799"/>
      <c r="AY1682" s="799"/>
      <c r="AZ1682" s="799"/>
      <c r="BA1682" s="799"/>
      <c r="BB1682" s="799"/>
      <c r="BC1682" s="799"/>
      <c r="BD1682" s="799"/>
      <c r="BE1682" s="799"/>
      <c r="BF1682" s="799"/>
      <c r="BG1682" s="799"/>
      <c r="BH1682" s="799"/>
      <c r="BI1682" s="799"/>
      <c r="BJ1682" s="799"/>
      <c r="BK1682" s="799"/>
      <c r="BL1682" s="799"/>
      <c r="BM1682" s="799"/>
      <c r="BN1682" s="799"/>
      <c r="BO1682" s="799"/>
      <c r="BP1682" s="799"/>
      <c r="BQ1682" s="799"/>
      <c r="BR1682" s="799"/>
      <c r="BS1682" s="799"/>
      <c r="BT1682" s="799"/>
      <c r="BU1682" s="799"/>
      <c r="BV1682" s="799"/>
      <c r="BW1682" s="799"/>
      <c r="BX1682" s="799"/>
      <c r="BY1682" s="799"/>
      <c r="BZ1682" s="799"/>
      <c r="CA1682" s="799"/>
      <c r="CB1682" s="799"/>
      <c r="CC1682" s="799"/>
      <c r="CD1682" s="799"/>
      <c r="CE1682" s="799"/>
      <c r="CF1682" s="799"/>
      <c r="CG1682" s="799"/>
      <c r="CH1682" s="799"/>
      <c r="CI1682" s="799"/>
      <c r="CJ1682" s="799"/>
      <c r="CK1682" s="799"/>
      <c r="CL1682" s="799"/>
      <c r="CM1682" s="799"/>
      <c r="CN1682" s="799"/>
      <c r="CO1682" s="799"/>
      <c r="CP1682" s="799"/>
      <c r="CQ1682" s="799"/>
      <c r="CR1682" s="799"/>
      <c r="CS1682" s="799"/>
      <c r="CT1682" s="799"/>
      <c r="CU1682" s="799"/>
      <c r="CV1682" s="799"/>
      <c r="CW1682" s="799"/>
      <c r="CX1682" s="799"/>
      <c r="CY1682" s="799"/>
      <c r="CZ1682" s="799"/>
      <c r="DA1682" s="799"/>
      <c r="DB1682" s="799"/>
      <c r="DC1682" s="799"/>
      <c r="DD1682" s="799"/>
      <c r="DE1682" s="799"/>
      <c r="DF1682" s="799"/>
      <c r="DG1682" s="799"/>
      <c r="DH1682" s="799"/>
      <c r="DI1682" s="799"/>
      <c r="DJ1682" s="799"/>
      <c r="DK1682" s="799"/>
      <c r="DL1682" s="799"/>
      <c r="DM1682" s="799"/>
      <c r="DN1682" s="799"/>
      <c r="DO1682" s="799"/>
      <c r="DP1682" s="799"/>
      <c r="DQ1682" s="799"/>
      <c r="DR1682" s="799"/>
      <c r="DS1682" s="799"/>
      <c r="DT1682" s="799"/>
      <c r="DU1682" s="799"/>
      <c r="DV1682" s="799"/>
      <c r="DW1682" s="799"/>
      <c r="DX1682" s="799"/>
      <c r="DY1682" s="799"/>
      <c r="DZ1682" s="799"/>
      <c r="EA1682" s="799"/>
      <c r="EB1682" s="799"/>
      <c r="EC1682" s="799"/>
      <c r="ED1682" s="799"/>
      <c r="EE1682" s="799"/>
      <c r="EF1682" s="799"/>
      <c r="EG1682" s="799"/>
      <c r="EH1682" s="799"/>
      <c r="EI1682" s="799"/>
      <c r="EJ1682" s="799"/>
      <c r="EK1682" s="799"/>
      <c r="EL1682" s="799"/>
      <c r="EM1682" s="799"/>
      <c r="EN1682" s="799"/>
      <c r="EO1682" s="799"/>
      <c r="EP1682" s="799"/>
      <c r="EQ1682" s="799"/>
      <c r="ER1682" s="799"/>
      <c r="ES1682" s="799"/>
      <c r="ET1682" s="799"/>
      <c r="EU1682" s="799"/>
      <c r="EV1682" s="799"/>
      <c r="EW1682" s="799"/>
      <c r="EX1682" s="799"/>
      <c r="EY1682" s="799"/>
      <c r="EZ1682" s="799"/>
      <c r="FA1682" s="799"/>
      <c r="FB1682" s="799"/>
      <c r="FC1682" s="799"/>
      <c r="FD1682" s="799"/>
      <c r="FE1682" s="799"/>
      <c r="FF1682" s="799"/>
      <c r="FG1682" s="799"/>
      <c r="FH1682" s="799"/>
      <c r="FI1682" s="799"/>
      <c r="FJ1682" s="799"/>
      <c r="FK1682" s="799"/>
      <c r="FL1682" s="799"/>
      <c r="FM1682" s="799"/>
      <c r="FN1682" s="799"/>
      <c r="FO1682" s="799"/>
      <c r="FP1682" s="799"/>
      <c r="FQ1682" s="799"/>
      <c r="FR1682" s="799"/>
      <c r="FS1682" s="799"/>
      <c r="FT1682" s="799"/>
      <c r="FU1682" s="799"/>
      <c r="FV1682" s="799"/>
      <c r="FW1682" s="799"/>
      <c r="FX1682" s="799"/>
      <c r="FY1682" s="799"/>
      <c r="FZ1682" s="799"/>
      <c r="GA1682" s="799"/>
      <c r="GB1682" s="799"/>
      <c r="GC1682" s="799"/>
      <c r="GD1682" s="799"/>
      <c r="GE1682" s="799"/>
      <c r="GF1682" s="799"/>
      <c r="GG1682" s="799"/>
      <c r="GH1682" s="799"/>
      <c r="GI1682" s="799"/>
      <c r="GJ1682" s="799"/>
      <c r="GK1682" s="799"/>
      <c r="GL1682" s="799"/>
      <c r="GM1682" s="799"/>
      <c r="GN1682" s="799"/>
      <c r="GO1682" s="799"/>
      <c r="GP1682" s="799"/>
      <c r="GQ1682" s="799"/>
      <c r="GR1682" s="799"/>
      <c r="GS1682" s="799"/>
      <c r="GT1682" s="799"/>
      <c r="GU1682" s="799"/>
      <c r="GV1682" s="799"/>
      <c r="GW1682" s="799"/>
      <c r="GX1682" s="799"/>
      <c r="GY1682" s="799"/>
      <c r="GZ1682" s="799"/>
      <c r="HA1682" s="799"/>
      <c r="HB1682" s="799"/>
      <c r="HC1682" s="799"/>
      <c r="HD1682" s="799"/>
      <c r="HE1682" s="799"/>
      <c r="HF1682" s="799"/>
      <c r="HG1682" s="799"/>
      <c r="HH1682" s="799"/>
      <c r="HI1682" s="799"/>
      <c r="HJ1682" s="799"/>
      <c r="HK1682" s="799"/>
      <c r="HL1682" s="799"/>
      <c r="HM1682" s="799"/>
      <c r="HN1682" s="799"/>
      <c r="HO1682" s="799"/>
      <c r="HP1682" s="799"/>
      <c r="HQ1682" s="799"/>
      <c r="HR1682" s="799"/>
      <c r="HS1682" s="799"/>
      <c r="HT1682" s="799"/>
      <c r="HU1682" s="799"/>
      <c r="HV1682" s="799"/>
      <c r="HW1682" s="799"/>
      <c r="HX1682" s="799"/>
      <c r="HY1682" s="799"/>
      <c r="HZ1682" s="799"/>
      <c r="IA1682" s="799"/>
      <c r="IB1682" s="799"/>
      <c r="IC1682" s="799"/>
      <c r="ID1682" s="799"/>
      <c r="IE1682" s="799"/>
      <c r="IF1682" s="799"/>
      <c r="IG1682" s="799"/>
      <c r="IH1682" s="799"/>
      <c r="II1682" s="799"/>
      <c r="IJ1682" s="799"/>
      <c r="IK1682" s="799"/>
      <c r="IL1682" s="799"/>
      <c r="IM1682" s="799"/>
      <c r="IN1682" s="799"/>
      <c r="IO1682" s="799"/>
      <c r="IP1682" s="799"/>
      <c r="IQ1682" s="799"/>
      <c r="IR1682" s="799"/>
      <c r="IS1682" s="799"/>
      <c r="IT1682" s="799"/>
      <c r="IU1682" s="799"/>
    </row>
    <row r="1683" spans="1:255" s="463" customFormat="1" ht="18" hidden="1" customHeight="1">
      <c r="A1683" s="330"/>
      <c r="B1683" s="328"/>
      <c r="C1683" s="335" t="s">
        <v>209</v>
      </c>
      <c r="D1683" s="336" t="s">
        <v>80</v>
      </c>
      <c r="E1683" s="923">
        <v>0.13400000000000001</v>
      </c>
      <c r="F1683" s="389">
        <f>F1682*E1683</f>
        <v>0</v>
      </c>
      <c r="G1683" s="389"/>
      <c r="H1683" s="389"/>
      <c r="I1683" s="389">
        <v>4.5999999999999996</v>
      </c>
      <c r="J1683" s="389">
        <f>F1683*I1683</f>
        <v>0</v>
      </c>
      <c r="K1683" s="389"/>
      <c r="L1683" s="389"/>
      <c r="M1683" s="389">
        <f>H1683+J1683+L1683</f>
        <v>0</v>
      </c>
      <c r="N1683" s="348"/>
      <c r="O1683" s="799"/>
      <c r="P1683" s="800"/>
      <c r="Q1683" s="800"/>
      <c r="R1683" s="800"/>
      <c r="S1683" s="800"/>
      <c r="T1683" s="800"/>
      <c r="U1683" s="800"/>
      <c r="V1683" s="800"/>
      <c r="W1683" s="800"/>
      <c r="X1683" s="800"/>
      <c r="Y1683" s="800"/>
      <c r="Z1683" s="800"/>
      <c r="AA1683" s="799"/>
      <c r="AB1683" s="799"/>
      <c r="AC1683" s="799"/>
      <c r="AD1683" s="799"/>
      <c r="AE1683" s="799"/>
      <c r="AF1683" s="799"/>
      <c r="AG1683" s="799"/>
      <c r="AH1683" s="799"/>
      <c r="AI1683" s="799"/>
      <c r="AJ1683" s="799"/>
      <c r="AK1683" s="799"/>
      <c r="AL1683" s="799"/>
      <c r="AM1683" s="799"/>
      <c r="AN1683" s="799"/>
      <c r="AO1683" s="799"/>
      <c r="AP1683" s="799"/>
      <c r="AQ1683" s="799"/>
      <c r="AR1683" s="799"/>
      <c r="AS1683" s="799"/>
      <c r="AT1683" s="799"/>
      <c r="AU1683" s="799"/>
      <c r="AV1683" s="799"/>
      <c r="AW1683" s="799"/>
      <c r="AX1683" s="799"/>
      <c r="AY1683" s="799"/>
      <c r="AZ1683" s="799"/>
      <c r="BA1683" s="799"/>
      <c r="BB1683" s="799"/>
      <c r="BC1683" s="799"/>
      <c r="BD1683" s="799"/>
      <c r="BE1683" s="799"/>
      <c r="BF1683" s="799"/>
      <c r="BG1683" s="799"/>
      <c r="BH1683" s="799"/>
      <c r="BI1683" s="799"/>
      <c r="BJ1683" s="799"/>
      <c r="BK1683" s="799"/>
      <c r="BL1683" s="799"/>
      <c r="BM1683" s="799"/>
      <c r="BN1683" s="799"/>
      <c r="BO1683" s="799"/>
      <c r="BP1683" s="799"/>
      <c r="BQ1683" s="799"/>
      <c r="BR1683" s="799"/>
      <c r="BS1683" s="799"/>
      <c r="BT1683" s="799"/>
      <c r="BU1683" s="799"/>
      <c r="BV1683" s="799"/>
      <c r="BW1683" s="799"/>
      <c r="BX1683" s="799"/>
      <c r="BY1683" s="799"/>
      <c r="BZ1683" s="799"/>
      <c r="CA1683" s="799"/>
      <c r="CB1683" s="799"/>
      <c r="CC1683" s="799"/>
      <c r="CD1683" s="799"/>
      <c r="CE1683" s="799"/>
      <c r="CF1683" s="799"/>
      <c r="CG1683" s="799"/>
      <c r="CH1683" s="799"/>
      <c r="CI1683" s="799"/>
      <c r="CJ1683" s="799"/>
      <c r="CK1683" s="799"/>
      <c r="CL1683" s="799"/>
      <c r="CM1683" s="799"/>
      <c r="CN1683" s="799"/>
      <c r="CO1683" s="799"/>
      <c r="CP1683" s="799"/>
      <c r="CQ1683" s="799"/>
      <c r="CR1683" s="799"/>
      <c r="CS1683" s="799"/>
      <c r="CT1683" s="799"/>
      <c r="CU1683" s="799"/>
      <c r="CV1683" s="799"/>
      <c r="CW1683" s="799"/>
      <c r="CX1683" s="799"/>
      <c r="CY1683" s="799"/>
      <c r="CZ1683" s="799"/>
      <c r="DA1683" s="799"/>
      <c r="DB1683" s="799"/>
      <c r="DC1683" s="799"/>
      <c r="DD1683" s="799"/>
      <c r="DE1683" s="799"/>
      <c r="DF1683" s="799"/>
      <c r="DG1683" s="799"/>
      <c r="DH1683" s="799"/>
      <c r="DI1683" s="799"/>
      <c r="DJ1683" s="799"/>
      <c r="DK1683" s="799"/>
      <c r="DL1683" s="799"/>
      <c r="DM1683" s="799"/>
      <c r="DN1683" s="799"/>
      <c r="DO1683" s="799"/>
      <c r="DP1683" s="799"/>
      <c r="DQ1683" s="799"/>
      <c r="DR1683" s="799"/>
      <c r="DS1683" s="799"/>
      <c r="DT1683" s="799"/>
      <c r="DU1683" s="799"/>
      <c r="DV1683" s="799"/>
      <c r="DW1683" s="799"/>
      <c r="DX1683" s="799"/>
      <c r="DY1683" s="799"/>
      <c r="DZ1683" s="799"/>
      <c r="EA1683" s="799"/>
      <c r="EB1683" s="799"/>
      <c r="EC1683" s="799"/>
      <c r="ED1683" s="799"/>
      <c r="EE1683" s="799"/>
      <c r="EF1683" s="799"/>
      <c r="EG1683" s="799"/>
      <c r="EH1683" s="799"/>
      <c r="EI1683" s="799"/>
      <c r="EJ1683" s="799"/>
      <c r="EK1683" s="799"/>
      <c r="EL1683" s="799"/>
      <c r="EM1683" s="799"/>
      <c r="EN1683" s="799"/>
      <c r="EO1683" s="799"/>
      <c r="EP1683" s="799"/>
      <c r="EQ1683" s="799"/>
      <c r="ER1683" s="799"/>
      <c r="ES1683" s="799"/>
      <c r="ET1683" s="799"/>
      <c r="EU1683" s="799"/>
      <c r="EV1683" s="799"/>
      <c r="EW1683" s="799"/>
      <c r="EX1683" s="799"/>
      <c r="EY1683" s="799"/>
      <c r="EZ1683" s="799"/>
      <c r="FA1683" s="799"/>
      <c r="FB1683" s="799"/>
      <c r="FC1683" s="799"/>
      <c r="FD1683" s="799"/>
      <c r="FE1683" s="799"/>
      <c r="FF1683" s="799"/>
      <c r="FG1683" s="799"/>
      <c r="FH1683" s="799"/>
      <c r="FI1683" s="799"/>
      <c r="FJ1683" s="799"/>
      <c r="FK1683" s="799"/>
      <c r="FL1683" s="799"/>
      <c r="FM1683" s="799"/>
      <c r="FN1683" s="799"/>
      <c r="FO1683" s="799"/>
      <c r="FP1683" s="799"/>
      <c r="FQ1683" s="799"/>
      <c r="FR1683" s="799"/>
      <c r="FS1683" s="799"/>
      <c r="FT1683" s="799"/>
      <c r="FU1683" s="799"/>
      <c r="FV1683" s="799"/>
      <c r="FW1683" s="799"/>
      <c r="FX1683" s="799"/>
      <c r="FY1683" s="799"/>
      <c r="FZ1683" s="799"/>
      <c r="GA1683" s="799"/>
      <c r="GB1683" s="799"/>
      <c r="GC1683" s="799"/>
      <c r="GD1683" s="799"/>
      <c r="GE1683" s="799"/>
      <c r="GF1683" s="799"/>
      <c r="GG1683" s="799"/>
      <c r="GH1683" s="799"/>
      <c r="GI1683" s="799"/>
      <c r="GJ1683" s="799"/>
      <c r="GK1683" s="799"/>
      <c r="GL1683" s="799"/>
      <c r="GM1683" s="799"/>
      <c r="GN1683" s="799"/>
      <c r="GO1683" s="799"/>
      <c r="GP1683" s="799"/>
      <c r="GQ1683" s="799"/>
      <c r="GR1683" s="799"/>
      <c r="GS1683" s="799"/>
      <c r="GT1683" s="799"/>
      <c r="GU1683" s="799"/>
      <c r="GV1683" s="799"/>
      <c r="GW1683" s="799"/>
      <c r="GX1683" s="799"/>
      <c r="GY1683" s="799"/>
      <c r="GZ1683" s="799"/>
      <c r="HA1683" s="799"/>
      <c r="HB1683" s="799"/>
      <c r="HC1683" s="799"/>
      <c r="HD1683" s="799"/>
      <c r="HE1683" s="799"/>
      <c r="HF1683" s="799"/>
      <c r="HG1683" s="799"/>
      <c r="HH1683" s="799"/>
      <c r="HI1683" s="799"/>
      <c r="HJ1683" s="799"/>
      <c r="HK1683" s="799"/>
      <c r="HL1683" s="799"/>
      <c r="HM1683" s="799"/>
      <c r="HN1683" s="799"/>
      <c r="HO1683" s="799"/>
      <c r="HP1683" s="799"/>
      <c r="HQ1683" s="799"/>
      <c r="HR1683" s="799"/>
      <c r="HS1683" s="799"/>
      <c r="HT1683" s="799"/>
      <c r="HU1683" s="799"/>
      <c r="HV1683" s="799"/>
      <c r="HW1683" s="799"/>
      <c r="HX1683" s="799"/>
      <c r="HY1683" s="799"/>
      <c r="HZ1683" s="799"/>
      <c r="IA1683" s="799"/>
      <c r="IB1683" s="799"/>
      <c r="IC1683" s="799"/>
      <c r="ID1683" s="799"/>
      <c r="IE1683" s="799"/>
      <c r="IF1683" s="799"/>
      <c r="IG1683" s="799"/>
      <c r="IH1683" s="799"/>
      <c r="II1683" s="799"/>
      <c r="IJ1683" s="799"/>
      <c r="IK1683" s="799"/>
      <c r="IL1683" s="799"/>
      <c r="IM1683" s="799"/>
      <c r="IN1683" s="799"/>
      <c r="IO1683" s="799"/>
      <c r="IP1683" s="799"/>
      <c r="IQ1683" s="799"/>
      <c r="IR1683" s="799"/>
      <c r="IS1683" s="799"/>
      <c r="IT1683" s="799"/>
      <c r="IU1683" s="799"/>
    </row>
    <row r="1684" spans="1:255" s="463" customFormat="1" ht="18" hidden="1" customHeight="1">
      <c r="A1684" s="419"/>
      <c r="B1684" s="417"/>
      <c r="C1684" s="551" t="s">
        <v>1199</v>
      </c>
      <c r="D1684" s="342" t="s">
        <v>217</v>
      </c>
      <c r="E1684" s="857">
        <v>0.13</v>
      </c>
      <c r="F1684" s="392">
        <f>F1682*E1684</f>
        <v>0</v>
      </c>
      <c r="G1684" s="392"/>
      <c r="H1684" s="392"/>
      <c r="I1684" s="392"/>
      <c r="J1684" s="392"/>
      <c r="K1684" s="392">
        <v>2</v>
      </c>
      <c r="L1684" s="392">
        <f>K1684*F1684</f>
        <v>0</v>
      </c>
      <c r="M1684" s="392">
        <f>H1684+J1684+L1684</f>
        <v>0</v>
      </c>
      <c r="N1684" s="348"/>
      <c r="O1684" s="799"/>
      <c r="P1684" s="800"/>
      <c r="Q1684" s="800"/>
      <c r="R1684" s="800"/>
      <c r="S1684" s="800"/>
      <c r="T1684" s="800"/>
      <c r="U1684" s="800"/>
      <c r="V1684" s="800"/>
      <c r="W1684" s="800"/>
      <c r="X1684" s="800"/>
      <c r="Y1684" s="800"/>
      <c r="Z1684" s="800"/>
      <c r="AA1684" s="799"/>
      <c r="AB1684" s="799"/>
      <c r="AC1684" s="799"/>
      <c r="AD1684" s="799"/>
      <c r="AE1684" s="799"/>
      <c r="AF1684" s="799"/>
      <c r="AG1684" s="799"/>
      <c r="AH1684" s="799"/>
      <c r="AI1684" s="799"/>
      <c r="AJ1684" s="799"/>
      <c r="AK1684" s="799"/>
      <c r="AL1684" s="799"/>
      <c r="AM1684" s="799"/>
      <c r="AN1684" s="799"/>
      <c r="AO1684" s="799"/>
      <c r="AP1684" s="799"/>
      <c r="AQ1684" s="799"/>
      <c r="AR1684" s="799"/>
      <c r="AS1684" s="799"/>
      <c r="AT1684" s="799"/>
      <c r="AU1684" s="799"/>
      <c r="AV1684" s="799"/>
      <c r="AW1684" s="799"/>
      <c r="AX1684" s="799"/>
      <c r="AY1684" s="799"/>
      <c r="AZ1684" s="799"/>
      <c r="BA1684" s="799"/>
      <c r="BB1684" s="799"/>
      <c r="BC1684" s="799"/>
      <c r="BD1684" s="799"/>
      <c r="BE1684" s="799"/>
      <c r="BF1684" s="799"/>
      <c r="BG1684" s="799"/>
      <c r="BH1684" s="799"/>
      <c r="BI1684" s="799"/>
      <c r="BJ1684" s="799"/>
      <c r="BK1684" s="799"/>
      <c r="BL1684" s="799"/>
      <c r="BM1684" s="799"/>
      <c r="BN1684" s="799"/>
      <c r="BO1684" s="799"/>
      <c r="BP1684" s="799"/>
      <c r="BQ1684" s="799"/>
      <c r="BR1684" s="799"/>
      <c r="BS1684" s="799"/>
      <c r="BT1684" s="799"/>
      <c r="BU1684" s="799"/>
      <c r="BV1684" s="799"/>
      <c r="BW1684" s="799"/>
      <c r="BX1684" s="799"/>
      <c r="BY1684" s="799"/>
      <c r="BZ1684" s="799"/>
      <c r="CA1684" s="799"/>
      <c r="CB1684" s="799"/>
      <c r="CC1684" s="799"/>
      <c r="CD1684" s="799"/>
      <c r="CE1684" s="799"/>
      <c r="CF1684" s="799"/>
      <c r="CG1684" s="799"/>
      <c r="CH1684" s="799"/>
      <c r="CI1684" s="799"/>
      <c r="CJ1684" s="799"/>
      <c r="CK1684" s="799"/>
      <c r="CL1684" s="799"/>
      <c r="CM1684" s="799"/>
      <c r="CN1684" s="799"/>
      <c r="CO1684" s="799"/>
      <c r="CP1684" s="799"/>
      <c r="CQ1684" s="799"/>
      <c r="CR1684" s="799"/>
      <c r="CS1684" s="799"/>
      <c r="CT1684" s="799"/>
      <c r="CU1684" s="799"/>
      <c r="CV1684" s="799"/>
      <c r="CW1684" s="799"/>
      <c r="CX1684" s="799"/>
      <c r="CY1684" s="799"/>
      <c r="CZ1684" s="799"/>
      <c r="DA1684" s="799"/>
      <c r="DB1684" s="799"/>
      <c r="DC1684" s="799"/>
      <c r="DD1684" s="799"/>
      <c r="DE1684" s="799"/>
      <c r="DF1684" s="799"/>
      <c r="DG1684" s="799"/>
      <c r="DH1684" s="799"/>
      <c r="DI1684" s="799"/>
      <c r="DJ1684" s="799"/>
      <c r="DK1684" s="799"/>
      <c r="DL1684" s="799"/>
      <c r="DM1684" s="799"/>
      <c r="DN1684" s="799"/>
      <c r="DO1684" s="799"/>
      <c r="DP1684" s="799"/>
      <c r="DQ1684" s="799"/>
      <c r="DR1684" s="799"/>
      <c r="DS1684" s="799"/>
      <c r="DT1684" s="799"/>
      <c r="DU1684" s="799"/>
      <c r="DV1684" s="799"/>
      <c r="DW1684" s="799"/>
      <c r="DX1684" s="799"/>
      <c r="DY1684" s="799"/>
      <c r="DZ1684" s="799"/>
      <c r="EA1684" s="799"/>
      <c r="EB1684" s="799"/>
      <c r="EC1684" s="799"/>
      <c r="ED1684" s="799"/>
      <c r="EE1684" s="799"/>
      <c r="EF1684" s="799"/>
      <c r="EG1684" s="799"/>
      <c r="EH1684" s="799"/>
      <c r="EI1684" s="799"/>
      <c r="EJ1684" s="799"/>
      <c r="EK1684" s="799"/>
      <c r="EL1684" s="799"/>
      <c r="EM1684" s="799"/>
      <c r="EN1684" s="799"/>
      <c r="EO1684" s="799"/>
      <c r="EP1684" s="799"/>
      <c r="EQ1684" s="799"/>
      <c r="ER1684" s="799"/>
      <c r="ES1684" s="799"/>
      <c r="ET1684" s="799"/>
      <c r="EU1684" s="799"/>
      <c r="EV1684" s="799"/>
      <c r="EW1684" s="799"/>
      <c r="EX1684" s="799"/>
      <c r="EY1684" s="799"/>
      <c r="EZ1684" s="799"/>
      <c r="FA1684" s="799"/>
      <c r="FB1684" s="799"/>
      <c r="FC1684" s="799"/>
      <c r="FD1684" s="799"/>
      <c r="FE1684" s="799"/>
      <c r="FF1684" s="799"/>
      <c r="FG1684" s="799"/>
      <c r="FH1684" s="799"/>
      <c r="FI1684" s="799"/>
      <c r="FJ1684" s="799"/>
      <c r="FK1684" s="799"/>
      <c r="FL1684" s="799"/>
      <c r="FM1684" s="799"/>
      <c r="FN1684" s="799"/>
      <c r="FO1684" s="799"/>
      <c r="FP1684" s="799"/>
      <c r="FQ1684" s="799"/>
      <c r="FR1684" s="799"/>
      <c r="FS1684" s="799"/>
      <c r="FT1684" s="799"/>
      <c r="FU1684" s="799"/>
      <c r="FV1684" s="799"/>
      <c r="FW1684" s="799"/>
      <c r="FX1684" s="799"/>
      <c r="FY1684" s="799"/>
      <c r="FZ1684" s="799"/>
      <c r="GA1684" s="799"/>
      <c r="GB1684" s="799"/>
      <c r="GC1684" s="799"/>
      <c r="GD1684" s="799"/>
      <c r="GE1684" s="799"/>
      <c r="GF1684" s="799"/>
      <c r="GG1684" s="799"/>
      <c r="GH1684" s="799"/>
      <c r="GI1684" s="799"/>
      <c r="GJ1684" s="799"/>
      <c r="GK1684" s="799"/>
      <c r="GL1684" s="799"/>
      <c r="GM1684" s="799"/>
      <c r="GN1684" s="799"/>
      <c r="GO1684" s="799"/>
      <c r="GP1684" s="799"/>
      <c r="GQ1684" s="799"/>
      <c r="GR1684" s="799"/>
      <c r="GS1684" s="799"/>
      <c r="GT1684" s="799"/>
      <c r="GU1684" s="799"/>
      <c r="GV1684" s="799"/>
      <c r="GW1684" s="799"/>
      <c r="GX1684" s="799"/>
      <c r="GY1684" s="799"/>
      <c r="GZ1684" s="799"/>
      <c r="HA1684" s="799"/>
      <c r="HB1684" s="799"/>
      <c r="HC1684" s="799"/>
      <c r="HD1684" s="799"/>
      <c r="HE1684" s="799"/>
      <c r="HF1684" s="799"/>
      <c r="HG1684" s="799"/>
      <c r="HH1684" s="799"/>
      <c r="HI1684" s="799"/>
      <c r="HJ1684" s="799"/>
      <c r="HK1684" s="799"/>
      <c r="HL1684" s="799"/>
      <c r="HM1684" s="799"/>
      <c r="HN1684" s="799"/>
      <c r="HO1684" s="799"/>
      <c r="HP1684" s="799"/>
      <c r="HQ1684" s="799"/>
      <c r="HR1684" s="799"/>
      <c r="HS1684" s="799"/>
      <c r="HT1684" s="799"/>
      <c r="HU1684" s="799"/>
      <c r="HV1684" s="799"/>
      <c r="HW1684" s="799"/>
      <c r="HX1684" s="799"/>
      <c r="HY1684" s="799"/>
      <c r="HZ1684" s="799"/>
      <c r="IA1684" s="799"/>
      <c r="IB1684" s="799"/>
      <c r="IC1684" s="799"/>
      <c r="ID1684" s="799"/>
      <c r="IE1684" s="799"/>
      <c r="IF1684" s="799"/>
      <c r="IG1684" s="799"/>
      <c r="IH1684" s="799"/>
      <c r="II1684" s="799"/>
      <c r="IJ1684" s="799"/>
      <c r="IK1684" s="799"/>
      <c r="IL1684" s="799"/>
      <c r="IM1684" s="799"/>
      <c r="IN1684" s="799"/>
      <c r="IO1684" s="799"/>
      <c r="IP1684" s="799"/>
      <c r="IQ1684" s="799"/>
      <c r="IR1684" s="799"/>
      <c r="IS1684" s="799"/>
      <c r="IT1684" s="799"/>
      <c r="IU1684" s="799"/>
    </row>
    <row r="1685" spans="1:255" customFormat="1" ht="15" hidden="1">
      <c r="A1685" s="840">
        <v>12</v>
      </c>
      <c r="B1685" s="841" t="s">
        <v>580</v>
      </c>
      <c r="C1685" s="335" t="s">
        <v>1568</v>
      </c>
      <c r="D1685" s="486" t="s">
        <v>122</v>
      </c>
      <c r="E1685" s="859"/>
      <c r="F1685" s="384">
        <f>'დეფექტური აქტი'!E394</f>
        <v>0</v>
      </c>
      <c r="G1685" s="859"/>
      <c r="H1685" s="859"/>
      <c r="I1685" s="859"/>
      <c r="J1685" s="859"/>
      <c r="K1685" s="859"/>
      <c r="L1685" s="859"/>
      <c r="M1685" s="859"/>
      <c r="N1685" s="358"/>
    </row>
    <row r="1686" spans="1:255" customFormat="1" ht="16.5" hidden="1" customHeight="1">
      <c r="A1686" s="840"/>
      <c r="B1686" s="840"/>
      <c r="C1686" s="341" t="s">
        <v>581</v>
      </c>
      <c r="D1686" s="336" t="s">
        <v>80</v>
      </c>
      <c r="E1686" s="859">
        <v>9.6000000000000002E-2</v>
      </c>
      <c r="F1686" s="614">
        <f>F1685*E1686</f>
        <v>0</v>
      </c>
      <c r="G1686" s="859"/>
      <c r="H1686" s="859"/>
      <c r="I1686" s="389">
        <v>6</v>
      </c>
      <c r="J1686" s="389">
        <f>F1686*I1686</f>
        <v>0</v>
      </c>
      <c r="K1686" s="389"/>
      <c r="L1686" s="389"/>
      <c r="M1686" s="389">
        <f>H1686+J1686+L1686</f>
        <v>0</v>
      </c>
      <c r="N1686" s="358"/>
    </row>
    <row r="1687" spans="1:255" customFormat="1" ht="15" hidden="1">
      <c r="A1687" s="840"/>
      <c r="B1687" s="840"/>
      <c r="C1687" s="341" t="s">
        <v>582</v>
      </c>
      <c r="D1687" s="336" t="s">
        <v>57</v>
      </c>
      <c r="E1687" s="859">
        <v>4.4999999999999998E-2</v>
      </c>
      <c r="F1687" s="614">
        <f>F1685*E1687</f>
        <v>0</v>
      </c>
      <c r="G1687" s="859"/>
      <c r="H1687" s="859"/>
      <c r="I1687" s="389"/>
      <c r="J1687" s="389"/>
      <c r="K1687" s="389">
        <v>3.2</v>
      </c>
      <c r="L1687" s="389">
        <f>F1687*K1687</f>
        <v>0</v>
      </c>
      <c r="M1687" s="389">
        <f>H1687+J1687+L1687</f>
        <v>0</v>
      </c>
      <c r="N1687" s="358"/>
    </row>
    <row r="1688" spans="1:255" customFormat="1" ht="15" hidden="1">
      <c r="A1688" s="840"/>
      <c r="B1688" s="840"/>
      <c r="C1688" s="341" t="s">
        <v>109</v>
      </c>
      <c r="D1688" s="336"/>
      <c r="E1688" s="859"/>
      <c r="F1688" s="614"/>
      <c r="G1688" s="859"/>
      <c r="H1688" s="859"/>
      <c r="I1688" s="859"/>
      <c r="J1688" s="859"/>
      <c r="K1688" s="859"/>
      <c r="L1688" s="859"/>
      <c r="M1688" s="859"/>
      <c r="N1688" s="358"/>
    </row>
    <row r="1689" spans="1:255" s="359" customFormat="1" hidden="1">
      <c r="A1689" s="840"/>
      <c r="B1689" s="840"/>
      <c r="C1689" s="341" t="s">
        <v>1381</v>
      </c>
      <c r="D1689" s="486" t="s">
        <v>122</v>
      </c>
      <c r="E1689" s="859">
        <v>1.01</v>
      </c>
      <c r="F1689" s="614">
        <f>F1685*E1689</f>
        <v>0</v>
      </c>
      <c r="G1689" s="389">
        <v>1.7</v>
      </c>
      <c r="H1689" s="856">
        <f>F1689*G1689</f>
        <v>0</v>
      </c>
      <c r="I1689" s="856"/>
      <c r="J1689" s="856"/>
      <c r="K1689" s="856"/>
      <c r="L1689" s="856"/>
      <c r="M1689" s="856">
        <f>H1689+J1689+L1689</f>
        <v>0</v>
      </c>
      <c r="N1689" s="358"/>
    </row>
    <row r="1690" spans="1:255" s="359" customFormat="1" ht="15" hidden="1" customHeight="1">
      <c r="A1690" s="842"/>
      <c r="B1690" s="842"/>
      <c r="C1690" s="344" t="s">
        <v>367</v>
      </c>
      <c r="D1690" s="342" t="s">
        <v>57</v>
      </c>
      <c r="E1690" s="860">
        <v>5.9999999999999995E-4</v>
      </c>
      <c r="F1690" s="861">
        <f>F1685*E1690</f>
        <v>0</v>
      </c>
      <c r="G1690" s="857">
        <v>3.2</v>
      </c>
      <c r="H1690" s="857">
        <f>F1690*G1690</f>
        <v>0</v>
      </c>
      <c r="I1690" s="857"/>
      <c r="J1690" s="857"/>
      <c r="K1690" s="857"/>
      <c r="L1690" s="857"/>
      <c r="M1690" s="857">
        <f>H1690+J1690+L1690</f>
        <v>0</v>
      </c>
      <c r="N1690" s="358"/>
    </row>
    <row r="1691" spans="1:255" customFormat="1" ht="15" hidden="1">
      <c r="A1691" s="840">
        <v>13</v>
      </c>
      <c r="B1691" s="841" t="s">
        <v>580</v>
      </c>
      <c r="C1691" s="335" t="s">
        <v>1596</v>
      </c>
      <c r="D1691" s="486" t="s">
        <v>122</v>
      </c>
      <c r="E1691" s="859"/>
      <c r="F1691" s="384">
        <f>'დეფექტური აქტი'!E395</f>
        <v>0</v>
      </c>
      <c r="G1691" s="859"/>
      <c r="H1691" s="859"/>
      <c r="I1691" s="859"/>
      <c r="J1691" s="859"/>
      <c r="K1691" s="859"/>
      <c r="L1691" s="859"/>
      <c r="M1691" s="859"/>
      <c r="N1691" s="358"/>
    </row>
    <row r="1692" spans="1:255" customFormat="1" ht="16.5" hidden="1" customHeight="1">
      <c r="A1692" s="840"/>
      <c r="B1692" s="840"/>
      <c r="C1692" s="341" t="s">
        <v>581</v>
      </c>
      <c r="D1692" s="336" t="s">
        <v>80</v>
      </c>
      <c r="E1692" s="859">
        <v>9.6000000000000002E-2</v>
      </c>
      <c r="F1692" s="614">
        <f>F1691*E1692</f>
        <v>0</v>
      </c>
      <c r="G1692" s="859"/>
      <c r="H1692" s="859"/>
      <c r="I1692" s="389">
        <v>6</v>
      </c>
      <c r="J1692" s="389">
        <f>F1692*I1692</f>
        <v>0</v>
      </c>
      <c r="K1692" s="389"/>
      <c r="L1692" s="389"/>
      <c r="M1692" s="389">
        <f>H1692+J1692+L1692</f>
        <v>0</v>
      </c>
      <c r="N1692" s="358"/>
    </row>
    <row r="1693" spans="1:255" customFormat="1" ht="15" hidden="1">
      <c r="A1693" s="840"/>
      <c r="B1693" s="840"/>
      <c r="C1693" s="341" t="s">
        <v>582</v>
      </c>
      <c r="D1693" s="336" t="s">
        <v>57</v>
      </c>
      <c r="E1693" s="859">
        <v>4.4999999999999998E-2</v>
      </c>
      <c r="F1693" s="614">
        <f>F1691*E1693</f>
        <v>0</v>
      </c>
      <c r="G1693" s="859"/>
      <c r="H1693" s="859"/>
      <c r="I1693" s="389"/>
      <c r="J1693" s="389"/>
      <c r="K1693" s="389">
        <v>3.2</v>
      </c>
      <c r="L1693" s="389">
        <f>F1693*K1693</f>
        <v>0</v>
      </c>
      <c r="M1693" s="389">
        <f>H1693+J1693+L1693</f>
        <v>0</v>
      </c>
      <c r="N1693" s="358"/>
    </row>
    <row r="1694" spans="1:255" customFormat="1" ht="15" hidden="1">
      <c r="A1694" s="840"/>
      <c r="B1694" s="840"/>
      <c r="C1694" s="341" t="s">
        <v>109</v>
      </c>
      <c r="D1694" s="336"/>
      <c r="E1694" s="859"/>
      <c r="F1694" s="614"/>
      <c r="G1694" s="859"/>
      <c r="H1694" s="859"/>
      <c r="I1694" s="859"/>
      <c r="J1694" s="859"/>
      <c r="K1694" s="859"/>
      <c r="L1694" s="859"/>
      <c r="M1694" s="859"/>
      <c r="N1694" s="358"/>
    </row>
    <row r="1695" spans="1:255" s="359" customFormat="1" hidden="1">
      <c r="A1695" s="840"/>
      <c r="B1695" s="840"/>
      <c r="C1695" s="341" t="s">
        <v>760</v>
      </c>
      <c r="D1695" s="486" t="s">
        <v>122</v>
      </c>
      <c r="E1695" s="859">
        <v>1.01</v>
      </c>
      <c r="F1695" s="614">
        <f>F1691*E1695</f>
        <v>0</v>
      </c>
      <c r="G1695" s="389">
        <v>5.9</v>
      </c>
      <c r="H1695" s="856">
        <f>F1695*G1695</f>
        <v>0</v>
      </c>
      <c r="I1695" s="856"/>
      <c r="J1695" s="856"/>
      <c r="K1695" s="856"/>
      <c r="L1695" s="856"/>
      <c r="M1695" s="856">
        <f>H1695+J1695+L1695</f>
        <v>0</v>
      </c>
      <c r="N1695" s="358"/>
    </row>
    <row r="1696" spans="1:255" s="359" customFormat="1" ht="15" hidden="1" customHeight="1">
      <c r="A1696" s="842"/>
      <c r="B1696" s="842"/>
      <c r="C1696" s="344" t="s">
        <v>367</v>
      </c>
      <c r="D1696" s="342" t="s">
        <v>57</v>
      </c>
      <c r="E1696" s="860">
        <v>5.9999999999999995E-4</v>
      </c>
      <c r="F1696" s="861">
        <f>F1691*E1696</f>
        <v>0</v>
      </c>
      <c r="G1696" s="857">
        <v>3.2</v>
      </c>
      <c r="H1696" s="857">
        <f>F1696*G1696</f>
        <v>0</v>
      </c>
      <c r="I1696" s="857"/>
      <c r="J1696" s="857"/>
      <c r="K1696" s="857"/>
      <c r="L1696" s="857"/>
      <c r="M1696" s="857">
        <f>H1696+J1696+L1696</f>
        <v>0</v>
      </c>
      <c r="N1696" s="358"/>
    </row>
    <row r="1697" spans="1:255" s="808" customFormat="1" ht="54" hidden="1">
      <c r="A1697" s="330">
        <v>14</v>
      </c>
      <c r="B1697" s="1087" t="s">
        <v>1529</v>
      </c>
      <c r="C1697" s="357" t="s">
        <v>1347</v>
      </c>
      <c r="D1697" s="788" t="s">
        <v>88</v>
      </c>
      <c r="E1697" s="389"/>
      <c r="F1697" s="384">
        <f>'დეფექტური აქტი'!E396</f>
        <v>0</v>
      </c>
      <c r="G1697" s="389"/>
      <c r="H1697" s="389"/>
      <c r="I1697" s="542"/>
      <c r="J1697" s="389"/>
      <c r="K1697" s="389"/>
      <c r="L1697" s="389"/>
      <c r="M1697" s="389"/>
      <c r="N1697" s="805"/>
      <c r="O1697" s="806"/>
      <c r="P1697" s="806"/>
      <c r="Q1697" s="806"/>
      <c r="R1697" s="806"/>
      <c r="S1697" s="806"/>
      <c r="T1697" s="806"/>
      <c r="U1697" s="806"/>
      <c r="V1697" s="806"/>
      <c r="W1697" s="806"/>
      <c r="X1697" s="806"/>
      <c r="Y1697" s="806"/>
      <c r="Z1697" s="806"/>
      <c r="AA1697" s="806"/>
      <c r="AB1697" s="806"/>
      <c r="AC1697" s="806"/>
      <c r="AD1697" s="806"/>
      <c r="AE1697" s="806"/>
      <c r="AF1697" s="806"/>
      <c r="AG1697" s="806"/>
      <c r="AH1697" s="806"/>
      <c r="AI1697" s="806"/>
      <c r="AJ1697" s="806"/>
      <c r="AK1697" s="806"/>
      <c r="AL1697" s="806"/>
      <c r="AM1697" s="806"/>
      <c r="AN1697" s="806"/>
      <c r="AO1697" s="806"/>
      <c r="AP1697" s="806"/>
      <c r="AQ1697" s="806"/>
      <c r="AR1697" s="806"/>
      <c r="AS1697" s="806"/>
      <c r="AT1697" s="806"/>
      <c r="AU1697" s="806"/>
      <c r="AV1697" s="806"/>
      <c r="AW1697" s="806"/>
      <c r="AX1697" s="806"/>
      <c r="AY1697" s="806"/>
      <c r="AZ1697" s="806"/>
      <c r="BA1697" s="806"/>
      <c r="BB1697" s="806"/>
      <c r="BC1697" s="806"/>
      <c r="BD1697" s="806"/>
      <c r="BE1697" s="806"/>
      <c r="BF1697" s="806"/>
      <c r="BG1697" s="806"/>
      <c r="BH1697" s="806"/>
      <c r="BI1697" s="806"/>
      <c r="BJ1697" s="806"/>
      <c r="BK1697" s="806"/>
      <c r="BL1697" s="806"/>
      <c r="BM1697" s="806"/>
      <c r="BN1697" s="806"/>
      <c r="BO1697" s="806"/>
      <c r="BP1697" s="806"/>
      <c r="BQ1697" s="806"/>
      <c r="BR1697" s="806"/>
      <c r="BS1697" s="806"/>
      <c r="BT1697" s="806"/>
      <c r="BU1697" s="806"/>
      <c r="BV1697" s="806"/>
      <c r="BW1697" s="806"/>
      <c r="BX1697" s="806"/>
      <c r="BY1697" s="806"/>
      <c r="BZ1697" s="807"/>
    </row>
    <row r="1698" spans="1:255" s="808" customFormat="1" ht="14.25" hidden="1" customHeight="1">
      <c r="A1698" s="330"/>
      <c r="B1698" s="540"/>
      <c r="C1698" s="809" t="s">
        <v>128</v>
      </c>
      <c r="D1698" s="486" t="s">
        <v>80</v>
      </c>
      <c r="E1698" s="1086">
        <v>10.6</v>
      </c>
      <c r="F1698" s="614">
        <f>F1697*E1698</f>
        <v>0</v>
      </c>
      <c r="G1698" s="389"/>
      <c r="H1698" s="389"/>
      <c r="I1698" s="389">
        <v>4.5999999999999996</v>
      </c>
      <c r="J1698" s="389">
        <f>F1698*I1698</f>
        <v>0</v>
      </c>
      <c r="K1698" s="389"/>
      <c r="L1698" s="389"/>
      <c r="M1698" s="389">
        <f>H1698+J1698+L1698</f>
        <v>0</v>
      </c>
      <c r="N1698" s="805"/>
      <c r="O1698" s="806"/>
      <c r="P1698" s="806"/>
      <c r="Q1698" s="806"/>
      <c r="R1698" s="806"/>
      <c r="S1698" s="806"/>
      <c r="T1698" s="806"/>
      <c r="U1698" s="806"/>
      <c r="V1698" s="806"/>
      <c r="W1698" s="806"/>
      <c r="X1698" s="806"/>
      <c r="Y1698" s="806"/>
      <c r="Z1698" s="806"/>
      <c r="AA1698" s="806"/>
      <c r="AB1698" s="806"/>
      <c r="AC1698" s="806"/>
      <c r="AD1698" s="806"/>
      <c r="AE1698" s="806"/>
      <c r="AF1698" s="806"/>
      <c r="AG1698" s="806"/>
      <c r="AH1698" s="806"/>
      <c r="AI1698" s="806"/>
      <c r="AJ1698" s="806"/>
      <c r="AK1698" s="806"/>
      <c r="AL1698" s="806"/>
      <c r="AM1698" s="806"/>
      <c r="AN1698" s="806"/>
      <c r="AO1698" s="806"/>
      <c r="AP1698" s="806"/>
      <c r="AQ1698" s="806"/>
      <c r="AR1698" s="806"/>
      <c r="AS1698" s="806"/>
      <c r="AT1698" s="806"/>
      <c r="AU1698" s="806"/>
      <c r="AV1698" s="806"/>
      <c r="AW1698" s="806"/>
      <c r="AX1698" s="806"/>
      <c r="AY1698" s="806"/>
      <c r="AZ1698" s="806"/>
      <c r="BA1698" s="806"/>
      <c r="BB1698" s="806"/>
      <c r="BC1698" s="806"/>
      <c r="BD1698" s="806"/>
      <c r="BE1698" s="806"/>
      <c r="BF1698" s="806"/>
      <c r="BG1698" s="806"/>
      <c r="BH1698" s="806"/>
      <c r="BI1698" s="806"/>
      <c r="BJ1698" s="806"/>
      <c r="BK1698" s="806"/>
      <c r="BL1698" s="806"/>
      <c r="BM1698" s="806"/>
      <c r="BN1698" s="806"/>
      <c r="BO1698" s="806"/>
      <c r="BP1698" s="806"/>
      <c r="BQ1698" s="806"/>
      <c r="BR1698" s="806"/>
      <c r="BS1698" s="806"/>
      <c r="BT1698" s="806"/>
      <c r="BU1698" s="806"/>
      <c r="BV1698" s="806"/>
      <c r="BW1698" s="806"/>
      <c r="BX1698" s="806"/>
      <c r="BY1698" s="806"/>
      <c r="BZ1698" s="807"/>
    </row>
    <row r="1699" spans="1:255" s="808" customFormat="1" ht="14.25" hidden="1" customHeight="1">
      <c r="A1699" s="330"/>
      <c r="B1699" s="810"/>
      <c r="C1699" s="809" t="s">
        <v>181</v>
      </c>
      <c r="D1699" s="788" t="s">
        <v>57</v>
      </c>
      <c r="E1699" s="614">
        <v>7.14</v>
      </c>
      <c r="F1699" s="614">
        <f>F1697*E1699</f>
        <v>0</v>
      </c>
      <c r="G1699" s="862"/>
      <c r="H1699" s="862"/>
      <c r="I1699" s="542"/>
      <c r="J1699" s="389"/>
      <c r="K1699" s="389">
        <v>3.2</v>
      </c>
      <c r="L1699" s="389">
        <f>F1699*K1699</f>
        <v>0</v>
      </c>
      <c r="M1699" s="389">
        <f>H1699+J1699+L1699</f>
        <v>0</v>
      </c>
      <c r="N1699" s="805"/>
      <c r="O1699" s="806"/>
      <c r="P1699" s="806"/>
      <c r="Q1699" s="806"/>
      <c r="R1699" s="806"/>
      <c r="S1699" s="806"/>
      <c r="T1699" s="806"/>
      <c r="U1699" s="806"/>
      <c r="V1699" s="806"/>
      <c r="W1699" s="806"/>
      <c r="X1699" s="806"/>
      <c r="Y1699" s="806"/>
      <c r="Z1699" s="806"/>
      <c r="AA1699" s="806"/>
      <c r="AB1699" s="806"/>
      <c r="AC1699" s="806"/>
      <c r="AD1699" s="806"/>
      <c r="AE1699" s="806"/>
      <c r="AF1699" s="806"/>
      <c r="AG1699" s="806"/>
      <c r="AH1699" s="806"/>
      <c r="AI1699" s="806"/>
      <c r="AJ1699" s="806"/>
      <c r="AK1699" s="806"/>
      <c r="AL1699" s="806"/>
      <c r="AM1699" s="806"/>
      <c r="AN1699" s="806"/>
      <c r="AO1699" s="806"/>
      <c r="AP1699" s="806"/>
      <c r="AQ1699" s="806"/>
      <c r="AR1699" s="806"/>
      <c r="AS1699" s="806"/>
      <c r="AT1699" s="806"/>
      <c r="AU1699" s="806"/>
      <c r="AV1699" s="806"/>
      <c r="AW1699" s="806"/>
      <c r="AX1699" s="806"/>
      <c r="AY1699" s="806"/>
      <c r="AZ1699" s="806"/>
      <c r="BA1699" s="806"/>
      <c r="BB1699" s="806"/>
      <c r="BC1699" s="806"/>
      <c r="BD1699" s="806"/>
      <c r="BE1699" s="806"/>
      <c r="BF1699" s="806"/>
      <c r="BG1699" s="806"/>
      <c r="BH1699" s="806"/>
      <c r="BI1699" s="806"/>
      <c r="BJ1699" s="806"/>
      <c r="BK1699" s="806"/>
      <c r="BL1699" s="806"/>
      <c r="BM1699" s="806"/>
      <c r="BN1699" s="806"/>
      <c r="BO1699" s="806"/>
      <c r="BP1699" s="806"/>
      <c r="BQ1699" s="806"/>
      <c r="BR1699" s="806"/>
      <c r="BS1699" s="806"/>
      <c r="BT1699" s="806"/>
      <c r="BU1699" s="806"/>
      <c r="BV1699" s="806"/>
      <c r="BW1699" s="806"/>
      <c r="BX1699" s="806"/>
      <c r="BY1699" s="806"/>
      <c r="BZ1699" s="807"/>
    </row>
    <row r="1700" spans="1:255" s="808" customFormat="1" ht="14.25" hidden="1" customHeight="1">
      <c r="A1700" s="330"/>
      <c r="B1700" s="810"/>
      <c r="C1700" s="809" t="s">
        <v>210</v>
      </c>
      <c r="D1700" s="788"/>
      <c r="E1700" s="614"/>
      <c r="F1700" s="614"/>
      <c r="G1700" s="389"/>
      <c r="H1700" s="389"/>
      <c r="I1700" s="542"/>
      <c r="J1700" s="389"/>
      <c r="K1700" s="389"/>
      <c r="L1700" s="389"/>
      <c r="M1700" s="389"/>
      <c r="N1700" s="805"/>
      <c r="O1700" s="806"/>
      <c r="P1700" s="806"/>
      <c r="Q1700" s="806"/>
      <c r="R1700" s="806"/>
      <c r="S1700" s="806"/>
      <c r="T1700" s="806"/>
      <c r="U1700" s="806"/>
      <c r="V1700" s="806"/>
      <c r="W1700" s="806"/>
      <c r="X1700" s="806"/>
      <c r="Y1700" s="806"/>
      <c r="Z1700" s="806"/>
      <c r="AA1700" s="806"/>
      <c r="AB1700" s="806"/>
      <c r="AC1700" s="806"/>
      <c r="AD1700" s="806"/>
      <c r="AE1700" s="806"/>
      <c r="AF1700" s="806"/>
      <c r="AG1700" s="806"/>
      <c r="AH1700" s="806"/>
      <c r="AI1700" s="806"/>
      <c r="AJ1700" s="806"/>
      <c r="AK1700" s="806"/>
      <c r="AL1700" s="806"/>
      <c r="AM1700" s="806"/>
      <c r="AN1700" s="806"/>
      <c r="AO1700" s="806"/>
      <c r="AP1700" s="806"/>
      <c r="AQ1700" s="806"/>
      <c r="AR1700" s="806"/>
      <c r="AS1700" s="806"/>
      <c r="AT1700" s="806"/>
      <c r="AU1700" s="806"/>
      <c r="AV1700" s="806"/>
      <c r="AW1700" s="806"/>
      <c r="AX1700" s="806"/>
      <c r="AY1700" s="806"/>
      <c r="AZ1700" s="806"/>
      <c r="BA1700" s="806"/>
      <c r="BB1700" s="806"/>
      <c r="BC1700" s="806"/>
      <c r="BD1700" s="806"/>
      <c r="BE1700" s="806"/>
      <c r="BF1700" s="806"/>
      <c r="BG1700" s="806"/>
      <c r="BH1700" s="806"/>
      <c r="BI1700" s="806"/>
      <c r="BJ1700" s="806"/>
      <c r="BK1700" s="806"/>
      <c r="BL1700" s="806"/>
      <c r="BM1700" s="806"/>
      <c r="BN1700" s="806"/>
      <c r="BO1700" s="806"/>
      <c r="BP1700" s="806"/>
      <c r="BQ1700" s="806"/>
      <c r="BR1700" s="806"/>
      <c r="BS1700" s="806"/>
      <c r="BT1700" s="806"/>
      <c r="BU1700" s="806"/>
      <c r="BV1700" s="806"/>
      <c r="BW1700" s="806"/>
      <c r="BX1700" s="806"/>
      <c r="BY1700" s="806"/>
      <c r="BZ1700" s="807"/>
    </row>
    <row r="1701" spans="1:255" s="808" customFormat="1" ht="14.25" hidden="1" customHeight="1">
      <c r="A1701" s="330"/>
      <c r="B1701" s="336"/>
      <c r="C1701" s="335" t="s">
        <v>1564</v>
      </c>
      <c r="D1701" s="486" t="s">
        <v>876</v>
      </c>
      <c r="E1701" s="544">
        <v>1.1200000000000001</v>
      </c>
      <c r="F1701" s="614">
        <f>F1697*E1701</f>
        <v>0</v>
      </c>
      <c r="G1701" s="511">
        <v>92</v>
      </c>
      <c r="H1701" s="389">
        <f t="shared" ref="H1701:H1707" si="29">F1701*G1701</f>
        <v>0</v>
      </c>
      <c r="I1701" s="389"/>
      <c r="J1701" s="389"/>
      <c r="K1701" s="389"/>
      <c r="L1701" s="389"/>
      <c r="M1701" s="389">
        <f t="shared" ref="M1701:M1707" si="30">H1701+J1701+L1701</f>
        <v>0</v>
      </c>
      <c r="N1701" s="805"/>
      <c r="O1701" s="806"/>
      <c r="P1701" s="806"/>
      <c r="Q1701" s="806"/>
      <c r="R1701" s="806"/>
      <c r="S1701" s="806"/>
      <c r="T1701" s="806"/>
      <c r="U1701" s="806"/>
      <c r="V1701" s="806"/>
      <c r="W1701" s="806"/>
      <c r="X1701" s="806"/>
      <c r="Y1701" s="806"/>
      <c r="Z1701" s="806"/>
      <c r="AA1701" s="806"/>
      <c r="AB1701" s="806"/>
      <c r="AC1701" s="806"/>
      <c r="AD1701" s="806"/>
      <c r="AE1701" s="806"/>
      <c r="AF1701" s="806"/>
      <c r="AG1701" s="806"/>
      <c r="AH1701" s="806"/>
      <c r="AI1701" s="806"/>
      <c r="AJ1701" s="806"/>
      <c r="AK1701" s="806"/>
      <c r="AL1701" s="806"/>
      <c r="AM1701" s="806"/>
      <c r="AN1701" s="806"/>
      <c r="AO1701" s="806"/>
      <c r="AP1701" s="806"/>
      <c r="AQ1701" s="806"/>
      <c r="AR1701" s="806"/>
      <c r="AS1701" s="806"/>
      <c r="AT1701" s="806"/>
      <c r="AU1701" s="806"/>
      <c r="AV1701" s="806"/>
      <c r="AW1701" s="806"/>
      <c r="AX1701" s="806"/>
      <c r="AY1701" s="806"/>
      <c r="AZ1701" s="806"/>
      <c r="BA1701" s="806"/>
      <c r="BB1701" s="806"/>
      <c r="BC1701" s="806"/>
      <c r="BD1701" s="806"/>
      <c r="BE1701" s="806"/>
      <c r="BF1701" s="806"/>
      <c r="BG1701" s="806"/>
      <c r="BH1701" s="806"/>
      <c r="BI1701" s="806"/>
      <c r="BJ1701" s="806"/>
      <c r="BK1701" s="806"/>
      <c r="BL1701" s="806"/>
      <c r="BM1701" s="806"/>
      <c r="BN1701" s="806"/>
      <c r="BO1701" s="806"/>
      <c r="BP1701" s="806"/>
      <c r="BQ1701" s="806"/>
      <c r="BR1701" s="806"/>
      <c r="BS1701" s="806"/>
      <c r="BT1701" s="806"/>
      <c r="BU1701" s="806"/>
      <c r="BV1701" s="806"/>
      <c r="BW1701" s="806"/>
      <c r="BX1701" s="806"/>
      <c r="BY1701" s="806"/>
      <c r="BZ1701" s="807"/>
    </row>
    <row r="1702" spans="1:255" s="808" customFormat="1" ht="14.25" hidden="1" customHeight="1">
      <c r="A1702" s="330"/>
      <c r="B1702" s="336"/>
      <c r="C1702" s="809" t="s">
        <v>1350</v>
      </c>
      <c r="D1702" s="336" t="s">
        <v>1341</v>
      </c>
      <c r="E1702" s="614">
        <v>0.24</v>
      </c>
      <c r="F1702" s="614">
        <f>F1697*E1702</f>
        <v>0</v>
      </c>
      <c r="G1702" s="511">
        <v>68</v>
      </c>
      <c r="H1702" s="389">
        <f t="shared" si="29"/>
        <v>0</v>
      </c>
      <c r="I1702" s="389"/>
      <c r="J1702" s="389"/>
      <c r="K1702" s="389"/>
      <c r="L1702" s="389"/>
      <c r="M1702" s="389">
        <f t="shared" si="30"/>
        <v>0</v>
      </c>
      <c r="N1702" s="805"/>
      <c r="O1702" s="806"/>
      <c r="P1702" s="806"/>
      <c r="Q1702" s="806"/>
      <c r="R1702" s="806"/>
      <c r="S1702" s="806"/>
      <c r="T1702" s="806"/>
      <c r="U1702" s="806"/>
      <c r="V1702" s="806"/>
      <c r="W1702" s="806"/>
      <c r="X1702" s="806"/>
      <c r="Y1702" s="806"/>
      <c r="Z1702" s="806"/>
      <c r="AA1702" s="806"/>
      <c r="AB1702" s="806"/>
      <c r="AC1702" s="806"/>
      <c r="AD1702" s="806"/>
      <c r="AE1702" s="806"/>
      <c r="AF1702" s="806"/>
      <c r="AG1702" s="806"/>
      <c r="AH1702" s="806"/>
      <c r="AI1702" s="806"/>
      <c r="AJ1702" s="806"/>
      <c r="AK1702" s="806"/>
      <c r="AL1702" s="806"/>
      <c r="AM1702" s="806"/>
      <c r="AN1702" s="806"/>
      <c r="AO1702" s="806"/>
      <c r="AP1702" s="806"/>
      <c r="AQ1702" s="806"/>
      <c r="AR1702" s="806"/>
      <c r="AS1702" s="806"/>
      <c r="AT1702" s="806"/>
      <c r="AU1702" s="806"/>
      <c r="AV1702" s="806"/>
      <c r="AW1702" s="806"/>
      <c r="AX1702" s="806"/>
      <c r="AY1702" s="806"/>
      <c r="AZ1702" s="806"/>
      <c r="BA1702" s="806"/>
      <c r="BB1702" s="806"/>
      <c r="BC1702" s="806"/>
      <c r="BD1702" s="806"/>
      <c r="BE1702" s="806"/>
      <c r="BF1702" s="806"/>
      <c r="BG1702" s="806"/>
      <c r="BH1702" s="806"/>
      <c r="BI1702" s="806"/>
      <c r="BJ1702" s="806"/>
      <c r="BK1702" s="806"/>
      <c r="BL1702" s="806"/>
      <c r="BM1702" s="806"/>
      <c r="BN1702" s="806"/>
      <c r="BO1702" s="806"/>
      <c r="BP1702" s="806"/>
      <c r="BQ1702" s="806"/>
      <c r="BR1702" s="806"/>
      <c r="BS1702" s="806"/>
      <c r="BT1702" s="806"/>
      <c r="BU1702" s="806"/>
      <c r="BV1702" s="806"/>
      <c r="BW1702" s="806"/>
      <c r="BX1702" s="806"/>
      <c r="BY1702" s="806"/>
      <c r="BZ1702" s="807"/>
    </row>
    <row r="1703" spans="1:255" s="808" customFormat="1" ht="22.5" hidden="1" customHeight="1">
      <c r="A1703" s="330"/>
      <c r="B1703" s="336"/>
      <c r="C1703" s="809" t="s">
        <v>1342</v>
      </c>
      <c r="D1703" s="788" t="s">
        <v>88</v>
      </c>
      <c r="E1703" s="389">
        <v>0.41</v>
      </c>
      <c r="F1703" s="389">
        <f>F1697*E1703</f>
        <v>0</v>
      </c>
      <c r="G1703" s="389">
        <v>300</v>
      </c>
      <c r="H1703" s="389">
        <f t="shared" si="29"/>
        <v>0</v>
      </c>
      <c r="I1703" s="389"/>
      <c r="J1703" s="389"/>
      <c r="K1703" s="389"/>
      <c r="L1703" s="389"/>
      <c r="M1703" s="389">
        <f t="shared" si="30"/>
        <v>0</v>
      </c>
      <c r="N1703" s="805"/>
      <c r="O1703" s="806"/>
      <c r="P1703" s="806"/>
      <c r="Q1703" s="806"/>
      <c r="R1703" s="806"/>
      <c r="S1703" s="806"/>
      <c r="T1703" s="806"/>
      <c r="U1703" s="806"/>
      <c r="V1703" s="806"/>
      <c r="W1703" s="806"/>
      <c r="X1703" s="806"/>
      <c r="Y1703" s="806"/>
      <c r="Z1703" s="806"/>
      <c r="AA1703" s="806"/>
      <c r="AB1703" s="806"/>
      <c r="AC1703" s="806"/>
      <c r="AD1703" s="806"/>
      <c r="AE1703" s="806"/>
      <c r="AF1703" s="806"/>
      <c r="AG1703" s="806"/>
      <c r="AH1703" s="806"/>
      <c r="AI1703" s="806"/>
      <c r="AJ1703" s="806"/>
      <c r="AK1703" s="806"/>
      <c r="AL1703" s="806"/>
      <c r="AM1703" s="806"/>
      <c r="AN1703" s="806"/>
      <c r="AO1703" s="806"/>
      <c r="AP1703" s="806"/>
      <c r="AQ1703" s="806"/>
      <c r="AR1703" s="806"/>
      <c r="AS1703" s="806"/>
      <c r="AT1703" s="806"/>
      <c r="AU1703" s="806"/>
      <c r="AV1703" s="806"/>
      <c r="AW1703" s="806"/>
      <c r="AX1703" s="806"/>
      <c r="AY1703" s="806"/>
      <c r="AZ1703" s="806"/>
      <c r="BA1703" s="806"/>
      <c r="BB1703" s="806"/>
      <c r="BC1703" s="806"/>
      <c r="BD1703" s="806"/>
      <c r="BE1703" s="806"/>
      <c r="BF1703" s="806"/>
      <c r="BG1703" s="806"/>
      <c r="BH1703" s="806"/>
      <c r="BI1703" s="806"/>
      <c r="BJ1703" s="806"/>
      <c r="BK1703" s="806"/>
      <c r="BL1703" s="806"/>
      <c r="BM1703" s="806"/>
      <c r="BN1703" s="806"/>
      <c r="BO1703" s="806"/>
      <c r="BP1703" s="806"/>
      <c r="BQ1703" s="806"/>
      <c r="BR1703" s="806"/>
      <c r="BS1703" s="806"/>
      <c r="BT1703" s="806"/>
      <c r="BU1703" s="806"/>
      <c r="BV1703" s="806"/>
      <c r="BW1703" s="806"/>
      <c r="BX1703" s="806"/>
      <c r="BY1703" s="806"/>
      <c r="BZ1703" s="807"/>
    </row>
    <row r="1704" spans="1:255" s="808" customFormat="1" ht="17.25" hidden="1" customHeight="1">
      <c r="A1704" s="330"/>
      <c r="B1704" s="336"/>
      <c r="C1704" s="809" t="s">
        <v>300</v>
      </c>
      <c r="D1704" s="788" t="s">
        <v>88</v>
      </c>
      <c r="E1704" s="389">
        <v>0.157</v>
      </c>
      <c r="F1704" s="389">
        <f>F1697*E1704</f>
        <v>0</v>
      </c>
      <c r="G1704" s="389">
        <v>99</v>
      </c>
      <c r="H1704" s="389">
        <f>F1704*G1704</f>
        <v>0</v>
      </c>
      <c r="I1704" s="389"/>
      <c r="J1704" s="389"/>
      <c r="K1704" s="389"/>
      <c r="L1704" s="389"/>
      <c r="M1704" s="389">
        <f>H1704+J1704+L1704</f>
        <v>0</v>
      </c>
      <c r="N1704" s="805"/>
      <c r="O1704" s="806"/>
      <c r="P1704" s="806"/>
      <c r="Q1704" s="806"/>
      <c r="R1704" s="806"/>
      <c r="S1704" s="806"/>
      <c r="T1704" s="806"/>
      <c r="U1704" s="806"/>
      <c r="V1704" s="806"/>
      <c r="W1704" s="806"/>
      <c r="X1704" s="806"/>
      <c r="Y1704" s="806"/>
      <c r="Z1704" s="806"/>
      <c r="AA1704" s="806"/>
      <c r="AB1704" s="806"/>
      <c r="AC1704" s="806"/>
      <c r="AD1704" s="806"/>
      <c r="AE1704" s="806"/>
      <c r="AF1704" s="806"/>
      <c r="AG1704" s="806"/>
      <c r="AH1704" s="806"/>
      <c r="AI1704" s="806"/>
      <c r="AJ1704" s="806"/>
      <c r="AK1704" s="806"/>
      <c r="AL1704" s="806"/>
      <c r="AM1704" s="806"/>
      <c r="AN1704" s="806"/>
      <c r="AO1704" s="806"/>
      <c r="AP1704" s="806"/>
      <c r="AQ1704" s="806"/>
      <c r="AR1704" s="806"/>
      <c r="AS1704" s="806"/>
      <c r="AT1704" s="806"/>
      <c r="AU1704" s="806"/>
      <c r="AV1704" s="806"/>
      <c r="AW1704" s="806"/>
      <c r="AX1704" s="806"/>
      <c r="AY1704" s="806"/>
      <c r="AZ1704" s="806"/>
      <c r="BA1704" s="806"/>
      <c r="BB1704" s="806"/>
      <c r="BC1704" s="806"/>
      <c r="BD1704" s="806"/>
      <c r="BE1704" s="806"/>
      <c r="BF1704" s="806"/>
      <c r="BG1704" s="806"/>
      <c r="BH1704" s="806"/>
      <c r="BI1704" s="806"/>
      <c r="BJ1704" s="806"/>
      <c r="BK1704" s="806"/>
      <c r="BL1704" s="806"/>
      <c r="BM1704" s="806"/>
      <c r="BN1704" s="806"/>
      <c r="BO1704" s="806"/>
      <c r="BP1704" s="806"/>
      <c r="BQ1704" s="806"/>
      <c r="BR1704" s="806"/>
      <c r="BS1704" s="806"/>
      <c r="BT1704" s="806"/>
      <c r="BU1704" s="806"/>
      <c r="BV1704" s="806"/>
      <c r="BW1704" s="806"/>
      <c r="BX1704" s="806"/>
      <c r="BY1704" s="806"/>
      <c r="BZ1704" s="807"/>
    </row>
    <row r="1705" spans="1:255" s="808" customFormat="1" ht="16.5" hidden="1" customHeight="1">
      <c r="A1705" s="330"/>
      <c r="B1705" s="336"/>
      <c r="C1705" s="809" t="s">
        <v>1343</v>
      </c>
      <c r="D1705" s="788" t="s">
        <v>97</v>
      </c>
      <c r="E1705" s="614">
        <v>61</v>
      </c>
      <c r="F1705" s="614">
        <f>F1697*E1705</f>
        <v>0</v>
      </c>
      <c r="G1705" s="1075">
        <v>1.0189999999999999</v>
      </c>
      <c r="H1705" s="389">
        <f t="shared" si="29"/>
        <v>0</v>
      </c>
      <c r="I1705" s="389"/>
      <c r="J1705" s="389"/>
      <c r="K1705" s="389"/>
      <c r="L1705" s="389"/>
      <c r="M1705" s="389">
        <f t="shared" si="30"/>
        <v>0</v>
      </c>
      <c r="N1705" s="805"/>
      <c r="O1705" s="806"/>
      <c r="P1705" s="806"/>
      <c r="Q1705" s="806"/>
      <c r="R1705" s="806"/>
      <c r="S1705" s="806"/>
      <c r="T1705" s="806"/>
      <c r="U1705" s="806"/>
      <c r="V1705" s="806"/>
      <c r="W1705" s="806"/>
      <c r="X1705" s="806"/>
      <c r="Y1705" s="806"/>
      <c r="Z1705" s="806"/>
      <c r="AA1705" s="806"/>
      <c r="AB1705" s="806"/>
      <c r="AC1705" s="806"/>
      <c r="AD1705" s="806"/>
      <c r="AE1705" s="806"/>
      <c r="AF1705" s="806"/>
      <c r="AG1705" s="806"/>
      <c r="AH1705" s="806"/>
      <c r="AI1705" s="806"/>
      <c r="AJ1705" s="806"/>
      <c r="AK1705" s="806"/>
      <c r="AL1705" s="806"/>
      <c r="AM1705" s="806"/>
      <c r="AN1705" s="806"/>
      <c r="AO1705" s="806"/>
      <c r="AP1705" s="806"/>
      <c r="AQ1705" s="806"/>
      <c r="AR1705" s="806"/>
      <c r="AS1705" s="806"/>
      <c r="AT1705" s="806"/>
      <c r="AU1705" s="806"/>
      <c r="AV1705" s="806"/>
      <c r="AW1705" s="806"/>
      <c r="AX1705" s="806"/>
      <c r="AY1705" s="806"/>
      <c r="AZ1705" s="806"/>
      <c r="BA1705" s="806"/>
      <c r="BB1705" s="806"/>
      <c r="BC1705" s="806"/>
      <c r="BD1705" s="806"/>
      <c r="BE1705" s="806"/>
      <c r="BF1705" s="806"/>
      <c r="BG1705" s="806"/>
      <c r="BH1705" s="806"/>
      <c r="BI1705" s="806"/>
      <c r="BJ1705" s="806"/>
      <c r="BK1705" s="806"/>
      <c r="BL1705" s="806"/>
      <c r="BM1705" s="806"/>
      <c r="BN1705" s="806"/>
      <c r="BO1705" s="806"/>
      <c r="BP1705" s="806"/>
      <c r="BQ1705" s="806"/>
      <c r="BR1705" s="806"/>
      <c r="BS1705" s="806"/>
      <c r="BT1705" s="806"/>
      <c r="BU1705" s="806"/>
      <c r="BV1705" s="806"/>
      <c r="BW1705" s="806"/>
      <c r="BX1705" s="806"/>
      <c r="BY1705" s="806"/>
      <c r="BZ1705" s="807"/>
    </row>
    <row r="1706" spans="1:255" s="808" customFormat="1" ht="14.25" hidden="1" customHeight="1">
      <c r="A1706" s="330"/>
      <c r="B1706" s="810"/>
      <c r="C1706" s="335" t="s">
        <v>1345</v>
      </c>
      <c r="D1706" s="788" t="s">
        <v>816</v>
      </c>
      <c r="E1706" s="614"/>
      <c r="F1706" s="388">
        <f>'დეფექტური აქტი'!E396</f>
        <v>0</v>
      </c>
      <c r="G1706" s="511">
        <v>316</v>
      </c>
      <c r="H1706" s="389">
        <f t="shared" si="29"/>
        <v>0</v>
      </c>
      <c r="I1706" s="389"/>
      <c r="J1706" s="389"/>
      <c r="K1706" s="389"/>
      <c r="L1706" s="389"/>
      <c r="M1706" s="389">
        <f t="shared" si="30"/>
        <v>0</v>
      </c>
      <c r="N1706" s="805"/>
      <c r="O1706" s="806"/>
      <c r="P1706" s="806"/>
      <c r="Q1706" s="806"/>
      <c r="R1706" s="806"/>
      <c r="S1706" s="806"/>
      <c r="T1706" s="806"/>
      <c r="U1706" s="806"/>
      <c r="V1706" s="806"/>
      <c r="W1706" s="806"/>
      <c r="X1706" s="806"/>
      <c r="Y1706" s="806"/>
      <c r="Z1706" s="806"/>
      <c r="AA1706" s="806"/>
      <c r="AB1706" s="806"/>
      <c r="AC1706" s="806"/>
      <c r="AD1706" s="806"/>
      <c r="AE1706" s="806"/>
      <c r="AF1706" s="806"/>
      <c r="AG1706" s="806"/>
      <c r="AH1706" s="806"/>
      <c r="AI1706" s="806"/>
      <c r="AJ1706" s="806"/>
      <c r="AK1706" s="806"/>
      <c r="AL1706" s="806"/>
      <c r="AM1706" s="806"/>
      <c r="AN1706" s="806"/>
      <c r="AO1706" s="806"/>
      <c r="AP1706" s="806"/>
      <c r="AQ1706" s="806"/>
      <c r="AR1706" s="806"/>
      <c r="AS1706" s="806"/>
      <c r="AT1706" s="806"/>
      <c r="AU1706" s="806"/>
      <c r="AV1706" s="806"/>
      <c r="AW1706" s="806"/>
      <c r="AX1706" s="806"/>
      <c r="AY1706" s="806"/>
      <c r="AZ1706" s="806"/>
      <c r="BA1706" s="806"/>
      <c r="BB1706" s="806"/>
      <c r="BC1706" s="806"/>
      <c r="BD1706" s="806"/>
      <c r="BE1706" s="806"/>
      <c r="BF1706" s="806"/>
      <c r="BG1706" s="806"/>
      <c r="BH1706" s="806"/>
      <c r="BI1706" s="806"/>
      <c r="BJ1706" s="806"/>
      <c r="BK1706" s="806"/>
      <c r="BL1706" s="806"/>
      <c r="BM1706" s="806"/>
      <c r="BN1706" s="806"/>
      <c r="BO1706" s="806"/>
      <c r="BP1706" s="806"/>
      <c r="BQ1706" s="806"/>
      <c r="BR1706" s="806"/>
      <c r="BS1706" s="806"/>
      <c r="BT1706" s="806"/>
      <c r="BU1706" s="806"/>
      <c r="BV1706" s="806"/>
      <c r="BW1706" s="806"/>
      <c r="BX1706" s="806"/>
      <c r="BY1706" s="806"/>
      <c r="BZ1706" s="807"/>
    </row>
    <row r="1707" spans="1:255" s="808" customFormat="1" ht="27" hidden="1">
      <c r="A1707" s="419"/>
      <c r="B1707" s="812"/>
      <c r="C1707" s="813" t="s">
        <v>1346</v>
      </c>
      <c r="D1707" s="814" t="s">
        <v>57</v>
      </c>
      <c r="E1707" s="861">
        <v>6.61</v>
      </c>
      <c r="F1707" s="861">
        <f>F1697*E1707</f>
        <v>0</v>
      </c>
      <c r="G1707" s="861">
        <v>3.2</v>
      </c>
      <c r="H1707" s="861">
        <f t="shared" si="29"/>
        <v>0</v>
      </c>
      <c r="I1707" s="861"/>
      <c r="J1707" s="861"/>
      <c r="K1707" s="861"/>
      <c r="L1707" s="861"/>
      <c r="M1707" s="861">
        <f t="shared" si="30"/>
        <v>0</v>
      </c>
      <c r="N1707" s="805"/>
      <c r="O1707" s="806"/>
      <c r="P1707" s="806"/>
      <c r="Q1707" s="806"/>
      <c r="R1707" s="806"/>
      <c r="S1707" s="806"/>
      <c r="T1707" s="806"/>
      <c r="U1707" s="806"/>
      <c r="V1707" s="806"/>
      <c r="W1707" s="806"/>
      <c r="X1707" s="806"/>
      <c r="Y1707" s="806"/>
      <c r="Z1707" s="806"/>
      <c r="AA1707" s="806"/>
      <c r="AB1707" s="806"/>
      <c r="AC1707" s="806"/>
      <c r="AD1707" s="806"/>
      <c r="AE1707" s="806"/>
      <c r="AF1707" s="806"/>
      <c r="AG1707" s="806"/>
      <c r="AH1707" s="806"/>
      <c r="AI1707" s="806"/>
      <c r="AJ1707" s="806"/>
      <c r="AK1707" s="806"/>
      <c r="AL1707" s="806"/>
      <c r="AM1707" s="806"/>
      <c r="AN1707" s="806"/>
      <c r="AO1707" s="806"/>
      <c r="AP1707" s="806"/>
      <c r="AQ1707" s="806"/>
      <c r="AR1707" s="806"/>
      <c r="AS1707" s="806"/>
      <c r="AT1707" s="806"/>
      <c r="AU1707" s="806"/>
      <c r="AV1707" s="806"/>
      <c r="AW1707" s="806"/>
      <c r="AX1707" s="806"/>
      <c r="AY1707" s="806"/>
      <c r="AZ1707" s="806"/>
      <c r="BA1707" s="806"/>
      <c r="BB1707" s="806"/>
      <c r="BC1707" s="806"/>
      <c r="BD1707" s="806"/>
      <c r="BE1707" s="806"/>
      <c r="BF1707" s="806"/>
      <c r="BG1707" s="806"/>
      <c r="BH1707" s="806"/>
      <c r="BI1707" s="806"/>
      <c r="BJ1707" s="806"/>
      <c r="BK1707" s="806"/>
      <c r="BL1707" s="806"/>
      <c r="BM1707" s="806"/>
      <c r="BN1707" s="806"/>
      <c r="BO1707" s="806"/>
      <c r="BP1707" s="806"/>
      <c r="BQ1707" s="806"/>
      <c r="BR1707" s="806"/>
      <c r="BS1707" s="806"/>
      <c r="BT1707" s="806"/>
      <c r="BU1707" s="806"/>
      <c r="BV1707" s="806"/>
      <c r="BW1707" s="806"/>
      <c r="BX1707" s="806"/>
      <c r="BY1707" s="806"/>
      <c r="BZ1707" s="807"/>
    </row>
    <row r="1708" spans="1:255" s="359" customFormat="1" ht="14.25" hidden="1" customHeight="1">
      <c r="A1708" s="336">
        <v>15</v>
      </c>
      <c r="B1708" s="540" t="s">
        <v>1348</v>
      </c>
      <c r="C1708" s="335" t="s">
        <v>1349</v>
      </c>
      <c r="D1708" s="486" t="s">
        <v>88</v>
      </c>
      <c r="E1708" s="863"/>
      <c r="F1708" s="388">
        <f>'დეფექტური აქტი'!E397*3.2</f>
        <v>0</v>
      </c>
      <c r="G1708" s="542"/>
      <c r="H1708" s="389"/>
      <c r="I1708" s="389"/>
      <c r="J1708" s="389"/>
      <c r="K1708" s="389"/>
      <c r="L1708" s="389"/>
      <c r="M1708" s="389"/>
      <c r="N1708" s="805"/>
      <c r="O1708" s="806"/>
      <c r="P1708" s="798"/>
      <c r="Q1708" s="798"/>
      <c r="R1708" s="798"/>
      <c r="S1708" s="798"/>
      <c r="T1708" s="798"/>
      <c r="U1708" s="798"/>
      <c r="V1708" s="798"/>
      <c r="W1708" s="798"/>
      <c r="X1708" s="798"/>
      <c r="Y1708" s="798"/>
      <c r="Z1708" s="798"/>
      <c r="AA1708" s="797"/>
      <c r="AB1708" s="797"/>
      <c r="AC1708" s="797"/>
      <c r="AD1708" s="797"/>
      <c r="AE1708" s="797"/>
      <c r="AF1708" s="797"/>
      <c r="AG1708" s="797"/>
      <c r="AH1708" s="797"/>
      <c r="AI1708" s="797"/>
      <c r="AJ1708" s="797"/>
      <c r="AK1708" s="797"/>
      <c r="AL1708" s="797"/>
      <c r="AM1708" s="797"/>
      <c r="AN1708" s="797"/>
      <c r="AO1708" s="797"/>
      <c r="AP1708" s="797"/>
      <c r="AQ1708" s="797"/>
      <c r="AR1708" s="797"/>
      <c r="AS1708" s="797"/>
      <c r="AT1708" s="797"/>
      <c r="AU1708" s="797"/>
      <c r="AV1708" s="797"/>
      <c r="AW1708" s="797"/>
      <c r="AX1708" s="797"/>
      <c r="AY1708" s="797"/>
      <c r="AZ1708" s="797"/>
      <c r="BA1708" s="797"/>
      <c r="BB1708" s="797"/>
      <c r="BC1708" s="797"/>
      <c r="BD1708" s="797"/>
      <c r="BE1708" s="797"/>
      <c r="BF1708" s="797"/>
      <c r="BG1708" s="797"/>
      <c r="BH1708" s="797"/>
      <c r="BI1708" s="797"/>
      <c r="BJ1708" s="797"/>
      <c r="BK1708" s="797"/>
      <c r="BL1708" s="797"/>
      <c r="BM1708" s="797"/>
      <c r="BN1708" s="797"/>
      <c r="BO1708" s="797"/>
      <c r="BP1708" s="797"/>
      <c r="BQ1708" s="797"/>
      <c r="BR1708" s="797"/>
      <c r="BS1708" s="797"/>
      <c r="BT1708" s="797"/>
      <c r="BU1708" s="797"/>
      <c r="BV1708" s="797"/>
      <c r="BW1708" s="797"/>
      <c r="BX1708" s="797"/>
      <c r="BY1708" s="797"/>
      <c r="BZ1708" s="797"/>
      <c r="CA1708" s="797"/>
      <c r="CB1708" s="797"/>
      <c r="CC1708" s="797"/>
      <c r="CD1708" s="797"/>
      <c r="CE1708" s="797"/>
      <c r="CF1708" s="797"/>
      <c r="CG1708" s="797"/>
      <c r="CH1708" s="797"/>
      <c r="CI1708" s="797"/>
      <c r="CJ1708" s="797"/>
      <c r="CK1708" s="797"/>
      <c r="CL1708" s="797"/>
      <c r="CM1708" s="797"/>
      <c r="CN1708" s="797"/>
      <c r="CO1708" s="797"/>
      <c r="CP1708" s="797"/>
      <c r="CQ1708" s="797"/>
      <c r="CR1708" s="797"/>
      <c r="CS1708" s="797"/>
      <c r="CT1708" s="797"/>
      <c r="CU1708" s="797"/>
      <c r="CV1708" s="797"/>
      <c r="CW1708" s="797"/>
      <c r="CX1708" s="797"/>
      <c r="CY1708" s="797"/>
      <c r="CZ1708" s="797"/>
      <c r="DA1708" s="797"/>
      <c r="DB1708" s="797"/>
      <c r="DC1708" s="797"/>
      <c r="DD1708" s="797"/>
      <c r="DE1708" s="797"/>
      <c r="DF1708" s="797"/>
      <c r="DG1708" s="797"/>
      <c r="DH1708" s="797"/>
      <c r="DI1708" s="797"/>
      <c r="DJ1708" s="797"/>
      <c r="DK1708" s="797"/>
      <c r="DL1708" s="797"/>
      <c r="DM1708" s="797"/>
      <c r="DN1708" s="797"/>
      <c r="DO1708" s="797"/>
      <c r="DP1708" s="797"/>
      <c r="DQ1708" s="797"/>
      <c r="DR1708" s="797"/>
      <c r="DS1708" s="797"/>
      <c r="DT1708" s="797"/>
      <c r="DU1708" s="797"/>
      <c r="DV1708" s="797"/>
      <c r="DW1708" s="797"/>
      <c r="DX1708" s="797"/>
      <c r="DY1708" s="797"/>
      <c r="DZ1708" s="797"/>
      <c r="EA1708" s="797"/>
      <c r="EB1708" s="797"/>
      <c r="EC1708" s="797"/>
      <c r="ED1708" s="797"/>
      <c r="EE1708" s="797"/>
      <c r="EF1708" s="797"/>
      <c r="EG1708" s="797"/>
      <c r="EH1708" s="797"/>
      <c r="EI1708" s="797"/>
      <c r="EJ1708" s="797"/>
      <c r="EK1708" s="797"/>
      <c r="EL1708" s="797"/>
      <c r="EM1708" s="797"/>
      <c r="EN1708" s="797"/>
      <c r="EO1708" s="797"/>
      <c r="EP1708" s="797"/>
      <c r="EQ1708" s="797"/>
      <c r="ER1708" s="797"/>
      <c r="ES1708" s="797"/>
      <c r="ET1708" s="797"/>
      <c r="EU1708" s="797"/>
      <c r="EV1708" s="797"/>
      <c r="EW1708" s="797"/>
      <c r="EX1708" s="797"/>
      <c r="EY1708" s="797"/>
      <c r="EZ1708" s="797"/>
      <c r="FA1708" s="797"/>
      <c r="FB1708" s="797"/>
      <c r="FC1708" s="797"/>
      <c r="FD1708" s="797"/>
      <c r="FE1708" s="797"/>
      <c r="FF1708" s="797"/>
      <c r="FG1708" s="797"/>
      <c r="FH1708" s="797"/>
      <c r="FI1708" s="797"/>
      <c r="FJ1708" s="797"/>
      <c r="FK1708" s="797"/>
      <c r="FL1708" s="797"/>
      <c r="FM1708" s="797"/>
      <c r="FN1708" s="797"/>
      <c r="FO1708" s="797"/>
      <c r="FP1708" s="797"/>
      <c r="FQ1708" s="797"/>
      <c r="FR1708" s="797"/>
      <c r="FS1708" s="797"/>
      <c r="FT1708" s="797"/>
      <c r="FU1708" s="797"/>
      <c r="FV1708" s="797"/>
      <c r="FW1708" s="797"/>
      <c r="FX1708" s="797"/>
      <c r="FY1708" s="797"/>
      <c r="FZ1708" s="797"/>
      <c r="GA1708" s="797"/>
      <c r="GB1708" s="797"/>
      <c r="GC1708" s="797"/>
      <c r="GD1708" s="797"/>
      <c r="GE1708" s="797"/>
      <c r="GF1708" s="797"/>
      <c r="GG1708" s="797"/>
      <c r="GH1708" s="797"/>
      <c r="GI1708" s="797"/>
      <c r="GJ1708" s="797"/>
      <c r="GK1708" s="797"/>
      <c r="GL1708" s="797"/>
      <c r="GM1708" s="797"/>
      <c r="GN1708" s="797"/>
      <c r="GO1708" s="797"/>
      <c r="GP1708" s="797"/>
      <c r="GQ1708" s="797"/>
      <c r="GR1708" s="797"/>
      <c r="GS1708" s="797"/>
      <c r="GT1708" s="797"/>
      <c r="GU1708" s="797"/>
      <c r="GV1708" s="797"/>
      <c r="GW1708" s="797"/>
      <c r="GX1708" s="797"/>
      <c r="GY1708" s="797"/>
      <c r="GZ1708" s="797"/>
      <c r="HA1708" s="797"/>
      <c r="HB1708" s="797"/>
      <c r="HC1708" s="797"/>
      <c r="HD1708" s="797"/>
      <c r="HE1708" s="797"/>
      <c r="HF1708" s="797"/>
      <c r="HG1708" s="797"/>
      <c r="HH1708" s="797"/>
      <c r="HI1708" s="797"/>
      <c r="HJ1708" s="797"/>
      <c r="HK1708" s="797"/>
      <c r="HL1708" s="797"/>
      <c r="HM1708" s="797"/>
      <c r="HN1708" s="797"/>
      <c r="HO1708" s="797"/>
      <c r="HP1708" s="797"/>
      <c r="HQ1708" s="797"/>
      <c r="HR1708" s="797"/>
      <c r="HS1708" s="797"/>
      <c r="HT1708" s="797"/>
      <c r="HU1708" s="797"/>
      <c r="HV1708" s="797"/>
      <c r="HW1708" s="797"/>
      <c r="HX1708" s="797"/>
      <c r="HY1708" s="797"/>
      <c r="HZ1708" s="797"/>
      <c r="IA1708" s="797"/>
      <c r="IB1708" s="797"/>
      <c r="IC1708" s="797"/>
      <c r="ID1708" s="797"/>
      <c r="IE1708" s="797"/>
      <c r="IF1708" s="797"/>
      <c r="IG1708" s="797"/>
      <c r="IH1708" s="797"/>
      <c r="II1708" s="797"/>
      <c r="IJ1708" s="797"/>
      <c r="IK1708" s="797"/>
      <c r="IL1708" s="797"/>
      <c r="IM1708" s="797"/>
      <c r="IN1708" s="797"/>
      <c r="IO1708" s="797"/>
      <c r="IP1708" s="797"/>
      <c r="IQ1708" s="797"/>
      <c r="IR1708" s="797"/>
      <c r="IS1708" s="797"/>
      <c r="IT1708" s="797"/>
      <c r="IU1708" s="797"/>
    </row>
    <row r="1709" spans="1:255" s="359" customFormat="1" hidden="1">
      <c r="A1709" s="336"/>
      <c r="B1709" s="540"/>
      <c r="C1709" s="335" t="s">
        <v>128</v>
      </c>
      <c r="D1709" s="486" t="s">
        <v>80</v>
      </c>
      <c r="E1709" s="614">
        <v>10.8</v>
      </c>
      <c r="F1709" s="614">
        <f>F1708*E1709</f>
        <v>0</v>
      </c>
      <c r="G1709" s="542"/>
      <c r="H1709" s="636"/>
      <c r="I1709" s="389">
        <v>4.5999999999999996</v>
      </c>
      <c r="J1709" s="389">
        <f>F1709*I1709</f>
        <v>0</v>
      </c>
      <c r="K1709" s="389"/>
      <c r="L1709" s="389"/>
      <c r="M1709" s="389">
        <f>H1709+J1709+L1709</f>
        <v>0</v>
      </c>
      <c r="N1709" s="805"/>
      <c r="O1709" s="806"/>
      <c r="P1709" s="798"/>
      <c r="Q1709" s="798"/>
      <c r="R1709" s="798"/>
      <c r="S1709" s="798"/>
      <c r="T1709" s="798"/>
      <c r="U1709" s="798"/>
      <c r="V1709" s="798"/>
      <c r="W1709" s="798"/>
      <c r="X1709" s="798"/>
      <c r="Y1709" s="798"/>
      <c r="Z1709" s="798"/>
      <c r="AA1709" s="797"/>
      <c r="AB1709" s="797"/>
      <c r="AC1709" s="797"/>
      <c r="AD1709" s="797"/>
      <c r="AE1709" s="797"/>
      <c r="AF1709" s="797"/>
      <c r="AG1709" s="797"/>
      <c r="AH1709" s="797"/>
      <c r="AI1709" s="797"/>
      <c r="AJ1709" s="797"/>
      <c r="AK1709" s="797"/>
      <c r="AL1709" s="797"/>
      <c r="AM1709" s="797"/>
      <c r="AN1709" s="797"/>
      <c r="AO1709" s="797"/>
      <c r="AP1709" s="797"/>
      <c r="AQ1709" s="797"/>
      <c r="AR1709" s="797"/>
      <c r="AS1709" s="797"/>
      <c r="AT1709" s="797"/>
      <c r="AU1709" s="797"/>
      <c r="AV1709" s="797"/>
      <c r="AW1709" s="797"/>
      <c r="AX1709" s="797"/>
      <c r="AY1709" s="797"/>
      <c r="AZ1709" s="797"/>
      <c r="BA1709" s="797"/>
      <c r="BB1709" s="797"/>
      <c r="BC1709" s="797"/>
      <c r="BD1709" s="797"/>
      <c r="BE1709" s="797"/>
      <c r="BF1709" s="797"/>
      <c r="BG1709" s="797"/>
      <c r="BH1709" s="797"/>
      <c r="BI1709" s="797"/>
      <c r="BJ1709" s="797"/>
      <c r="BK1709" s="797"/>
      <c r="BL1709" s="797"/>
      <c r="BM1709" s="797"/>
      <c r="BN1709" s="797"/>
      <c r="BO1709" s="797"/>
      <c r="BP1709" s="797"/>
      <c r="BQ1709" s="797"/>
      <c r="BR1709" s="797"/>
      <c r="BS1709" s="797"/>
      <c r="BT1709" s="797"/>
      <c r="BU1709" s="797"/>
      <c r="BV1709" s="797"/>
      <c r="BW1709" s="797"/>
      <c r="BX1709" s="797"/>
      <c r="BY1709" s="797"/>
      <c r="BZ1709" s="797"/>
      <c r="CA1709" s="797"/>
      <c r="CB1709" s="797"/>
      <c r="CC1709" s="797"/>
      <c r="CD1709" s="797"/>
      <c r="CE1709" s="797"/>
      <c r="CF1709" s="797"/>
      <c r="CG1709" s="797"/>
      <c r="CH1709" s="797"/>
      <c r="CI1709" s="797"/>
      <c r="CJ1709" s="797"/>
      <c r="CK1709" s="797"/>
      <c r="CL1709" s="797"/>
      <c r="CM1709" s="797"/>
      <c r="CN1709" s="797"/>
      <c r="CO1709" s="797"/>
      <c r="CP1709" s="797"/>
      <c r="CQ1709" s="797"/>
      <c r="CR1709" s="797"/>
      <c r="CS1709" s="797"/>
      <c r="CT1709" s="797"/>
      <c r="CU1709" s="797"/>
      <c r="CV1709" s="797"/>
      <c r="CW1709" s="797"/>
      <c r="CX1709" s="797"/>
      <c r="CY1709" s="797"/>
      <c r="CZ1709" s="797"/>
      <c r="DA1709" s="797"/>
      <c r="DB1709" s="797"/>
      <c r="DC1709" s="797"/>
      <c r="DD1709" s="797"/>
      <c r="DE1709" s="797"/>
      <c r="DF1709" s="797"/>
      <c r="DG1709" s="797"/>
      <c r="DH1709" s="797"/>
      <c r="DI1709" s="797"/>
      <c r="DJ1709" s="797"/>
      <c r="DK1709" s="797"/>
      <c r="DL1709" s="797"/>
      <c r="DM1709" s="797"/>
      <c r="DN1709" s="797"/>
      <c r="DO1709" s="797"/>
      <c r="DP1709" s="797"/>
      <c r="DQ1709" s="797"/>
      <c r="DR1709" s="797"/>
      <c r="DS1709" s="797"/>
      <c r="DT1709" s="797"/>
      <c r="DU1709" s="797"/>
      <c r="DV1709" s="797"/>
      <c r="DW1709" s="797"/>
      <c r="DX1709" s="797"/>
      <c r="DY1709" s="797"/>
      <c r="DZ1709" s="797"/>
      <c r="EA1709" s="797"/>
      <c r="EB1709" s="797"/>
      <c r="EC1709" s="797"/>
      <c r="ED1709" s="797"/>
      <c r="EE1709" s="797"/>
      <c r="EF1709" s="797"/>
      <c r="EG1709" s="797"/>
      <c r="EH1709" s="797"/>
      <c r="EI1709" s="797"/>
      <c r="EJ1709" s="797"/>
      <c r="EK1709" s="797"/>
      <c r="EL1709" s="797"/>
      <c r="EM1709" s="797"/>
      <c r="EN1709" s="797"/>
      <c r="EO1709" s="797"/>
      <c r="EP1709" s="797"/>
      <c r="EQ1709" s="797"/>
      <c r="ER1709" s="797"/>
      <c r="ES1709" s="797"/>
      <c r="ET1709" s="797"/>
      <c r="EU1709" s="797"/>
      <c r="EV1709" s="797"/>
      <c r="EW1709" s="797"/>
      <c r="EX1709" s="797"/>
      <c r="EY1709" s="797"/>
      <c r="EZ1709" s="797"/>
      <c r="FA1709" s="797"/>
      <c r="FB1709" s="797"/>
      <c r="FC1709" s="797"/>
      <c r="FD1709" s="797"/>
      <c r="FE1709" s="797"/>
      <c r="FF1709" s="797"/>
      <c r="FG1709" s="797"/>
      <c r="FH1709" s="797"/>
      <c r="FI1709" s="797"/>
      <c r="FJ1709" s="797"/>
      <c r="FK1709" s="797"/>
      <c r="FL1709" s="797"/>
      <c r="FM1709" s="797"/>
      <c r="FN1709" s="797"/>
      <c r="FO1709" s="797"/>
      <c r="FP1709" s="797"/>
      <c r="FQ1709" s="797"/>
      <c r="FR1709" s="797"/>
      <c r="FS1709" s="797"/>
      <c r="FT1709" s="797"/>
      <c r="FU1709" s="797"/>
      <c r="FV1709" s="797"/>
      <c r="FW1709" s="797"/>
      <c r="FX1709" s="797"/>
      <c r="FY1709" s="797"/>
      <c r="FZ1709" s="797"/>
      <c r="GA1709" s="797"/>
      <c r="GB1709" s="797"/>
      <c r="GC1709" s="797"/>
      <c r="GD1709" s="797"/>
      <c r="GE1709" s="797"/>
      <c r="GF1709" s="797"/>
      <c r="GG1709" s="797"/>
      <c r="GH1709" s="797"/>
      <c r="GI1709" s="797"/>
      <c r="GJ1709" s="797"/>
      <c r="GK1709" s="797"/>
      <c r="GL1709" s="797"/>
      <c r="GM1709" s="797"/>
      <c r="GN1709" s="797"/>
      <c r="GO1709" s="797"/>
      <c r="GP1709" s="797"/>
      <c r="GQ1709" s="797"/>
      <c r="GR1709" s="797"/>
      <c r="GS1709" s="797"/>
      <c r="GT1709" s="797"/>
      <c r="GU1709" s="797"/>
      <c r="GV1709" s="797"/>
      <c r="GW1709" s="797"/>
      <c r="GX1709" s="797"/>
      <c r="GY1709" s="797"/>
      <c r="GZ1709" s="797"/>
      <c r="HA1709" s="797"/>
      <c r="HB1709" s="797"/>
      <c r="HC1709" s="797"/>
      <c r="HD1709" s="797"/>
      <c r="HE1709" s="797"/>
      <c r="HF1709" s="797"/>
      <c r="HG1709" s="797"/>
      <c r="HH1709" s="797"/>
      <c r="HI1709" s="797"/>
      <c r="HJ1709" s="797"/>
      <c r="HK1709" s="797"/>
      <c r="HL1709" s="797"/>
      <c r="HM1709" s="797"/>
      <c r="HN1709" s="797"/>
      <c r="HO1709" s="797"/>
      <c r="HP1709" s="797"/>
      <c r="HQ1709" s="797"/>
      <c r="HR1709" s="797"/>
      <c r="HS1709" s="797"/>
      <c r="HT1709" s="797"/>
      <c r="HU1709" s="797"/>
      <c r="HV1709" s="797"/>
      <c r="HW1709" s="797"/>
      <c r="HX1709" s="797"/>
      <c r="HY1709" s="797"/>
      <c r="HZ1709" s="797"/>
      <c r="IA1709" s="797"/>
      <c r="IB1709" s="797"/>
      <c r="IC1709" s="797"/>
      <c r="ID1709" s="797"/>
      <c r="IE1709" s="797"/>
      <c r="IF1709" s="797"/>
      <c r="IG1709" s="797"/>
      <c r="IH1709" s="797"/>
      <c r="II1709" s="797"/>
      <c r="IJ1709" s="797"/>
      <c r="IK1709" s="797"/>
      <c r="IL1709" s="797"/>
      <c r="IM1709" s="797"/>
      <c r="IN1709" s="797"/>
      <c r="IO1709" s="797"/>
      <c r="IP1709" s="797"/>
      <c r="IQ1709" s="797"/>
      <c r="IR1709" s="797"/>
      <c r="IS1709" s="797"/>
      <c r="IT1709" s="797"/>
      <c r="IU1709" s="797"/>
    </row>
    <row r="1710" spans="1:255" s="359" customFormat="1" hidden="1">
      <c r="A1710" s="336"/>
      <c r="B1710" s="543"/>
      <c r="C1710" s="335" t="s">
        <v>181</v>
      </c>
      <c r="D1710" s="486" t="s">
        <v>57</v>
      </c>
      <c r="E1710" s="863">
        <v>1.147</v>
      </c>
      <c r="F1710" s="614">
        <f>F1708*E1710</f>
        <v>0</v>
      </c>
      <c r="G1710" s="542"/>
      <c r="H1710" s="389"/>
      <c r="I1710" s="389"/>
      <c r="J1710" s="389"/>
      <c r="K1710" s="389">
        <v>3.2</v>
      </c>
      <c r="L1710" s="389">
        <f>F1710*K1710</f>
        <v>0</v>
      </c>
      <c r="M1710" s="389">
        <f>H1710+J1710+L1710</f>
        <v>0</v>
      </c>
      <c r="O1710" s="797"/>
      <c r="P1710" s="798"/>
      <c r="Q1710" s="798"/>
      <c r="R1710" s="798"/>
      <c r="S1710" s="798"/>
      <c r="T1710" s="798"/>
      <c r="U1710" s="798"/>
      <c r="V1710" s="798"/>
      <c r="W1710" s="798"/>
      <c r="X1710" s="798"/>
      <c r="Y1710" s="798"/>
      <c r="Z1710" s="798"/>
      <c r="AA1710" s="797"/>
      <c r="AB1710" s="797"/>
      <c r="AC1710" s="797"/>
      <c r="AD1710" s="797"/>
      <c r="AE1710" s="797"/>
      <c r="AF1710" s="797"/>
      <c r="AG1710" s="797"/>
      <c r="AH1710" s="797"/>
      <c r="AI1710" s="797"/>
      <c r="AJ1710" s="797"/>
      <c r="AK1710" s="797"/>
      <c r="AL1710" s="797"/>
      <c r="AM1710" s="797"/>
      <c r="AN1710" s="797"/>
      <c r="AO1710" s="797"/>
      <c r="AP1710" s="797"/>
      <c r="AQ1710" s="797"/>
      <c r="AR1710" s="797"/>
      <c r="AS1710" s="797"/>
      <c r="AT1710" s="797"/>
      <c r="AU1710" s="797"/>
      <c r="AV1710" s="797"/>
      <c r="AW1710" s="797"/>
      <c r="AX1710" s="797"/>
      <c r="AY1710" s="797"/>
      <c r="AZ1710" s="797"/>
      <c r="BA1710" s="797"/>
      <c r="BB1710" s="797"/>
      <c r="BC1710" s="797"/>
      <c r="BD1710" s="797"/>
      <c r="BE1710" s="797"/>
      <c r="BF1710" s="797"/>
      <c r="BG1710" s="797"/>
      <c r="BH1710" s="797"/>
      <c r="BI1710" s="797"/>
      <c r="BJ1710" s="797"/>
      <c r="BK1710" s="797"/>
      <c r="BL1710" s="797"/>
      <c r="BM1710" s="797"/>
      <c r="BN1710" s="797"/>
      <c r="BO1710" s="797"/>
      <c r="BP1710" s="797"/>
      <c r="BQ1710" s="797"/>
      <c r="BR1710" s="797"/>
      <c r="BS1710" s="797"/>
      <c r="BT1710" s="797"/>
      <c r="BU1710" s="797"/>
      <c r="BV1710" s="797"/>
      <c r="BW1710" s="797"/>
      <c r="BX1710" s="797"/>
      <c r="BY1710" s="797"/>
      <c r="BZ1710" s="797"/>
      <c r="CA1710" s="797"/>
      <c r="CB1710" s="797"/>
      <c r="CC1710" s="797"/>
      <c r="CD1710" s="797"/>
      <c r="CE1710" s="797"/>
      <c r="CF1710" s="797"/>
      <c r="CG1710" s="797"/>
      <c r="CH1710" s="797"/>
      <c r="CI1710" s="797"/>
      <c r="CJ1710" s="797"/>
      <c r="CK1710" s="797"/>
      <c r="CL1710" s="797"/>
      <c r="CM1710" s="797"/>
      <c r="CN1710" s="797"/>
      <c r="CO1710" s="797"/>
      <c r="CP1710" s="797"/>
      <c r="CQ1710" s="797"/>
      <c r="CR1710" s="797"/>
      <c r="CS1710" s="797"/>
      <c r="CT1710" s="797"/>
      <c r="CU1710" s="797"/>
      <c r="CV1710" s="797"/>
      <c r="CW1710" s="797"/>
      <c r="CX1710" s="797"/>
      <c r="CY1710" s="797"/>
      <c r="CZ1710" s="797"/>
      <c r="DA1710" s="797"/>
      <c r="DB1710" s="797"/>
      <c r="DC1710" s="797"/>
      <c r="DD1710" s="797"/>
      <c r="DE1710" s="797"/>
      <c r="DF1710" s="797"/>
      <c r="DG1710" s="797"/>
      <c r="DH1710" s="797"/>
      <c r="DI1710" s="797"/>
      <c r="DJ1710" s="797"/>
      <c r="DK1710" s="797"/>
      <c r="DL1710" s="797"/>
      <c r="DM1710" s="797"/>
      <c r="DN1710" s="797"/>
      <c r="DO1710" s="797"/>
      <c r="DP1710" s="797"/>
      <c r="DQ1710" s="797"/>
      <c r="DR1710" s="797"/>
      <c r="DS1710" s="797"/>
      <c r="DT1710" s="797"/>
      <c r="DU1710" s="797"/>
      <c r="DV1710" s="797"/>
      <c r="DW1710" s="797"/>
      <c r="DX1710" s="797"/>
      <c r="DY1710" s="797"/>
      <c r="DZ1710" s="797"/>
      <c r="EA1710" s="797"/>
      <c r="EB1710" s="797"/>
      <c r="EC1710" s="797"/>
      <c r="ED1710" s="797"/>
      <c r="EE1710" s="797"/>
      <c r="EF1710" s="797"/>
      <c r="EG1710" s="797"/>
      <c r="EH1710" s="797"/>
      <c r="EI1710" s="797"/>
      <c r="EJ1710" s="797"/>
      <c r="EK1710" s="797"/>
      <c r="EL1710" s="797"/>
      <c r="EM1710" s="797"/>
      <c r="EN1710" s="797"/>
      <c r="EO1710" s="797"/>
      <c r="EP1710" s="797"/>
      <c r="EQ1710" s="797"/>
      <c r="ER1710" s="797"/>
      <c r="ES1710" s="797"/>
      <c r="ET1710" s="797"/>
      <c r="EU1710" s="797"/>
      <c r="EV1710" s="797"/>
      <c r="EW1710" s="797"/>
      <c r="EX1710" s="797"/>
      <c r="EY1710" s="797"/>
      <c r="EZ1710" s="797"/>
      <c r="FA1710" s="797"/>
      <c r="FB1710" s="797"/>
      <c r="FC1710" s="797"/>
      <c r="FD1710" s="797"/>
      <c r="FE1710" s="797"/>
      <c r="FF1710" s="797"/>
      <c r="FG1710" s="797"/>
      <c r="FH1710" s="797"/>
      <c r="FI1710" s="797"/>
      <c r="FJ1710" s="797"/>
      <c r="FK1710" s="797"/>
      <c r="FL1710" s="797"/>
      <c r="FM1710" s="797"/>
      <c r="FN1710" s="797"/>
      <c r="FO1710" s="797"/>
      <c r="FP1710" s="797"/>
      <c r="FQ1710" s="797"/>
      <c r="FR1710" s="797"/>
      <c r="FS1710" s="797"/>
      <c r="FT1710" s="797"/>
      <c r="FU1710" s="797"/>
      <c r="FV1710" s="797"/>
      <c r="FW1710" s="797"/>
      <c r="FX1710" s="797"/>
      <c r="FY1710" s="797"/>
      <c r="FZ1710" s="797"/>
      <c r="GA1710" s="797"/>
      <c r="GB1710" s="797"/>
      <c r="GC1710" s="797"/>
      <c r="GD1710" s="797"/>
      <c r="GE1710" s="797"/>
      <c r="GF1710" s="797"/>
      <c r="GG1710" s="797"/>
      <c r="GH1710" s="797"/>
      <c r="GI1710" s="797"/>
      <c r="GJ1710" s="797"/>
      <c r="GK1710" s="797"/>
      <c r="GL1710" s="797"/>
      <c r="GM1710" s="797"/>
      <c r="GN1710" s="797"/>
      <c r="GO1710" s="797"/>
      <c r="GP1710" s="797"/>
      <c r="GQ1710" s="797"/>
      <c r="GR1710" s="797"/>
      <c r="GS1710" s="797"/>
      <c r="GT1710" s="797"/>
      <c r="GU1710" s="797"/>
      <c r="GV1710" s="797"/>
      <c r="GW1710" s="797"/>
      <c r="GX1710" s="797"/>
      <c r="GY1710" s="797"/>
      <c r="GZ1710" s="797"/>
      <c r="HA1710" s="797"/>
      <c r="HB1710" s="797"/>
      <c r="HC1710" s="797"/>
      <c r="HD1710" s="797"/>
      <c r="HE1710" s="797"/>
      <c r="HF1710" s="797"/>
      <c r="HG1710" s="797"/>
      <c r="HH1710" s="797"/>
      <c r="HI1710" s="797"/>
      <c r="HJ1710" s="797"/>
      <c r="HK1710" s="797"/>
      <c r="HL1710" s="797"/>
      <c r="HM1710" s="797"/>
      <c r="HN1710" s="797"/>
      <c r="HO1710" s="797"/>
      <c r="HP1710" s="797"/>
      <c r="HQ1710" s="797"/>
      <c r="HR1710" s="797"/>
      <c r="HS1710" s="797"/>
      <c r="HT1710" s="797"/>
      <c r="HU1710" s="797"/>
      <c r="HV1710" s="797"/>
      <c r="HW1710" s="797"/>
      <c r="HX1710" s="797"/>
      <c r="HY1710" s="797"/>
      <c r="HZ1710" s="797"/>
      <c r="IA1710" s="797"/>
      <c r="IB1710" s="797"/>
      <c r="IC1710" s="797"/>
      <c r="ID1710" s="797"/>
      <c r="IE1710" s="797"/>
      <c r="IF1710" s="797"/>
      <c r="IG1710" s="797"/>
      <c r="IH1710" s="797"/>
      <c r="II1710" s="797"/>
      <c r="IJ1710" s="797"/>
      <c r="IK1710" s="797"/>
      <c r="IL1710" s="797"/>
      <c r="IM1710" s="797"/>
      <c r="IN1710" s="797"/>
      <c r="IO1710" s="797"/>
      <c r="IP1710" s="797"/>
      <c r="IQ1710" s="797"/>
      <c r="IR1710" s="797"/>
      <c r="IS1710" s="797"/>
      <c r="IT1710" s="797"/>
      <c r="IU1710" s="797"/>
    </row>
    <row r="1711" spans="1:255" s="359" customFormat="1" hidden="1">
      <c r="A1711" s="336"/>
      <c r="B1711" s="543"/>
      <c r="C1711" s="335" t="s">
        <v>210</v>
      </c>
      <c r="D1711" s="486"/>
      <c r="E1711" s="863"/>
      <c r="F1711" s="614"/>
      <c r="G1711" s="542"/>
      <c r="H1711" s="389"/>
      <c r="I1711" s="389"/>
      <c r="J1711" s="389"/>
      <c r="K1711" s="389"/>
      <c r="L1711" s="389"/>
      <c r="M1711" s="389"/>
      <c r="N1711" s="358"/>
      <c r="O1711" s="797"/>
      <c r="P1711" s="798"/>
      <c r="Q1711" s="798"/>
      <c r="R1711" s="798"/>
      <c r="S1711" s="798"/>
      <c r="T1711" s="798"/>
      <c r="U1711" s="798"/>
      <c r="V1711" s="798"/>
      <c r="W1711" s="798"/>
      <c r="X1711" s="798"/>
      <c r="Y1711" s="798"/>
      <c r="Z1711" s="798"/>
      <c r="AA1711" s="797"/>
      <c r="AB1711" s="797"/>
      <c r="AC1711" s="797"/>
      <c r="AD1711" s="797"/>
      <c r="AE1711" s="797"/>
      <c r="AF1711" s="797"/>
      <c r="AG1711" s="797"/>
      <c r="AH1711" s="797"/>
      <c r="AI1711" s="797"/>
      <c r="AJ1711" s="797"/>
      <c r="AK1711" s="797"/>
      <c r="AL1711" s="797"/>
      <c r="AM1711" s="797"/>
      <c r="AN1711" s="797"/>
      <c r="AO1711" s="797"/>
      <c r="AP1711" s="797"/>
      <c r="AQ1711" s="797"/>
      <c r="AR1711" s="797"/>
      <c r="AS1711" s="797"/>
      <c r="AT1711" s="797"/>
      <c r="AU1711" s="797"/>
      <c r="AV1711" s="797"/>
      <c r="AW1711" s="797"/>
      <c r="AX1711" s="797"/>
      <c r="AY1711" s="797"/>
      <c r="AZ1711" s="797"/>
      <c r="BA1711" s="797"/>
      <c r="BB1711" s="797"/>
      <c r="BC1711" s="797"/>
      <c r="BD1711" s="797"/>
      <c r="BE1711" s="797"/>
      <c r="BF1711" s="797"/>
      <c r="BG1711" s="797"/>
      <c r="BH1711" s="797"/>
      <c r="BI1711" s="797"/>
      <c r="BJ1711" s="797"/>
      <c r="BK1711" s="797"/>
      <c r="BL1711" s="797"/>
      <c r="BM1711" s="797"/>
      <c r="BN1711" s="797"/>
      <c r="BO1711" s="797"/>
      <c r="BP1711" s="797"/>
      <c r="BQ1711" s="797"/>
      <c r="BR1711" s="797"/>
      <c r="BS1711" s="797"/>
      <c r="BT1711" s="797"/>
      <c r="BU1711" s="797"/>
      <c r="BV1711" s="797"/>
      <c r="BW1711" s="797"/>
      <c r="BX1711" s="797"/>
      <c r="BY1711" s="797"/>
      <c r="BZ1711" s="797"/>
      <c r="CA1711" s="797"/>
      <c r="CB1711" s="797"/>
      <c r="CC1711" s="797"/>
      <c r="CD1711" s="797"/>
      <c r="CE1711" s="797"/>
      <c r="CF1711" s="797"/>
      <c r="CG1711" s="797"/>
      <c r="CH1711" s="797"/>
      <c r="CI1711" s="797"/>
      <c r="CJ1711" s="797"/>
      <c r="CK1711" s="797"/>
      <c r="CL1711" s="797"/>
      <c r="CM1711" s="797"/>
      <c r="CN1711" s="797"/>
      <c r="CO1711" s="797"/>
      <c r="CP1711" s="797"/>
      <c r="CQ1711" s="797"/>
      <c r="CR1711" s="797"/>
      <c r="CS1711" s="797"/>
      <c r="CT1711" s="797"/>
      <c r="CU1711" s="797"/>
      <c r="CV1711" s="797"/>
      <c r="CW1711" s="797"/>
      <c r="CX1711" s="797"/>
      <c r="CY1711" s="797"/>
      <c r="CZ1711" s="797"/>
      <c r="DA1711" s="797"/>
      <c r="DB1711" s="797"/>
      <c r="DC1711" s="797"/>
      <c r="DD1711" s="797"/>
      <c r="DE1711" s="797"/>
      <c r="DF1711" s="797"/>
      <c r="DG1711" s="797"/>
      <c r="DH1711" s="797"/>
      <c r="DI1711" s="797"/>
      <c r="DJ1711" s="797"/>
      <c r="DK1711" s="797"/>
      <c r="DL1711" s="797"/>
      <c r="DM1711" s="797"/>
      <c r="DN1711" s="797"/>
      <c r="DO1711" s="797"/>
      <c r="DP1711" s="797"/>
      <c r="DQ1711" s="797"/>
      <c r="DR1711" s="797"/>
      <c r="DS1711" s="797"/>
      <c r="DT1711" s="797"/>
      <c r="DU1711" s="797"/>
      <c r="DV1711" s="797"/>
      <c r="DW1711" s="797"/>
      <c r="DX1711" s="797"/>
      <c r="DY1711" s="797"/>
      <c r="DZ1711" s="797"/>
      <c r="EA1711" s="797"/>
      <c r="EB1711" s="797"/>
      <c r="EC1711" s="797"/>
      <c r="ED1711" s="797"/>
      <c r="EE1711" s="797"/>
      <c r="EF1711" s="797"/>
      <c r="EG1711" s="797"/>
      <c r="EH1711" s="797"/>
      <c r="EI1711" s="797"/>
      <c r="EJ1711" s="797"/>
      <c r="EK1711" s="797"/>
      <c r="EL1711" s="797"/>
      <c r="EM1711" s="797"/>
      <c r="EN1711" s="797"/>
      <c r="EO1711" s="797"/>
      <c r="EP1711" s="797"/>
      <c r="EQ1711" s="797"/>
      <c r="ER1711" s="797"/>
      <c r="ES1711" s="797"/>
      <c r="ET1711" s="797"/>
      <c r="EU1711" s="797"/>
      <c r="EV1711" s="797"/>
      <c r="EW1711" s="797"/>
      <c r="EX1711" s="797"/>
      <c r="EY1711" s="797"/>
      <c r="EZ1711" s="797"/>
      <c r="FA1711" s="797"/>
      <c r="FB1711" s="797"/>
      <c r="FC1711" s="797"/>
      <c r="FD1711" s="797"/>
      <c r="FE1711" s="797"/>
      <c r="FF1711" s="797"/>
      <c r="FG1711" s="797"/>
      <c r="FH1711" s="797"/>
      <c r="FI1711" s="797"/>
      <c r="FJ1711" s="797"/>
      <c r="FK1711" s="797"/>
      <c r="FL1711" s="797"/>
      <c r="FM1711" s="797"/>
      <c r="FN1711" s="797"/>
      <c r="FO1711" s="797"/>
      <c r="FP1711" s="797"/>
      <c r="FQ1711" s="797"/>
      <c r="FR1711" s="797"/>
      <c r="FS1711" s="797"/>
      <c r="FT1711" s="797"/>
      <c r="FU1711" s="797"/>
      <c r="FV1711" s="797"/>
      <c r="FW1711" s="797"/>
      <c r="FX1711" s="797"/>
      <c r="FY1711" s="797"/>
      <c r="FZ1711" s="797"/>
      <c r="GA1711" s="797"/>
      <c r="GB1711" s="797"/>
      <c r="GC1711" s="797"/>
      <c r="GD1711" s="797"/>
      <c r="GE1711" s="797"/>
      <c r="GF1711" s="797"/>
      <c r="GG1711" s="797"/>
      <c r="GH1711" s="797"/>
      <c r="GI1711" s="797"/>
      <c r="GJ1711" s="797"/>
      <c r="GK1711" s="797"/>
      <c r="GL1711" s="797"/>
      <c r="GM1711" s="797"/>
      <c r="GN1711" s="797"/>
      <c r="GO1711" s="797"/>
      <c r="GP1711" s="797"/>
      <c r="GQ1711" s="797"/>
      <c r="GR1711" s="797"/>
      <c r="GS1711" s="797"/>
      <c r="GT1711" s="797"/>
      <c r="GU1711" s="797"/>
      <c r="GV1711" s="797"/>
      <c r="GW1711" s="797"/>
      <c r="GX1711" s="797"/>
      <c r="GY1711" s="797"/>
      <c r="GZ1711" s="797"/>
      <c r="HA1711" s="797"/>
      <c r="HB1711" s="797"/>
      <c r="HC1711" s="797"/>
      <c r="HD1711" s="797"/>
      <c r="HE1711" s="797"/>
      <c r="HF1711" s="797"/>
      <c r="HG1711" s="797"/>
      <c r="HH1711" s="797"/>
      <c r="HI1711" s="797"/>
      <c r="HJ1711" s="797"/>
      <c r="HK1711" s="797"/>
      <c r="HL1711" s="797"/>
      <c r="HM1711" s="797"/>
      <c r="HN1711" s="797"/>
      <c r="HO1711" s="797"/>
      <c r="HP1711" s="797"/>
      <c r="HQ1711" s="797"/>
      <c r="HR1711" s="797"/>
      <c r="HS1711" s="797"/>
      <c r="HT1711" s="797"/>
      <c r="HU1711" s="797"/>
      <c r="HV1711" s="797"/>
      <c r="HW1711" s="797"/>
      <c r="HX1711" s="797"/>
      <c r="HY1711" s="797"/>
      <c r="HZ1711" s="797"/>
      <c r="IA1711" s="797"/>
      <c r="IB1711" s="797"/>
      <c r="IC1711" s="797"/>
      <c r="ID1711" s="797"/>
      <c r="IE1711" s="797"/>
      <c r="IF1711" s="797"/>
      <c r="IG1711" s="797"/>
      <c r="IH1711" s="797"/>
      <c r="II1711" s="797"/>
      <c r="IJ1711" s="797"/>
      <c r="IK1711" s="797"/>
      <c r="IL1711" s="797"/>
      <c r="IM1711" s="797"/>
      <c r="IN1711" s="797"/>
      <c r="IO1711" s="797"/>
      <c r="IP1711" s="797"/>
      <c r="IQ1711" s="797"/>
      <c r="IR1711" s="797"/>
      <c r="IS1711" s="797"/>
      <c r="IT1711" s="797"/>
      <c r="IU1711" s="797"/>
    </row>
    <row r="1712" spans="1:255" s="359" customFormat="1" hidden="1">
      <c r="A1712" s="336"/>
      <c r="B1712" s="543"/>
      <c r="C1712" s="335" t="s">
        <v>1350</v>
      </c>
      <c r="D1712" s="486" t="s">
        <v>876</v>
      </c>
      <c r="E1712" s="863">
        <v>2.9000000000000001E-2</v>
      </c>
      <c r="F1712" s="614">
        <f>F1708*E1712</f>
        <v>0</v>
      </c>
      <c r="G1712" s="389">
        <v>68</v>
      </c>
      <c r="H1712" s="389">
        <f t="shared" ref="H1712:H1721" si="31">F1712*G1712</f>
        <v>0</v>
      </c>
      <c r="I1712" s="389"/>
      <c r="J1712" s="389"/>
      <c r="K1712" s="389"/>
      <c r="L1712" s="389"/>
      <c r="M1712" s="389">
        <f t="shared" ref="M1712:M1721" si="32">H1712+J1712+L1712</f>
        <v>0</v>
      </c>
      <c r="N1712" s="358"/>
      <c r="O1712" s="797"/>
      <c r="P1712" s="798"/>
      <c r="Q1712" s="798"/>
      <c r="R1712" s="798"/>
      <c r="S1712" s="798"/>
      <c r="T1712" s="798"/>
      <c r="U1712" s="798"/>
      <c r="V1712" s="798"/>
      <c r="W1712" s="798"/>
      <c r="X1712" s="798"/>
      <c r="Y1712" s="798"/>
      <c r="Z1712" s="798"/>
      <c r="AA1712" s="797"/>
      <c r="AB1712" s="797"/>
      <c r="AC1712" s="797"/>
      <c r="AD1712" s="797"/>
      <c r="AE1712" s="797"/>
      <c r="AF1712" s="797"/>
      <c r="AG1712" s="797"/>
      <c r="AH1712" s="797"/>
      <c r="AI1712" s="797"/>
      <c r="AJ1712" s="797"/>
      <c r="AK1712" s="797"/>
      <c r="AL1712" s="797"/>
      <c r="AM1712" s="797"/>
      <c r="AN1712" s="797"/>
      <c r="AO1712" s="797"/>
      <c r="AP1712" s="797"/>
      <c r="AQ1712" s="797"/>
      <c r="AR1712" s="797"/>
      <c r="AS1712" s="797"/>
      <c r="AT1712" s="797"/>
      <c r="AU1712" s="797"/>
      <c r="AV1712" s="797"/>
      <c r="AW1712" s="797"/>
      <c r="AX1712" s="797"/>
      <c r="AY1712" s="797"/>
      <c r="AZ1712" s="797"/>
      <c r="BA1712" s="797"/>
      <c r="BB1712" s="797"/>
      <c r="BC1712" s="797"/>
      <c r="BD1712" s="797"/>
      <c r="BE1712" s="797"/>
      <c r="BF1712" s="797"/>
      <c r="BG1712" s="797"/>
      <c r="BH1712" s="797"/>
      <c r="BI1712" s="797"/>
      <c r="BJ1712" s="797"/>
      <c r="BK1712" s="797"/>
      <c r="BL1712" s="797"/>
      <c r="BM1712" s="797"/>
      <c r="BN1712" s="797"/>
      <c r="BO1712" s="797"/>
      <c r="BP1712" s="797"/>
      <c r="BQ1712" s="797"/>
      <c r="BR1712" s="797"/>
      <c r="BS1712" s="797"/>
      <c r="BT1712" s="797"/>
      <c r="BU1712" s="797"/>
      <c r="BV1712" s="797"/>
      <c r="BW1712" s="797"/>
      <c r="BX1712" s="797"/>
      <c r="BY1712" s="797"/>
      <c r="BZ1712" s="797"/>
      <c r="CA1712" s="797"/>
      <c r="CB1712" s="797"/>
      <c r="CC1712" s="797"/>
      <c r="CD1712" s="797"/>
      <c r="CE1712" s="797"/>
      <c r="CF1712" s="797"/>
      <c r="CG1712" s="797"/>
      <c r="CH1712" s="797"/>
      <c r="CI1712" s="797"/>
      <c r="CJ1712" s="797"/>
      <c r="CK1712" s="797"/>
      <c r="CL1712" s="797"/>
      <c r="CM1712" s="797"/>
      <c r="CN1712" s="797"/>
      <c r="CO1712" s="797"/>
      <c r="CP1712" s="797"/>
      <c r="CQ1712" s="797"/>
      <c r="CR1712" s="797"/>
      <c r="CS1712" s="797"/>
      <c r="CT1712" s="797"/>
      <c r="CU1712" s="797"/>
      <c r="CV1712" s="797"/>
      <c r="CW1712" s="797"/>
      <c r="CX1712" s="797"/>
      <c r="CY1712" s="797"/>
      <c r="CZ1712" s="797"/>
      <c r="DA1712" s="797"/>
      <c r="DB1712" s="797"/>
      <c r="DC1712" s="797"/>
      <c r="DD1712" s="797"/>
      <c r="DE1712" s="797"/>
      <c r="DF1712" s="797"/>
      <c r="DG1712" s="797"/>
      <c r="DH1712" s="797"/>
      <c r="DI1712" s="797"/>
      <c r="DJ1712" s="797"/>
      <c r="DK1712" s="797"/>
      <c r="DL1712" s="797"/>
      <c r="DM1712" s="797"/>
      <c r="DN1712" s="797"/>
      <c r="DO1712" s="797"/>
      <c r="DP1712" s="797"/>
      <c r="DQ1712" s="797"/>
      <c r="DR1712" s="797"/>
      <c r="DS1712" s="797"/>
      <c r="DT1712" s="797"/>
      <c r="DU1712" s="797"/>
      <c r="DV1712" s="797"/>
      <c r="DW1712" s="797"/>
      <c r="DX1712" s="797"/>
      <c r="DY1712" s="797"/>
      <c r="DZ1712" s="797"/>
      <c r="EA1712" s="797"/>
      <c r="EB1712" s="797"/>
      <c r="EC1712" s="797"/>
      <c r="ED1712" s="797"/>
      <c r="EE1712" s="797"/>
      <c r="EF1712" s="797"/>
      <c r="EG1712" s="797"/>
      <c r="EH1712" s="797"/>
      <c r="EI1712" s="797"/>
      <c r="EJ1712" s="797"/>
      <c r="EK1712" s="797"/>
      <c r="EL1712" s="797"/>
      <c r="EM1712" s="797"/>
      <c r="EN1712" s="797"/>
      <c r="EO1712" s="797"/>
      <c r="EP1712" s="797"/>
      <c r="EQ1712" s="797"/>
      <c r="ER1712" s="797"/>
      <c r="ES1712" s="797"/>
      <c r="ET1712" s="797"/>
      <c r="EU1712" s="797"/>
      <c r="EV1712" s="797"/>
      <c r="EW1712" s="797"/>
      <c r="EX1712" s="797"/>
      <c r="EY1712" s="797"/>
      <c r="EZ1712" s="797"/>
      <c r="FA1712" s="797"/>
      <c r="FB1712" s="797"/>
      <c r="FC1712" s="797"/>
      <c r="FD1712" s="797"/>
      <c r="FE1712" s="797"/>
      <c r="FF1712" s="797"/>
      <c r="FG1712" s="797"/>
      <c r="FH1712" s="797"/>
      <c r="FI1712" s="797"/>
      <c r="FJ1712" s="797"/>
      <c r="FK1712" s="797"/>
      <c r="FL1712" s="797"/>
      <c r="FM1712" s="797"/>
      <c r="FN1712" s="797"/>
      <c r="FO1712" s="797"/>
      <c r="FP1712" s="797"/>
      <c r="FQ1712" s="797"/>
      <c r="FR1712" s="797"/>
      <c r="FS1712" s="797"/>
      <c r="FT1712" s="797"/>
      <c r="FU1712" s="797"/>
      <c r="FV1712" s="797"/>
      <c r="FW1712" s="797"/>
      <c r="FX1712" s="797"/>
      <c r="FY1712" s="797"/>
      <c r="FZ1712" s="797"/>
      <c r="GA1712" s="797"/>
      <c r="GB1712" s="797"/>
      <c r="GC1712" s="797"/>
      <c r="GD1712" s="797"/>
      <c r="GE1712" s="797"/>
      <c r="GF1712" s="797"/>
      <c r="GG1712" s="797"/>
      <c r="GH1712" s="797"/>
      <c r="GI1712" s="797"/>
      <c r="GJ1712" s="797"/>
      <c r="GK1712" s="797"/>
      <c r="GL1712" s="797"/>
      <c r="GM1712" s="797"/>
      <c r="GN1712" s="797"/>
      <c r="GO1712" s="797"/>
      <c r="GP1712" s="797"/>
      <c r="GQ1712" s="797"/>
      <c r="GR1712" s="797"/>
      <c r="GS1712" s="797"/>
      <c r="GT1712" s="797"/>
      <c r="GU1712" s="797"/>
      <c r="GV1712" s="797"/>
      <c r="GW1712" s="797"/>
      <c r="GX1712" s="797"/>
      <c r="GY1712" s="797"/>
      <c r="GZ1712" s="797"/>
      <c r="HA1712" s="797"/>
      <c r="HB1712" s="797"/>
      <c r="HC1712" s="797"/>
      <c r="HD1712" s="797"/>
      <c r="HE1712" s="797"/>
      <c r="HF1712" s="797"/>
      <c r="HG1712" s="797"/>
      <c r="HH1712" s="797"/>
      <c r="HI1712" s="797"/>
      <c r="HJ1712" s="797"/>
      <c r="HK1712" s="797"/>
      <c r="HL1712" s="797"/>
      <c r="HM1712" s="797"/>
      <c r="HN1712" s="797"/>
      <c r="HO1712" s="797"/>
      <c r="HP1712" s="797"/>
      <c r="HQ1712" s="797"/>
      <c r="HR1712" s="797"/>
      <c r="HS1712" s="797"/>
      <c r="HT1712" s="797"/>
      <c r="HU1712" s="797"/>
      <c r="HV1712" s="797"/>
      <c r="HW1712" s="797"/>
      <c r="HX1712" s="797"/>
      <c r="HY1712" s="797"/>
      <c r="HZ1712" s="797"/>
      <c r="IA1712" s="797"/>
      <c r="IB1712" s="797"/>
      <c r="IC1712" s="797"/>
      <c r="ID1712" s="797"/>
      <c r="IE1712" s="797"/>
      <c r="IF1712" s="797"/>
      <c r="IG1712" s="797"/>
      <c r="IH1712" s="797"/>
      <c r="II1712" s="797"/>
      <c r="IJ1712" s="797"/>
      <c r="IK1712" s="797"/>
      <c r="IL1712" s="797"/>
      <c r="IM1712" s="797"/>
      <c r="IN1712" s="797"/>
      <c r="IO1712" s="797"/>
      <c r="IP1712" s="797"/>
      <c r="IQ1712" s="797"/>
      <c r="IR1712" s="797"/>
      <c r="IS1712" s="797"/>
      <c r="IT1712" s="797"/>
      <c r="IU1712" s="797"/>
    </row>
    <row r="1713" spans="1:255" s="359" customFormat="1" ht="27" hidden="1" customHeight="1">
      <c r="A1713" s="336"/>
      <c r="B1713" s="543"/>
      <c r="C1713" s="335" t="s">
        <v>1351</v>
      </c>
      <c r="D1713" s="486" t="s">
        <v>88</v>
      </c>
      <c r="E1713" s="856">
        <v>0.23400000000000001</v>
      </c>
      <c r="F1713" s="389">
        <f>F1708*E1713</f>
        <v>0</v>
      </c>
      <c r="G1713" s="389">
        <v>300</v>
      </c>
      <c r="H1713" s="389">
        <f t="shared" si="31"/>
        <v>0</v>
      </c>
      <c r="I1713" s="389"/>
      <c r="J1713" s="389"/>
      <c r="K1713" s="389"/>
      <c r="L1713" s="389"/>
      <c r="M1713" s="389">
        <f t="shared" si="32"/>
        <v>0</v>
      </c>
      <c r="N1713" s="358"/>
      <c r="O1713" s="797"/>
      <c r="P1713" s="798"/>
      <c r="Q1713" s="798"/>
      <c r="R1713" s="798"/>
      <c r="S1713" s="798"/>
      <c r="T1713" s="798"/>
      <c r="U1713" s="798"/>
      <c r="V1713" s="798"/>
      <c r="W1713" s="798"/>
      <c r="X1713" s="798"/>
      <c r="Y1713" s="798"/>
      <c r="Z1713" s="798"/>
      <c r="AA1713" s="797"/>
      <c r="AB1713" s="797"/>
      <c r="AC1713" s="797"/>
      <c r="AD1713" s="797"/>
      <c r="AE1713" s="797"/>
      <c r="AF1713" s="797"/>
      <c r="AG1713" s="797"/>
      <c r="AH1713" s="797"/>
      <c r="AI1713" s="797"/>
      <c r="AJ1713" s="797"/>
      <c r="AK1713" s="797"/>
      <c r="AL1713" s="797"/>
      <c r="AM1713" s="797"/>
      <c r="AN1713" s="797"/>
      <c r="AO1713" s="797"/>
      <c r="AP1713" s="797"/>
      <c r="AQ1713" s="797"/>
      <c r="AR1713" s="797"/>
      <c r="AS1713" s="797"/>
      <c r="AT1713" s="797"/>
      <c r="AU1713" s="797"/>
      <c r="AV1713" s="797"/>
      <c r="AW1713" s="797"/>
      <c r="AX1713" s="797"/>
      <c r="AY1713" s="797"/>
      <c r="AZ1713" s="797"/>
      <c r="BA1713" s="797"/>
      <c r="BB1713" s="797"/>
      <c r="BC1713" s="797"/>
      <c r="BD1713" s="797"/>
      <c r="BE1713" s="797"/>
      <c r="BF1713" s="797"/>
      <c r="BG1713" s="797"/>
      <c r="BH1713" s="797"/>
      <c r="BI1713" s="797"/>
      <c r="BJ1713" s="797"/>
      <c r="BK1713" s="797"/>
      <c r="BL1713" s="797"/>
      <c r="BM1713" s="797"/>
      <c r="BN1713" s="797"/>
      <c r="BO1713" s="797"/>
      <c r="BP1713" s="797"/>
      <c r="BQ1713" s="797"/>
      <c r="BR1713" s="797"/>
      <c r="BS1713" s="797"/>
      <c r="BT1713" s="797"/>
      <c r="BU1713" s="797"/>
      <c r="BV1713" s="797"/>
      <c r="BW1713" s="797"/>
      <c r="BX1713" s="797"/>
      <c r="BY1713" s="797"/>
      <c r="BZ1713" s="797"/>
      <c r="CA1713" s="797"/>
      <c r="CB1713" s="797"/>
      <c r="CC1713" s="797"/>
      <c r="CD1713" s="797"/>
      <c r="CE1713" s="797"/>
      <c r="CF1713" s="797"/>
      <c r="CG1713" s="797"/>
      <c r="CH1713" s="797"/>
      <c r="CI1713" s="797"/>
      <c r="CJ1713" s="797"/>
      <c r="CK1713" s="797"/>
      <c r="CL1713" s="797"/>
      <c r="CM1713" s="797"/>
      <c r="CN1713" s="797"/>
      <c r="CO1713" s="797"/>
      <c r="CP1713" s="797"/>
      <c r="CQ1713" s="797"/>
      <c r="CR1713" s="797"/>
      <c r="CS1713" s="797"/>
      <c r="CT1713" s="797"/>
      <c r="CU1713" s="797"/>
      <c r="CV1713" s="797"/>
      <c r="CW1713" s="797"/>
      <c r="CX1713" s="797"/>
      <c r="CY1713" s="797"/>
      <c r="CZ1713" s="797"/>
      <c r="DA1713" s="797"/>
      <c r="DB1713" s="797"/>
      <c r="DC1713" s="797"/>
      <c r="DD1713" s="797"/>
      <c r="DE1713" s="797"/>
      <c r="DF1713" s="797"/>
      <c r="DG1713" s="797"/>
      <c r="DH1713" s="797"/>
      <c r="DI1713" s="797"/>
      <c r="DJ1713" s="797"/>
      <c r="DK1713" s="797"/>
      <c r="DL1713" s="797"/>
      <c r="DM1713" s="797"/>
      <c r="DN1713" s="797"/>
      <c r="DO1713" s="797"/>
      <c r="DP1713" s="797"/>
      <c r="DQ1713" s="797"/>
      <c r="DR1713" s="797"/>
      <c r="DS1713" s="797"/>
      <c r="DT1713" s="797"/>
      <c r="DU1713" s="797"/>
      <c r="DV1713" s="797"/>
      <c r="DW1713" s="797"/>
      <c r="DX1713" s="797"/>
      <c r="DY1713" s="797"/>
      <c r="DZ1713" s="797"/>
      <c r="EA1713" s="797"/>
      <c r="EB1713" s="797"/>
      <c r="EC1713" s="797"/>
      <c r="ED1713" s="797"/>
      <c r="EE1713" s="797"/>
      <c r="EF1713" s="797"/>
      <c r="EG1713" s="797"/>
      <c r="EH1713" s="797"/>
      <c r="EI1713" s="797"/>
      <c r="EJ1713" s="797"/>
      <c r="EK1713" s="797"/>
      <c r="EL1713" s="797"/>
      <c r="EM1713" s="797"/>
      <c r="EN1713" s="797"/>
      <c r="EO1713" s="797"/>
      <c r="EP1713" s="797"/>
      <c r="EQ1713" s="797"/>
      <c r="ER1713" s="797"/>
      <c r="ES1713" s="797"/>
      <c r="ET1713" s="797"/>
      <c r="EU1713" s="797"/>
      <c r="EV1713" s="797"/>
      <c r="EW1713" s="797"/>
      <c r="EX1713" s="797"/>
      <c r="EY1713" s="797"/>
      <c r="EZ1713" s="797"/>
      <c r="FA1713" s="797"/>
      <c r="FB1713" s="797"/>
      <c r="FC1713" s="797"/>
      <c r="FD1713" s="797"/>
      <c r="FE1713" s="797"/>
      <c r="FF1713" s="797"/>
      <c r="FG1713" s="797"/>
      <c r="FH1713" s="797"/>
      <c r="FI1713" s="797"/>
      <c r="FJ1713" s="797"/>
      <c r="FK1713" s="797"/>
      <c r="FL1713" s="797"/>
      <c r="FM1713" s="797"/>
      <c r="FN1713" s="797"/>
      <c r="FO1713" s="797"/>
      <c r="FP1713" s="797"/>
      <c r="FQ1713" s="797"/>
      <c r="FR1713" s="797"/>
      <c r="FS1713" s="797"/>
      <c r="FT1713" s="797"/>
      <c r="FU1713" s="797"/>
      <c r="FV1713" s="797"/>
      <c r="FW1713" s="797"/>
      <c r="FX1713" s="797"/>
      <c r="FY1713" s="797"/>
      <c r="FZ1713" s="797"/>
      <c r="GA1713" s="797"/>
      <c r="GB1713" s="797"/>
      <c r="GC1713" s="797"/>
      <c r="GD1713" s="797"/>
      <c r="GE1713" s="797"/>
      <c r="GF1713" s="797"/>
      <c r="GG1713" s="797"/>
      <c r="GH1713" s="797"/>
      <c r="GI1713" s="797"/>
      <c r="GJ1713" s="797"/>
      <c r="GK1713" s="797"/>
      <c r="GL1713" s="797"/>
      <c r="GM1713" s="797"/>
      <c r="GN1713" s="797"/>
      <c r="GO1713" s="797"/>
      <c r="GP1713" s="797"/>
      <c r="GQ1713" s="797"/>
      <c r="GR1713" s="797"/>
      <c r="GS1713" s="797"/>
      <c r="GT1713" s="797"/>
      <c r="GU1713" s="797"/>
      <c r="GV1713" s="797"/>
      <c r="GW1713" s="797"/>
      <c r="GX1713" s="797"/>
      <c r="GY1713" s="797"/>
      <c r="GZ1713" s="797"/>
      <c r="HA1713" s="797"/>
      <c r="HB1713" s="797"/>
      <c r="HC1713" s="797"/>
      <c r="HD1713" s="797"/>
      <c r="HE1713" s="797"/>
      <c r="HF1713" s="797"/>
      <c r="HG1713" s="797"/>
      <c r="HH1713" s="797"/>
      <c r="HI1713" s="797"/>
      <c r="HJ1713" s="797"/>
      <c r="HK1713" s="797"/>
      <c r="HL1713" s="797"/>
      <c r="HM1713" s="797"/>
      <c r="HN1713" s="797"/>
      <c r="HO1713" s="797"/>
      <c r="HP1713" s="797"/>
      <c r="HQ1713" s="797"/>
      <c r="HR1713" s="797"/>
      <c r="HS1713" s="797"/>
      <c r="HT1713" s="797"/>
      <c r="HU1713" s="797"/>
      <c r="HV1713" s="797"/>
      <c r="HW1713" s="797"/>
      <c r="HX1713" s="797"/>
      <c r="HY1713" s="797"/>
      <c r="HZ1713" s="797"/>
      <c r="IA1713" s="797"/>
      <c r="IB1713" s="797"/>
      <c r="IC1713" s="797"/>
      <c r="ID1713" s="797"/>
      <c r="IE1713" s="797"/>
      <c r="IF1713" s="797"/>
      <c r="IG1713" s="797"/>
      <c r="IH1713" s="797"/>
      <c r="II1713" s="797"/>
      <c r="IJ1713" s="797"/>
      <c r="IK1713" s="797"/>
      <c r="IL1713" s="797"/>
      <c r="IM1713" s="797"/>
      <c r="IN1713" s="797"/>
      <c r="IO1713" s="797"/>
      <c r="IP1713" s="797"/>
      <c r="IQ1713" s="797"/>
      <c r="IR1713" s="797"/>
      <c r="IS1713" s="797"/>
      <c r="IT1713" s="797"/>
      <c r="IU1713" s="797"/>
    </row>
    <row r="1714" spans="1:255" s="359" customFormat="1" ht="13.5" hidden="1" customHeight="1">
      <c r="A1714" s="336"/>
      <c r="B1714" s="543"/>
      <c r="C1714" s="335" t="s">
        <v>296</v>
      </c>
      <c r="D1714" s="486" t="s">
        <v>88</v>
      </c>
      <c r="E1714" s="863">
        <v>0.127</v>
      </c>
      <c r="F1714" s="614">
        <f>F1708*E1714</f>
        <v>0</v>
      </c>
      <c r="G1714" s="389">
        <v>93</v>
      </c>
      <c r="H1714" s="389">
        <f t="shared" si="31"/>
        <v>0</v>
      </c>
      <c r="I1714" s="389"/>
      <c r="J1714" s="389"/>
      <c r="K1714" s="389"/>
      <c r="L1714" s="389"/>
      <c r="M1714" s="389">
        <f t="shared" si="32"/>
        <v>0</v>
      </c>
      <c r="N1714" s="358"/>
      <c r="O1714" s="797"/>
      <c r="P1714" s="798"/>
      <c r="Q1714" s="798"/>
      <c r="R1714" s="798"/>
      <c r="S1714" s="798"/>
      <c r="T1714" s="798"/>
      <c r="U1714" s="798"/>
      <c r="V1714" s="798"/>
      <c r="W1714" s="798"/>
      <c r="X1714" s="798"/>
      <c r="Y1714" s="798"/>
      <c r="Z1714" s="798"/>
      <c r="AA1714" s="797"/>
      <c r="AB1714" s="797"/>
      <c r="AC1714" s="797"/>
      <c r="AD1714" s="797"/>
      <c r="AE1714" s="797"/>
      <c r="AF1714" s="797"/>
      <c r="AG1714" s="797"/>
      <c r="AH1714" s="797"/>
      <c r="AI1714" s="797"/>
      <c r="AJ1714" s="797"/>
      <c r="AK1714" s="797"/>
      <c r="AL1714" s="797"/>
      <c r="AM1714" s="797"/>
      <c r="AN1714" s="797"/>
      <c r="AO1714" s="797"/>
      <c r="AP1714" s="797"/>
      <c r="AQ1714" s="797"/>
      <c r="AR1714" s="797"/>
      <c r="AS1714" s="797"/>
      <c r="AT1714" s="797"/>
      <c r="AU1714" s="797"/>
      <c r="AV1714" s="797"/>
      <c r="AW1714" s="797"/>
      <c r="AX1714" s="797"/>
      <c r="AY1714" s="797"/>
      <c r="AZ1714" s="797"/>
      <c r="BA1714" s="797"/>
      <c r="BB1714" s="797"/>
      <c r="BC1714" s="797"/>
      <c r="BD1714" s="797"/>
      <c r="BE1714" s="797"/>
      <c r="BF1714" s="797"/>
      <c r="BG1714" s="797"/>
      <c r="BH1714" s="797"/>
      <c r="BI1714" s="797"/>
      <c r="BJ1714" s="797"/>
      <c r="BK1714" s="797"/>
      <c r="BL1714" s="797"/>
      <c r="BM1714" s="797"/>
      <c r="BN1714" s="797"/>
      <c r="BO1714" s="797"/>
      <c r="BP1714" s="797"/>
      <c r="BQ1714" s="797"/>
      <c r="BR1714" s="797"/>
      <c r="BS1714" s="797"/>
      <c r="BT1714" s="797"/>
      <c r="BU1714" s="797"/>
      <c r="BV1714" s="797"/>
      <c r="BW1714" s="797"/>
      <c r="BX1714" s="797"/>
      <c r="BY1714" s="797"/>
      <c r="BZ1714" s="797"/>
      <c r="CA1714" s="797"/>
      <c r="CB1714" s="797"/>
      <c r="CC1714" s="797"/>
      <c r="CD1714" s="797"/>
      <c r="CE1714" s="797"/>
      <c r="CF1714" s="797"/>
      <c r="CG1714" s="797"/>
      <c r="CH1714" s="797"/>
      <c r="CI1714" s="797"/>
      <c r="CJ1714" s="797"/>
      <c r="CK1714" s="797"/>
      <c r="CL1714" s="797"/>
      <c r="CM1714" s="797"/>
      <c r="CN1714" s="797"/>
      <c r="CO1714" s="797"/>
      <c r="CP1714" s="797"/>
      <c r="CQ1714" s="797"/>
      <c r="CR1714" s="797"/>
      <c r="CS1714" s="797"/>
      <c r="CT1714" s="797"/>
      <c r="CU1714" s="797"/>
      <c r="CV1714" s="797"/>
      <c r="CW1714" s="797"/>
      <c r="CX1714" s="797"/>
      <c r="CY1714" s="797"/>
      <c r="CZ1714" s="797"/>
      <c r="DA1714" s="797"/>
      <c r="DB1714" s="797"/>
      <c r="DC1714" s="797"/>
      <c r="DD1714" s="797"/>
      <c r="DE1714" s="797"/>
      <c r="DF1714" s="797"/>
      <c r="DG1714" s="797"/>
      <c r="DH1714" s="797"/>
      <c r="DI1714" s="797"/>
      <c r="DJ1714" s="797"/>
      <c r="DK1714" s="797"/>
      <c r="DL1714" s="797"/>
      <c r="DM1714" s="797"/>
      <c r="DN1714" s="797"/>
      <c r="DO1714" s="797"/>
      <c r="DP1714" s="797"/>
      <c r="DQ1714" s="797"/>
      <c r="DR1714" s="797"/>
      <c r="DS1714" s="797"/>
      <c r="DT1714" s="797"/>
      <c r="DU1714" s="797"/>
      <c r="DV1714" s="797"/>
      <c r="DW1714" s="797"/>
      <c r="DX1714" s="797"/>
      <c r="DY1714" s="797"/>
      <c r="DZ1714" s="797"/>
      <c r="EA1714" s="797"/>
      <c r="EB1714" s="797"/>
      <c r="EC1714" s="797"/>
      <c r="ED1714" s="797"/>
      <c r="EE1714" s="797"/>
      <c r="EF1714" s="797"/>
      <c r="EG1714" s="797"/>
      <c r="EH1714" s="797"/>
      <c r="EI1714" s="797"/>
      <c r="EJ1714" s="797"/>
      <c r="EK1714" s="797"/>
      <c r="EL1714" s="797"/>
      <c r="EM1714" s="797"/>
      <c r="EN1714" s="797"/>
      <c r="EO1714" s="797"/>
      <c r="EP1714" s="797"/>
      <c r="EQ1714" s="797"/>
      <c r="ER1714" s="797"/>
      <c r="ES1714" s="797"/>
      <c r="ET1714" s="797"/>
      <c r="EU1714" s="797"/>
      <c r="EV1714" s="797"/>
      <c r="EW1714" s="797"/>
      <c r="EX1714" s="797"/>
      <c r="EY1714" s="797"/>
      <c r="EZ1714" s="797"/>
      <c r="FA1714" s="797"/>
      <c r="FB1714" s="797"/>
      <c r="FC1714" s="797"/>
      <c r="FD1714" s="797"/>
      <c r="FE1714" s="797"/>
      <c r="FF1714" s="797"/>
      <c r="FG1714" s="797"/>
      <c r="FH1714" s="797"/>
      <c r="FI1714" s="797"/>
      <c r="FJ1714" s="797"/>
      <c r="FK1714" s="797"/>
      <c r="FL1714" s="797"/>
      <c r="FM1714" s="797"/>
      <c r="FN1714" s="797"/>
      <c r="FO1714" s="797"/>
      <c r="FP1714" s="797"/>
      <c r="FQ1714" s="797"/>
      <c r="FR1714" s="797"/>
      <c r="FS1714" s="797"/>
      <c r="FT1714" s="797"/>
      <c r="FU1714" s="797"/>
      <c r="FV1714" s="797"/>
      <c r="FW1714" s="797"/>
      <c r="FX1714" s="797"/>
      <c r="FY1714" s="797"/>
      <c r="FZ1714" s="797"/>
      <c r="GA1714" s="797"/>
      <c r="GB1714" s="797"/>
      <c r="GC1714" s="797"/>
      <c r="GD1714" s="797"/>
      <c r="GE1714" s="797"/>
      <c r="GF1714" s="797"/>
      <c r="GG1714" s="797"/>
      <c r="GH1714" s="797"/>
      <c r="GI1714" s="797"/>
      <c r="GJ1714" s="797"/>
      <c r="GK1714" s="797"/>
      <c r="GL1714" s="797"/>
      <c r="GM1714" s="797"/>
      <c r="GN1714" s="797"/>
      <c r="GO1714" s="797"/>
      <c r="GP1714" s="797"/>
      <c r="GQ1714" s="797"/>
      <c r="GR1714" s="797"/>
      <c r="GS1714" s="797"/>
      <c r="GT1714" s="797"/>
      <c r="GU1714" s="797"/>
      <c r="GV1714" s="797"/>
      <c r="GW1714" s="797"/>
      <c r="GX1714" s="797"/>
      <c r="GY1714" s="797"/>
      <c r="GZ1714" s="797"/>
      <c r="HA1714" s="797"/>
      <c r="HB1714" s="797"/>
      <c r="HC1714" s="797"/>
      <c r="HD1714" s="797"/>
      <c r="HE1714" s="797"/>
      <c r="HF1714" s="797"/>
      <c r="HG1714" s="797"/>
      <c r="HH1714" s="797"/>
      <c r="HI1714" s="797"/>
      <c r="HJ1714" s="797"/>
      <c r="HK1714" s="797"/>
      <c r="HL1714" s="797"/>
      <c r="HM1714" s="797"/>
      <c r="HN1714" s="797"/>
      <c r="HO1714" s="797"/>
      <c r="HP1714" s="797"/>
      <c r="HQ1714" s="797"/>
      <c r="HR1714" s="797"/>
      <c r="HS1714" s="797"/>
      <c r="HT1714" s="797"/>
      <c r="HU1714" s="797"/>
      <c r="HV1714" s="797"/>
      <c r="HW1714" s="797"/>
      <c r="HX1714" s="797"/>
      <c r="HY1714" s="797"/>
      <c r="HZ1714" s="797"/>
      <c r="IA1714" s="797"/>
      <c r="IB1714" s="797"/>
      <c r="IC1714" s="797"/>
      <c r="ID1714" s="797"/>
      <c r="IE1714" s="797"/>
      <c r="IF1714" s="797"/>
      <c r="IG1714" s="797"/>
      <c r="IH1714" s="797"/>
      <c r="II1714" s="797"/>
      <c r="IJ1714" s="797"/>
      <c r="IK1714" s="797"/>
      <c r="IL1714" s="797"/>
      <c r="IM1714" s="797"/>
      <c r="IN1714" s="797"/>
      <c r="IO1714" s="797"/>
      <c r="IP1714" s="797"/>
      <c r="IQ1714" s="797"/>
      <c r="IR1714" s="797"/>
      <c r="IS1714" s="797"/>
      <c r="IT1714" s="797"/>
      <c r="IU1714" s="797"/>
    </row>
    <row r="1715" spans="1:255" s="359" customFormat="1" hidden="1">
      <c r="A1715" s="336"/>
      <c r="B1715" s="543"/>
      <c r="C1715" s="335" t="s">
        <v>422</v>
      </c>
      <c r="D1715" s="486" t="s">
        <v>88</v>
      </c>
      <c r="E1715" s="863">
        <v>0.77500000000000002</v>
      </c>
      <c r="F1715" s="614">
        <f>F1708*E1715</f>
        <v>0</v>
      </c>
      <c r="G1715" s="389">
        <v>96</v>
      </c>
      <c r="H1715" s="389">
        <f t="shared" si="31"/>
        <v>0</v>
      </c>
      <c r="I1715" s="389"/>
      <c r="J1715" s="389"/>
      <c r="K1715" s="389"/>
      <c r="L1715" s="389"/>
      <c r="M1715" s="389">
        <f t="shared" si="32"/>
        <v>0</v>
      </c>
      <c r="N1715" s="358"/>
      <c r="O1715" s="797"/>
      <c r="P1715" s="798"/>
      <c r="Q1715" s="798"/>
      <c r="R1715" s="798"/>
      <c r="S1715" s="798"/>
      <c r="T1715" s="798"/>
      <c r="U1715" s="798"/>
      <c r="V1715" s="798"/>
      <c r="W1715" s="798"/>
      <c r="X1715" s="798"/>
      <c r="Y1715" s="798"/>
      <c r="Z1715" s="798"/>
      <c r="AA1715" s="797"/>
      <c r="AB1715" s="797"/>
      <c r="AC1715" s="797"/>
      <c r="AD1715" s="797"/>
      <c r="AE1715" s="797"/>
      <c r="AF1715" s="797"/>
      <c r="AG1715" s="797"/>
      <c r="AH1715" s="797"/>
      <c r="AI1715" s="797"/>
      <c r="AJ1715" s="797"/>
      <c r="AK1715" s="797"/>
      <c r="AL1715" s="797"/>
      <c r="AM1715" s="797"/>
      <c r="AN1715" s="797"/>
      <c r="AO1715" s="797"/>
      <c r="AP1715" s="797"/>
      <c r="AQ1715" s="797"/>
      <c r="AR1715" s="797"/>
      <c r="AS1715" s="797"/>
      <c r="AT1715" s="797"/>
      <c r="AU1715" s="797"/>
      <c r="AV1715" s="797"/>
      <c r="AW1715" s="797"/>
      <c r="AX1715" s="797"/>
      <c r="AY1715" s="797"/>
      <c r="AZ1715" s="797"/>
      <c r="BA1715" s="797"/>
      <c r="BB1715" s="797"/>
      <c r="BC1715" s="797"/>
      <c r="BD1715" s="797"/>
      <c r="BE1715" s="797"/>
      <c r="BF1715" s="797"/>
      <c r="BG1715" s="797"/>
      <c r="BH1715" s="797"/>
      <c r="BI1715" s="797"/>
      <c r="BJ1715" s="797"/>
      <c r="BK1715" s="797"/>
      <c r="BL1715" s="797"/>
      <c r="BM1715" s="797"/>
      <c r="BN1715" s="797"/>
      <c r="BO1715" s="797"/>
      <c r="BP1715" s="797"/>
      <c r="BQ1715" s="797"/>
      <c r="BR1715" s="797"/>
      <c r="BS1715" s="797"/>
      <c r="BT1715" s="797"/>
      <c r="BU1715" s="797"/>
      <c r="BV1715" s="797"/>
      <c r="BW1715" s="797"/>
      <c r="BX1715" s="797"/>
      <c r="BY1715" s="797"/>
      <c r="BZ1715" s="797"/>
      <c r="CA1715" s="797"/>
      <c r="CB1715" s="797"/>
      <c r="CC1715" s="797"/>
      <c r="CD1715" s="797"/>
      <c r="CE1715" s="797"/>
      <c r="CF1715" s="797"/>
      <c r="CG1715" s="797"/>
      <c r="CH1715" s="797"/>
      <c r="CI1715" s="797"/>
      <c r="CJ1715" s="797"/>
      <c r="CK1715" s="797"/>
      <c r="CL1715" s="797"/>
      <c r="CM1715" s="797"/>
      <c r="CN1715" s="797"/>
      <c r="CO1715" s="797"/>
      <c r="CP1715" s="797"/>
      <c r="CQ1715" s="797"/>
      <c r="CR1715" s="797"/>
      <c r="CS1715" s="797"/>
      <c r="CT1715" s="797"/>
      <c r="CU1715" s="797"/>
      <c r="CV1715" s="797"/>
      <c r="CW1715" s="797"/>
      <c r="CX1715" s="797"/>
      <c r="CY1715" s="797"/>
      <c r="CZ1715" s="797"/>
      <c r="DA1715" s="797"/>
      <c r="DB1715" s="797"/>
      <c r="DC1715" s="797"/>
      <c r="DD1715" s="797"/>
      <c r="DE1715" s="797"/>
      <c r="DF1715" s="797"/>
      <c r="DG1715" s="797"/>
      <c r="DH1715" s="797"/>
      <c r="DI1715" s="797"/>
      <c r="DJ1715" s="797"/>
      <c r="DK1715" s="797"/>
      <c r="DL1715" s="797"/>
      <c r="DM1715" s="797"/>
      <c r="DN1715" s="797"/>
      <c r="DO1715" s="797"/>
      <c r="DP1715" s="797"/>
      <c r="DQ1715" s="797"/>
      <c r="DR1715" s="797"/>
      <c r="DS1715" s="797"/>
      <c r="DT1715" s="797"/>
      <c r="DU1715" s="797"/>
      <c r="DV1715" s="797"/>
      <c r="DW1715" s="797"/>
      <c r="DX1715" s="797"/>
      <c r="DY1715" s="797"/>
      <c r="DZ1715" s="797"/>
      <c r="EA1715" s="797"/>
      <c r="EB1715" s="797"/>
      <c r="EC1715" s="797"/>
      <c r="ED1715" s="797"/>
      <c r="EE1715" s="797"/>
      <c r="EF1715" s="797"/>
      <c r="EG1715" s="797"/>
      <c r="EH1715" s="797"/>
      <c r="EI1715" s="797"/>
      <c r="EJ1715" s="797"/>
      <c r="EK1715" s="797"/>
      <c r="EL1715" s="797"/>
      <c r="EM1715" s="797"/>
      <c r="EN1715" s="797"/>
      <c r="EO1715" s="797"/>
      <c r="EP1715" s="797"/>
      <c r="EQ1715" s="797"/>
      <c r="ER1715" s="797"/>
      <c r="ES1715" s="797"/>
      <c r="ET1715" s="797"/>
      <c r="EU1715" s="797"/>
      <c r="EV1715" s="797"/>
      <c r="EW1715" s="797"/>
      <c r="EX1715" s="797"/>
      <c r="EY1715" s="797"/>
      <c r="EZ1715" s="797"/>
      <c r="FA1715" s="797"/>
      <c r="FB1715" s="797"/>
      <c r="FC1715" s="797"/>
      <c r="FD1715" s="797"/>
      <c r="FE1715" s="797"/>
      <c r="FF1715" s="797"/>
      <c r="FG1715" s="797"/>
      <c r="FH1715" s="797"/>
      <c r="FI1715" s="797"/>
      <c r="FJ1715" s="797"/>
      <c r="FK1715" s="797"/>
      <c r="FL1715" s="797"/>
      <c r="FM1715" s="797"/>
      <c r="FN1715" s="797"/>
      <c r="FO1715" s="797"/>
      <c r="FP1715" s="797"/>
      <c r="FQ1715" s="797"/>
      <c r="FR1715" s="797"/>
      <c r="FS1715" s="797"/>
      <c r="FT1715" s="797"/>
      <c r="FU1715" s="797"/>
      <c r="FV1715" s="797"/>
      <c r="FW1715" s="797"/>
      <c r="FX1715" s="797"/>
      <c r="FY1715" s="797"/>
      <c r="FZ1715" s="797"/>
      <c r="GA1715" s="797"/>
      <c r="GB1715" s="797"/>
      <c r="GC1715" s="797"/>
      <c r="GD1715" s="797"/>
      <c r="GE1715" s="797"/>
      <c r="GF1715" s="797"/>
      <c r="GG1715" s="797"/>
      <c r="GH1715" s="797"/>
      <c r="GI1715" s="797"/>
      <c r="GJ1715" s="797"/>
      <c r="GK1715" s="797"/>
      <c r="GL1715" s="797"/>
      <c r="GM1715" s="797"/>
      <c r="GN1715" s="797"/>
      <c r="GO1715" s="797"/>
      <c r="GP1715" s="797"/>
      <c r="GQ1715" s="797"/>
      <c r="GR1715" s="797"/>
      <c r="GS1715" s="797"/>
      <c r="GT1715" s="797"/>
      <c r="GU1715" s="797"/>
      <c r="GV1715" s="797"/>
      <c r="GW1715" s="797"/>
      <c r="GX1715" s="797"/>
      <c r="GY1715" s="797"/>
      <c r="GZ1715" s="797"/>
      <c r="HA1715" s="797"/>
      <c r="HB1715" s="797"/>
      <c r="HC1715" s="797"/>
      <c r="HD1715" s="797"/>
      <c r="HE1715" s="797"/>
      <c r="HF1715" s="797"/>
      <c r="HG1715" s="797"/>
      <c r="HH1715" s="797"/>
      <c r="HI1715" s="797"/>
      <c r="HJ1715" s="797"/>
      <c r="HK1715" s="797"/>
      <c r="HL1715" s="797"/>
      <c r="HM1715" s="797"/>
      <c r="HN1715" s="797"/>
      <c r="HO1715" s="797"/>
      <c r="HP1715" s="797"/>
      <c r="HQ1715" s="797"/>
      <c r="HR1715" s="797"/>
      <c r="HS1715" s="797"/>
      <c r="HT1715" s="797"/>
      <c r="HU1715" s="797"/>
      <c r="HV1715" s="797"/>
      <c r="HW1715" s="797"/>
      <c r="HX1715" s="797"/>
      <c r="HY1715" s="797"/>
      <c r="HZ1715" s="797"/>
      <c r="IA1715" s="797"/>
      <c r="IB1715" s="797"/>
      <c r="IC1715" s="797"/>
      <c r="ID1715" s="797"/>
      <c r="IE1715" s="797"/>
      <c r="IF1715" s="797"/>
      <c r="IG1715" s="797"/>
      <c r="IH1715" s="797"/>
      <c r="II1715" s="797"/>
      <c r="IJ1715" s="797"/>
      <c r="IK1715" s="797"/>
      <c r="IL1715" s="797"/>
      <c r="IM1715" s="797"/>
      <c r="IN1715" s="797"/>
      <c r="IO1715" s="797"/>
      <c r="IP1715" s="797"/>
      <c r="IQ1715" s="797"/>
      <c r="IR1715" s="797"/>
      <c r="IS1715" s="797"/>
      <c r="IT1715" s="797"/>
      <c r="IU1715" s="797"/>
    </row>
    <row r="1716" spans="1:255" s="359" customFormat="1" hidden="1">
      <c r="A1716" s="336"/>
      <c r="B1716" s="543"/>
      <c r="C1716" s="335" t="s">
        <v>1343</v>
      </c>
      <c r="D1716" s="486" t="s">
        <v>97</v>
      </c>
      <c r="E1716" s="863">
        <v>47</v>
      </c>
      <c r="F1716" s="614">
        <f>F1708*E1716</f>
        <v>0</v>
      </c>
      <c r="G1716" s="927">
        <v>1.0189999999999999</v>
      </c>
      <c r="H1716" s="389">
        <f t="shared" si="31"/>
        <v>0</v>
      </c>
      <c r="I1716" s="389"/>
      <c r="J1716" s="389"/>
      <c r="K1716" s="389"/>
      <c r="L1716" s="389"/>
      <c r="M1716" s="389">
        <f t="shared" si="32"/>
        <v>0</v>
      </c>
      <c r="N1716" s="358"/>
      <c r="O1716" s="797"/>
      <c r="P1716" s="798"/>
      <c r="Q1716" s="798"/>
      <c r="R1716" s="798"/>
      <c r="S1716" s="798"/>
      <c r="T1716" s="798"/>
      <c r="U1716" s="798"/>
      <c r="V1716" s="798"/>
      <c r="W1716" s="798"/>
      <c r="X1716" s="798"/>
      <c r="Y1716" s="798"/>
      <c r="Z1716" s="798"/>
      <c r="AA1716" s="797"/>
      <c r="AB1716" s="797"/>
      <c r="AC1716" s="797"/>
      <c r="AD1716" s="797"/>
      <c r="AE1716" s="797"/>
      <c r="AF1716" s="797"/>
      <c r="AG1716" s="797"/>
      <c r="AH1716" s="797"/>
      <c r="AI1716" s="797"/>
      <c r="AJ1716" s="797"/>
      <c r="AK1716" s="797"/>
      <c r="AL1716" s="797"/>
      <c r="AM1716" s="797"/>
      <c r="AN1716" s="797"/>
      <c r="AO1716" s="797"/>
      <c r="AP1716" s="797"/>
      <c r="AQ1716" s="797"/>
      <c r="AR1716" s="797"/>
      <c r="AS1716" s="797"/>
      <c r="AT1716" s="797"/>
      <c r="AU1716" s="797"/>
      <c r="AV1716" s="797"/>
      <c r="AW1716" s="797"/>
      <c r="AX1716" s="797"/>
      <c r="AY1716" s="797"/>
      <c r="AZ1716" s="797"/>
      <c r="BA1716" s="797"/>
      <c r="BB1716" s="797"/>
      <c r="BC1716" s="797"/>
      <c r="BD1716" s="797"/>
      <c r="BE1716" s="797"/>
      <c r="BF1716" s="797"/>
      <c r="BG1716" s="797"/>
      <c r="BH1716" s="797"/>
      <c r="BI1716" s="797"/>
      <c r="BJ1716" s="797"/>
      <c r="BK1716" s="797"/>
      <c r="BL1716" s="797"/>
      <c r="BM1716" s="797"/>
      <c r="BN1716" s="797"/>
      <c r="BO1716" s="797"/>
      <c r="BP1716" s="797"/>
      <c r="BQ1716" s="797"/>
      <c r="BR1716" s="797"/>
      <c r="BS1716" s="797"/>
      <c r="BT1716" s="797"/>
      <c r="BU1716" s="797"/>
      <c r="BV1716" s="797"/>
      <c r="BW1716" s="797"/>
      <c r="BX1716" s="797"/>
      <c r="BY1716" s="797"/>
      <c r="BZ1716" s="797"/>
      <c r="CA1716" s="797"/>
      <c r="CB1716" s="797"/>
      <c r="CC1716" s="797"/>
      <c r="CD1716" s="797"/>
      <c r="CE1716" s="797"/>
      <c r="CF1716" s="797"/>
      <c r="CG1716" s="797"/>
      <c r="CH1716" s="797"/>
      <c r="CI1716" s="797"/>
      <c r="CJ1716" s="797"/>
      <c r="CK1716" s="797"/>
      <c r="CL1716" s="797"/>
      <c r="CM1716" s="797"/>
      <c r="CN1716" s="797"/>
      <c r="CO1716" s="797"/>
      <c r="CP1716" s="797"/>
      <c r="CQ1716" s="797"/>
      <c r="CR1716" s="797"/>
      <c r="CS1716" s="797"/>
      <c r="CT1716" s="797"/>
      <c r="CU1716" s="797"/>
      <c r="CV1716" s="797"/>
      <c r="CW1716" s="797"/>
      <c r="CX1716" s="797"/>
      <c r="CY1716" s="797"/>
      <c r="CZ1716" s="797"/>
      <c r="DA1716" s="797"/>
      <c r="DB1716" s="797"/>
      <c r="DC1716" s="797"/>
      <c r="DD1716" s="797"/>
      <c r="DE1716" s="797"/>
      <c r="DF1716" s="797"/>
      <c r="DG1716" s="797"/>
      <c r="DH1716" s="797"/>
      <c r="DI1716" s="797"/>
      <c r="DJ1716" s="797"/>
      <c r="DK1716" s="797"/>
      <c r="DL1716" s="797"/>
      <c r="DM1716" s="797"/>
      <c r="DN1716" s="797"/>
      <c r="DO1716" s="797"/>
      <c r="DP1716" s="797"/>
      <c r="DQ1716" s="797"/>
      <c r="DR1716" s="797"/>
      <c r="DS1716" s="797"/>
      <c r="DT1716" s="797"/>
      <c r="DU1716" s="797"/>
      <c r="DV1716" s="797"/>
      <c r="DW1716" s="797"/>
      <c r="DX1716" s="797"/>
      <c r="DY1716" s="797"/>
      <c r="DZ1716" s="797"/>
      <c r="EA1716" s="797"/>
      <c r="EB1716" s="797"/>
      <c r="EC1716" s="797"/>
      <c r="ED1716" s="797"/>
      <c r="EE1716" s="797"/>
      <c r="EF1716" s="797"/>
      <c r="EG1716" s="797"/>
      <c r="EH1716" s="797"/>
      <c r="EI1716" s="797"/>
      <c r="EJ1716" s="797"/>
      <c r="EK1716" s="797"/>
      <c r="EL1716" s="797"/>
      <c r="EM1716" s="797"/>
      <c r="EN1716" s="797"/>
      <c r="EO1716" s="797"/>
      <c r="EP1716" s="797"/>
      <c r="EQ1716" s="797"/>
      <c r="ER1716" s="797"/>
      <c r="ES1716" s="797"/>
      <c r="ET1716" s="797"/>
      <c r="EU1716" s="797"/>
      <c r="EV1716" s="797"/>
      <c r="EW1716" s="797"/>
      <c r="EX1716" s="797"/>
      <c r="EY1716" s="797"/>
      <c r="EZ1716" s="797"/>
      <c r="FA1716" s="797"/>
      <c r="FB1716" s="797"/>
      <c r="FC1716" s="797"/>
      <c r="FD1716" s="797"/>
      <c r="FE1716" s="797"/>
      <c r="FF1716" s="797"/>
      <c r="FG1716" s="797"/>
      <c r="FH1716" s="797"/>
      <c r="FI1716" s="797"/>
      <c r="FJ1716" s="797"/>
      <c r="FK1716" s="797"/>
      <c r="FL1716" s="797"/>
      <c r="FM1716" s="797"/>
      <c r="FN1716" s="797"/>
      <c r="FO1716" s="797"/>
      <c r="FP1716" s="797"/>
      <c r="FQ1716" s="797"/>
      <c r="FR1716" s="797"/>
      <c r="FS1716" s="797"/>
      <c r="FT1716" s="797"/>
      <c r="FU1716" s="797"/>
      <c r="FV1716" s="797"/>
      <c r="FW1716" s="797"/>
      <c r="FX1716" s="797"/>
      <c r="FY1716" s="797"/>
      <c r="FZ1716" s="797"/>
      <c r="GA1716" s="797"/>
      <c r="GB1716" s="797"/>
      <c r="GC1716" s="797"/>
      <c r="GD1716" s="797"/>
      <c r="GE1716" s="797"/>
      <c r="GF1716" s="797"/>
      <c r="GG1716" s="797"/>
      <c r="GH1716" s="797"/>
      <c r="GI1716" s="797"/>
      <c r="GJ1716" s="797"/>
      <c r="GK1716" s="797"/>
      <c r="GL1716" s="797"/>
      <c r="GM1716" s="797"/>
      <c r="GN1716" s="797"/>
      <c r="GO1716" s="797"/>
      <c r="GP1716" s="797"/>
      <c r="GQ1716" s="797"/>
      <c r="GR1716" s="797"/>
      <c r="GS1716" s="797"/>
      <c r="GT1716" s="797"/>
      <c r="GU1716" s="797"/>
      <c r="GV1716" s="797"/>
      <c r="GW1716" s="797"/>
      <c r="GX1716" s="797"/>
      <c r="GY1716" s="797"/>
      <c r="GZ1716" s="797"/>
      <c r="HA1716" s="797"/>
      <c r="HB1716" s="797"/>
      <c r="HC1716" s="797"/>
      <c r="HD1716" s="797"/>
      <c r="HE1716" s="797"/>
      <c r="HF1716" s="797"/>
      <c r="HG1716" s="797"/>
      <c r="HH1716" s="797"/>
      <c r="HI1716" s="797"/>
      <c r="HJ1716" s="797"/>
      <c r="HK1716" s="797"/>
      <c r="HL1716" s="797"/>
      <c r="HM1716" s="797"/>
      <c r="HN1716" s="797"/>
      <c r="HO1716" s="797"/>
      <c r="HP1716" s="797"/>
      <c r="HQ1716" s="797"/>
      <c r="HR1716" s="797"/>
      <c r="HS1716" s="797"/>
      <c r="HT1716" s="797"/>
      <c r="HU1716" s="797"/>
      <c r="HV1716" s="797"/>
      <c r="HW1716" s="797"/>
      <c r="HX1716" s="797"/>
      <c r="HY1716" s="797"/>
      <c r="HZ1716" s="797"/>
      <c r="IA1716" s="797"/>
      <c r="IB1716" s="797"/>
      <c r="IC1716" s="797"/>
      <c r="ID1716" s="797"/>
      <c r="IE1716" s="797"/>
      <c r="IF1716" s="797"/>
      <c r="IG1716" s="797"/>
      <c r="IH1716" s="797"/>
      <c r="II1716" s="797"/>
      <c r="IJ1716" s="797"/>
      <c r="IK1716" s="797"/>
      <c r="IL1716" s="797"/>
      <c r="IM1716" s="797"/>
      <c r="IN1716" s="797"/>
      <c r="IO1716" s="797"/>
      <c r="IP1716" s="797"/>
      <c r="IQ1716" s="797"/>
      <c r="IR1716" s="797"/>
      <c r="IS1716" s="797"/>
      <c r="IT1716" s="797"/>
      <c r="IU1716" s="797"/>
    </row>
    <row r="1717" spans="1:255" s="359" customFormat="1" hidden="1">
      <c r="A1717" s="336"/>
      <c r="B1717" s="543"/>
      <c r="C1717" s="335" t="s">
        <v>1352</v>
      </c>
      <c r="D1717" s="486" t="s">
        <v>88</v>
      </c>
      <c r="E1717" s="863">
        <v>4.7E-2</v>
      </c>
      <c r="F1717" s="614">
        <f>F1708*E1717</f>
        <v>0</v>
      </c>
      <c r="G1717" s="389">
        <v>375</v>
      </c>
      <c r="H1717" s="389">
        <f t="shared" si="31"/>
        <v>0</v>
      </c>
      <c r="I1717" s="389"/>
      <c r="J1717" s="389"/>
      <c r="K1717" s="389"/>
      <c r="L1717" s="389"/>
      <c r="M1717" s="389">
        <f t="shared" si="32"/>
        <v>0</v>
      </c>
      <c r="N1717" s="358"/>
      <c r="O1717" s="797"/>
      <c r="P1717" s="798"/>
      <c r="Q1717" s="798"/>
      <c r="R1717" s="798"/>
      <c r="S1717" s="798"/>
      <c r="T1717" s="798"/>
      <c r="U1717" s="798"/>
      <c r="V1717" s="798"/>
      <c r="W1717" s="798"/>
      <c r="X1717" s="798"/>
      <c r="Y1717" s="798"/>
      <c r="Z1717" s="798"/>
      <c r="AA1717" s="797"/>
      <c r="AB1717" s="797"/>
      <c r="AC1717" s="797"/>
      <c r="AD1717" s="797"/>
      <c r="AE1717" s="797"/>
      <c r="AF1717" s="797"/>
      <c r="AG1717" s="797"/>
      <c r="AH1717" s="797"/>
      <c r="AI1717" s="797"/>
      <c r="AJ1717" s="797"/>
      <c r="AK1717" s="797"/>
      <c r="AL1717" s="797"/>
      <c r="AM1717" s="797"/>
      <c r="AN1717" s="797"/>
      <c r="AO1717" s="797"/>
      <c r="AP1717" s="797"/>
      <c r="AQ1717" s="797"/>
      <c r="AR1717" s="797"/>
      <c r="AS1717" s="797"/>
      <c r="AT1717" s="797"/>
      <c r="AU1717" s="797"/>
      <c r="AV1717" s="797"/>
      <c r="AW1717" s="797"/>
      <c r="AX1717" s="797"/>
      <c r="AY1717" s="797"/>
      <c r="AZ1717" s="797"/>
      <c r="BA1717" s="797"/>
      <c r="BB1717" s="797"/>
      <c r="BC1717" s="797"/>
      <c r="BD1717" s="797"/>
      <c r="BE1717" s="797"/>
      <c r="BF1717" s="797"/>
      <c r="BG1717" s="797"/>
      <c r="BH1717" s="797"/>
      <c r="BI1717" s="797"/>
      <c r="BJ1717" s="797"/>
      <c r="BK1717" s="797"/>
      <c r="BL1717" s="797"/>
      <c r="BM1717" s="797"/>
      <c r="BN1717" s="797"/>
      <c r="BO1717" s="797"/>
      <c r="BP1717" s="797"/>
      <c r="BQ1717" s="797"/>
      <c r="BR1717" s="797"/>
      <c r="BS1717" s="797"/>
      <c r="BT1717" s="797"/>
      <c r="BU1717" s="797"/>
      <c r="BV1717" s="797"/>
      <c r="BW1717" s="797"/>
      <c r="BX1717" s="797"/>
      <c r="BY1717" s="797"/>
      <c r="BZ1717" s="797"/>
      <c r="CA1717" s="797"/>
      <c r="CB1717" s="797"/>
      <c r="CC1717" s="797"/>
      <c r="CD1717" s="797"/>
      <c r="CE1717" s="797"/>
      <c r="CF1717" s="797"/>
      <c r="CG1717" s="797"/>
      <c r="CH1717" s="797"/>
      <c r="CI1717" s="797"/>
      <c r="CJ1717" s="797"/>
      <c r="CK1717" s="797"/>
      <c r="CL1717" s="797"/>
      <c r="CM1717" s="797"/>
      <c r="CN1717" s="797"/>
      <c r="CO1717" s="797"/>
      <c r="CP1717" s="797"/>
      <c r="CQ1717" s="797"/>
      <c r="CR1717" s="797"/>
      <c r="CS1717" s="797"/>
      <c r="CT1717" s="797"/>
      <c r="CU1717" s="797"/>
      <c r="CV1717" s="797"/>
      <c r="CW1717" s="797"/>
      <c r="CX1717" s="797"/>
      <c r="CY1717" s="797"/>
      <c r="CZ1717" s="797"/>
      <c r="DA1717" s="797"/>
      <c r="DB1717" s="797"/>
      <c r="DC1717" s="797"/>
      <c r="DD1717" s="797"/>
      <c r="DE1717" s="797"/>
      <c r="DF1717" s="797"/>
      <c r="DG1717" s="797"/>
      <c r="DH1717" s="797"/>
      <c r="DI1717" s="797"/>
      <c r="DJ1717" s="797"/>
      <c r="DK1717" s="797"/>
      <c r="DL1717" s="797"/>
      <c r="DM1717" s="797"/>
      <c r="DN1717" s="797"/>
      <c r="DO1717" s="797"/>
      <c r="DP1717" s="797"/>
      <c r="DQ1717" s="797"/>
      <c r="DR1717" s="797"/>
      <c r="DS1717" s="797"/>
      <c r="DT1717" s="797"/>
      <c r="DU1717" s="797"/>
      <c r="DV1717" s="797"/>
      <c r="DW1717" s="797"/>
      <c r="DX1717" s="797"/>
      <c r="DY1717" s="797"/>
      <c r="DZ1717" s="797"/>
      <c r="EA1717" s="797"/>
      <c r="EB1717" s="797"/>
      <c r="EC1717" s="797"/>
      <c r="ED1717" s="797"/>
      <c r="EE1717" s="797"/>
      <c r="EF1717" s="797"/>
      <c r="EG1717" s="797"/>
      <c r="EH1717" s="797"/>
      <c r="EI1717" s="797"/>
      <c r="EJ1717" s="797"/>
      <c r="EK1717" s="797"/>
      <c r="EL1717" s="797"/>
      <c r="EM1717" s="797"/>
      <c r="EN1717" s="797"/>
      <c r="EO1717" s="797"/>
      <c r="EP1717" s="797"/>
      <c r="EQ1717" s="797"/>
      <c r="ER1717" s="797"/>
      <c r="ES1717" s="797"/>
      <c r="ET1717" s="797"/>
      <c r="EU1717" s="797"/>
      <c r="EV1717" s="797"/>
      <c r="EW1717" s="797"/>
      <c r="EX1717" s="797"/>
      <c r="EY1717" s="797"/>
      <c r="EZ1717" s="797"/>
      <c r="FA1717" s="797"/>
      <c r="FB1717" s="797"/>
      <c r="FC1717" s="797"/>
      <c r="FD1717" s="797"/>
      <c r="FE1717" s="797"/>
      <c r="FF1717" s="797"/>
      <c r="FG1717" s="797"/>
      <c r="FH1717" s="797"/>
      <c r="FI1717" s="797"/>
      <c r="FJ1717" s="797"/>
      <c r="FK1717" s="797"/>
      <c r="FL1717" s="797"/>
      <c r="FM1717" s="797"/>
      <c r="FN1717" s="797"/>
      <c r="FO1717" s="797"/>
      <c r="FP1717" s="797"/>
      <c r="FQ1717" s="797"/>
      <c r="FR1717" s="797"/>
      <c r="FS1717" s="797"/>
      <c r="FT1717" s="797"/>
      <c r="FU1717" s="797"/>
      <c r="FV1717" s="797"/>
      <c r="FW1717" s="797"/>
      <c r="FX1717" s="797"/>
      <c r="FY1717" s="797"/>
      <c r="FZ1717" s="797"/>
      <c r="GA1717" s="797"/>
      <c r="GB1717" s="797"/>
      <c r="GC1717" s="797"/>
      <c r="GD1717" s="797"/>
      <c r="GE1717" s="797"/>
      <c r="GF1717" s="797"/>
      <c r="GG1717" s="797"/>
      <c r="GH1717" s="797"/>
      <c r="GI1717" s="797"/>
      <c r="GJ1717" s="797"/>
      <c r="GK1717" s="797"/>
      <c r="GL1717" s="797"/>
      <c r="GM1717" s="797"/>
      <c r="GN1717" s="797"/>
      <c r="GO1717" s="797"/>
      <c r="GP1717" s="797"/>
      <c r="GQ1717" s="797"/>
      <c r="GR1717" s="797"/>
      <c r="GS1717" s="797"/>
      <c r="GT1717" s="797"/>
      <c r="GU1717" s="797"/>
      <c r="GV1717" s="797"/>
      <c r="GW1717" s="797"/>
      <c r="GX1717" s="797"/>
      <c r="GY1717" s="797"/>
      <c r="GZ1717" s="797"/>
      <c r="HA1717" s="797"/>
      <c r="HB1717" s="797"/>
      <c r="HC1717" s="797"/>
      <c r="HD1717" s="797"/>
      <c r="HE1717" s="797"/>
      <c r="HF1717" s="797"/>
      <c r="HG1717" s="797"/>
      <c r="HH1717" s="797"/>
      <c r="HI1717" s="797"/>
      <c r="HJ1717" s="797"/>
      <c r="HK1717" s="797"/>
      <c r="HL1717" s="797"/>
      <c r="HM1717" s="797"/>
      <c r="HN1717" s="797"/>
      <c r="HO1717" s="797"/>
      <c r="HP1717" s="797"/>
      <c r="HQ1717" s="797"/>
      <c r="HR1717" s="797"/>
      <c r="HS1717" s="797"/>
      <c r="HT1717" s="797"/>
      <c r="HU1717" s="797"/>
      <c r="HV1717" s="797"/>
      <c r="HW1717" s="797"/>
      <c r="HX1717" s="797"/>
      <c r="HY1717" s="797"/>
      <c r="HZ1717" s="797"/>
      <c r="IA1717" s="797"/>
      <c r="IB1717" s="797"/>
      <c r="IC1717" s="797"/>
      <c r="ID1717" s="797"/>
      <c r="IE1717" s="797"/>
      <c r="IF1717" s="797"/>
      <c r="IG1717" s="797"/>
      <c r="IH1717" s="797"/>
      <c r="II1717" s="797"/>
      <c r="IJ1717" s="797"/>
      <c r="IK1717" s="797"/>
      <c r="IL1717" s="797"/>
      <c r="IM1717" s="797"/>
      <c r="IN1717" s="797"/>
      <c r="IO1717" s="797"/>
      <c r="IP1717" s="797"/>
      <c r="IQ1717" s="797"/>
      <c r="IR1717" s="797"/>
      <c r="IS1717" s="797"/>
      <c r="IT1717" s="797"/>
      <c r="IU1717" s="797"/>
    </row>
    <row r="1718" spans="1:255" s="359" customFormat="1" hidden="1">
      <c r="A1718" s="336"/>
      <c r="B1718" s="543"/>
      <c r="C1718" s="335" t="s">
        <v>1353</v>
      </c>
      <c r="D1718" s="486" t="s">
        <v>88</v>
      </c>
      <c r="E1718" s="863">
        <v>4.1000000000000002E-2</v>
      </c>
      <c r="F1718" s="614">
        <f>F1708*E1718</f>
        <v>0</v>
      </c>
      <c r="G1718" s="389">
        <v>403</v>
      </c>
      <c r="H1718" s="389">
        <f t="shared" si="31"/>
        <v>0</v>
      </c>
      <c r="I1718" s="389"/>
      <c r="J1718" s="389"/>
      <c r="K1718" s="389"/>
      <c r="L1718" s="389"/>
      <c r="M1718" s="389">
        <f t="shared" si="32"/>
        <v>0</v>
      </c>
      <c r="N1718" s="358"/>
      <c r="O1718" s="797"/>
      <c r="P1718" s="798"/>
      <c r="Q1718" s="798"/>
      <c r="R1718" s="798"/>
      <c r="S1718" s="798"/>
      <c r="T1718" s="798"/>
      <c r="U1718" s="798"/>
      <c r="V1718" s="798"/>
      <c r="W1718" s="798"/>
      <c r="X1718" s="798"/>
      <c r="Y1718" s="798"/>
      <c r="Z1718" s="798"/>
      <c r="AA1718" s="797"/>
      <c r="AB1718" s="797"/>
      <c r="AC1718" s="797"/>
      <c r="AD1718" s="797"/>
      <c r="AE1718" s="797"/>
      <c r="AF1718" s="797"/>
      <c r="AG1718" s="797"/>
      <c r="AH1718" s="797"/>
      <c r="AI1718" s="797"/>
      <c r="AJ1718" s="797"/>
      <c r="AK1718" s="797"/>
      <c r="AL1718" s="797"/>
      <c r="AM1718" s="797"/>
      <c r="AN1718" s="797"/>
      <c r="AO1718" s="797"/>
      <c r="AP1718" s="797"/>
      <c r="AQ1718" s="797"/>
      <c r="AR1718" s="797"/>
      <c r="AS1718" s="797"/>
      <c r="AT1718" s="797"/>
      <c r="AU1718" s="797"/>
      <c r="AV1718" s="797"/>
      <c r="AW1718" s="797"/>
      <c r="AX1718" s="797"/>
      <c r="AY1718" s="797"/>
      <c r="AZ1718" s="797"/>
      <c r="BA1718" s="797"/>
      <c r="BB1718" s="797"/>
      <c r="BC1718" s="797"/>
      <c r="BD1718" s="797"/>
      <c r="BE1718" s="797"/>
      <c r="BF1718" s="797"/>
      <c r="BG1718" s="797"/>
      <c r="BH1718" s="797"/>
      <c r="BI1718" s="797"/>
      <c r="BJ1718" s="797"/>
      <c r="BK1718" s="797"/>
      <c r="BL1718" s="797"/>
      <c r="BM1718" s="797"/>
      <c r="BN1718" s="797"/>
      <c r="BO1718" s="797"/>
      <c r="BP1718" s="797"/>
      <c r="BQ1718" s="797"/>
      <c r="BR1718" s="797"/>
      <c r="BS1718" s="797"/>
      <c r="BT1718" s="797"/>
      <c r="BU1718" s="797"/>
      <c r="BV1718" s="797"/>
      <c r="BW1718" s="797"/>
      <c r="BX1718" s="797"/>
      <c r="BY1718" s="797"/>
      <c r="BZ1718" s="797"/>
      <c r="CA1718" s="797"/>
      <c r="CB1718" s="797"/>
      <c r="CC1718" s="797"/>
      <c r="CD1718" s="797"/>
      <c r="CE1718" s="797"/>
      <c r="CF1718" s="797"/>
      <c r="CG1718" s="797"/>
      <c r="CH1718" s="797"/>
      <c r="CI1718" s="797"/>
      <c r="CJ1718" s="797"/>
      <c r="CK1718" s="797"/>
      <c r="CL1718" s="797"/>
      <c r="CM1718" s="797"/>
      <c r="CN1718" s="797"/>
      <c r="CO1718" s="797"/>
      <c r="CP1718" s="797"/>
      <c r="CQ1718" s="797"/>
      <c r="CR1718" s="797"/>
      <c r="CS1718" s="797"/>
      <c r="CT1718" s="797"/>
      <c r="CU1718" s="797"/>
      <c r="CV1718" s="797"/>
      <c r="CW1718" s="797"/>
      <c r="CX1718" s="797"/>
      <c r="CY1718" s="797"/>
      <c r="CZ1718" s="797"/>
      <c r="DA1718" s="797"/>
      <c r="DB1718" s="797"/>
      <c r="DC1718" s="797"/>
      <c r="DD1718" s="797"/>
      <c r="DE1718" s="797"/>
      <c r="DF1718" s="797"/>
      <c r="DG1718" s="797"/>
      <c r="DH1718" s="797"/>
      <c r="DI1718" s="797"/>
      <c r="DJ1718" s="797"/>
      <c r="DK1718" s="797"/>
      <c r="DL1718" s="797"/>
      <c r="DM1718" s="797"/>
      <c r="DN1718" s="797"/>
      <c r="DO1718" s="797"/>
      <c r="DP1718" s="797"/>
      <c r="DQ1718" s="797"/>
      <c r="DR1718" s="797"/>
      <c r="DS1718" s="797"/>
      <c r="DT1718" s="797"/>
      <c r="DU1718" s="797"/>
      <c r="DV1718" s="797"/>
      <c r="DW1718" s="797"/>
      <c r="DX1718" s="797"/>
      <c r="DY1718" s="797"/>
      <c r="DZ1718" s="797"/>
      <c r="EA1718" s="797"/>
      <c r="EB1718" s="797"/>
      <c r="EC1718" s="797"/>
      <c r="ED1718" s="797"/>
      <c r="EE1718" s="797"/>
      <c r="EF1718" s="797"/>
      <c r="EG1718" s="797"/>
      <c r="EH1718" s="797"/>
      <c r="EI1718" s="797"/>
      <c r="EJ1718" s="797"/>
      <c r="EK1718" s="797"/>
      <c r="EL1718" s="797"/>
      <c r="EM1718" s="797"/>
      <c r="EN1718" s="797"/>
      <c r="EO1718" s="797"/>
      <c r="EP1718" s="797"/>
      <c r="EQ1718" s="797"/>
      <c r="ER1718" s="797"/>
      <c r="ES1718" s="797"/>
      <c r="ET1718" s="797"/>
      <c r="EU1718" s="797"/>
      <c r="EV1718" s="797"/>
      <c r="EW1718" s="797"/>
      <c r="EX1718" s="797"/>
      <c r="EY1718" s="797"/>
      <c r="EZ1718" s="797"/>
      <c r="FA1718" s="797"/>
      <c r="FB1718" s="797"/>
      <c r="FC1718" s="797"/>
      <c r="FD1718" s="797"/>
      <c r="FE1718" s="797"/>
      <c r="FF1718" s="797"/>
      <c r="FG1718" s="797"/>
      <c r="FH1718" s="797"/>
      <c r="FI1718" s="797"/>
      <c r="FJ1718" s="797"/>
      <c r="FK1718" s="797"/>
      <c r="FL1718" s="797"/>
      <c r="FM1718" s="797"/>
      <c r="FN1718" s="797"/>
      <c r="FO1718" s="797"/>
      <c r="FP1718" s="797"/>
      <c r="FQ1718" s="797"/>
      <c r="FR1718" s="797"/>
      <c r="FS1718" s="797"/>
      <c r="FT1718" s="797"/>
      <c r="FU1718" s="797"/>
      <c r="FV1718" s="797"/>
      <c r="FW1718" s="797"/>
      <c r="FX1718" s="797"/>
      <c r="FY1718" s="797"/>
      <c r="FZ1718" s="797"/>
      <c r="GA1718" s="797"/>
      <c r="GB1718" s="797"/>
      <c r="GC1718" s="797"/>
      <c r="GD1718" s="797"/>
      <c r="GE1718" s="797"/>
      <c r="GF1718" s="797"/>
      <c r="GG1718" s="797"/>
      <c r="GH1718" s="797"/>
      <c r="GI1718" s="797"/>
      <c r="GJ1718" s="797"/>
      <c r="GK1718" s="797"/>
      <c r="GL1718" s="797"/>
      <c r="GM1718" s="797"/>
      <c r="GN1718" s="797"/>
      <c r="GO1718" s="797"/>
      <c r="GP1718" s="797"/>
      <c r="GQ1718" s="797"/>
      <c r="GR1718" s="797"/>
      <c r="GS1718" s="797"/>
      <c r="GT1718" s="797"/>
      <c r="GU1718" s="797"/>
      <c r="GV1718" s="797"/>
      <c r="GW1718" s="797"/>
      <c r="GX1718" s="797"/>
      <c r="GY1718" s="797"/>
      <c r="GZ1718" s="797"/>
      <c r="HA1718" s="797"/>
      <c r="HB1718" s="797"/>
      <c r="HC1718" s="797"/>
      <c r="HD1718" s="797"/>
      <c r="HE1718" s="797"/>
      <c r="HF1718" s="797"/>
      <c r="HG1718" s="797"/>
      <c r="HH1718" s="797"/>
      <c r="HI1718" s="797"/>
      <c r="HJ1718" s="797"/>
      <c r="HK1718" s="797"/>
      <c r="HL1718" s="797"/>
      <c r="HM1718" s="797"/>
      <c r="HN1718" s="797"/>
      <c r="HO1718" s="797"/>
      <c r="HP1718" s="797"/>
      <c r="HQ1718" s="797"/>
      <c r="HR1718" s="797"/>
      <c r="HS1718" s="797"/>
      <c r="HT1718" s="797"/>
      <c r="HU1718" s="797"/>
      <c r="HV1718" s="797"/>
      <c r="HW1718" s="797"/>
      <c r="HX1718" s="797"/>
      <c r="HY1718" s="797"/>
      <c r="HZ1718" s="797"/>
      <c r="IA1718" s="797"/>
      <c r="IB1718" s="797"/>
      <c r="IC1718" s="797"/>
      <c r="ID1718" s="797"/>
      <c r="IE1718" s="797"/>
      <c r="IF1718" s="797"/>
      <c r="IG1718" s="797"/>
      <c r="IH1718" s="797"/>
      <c r="II1718" s="797"/>
      <c r="IJ1718" s="797"/>
      <c r="IK1718" s="797"/>
      <c r="IL1718" s="797"/>
      <c r="IM1718" s="797"/>
      <c r="IN1718" s="797"/>
      <c r="IO1718" s="797"/>
      <c r="IP1718" s="797"/>
      <c r="IQ1718" s="797"/>
      <c r="IR1718" s="797"/>
      <c r="IS1718" s="797"/>
      <c r="IT1718" s="797"/>
      <c r="IU1718" s="797"/>
    </row>
    <row r="1719" spans="1:255" s="359" customFormat="1" hidden="1">
      <c r="A1719" s="336"/>
      <c r="B1719" s="543"/>
      <c r="C1719" s="809" t="s">
        <v>1344</v>
      </c>
      <c r="D1719" s="788" t="s">
        <v>97</v>
      </c>
      <c r="E1719" s="614">
        <v>4.3</v>
      </c>
      <c r="F1719" s="614">
        <f>F1708*E1719</f>
        <v>0</v>
      </c>
      <c r="G1719" s="389">
        <v>0.5</v>
      </c>
      <c r="H1719" s="389">
        <f t="shared" si="31"/>
        <v>0</v>
      </c>
      <c r="I1719" s="389"/>
      <c r="J1719" s="389"/>
      <c r="K1719" s="389"/>
      <c r="L1719" s="389"/>
      <c r="M1719" s="389">
        <f t="shared" si="32"/>
        <v>0</v>
      </c>
      <c r="N1719" s="811"/>
      <c r="O1719" s="797"/>
      <c r="P1719" s="798"/>
      <c r="Q1719" s="798"/>
      <c r="R1719" s="798"/>
      <c r="S1719" s="798"/>
      <c r="T1719" s="798"/>
      <c r="U1719" s="798"/>
      <c r="V1719" s="798"/>
      <c r="W1719" s="798"/>
      <c r="X1719" s="798"/>
      <c r="Y1719" s="798"/>
      <c r="Z1719" s="798"/>
      <c r="AA1719" s="797"/>
      <c r="AB1719" s="797"/>
      <c r="AC1719" s="797"/>
      <c r="AD1719" s="797"/>
      <c r="AE1719" s="797"/>
      <c r="AF1719" s="797"/>
      <c r="AG1719" s="797"/>
      <c r="AH1719" s="797"/>
      <c r="AI1719" s="797"/>
      <c r="AJ1719" s="797"/>
      <c r="AK1719" s="797"/>
      <c r="AL1719" s="797"/>
      <c r="AM1719" s="797"/>
      <c r="AN1719" s="797"/>
      <c r="AO1719" s="797"/>
      <c r="AP1719" s="797"/>
      <c r="AQ1719" s="797"/>
      <c r="AR1719" s="797"/>
      <c r="AS1719" s="797"/>
      <c r="AT1719" s="797"/>
      <c r="AU1719" s="797"/>
      <c r="AV1719" s="797"/>
      <c r="AW1719" s="797"/>
      <c r="AX1719" s="797"/>
      <c r="AY1719" s="797"/>
      <c r="AZ1719" s="797"/>
      <c r="BA1719" s="797"/>
      <c r="BB1719" s="797"/>
      <c r="BC1719" s="797"/>
      <c r="BD1719" s="797"/>
      <c r="BE1719" s="797"/>
      <c r="BF1719" s="797"/>
      <c r="BG1719" s="797"/>
      <c r="BH1719" s="797"/>
      <c r="BI1719" s="797"/>
      <c r="BJ1719" s="797"/>
      <c r="BK1719" s="797"/>
      <c r="BL1719" s="797"/>
      <c r="BM1719" s="797"/>
      <c r="BN1719" s="797"/>
      <c r="BO1719" s="797"/>
      <c r="BP1719" s="797"/>
      <c r="BQ1719" s="797"/>
      <c r="BR1719" s="797"/>
      <c r="BS1719" s="797"/>
      <c r="BT1719" s="797"/>
      <c r="BU1719" s="797"/>
      <c r="BV1719" s="797"/>
      <c r="BW1719" s="797"/>
      <c r="BX1719" s="797"/>
      <c r="BY1719" s="797"/>
      <c r="BZ1719" s="797"/>
      <c r="CA1719" s="797"/>
      <c r="CB1719" s="797"/>
      <c r="CC1719" s="797"/>
      <c r="CD1719" s="797"/>
      <c r="CE1719" s="797"/>
      <c r="CF1719" s="797"/>
      <c r="CG1719" s="797"/>
      <c r="CH1719" s="797"/>
      <c r="CI1719" s="797"/>
      <c r="CJ1719" s="797"/>
      <c r="CK1719" s="797"/>
      <c r="CL1719" s="797"/>
      <c r="CM1719" s="797"/>
      <c r="CN1719" s="797"/>
      <c r="CO1719" s="797"/>
      <c r="CP1719" s="797"/>
      <c r="CQ1719" s="797"/>
      <c r="CR1719" s="797"/>
      <c r="CS1719" s="797"/>
      <c r="CT1719" s="797"/>
      <c r="CU1719" s="797"/>
      <c r="CV1719" s="797"/>
      <c r="CW1719" s="797"/>
      <c r="CX1719" s="797"/>
      <c r="CY1719" s="797"/>
      <c r="CZ1719" s="797"/>
      <c r="DA1719" s="797"/>
      <c r="DB1719" s="797"/>
      <c r="DC1719" s="797"/>
      <c r="DD1719" s="797"/>
      <c r="DE1719" s="797"/>
      <c r="DF1719" s="797"/>
      <c r="DG1719" s="797"/>
      <c r="DH1719" s="797"/>
      <c r="DI1719" s="797"/>
      <c r="DJ1719" s="797"/>
      <c r="DK1719" s="797"/>
      <c r="DL1719" s="797"/>
      <c r="DM1719" s="797"/>
      <c r="DN1719" s="797"/>
      <c r="DO1719" s="797"/>
      <c r="DP1719" s="797"/>
      <c r="DQ1719" s="797"/>
      <c r="DR1719" s="797"/>
      <c r="DS1719" s="797"/>
      <c r="DT1719" s="797"/>
      <c r="DU1719" s="797"/>
      <c r="DV1719" s="797"/>
      <c r="DW1719" s="797"/>
      <c r="DX1719" s="797"/>
      <c r="DY1719" s="797"/>
      <c r="DZ1719" s="797"/>
      <c r="EA1719" s="797"/>
      <c r="EB1719" s="797"/>
      <c r="EC1719" s="797"/>
      <c r="ED1719" s="797"/>
      <c r="EE1719" s="797"/>
      <c r="EF1719" s="797"/>
      <c r="EG1719" s="797"/>
      <c r="EH1719" s="797"/>
      <c r="EI1719" s="797"/>
      <c r="EJ1719" s="797"/>
      <c r="EK1719" s="797"/>
      <c r="EL1719" s="797"/>
      <c r="EM1719" s="797"/>
      <c r="EN1719" s="797"/>
      <c r="EO1719" s="797"/>
      <c r="EP1719" s="797"/>
      <c r="EQ1719" s="797"/>
      <c r="ER1719" s="797"/>
      <c r="ES1719" s="797"/>
      <c r="ET1719" s="797"/>
      <c r="EU1719" s="797"/>
      <c r="EV1719" s="797"/>
      <c r="EW1719" s="797"/>
      <c r="EX1719" s="797"/>
      <c r="EY1719" s="797"/>
      <c r="EZ1719" s="797"/>
      <c r="FA1719" s="797"/>
      <c r="FB1719" s="797"/>
      <c r="FC1719" s="797"/>
      <c r="FD1719" s="797"/>
      <c r="FE1719" s="797"/>
      <c r="FF1719" s="797"/>
      <c r="FG1719" s="797"/>
      <c r="FH1719" s="797"/>
      <c r="FI1719" s="797"/>
      <c r="FJ1719" s="797"/>
      <c r="FK1719" s="797"/>
      <c r="FL1719" s="797"/>
      <c r="FM1719" s="797"/>
      <c r="FN1719" s="797"/>
      <c r="FO1719" s="797"/>
      <c r="FP1719" s="797"/>
      <c r="FQ1719" s="797"/>
      <c r="FR1719" s="797"/>
      <c r="FS1719" s="797"/>
      <c r="FT1719" s="797"/>
      <c r="FU1719" s="797"/>
      <c r="FV1719" s="797"/>
      <c r="FW1719" s="797"/>
      <c r="FX1719" s="797"/>
      <c r="FY1719" s="797"/>
      <c r="FZ1719" s="797"/>
      <c r="GA1719" s="797"/>
      <c r="GB1719" s="797"/>
      <c r="GC1719" s="797"/>
      <c r="GD1719" s="797"/>
      <c r="GE1719" s="797"/>
      <c r="GF1719" s="797"/>
      <c r="GG1719" s="797"/>
      <c r="GH1719" s="797"/>
      <c r="GI1719" s="797"/>
      <c r="GJ1719" s="797"/>
      <c r="GK1719" s="797"/>
      <c r="GL1719" s="797"/>
      <c r="GM1719" s="797"/>
      <c r="GN1719" s="797"/>
      <c r="GO1719" s="797"/>
      <c r="GP1719" s="797"/>
      <c r="GQ1719" s="797"/>
      <c r="GR1719" s="797"/>
      <c r="GS1719" s="797"/>
      <c r="GT1719" s="797"/>
      <c r="GU1719" s="797"/>
      <c r="GV1719" s="797"/>
      <c r="GW1719" s="797"/>
      <c r="GX1719" s="797"/>
      <c r="GY1719" s="797"/>
      <c r="GZ1719" s="797"/>
      <c r="HA1719" s="797"/>
      <c r="HB1719" s="797"/>
      <c r="HC1719" s="797"/>
      <c r="HD1719" s="797"/>
      <c r="HE1719" s="797"/>
      <c r="HF1719" s="797"/>
      <c r="HG1719" s="797"/>
      <c r="HH1719" s="797"/>
      <c r="HI1719" s="797"/>
      <c r="HJ1719" s="797"/>
      <c r="HK1719" s="797"/>
      <c r="HL1719" s="797"/>
      <c r="HM1719" s="797"/>
      <c r="HN1719" s="797"/>
      <c r="HO1719" s="797"/>
      <c r="HP1719" s="797"/>
      <c r="HQ1719" s="797"/>
      <c r="HR1719" s="797"/>
      <c r="HS1719" s="797"/>
      <c r="HT1719" s="797"/>
      <c r="HU1719" s="797"/>
      <c r="HV1719" s="797"/>
      <c r="HW1719" s="797"/>
      <c r="HX1719" s="797"/>
      <c r="HY1719" s="797"/>
      <c r="HZ1719" s="797"/>
      <c r="IA1719" s="797"/>
      <c r="IB1719" s="797"/>
      <c r="IC1719" s="797"/>
      <c r="ID1719" s="797"/>
      <c r="IE1719" s="797"/>
      <c r="IF1719" s="797"/>
      <c r="IG1719" s="797"/>
      <c r="IH1719" s="797"/>
      <c r="II1719" s="797"/>
      <c r="IJ1719" s="797"/>
      <c r="IK1719" s="797"/>
      <c r="IL1719" s="797"/>
      <c r="IM1719" s="797"/>
      <c r="IN1719" s="797"/>
      <c r="IO1719" s="797"/>
      <c r="IP1719" s="797"/>
      <c r="IQ1719" s="797"/>
      <c r="IR1719" s="797"/>
      <c r="IS1719" s="797"/>
      <c r="IT1719" s="797"/>
      <c r="IU1719" s="797"/>
    </row>
    <row r="1720" spans="1:255" s="359" customFormat="1" hidden="1">
      <c r="A1720" s="336"/>
      <c r="B1720" s="543"/>
      <c r="C1720" s="809" t="s">
        <v>1595</v>
      </c>
      <c r="D1720" s="788" t="s">
        <v>206</v>
      </c>
      <c r="E1720" s="614">
        <v>5.8000000000000003E-2</v>
      </c>
      <c r="F1720" s="614">
        <f>F1708*E1720</f>
        <v>0</v>
      </c>
      <c r="G1720" s="389">
        <v>120</v>
      </c>
      <c r="H1720" s="389">
        <f t="shared" si="31"/>
        <v>0</v>
      </c>
      <c r="I1720" s="389"/>
      <c r="J1720" s="389"/>
      <c r="K1720" s="389"/>
      <c r="L1720" s="389"/>
      <c r="M1720" s="389">
        <f t="shared" si="32"/>
        <v>0</v>
      </c>
      <c r="N1720" s="811"/>
      <c r="O1720" s="797"/>
      <c r="P1720" s="798"/>
      <c r="Q1720" s="798"/>
      <c r="R1720" s="798"/>
      <c r="S1720" s="798"/>
      <c r="T1720" s="798"/>
      <c r="U1720" s="798"/>
      <c r="V1720" s="798"/>
      <c r="W1720" s="798"/>
      <c r="X1720" s="798"/>
      <c r="Y1720" s="798"/>
      <c r="Z1720" s="798"/>
      <c r="AA1720" s="797"/>
      <c r="AB1720" s="797"/>
      <c r="AC1720" s="797"/>
      <c r="AD1720" s="797"/>
      <c r="AE1720" s="797"/>
      <c r="AF1720" s="797"/>
      <c r="AG1720" s="797"/>
      <c r="AH1720" s="797"/>
      <c r="AI1720" s="797"/>
      <c r="AJ1720" s="797"/>
      <c r="AK1720" s="797"/>
      <c r="AL1720" s="797"/>
      <c r="AM1720" s="797"/>
      <c r="AN1720" s="797"/>
      <c r="AO1720" s="797"/>
      <c r="AP1720" s="797"/>
      <c r="AQ1720" s="797"/>
      <c r="AR1720" s="797"/>
      <c r="AS1720" s="797"/>
      <c r="AT1720" s="797"/>
      <c r="AU1720" s="797"/>
      <c r="AV1720" s="797"/>
      <c r="AW1720" s="797"/>
      <c r="AX1720" s="797"/>
      <c r="AY1720" s="797"/>
      <c r="AZ1720" s="797"/>
      <c r="BA1720" s="797"/>
      <c r="BB1720" s="797"/>
      <c r="BC1720" s="797"/>
      <c r="BD1720" s="797"/>
      <c r="BE1720" s="797"/>
      <c r="BF1720" s="797"/>
      <c r="BG1720" s="797"/>
      <c r="BH1720" s="797"/>
      <c r="BI1720" s="797"/>
      <c r="BJ1720" s="797"/>
      <c r="BK1720" s="797"/>
      <c r="BL1720" s="797"/>
      <c r="BM1720" s="797"/>
      <c r="BN1720" s="797"/>
      <c r="BO1720" s="797"/>
      <c r="BP1720" s="797"/>
      <c r="BQ1720" s="797"/>
      <c r="BR1720" s="797"/>
      <c r="BS1720" s="797"/>
      <c r="BT1720" s="797"/>
      <c r="BU1720" s="797"/>
      <c r="BV1720" s="797"/>
      <c r="BW1720" s="797"/>
      <c r="BX1720" s="797"/>
      <c r="BY1720" s="797"/>
      <c r="BZ1720" s="797"/>
      <c r="CA1720" s="797"/>
      <c r="CB1720" s="797"/>
      <c r="CC1720" s="797"/>
      <c r="CD1720" s="797"/>
      <c r="CE1720" s="797"/>
      <c r="CF1720" s="797"/>
      <c r="CG1720" s="797"/>
      <c r="CH1720" s="797"/>
      <c r="CI1720" s="797"/>
      <c r="CJ1720" s="797"/>
      <c r="CK1720" s="797"/>
      <c r="CL1720" s="797"/>
      <c r="CM1720" s="797"/>
      <c r="CN1720" s="797"/>
      <c r="CO1720" s="797"/>
      <c r="CP1720" s="797"/>
      <c r="CQ1720" s="797"/>
      <c r="CR1720" s="797"/>
      <c r="CS1720" s="797"/>
      <c r="CT1720" s="797"/>
      <c r="CU1720" s="797"/>
      <c r="CV1720" s="797"/>
      <c r="CW1720" s="797"/>
      <c r="CX1720" s="797"/>
      <c r="CY1720" s="797"/>
      <c r="CZ1720" s="797"/>
      <c r="DA1720" s="797"/>
      <c r="DB1720" s="797"/>
      <c r="DC1720" s="797"/>
      <c r="DD1720" s="797"/>
      <c r="DE1720" s="797"/>
      <c r="DF1720" s="797"/>
      <c r="DG1720" s="797"/>
      <c r="DH1720" s="797"/>
      <c r="DI1720" s="797"/>
      <c r="DJ1720" s="797"/>
      <c r="DK1720" s="797"/>
      <c r="DL1720" s="797"/>
      <c r="DM1720" s="797"/>
      <c r="DN1720" s="797"/>
      <c r="DO1720" s="797"/>
      <c r="DP1720" s="797"/>
      <c r="DQ1720" s="797"/>
      <c r="DR1720" s="797"/>
      <c r="DS1720" s="797"/>
      <c r="DT1720" s="797"/>
      <c r="DU1720" s="797"/>
      <c r="DV1720" s="797"/>
      <c r="DW1720" s="797"/>
      <c r="DX1720" s="797"/>
      <c r="DY1720" s="797"/>
      <c r="DZ1720" s="797"/>
      <c r="EA1720" s="797"/>
      <c r="EB1720" s="797"/>
      <c r="EC1720" s="797"/>
      <c r="ED1720" s="797"/>
      <c r="EE1720" s="797"/>
      <c r="EF1720" s="797"/>
      <c r="EG1720" s="797"/>
      <c r="EH1720" s="797"/>
      <c r="EI1720" s="797"/>
      <c r="EJ1720" s="797"/>
      <c r="EK1720" s="797"/>
      <c r="EL1720" s="797"/>
      <c r="EM1720" s="797"/>
      <c r="EN1720" s="797"/>
      <c r="EO1720" s="797"/>
      <c r="EP1720" s="797"/>
      <c r="EQ1720" s="797"/>
      <c r="ER1720" s="797"/>
      <c r="ES1720" s="797"/>
      <c r="ET1720" s="797"/>
      <c r="EU1720" s="797"/>
      <c r="EV1720" s="797"/>
      <c r="EW1720" s="797"/>
      <c r="EX1720" s="797"/>
      <c r="EY1720" s="797"/>
      <c r="EZ1720" s="797"/>
      <c r="FA1720" s="797"/>
      <c r="FB1720" s="797"/>
      <c r="FC1720" s="797"/>
      <c r="FD1720" s="797"/>
      <c r="FE1720" s="797"/>
      <c r="FF1720" s="797"/>
      <c r="FG1720" s="797"/>
      <c r="FH1720" s="797"/>
      <c r="FI1720" s="797"/>
      <c r="FJ1720" s="797"/>
      <c r="FK1720" s="797"/>
      <c r="FL1720" s="797"/>
      <c r="FM1720" s="797"/>
      <c r="FN1720" s="797"/>
      <c r="FO1720" s="797"/>
      <c r="FP1720" s="797"/>
      <c r="FQ1720" s="797"/>
      <c r="FR1720" s="797"/>
      <c r="FS1720" s="797"/>
      <c r="FT1720" s="797"/>
      <c r="FU1720" s="797"/>
      <c r="FV1720" s="797"/>
      <c r="FW1720" s="797"/>
      <c r="FX1720" s="797"/>
      <c r="FY1720" s="797"/>
      <c r="FZ1720" s="797"/>
      <c r="GA1720" s="797"/>
      <c r="GB1720" s="797"/>
      <c r="GC1720" s="797"/>
      <c r="GD1720" s="797"/>
      <c r="GE1720" s="797"/>
      <c r="GF1720" s="797"/>
      <c r="GG1720" s="797"/>
      <c r="GH1720" s="797"/>
      <c r="GI1720" s="797"/>
      <c r="GJ1720" s="797"/>
      <c r="GK1720" s="797"/>
      <c r="GL1720" s="797"/>
      <c r="GM1720" s="797"/>
      <c r="GN1720" s="797"/>
      <c r="GO1720" s="797"/>
      <c r="GP1720" s="797"/>
      <c r="GQ1720" s="797"/>
      <c r="GR1720" s="797"/>
      <c r="GS1720" s="797"/>
      <c r="GT1720" s="797"/>
      <c r="GU1720" s="797"/>
      <c r="GV1720" s="797"/>
      <c r="GW1720" s="797"/>
      <c r="GX1720" s="797"/>
      <c r="GY1720" s="797"/>
      <c r="GZ1720" s="797"/>
      <c r="HA1720" s="797"/>
      <c r="HB1720" s="797"/>
      <c r="HC1720" s="797"/>
      <c r="HD1720" s="797"/>
      <c r="HE1720" s="797"/>
      <c r="HF1720" s="797"/>
      <c r="HG1720" s="797"/>
      <c r="HH1720" s="797"/>
      <c r="HI1720" s="797"/>
      <c r="HJ1720" s="797"/>
      <c r="HK1720" s="797"/>
      <c r="HL1720" s="797"/>
      <c r="HM1720" s="797"/>
      <c r="HN1720" s="797"/>
      <c r="HO1720" s="797"/>
      <c r="HP1720" s="797"/>
      <c r="HQ1720" s="797"/>
      <c r="HR1720" s="797"/>
      <c r="HS1720" s="797"/>
      <c r="HT1720" s="797"/>
      <c r="HU1720" s="797"/>
      <c r="HV1720" s="797"/>
      <c r="HW1720" s="797"/>
      <c r="HX1720" s="797"/>
      <c r="HY1720" s="797"/>
      <c r="HZ1720" s="797"/>
      <c r="IA1720" s="797"/>
      <c r="IB1720" s="797"/>
      <c r="IC1720" s="797"/>
      <c r="ID1720" s="797"/>
      <c r="IE1720" s="797"/>
      <c r="IF1720" s="797"/>
      <c r="IG1720" s="797"/>
      <c r="IH1720" s="797"/>
      <c r="II1720" s="797"/>
      <c r="IJ1720" s="797"/>
      <c r="IK1720" s="797"/>
      <c r="IL1720" s="797"/>
      <c r="IM1720" s="797"/>
      <c r="IN1720" s="797"/>
      <c r="IO1720" s="797"/>
      <c r="IP1720" s="797"/>
      <c r="IQ1720" s="797"/>
      <c r="IR1720" s="797"/>
      <c r="IS1720" s="797"/>
      <c r="IT1720" s="797"/>
      <c r="IU1720" s="797"/>
    </row>
    <row r="1721" spans="1:255" s="359" customFormat="1" hidden="1">
      <c r="A1721" s="342"/>
      <c r="B1721" s="556"/>
      <c r="C1721" s="551" t="s">
        <v>1345</v>
      </c>
      <c r="D1721" s="552" t="s">
        <v>816</v>
      </c>
      <c r="E1721" s="864"/>
      <c r="F1721" s="400">
        <f>'დეფექტური აქტი'!E397</f>
        <v>0</v>
      </c>
      <c r="G1721" s="1076">
        <v>316</v>
      </c>
      <c r="H1721" s="392">
        <f t="shared" si="31"/>
        <v>0</v>
      </c>
      <c r="I1721" s="392"/>
      <c r="J1721" s="392"/>
      <c r="K1721" s="392"/>
      <c r="L1721" s="392"/>
      <c r="M1721" s="392">
        <f t="shared" si="32"/>
        <v>0</v>
      </c>
      <c r="N1721" s="358"/>
      <c r="O1721" s="797"/>
      <c r="P1721" s="798"/>
      <c r="Q1721" s="798"/>
      <c r="R1721" s="798"/>
      <c r="S1721" s="798"/>
      <c r="T1721" s="798"/>
      <c r="U1721" s="798"/>
      <c r="V1721" s="798"/>
      <c r="W1721" s="798"/>
      <c r="X1721" s="798"/>
      <c r="Y1721" s="798"/>
      <c r="Z1721" s="798"/>
      <c r="AA1721" s="797"/>
      <c r="AB1721" s="797"/>
      <c r="AC1721" s="797"/>
      <c r="AD1721" s="797"/>
      <c r="AE1721" s="797"/>
      <c r="AF1721" s="797"/>
      <c r="AG1721" s="797"/>
      <c r="AH1721" s="797"/>
      <c r="AI1721" s="797"/>
      <c r="AJ1721" s="797"/>
      <c r="AK1721" s="797"/>
      <c r="AL1721" s="797"/>
      <c r="AM1721" s="797"/>
      <c r="AN1721" s="797"/>
      <c r="AO1721" s="797"/>
      <c r="AP1721" s="797"/>
      <c r="AQ1721" s="797"/>
      <c r="AR1721" s="797"/>
      <c r="AS1721" s="797"/>
      <c r="AT1721" s="797"/>
      <c r="AU1721" s="797"/>
      <c r="AV1721" s="797"/>
      <c r="AW1721" s="797"/>
      <c r="AX1721" s="797"/>
      <c r="AY1721" s="797"/>
      <c r="AZ1721" s="797"/>
      <c r="BA1721" s="797"/>
      <c r="BB1721" s="797"/>
      <c r="BC1721" s="797"/>
      <c r="BD1721" s="797"/>
      <c r="BE1721" s="797"/>
      <c r="BF1721" s="797"/>
      <c r="BG1721" s="797"/>
      <c r="BH1721" s="797"/>
      <c r="BI1721" s="797"/>
      <c r="BJ1721" s="797"/>
      <c r="BK1721" s="797"/>
      <c r="BL1721" s="797"/>
      <c r="BM1721" s="797"/>
      <c r="BN1721" s="797"/>
      <c r="BO1721" s="797"/>
      <c r="BP1721" s="797"/>
      <c r="BQ1721" s="797"/>
      <c r="BR1721" s="797"/>
      <c r="BS1721" s="797"/>
      <c r="BT1721" s="797"/>
      <c r="BU1721" s="797"/>
      <c r="BV1721" s="797"/>
      <c r="BW1721" s="797"/>
      <c r="BX1721" s="797"/>
      <c r="BY1721" s="797"/>
      <c r="BZ1721" s="797"/>
      <c r="CA1721" s="797"/>
      <c r="CB1721" s="797"/>
      <c r="CC1721" s="797"/>
      <c r="CD1721" s="797"/>
      <c r="CE1721" s="797"/>
      <c r="CF1721" s="797"/>
      <c r="CG1721" s="797"/>
      <c r="CH1721" s="797"/>
      <c r="CI1721" s="797"/>
      <c r="CJ1721" s="797"/>
      <c r="CK1721" s="797"/>
      <c r="CL1721" s="797"/>
      <c r="CM1721" s="797"/>
      <c r="CN1721" s="797"/>
      <c r="CO1721" s="797"/>
      <c r="CP1721" s="797"/>
      <c r="CQ1721" s="797"/>
      <c r="CR1721" s="797"/>
      <c r="CS1721" s="797"/>
      <c r="CT1721" s="797"/>
      <c r="CU1721" s="797"/>
      <c r="CV1721" s="797"/>
      <c r="CW1721" s="797"/>
      <c r="CX1721" s="797"/>
      <c r="CY1721" s="797"/>
      <c r="CZ1721" s="797"/>
      <c r="DA1721" s="797"/>
      <c r="DB1721" s="797"/>
      <c r="DC1721" s="797"/>
      <c r="DD1721" s="797"/>
      <c r="DE1721" s="797"/>
      <c r="DF1721" s="797"/>
      <c r="DG1721" s="797"/>
      <c r="DH1721" s="797"/>
      <c r="DI1721" s="797"/>
      <c r="DJ1721" s="797"/>
      <c r="DK1721" s="797"/>
      <c r="DL1721" s="797"/>
      <c r="DM1721" s="797"/>
      <c r="DN1721" s="797"/>
      <c r="DO1721" s="797"/>
      <c r="DP1721" s="797"/>
      <c r="DQ1721" s="797"/>
      <c r="DR1721" s="797"/>
      <c r="DS1721" s="797"/>
      <c r="DT1721" s="797"/>
      <c r="DU1721" s="797"/>
      <c r="DV1721" s="797"/>
      <c r="DW1721" s="797"/>
      <c r="DX1721" s="797"/>
      <c r="DY1721" s="797"/>
      <c r="DZ1721" s="797"/>
      <c r="EA1721" s="797"/>
      <c r="EB1721" s="797"/>
      <c r="EC1721" s="797"/>
      <c r="ED1721" s="797"/>
      <c r="EE1721" s="797"/>
      <c r="EF1721" s="797"/>
      <c r="EG1721" s="797"/>
      <c r="EH1721" s="797"/>
      <c r="EI1721" s="797"/>
      <c r="EJ1721" s="797"/>
      <c r="EK1721" s="797"/>
      <c r="EL1721" s="797"/>
      <c r="EM1721" s="797"/>
      <c r="EN1721" s="797"/>
      <c r="EO1721" s="797"/>
      <c r="EP1721" s="797"/>
      <c r="EQ1721" s="797"/>
      <c r="ER1721" s="797"/>
      <c r="ES1721" s="797"/>
      <c r="ET1721" s="797"/>
      <c r="EU1721" s="797"/>
      <c r="EV1721" s="797"/>
      <c r="EW1721" s="797"/>
      <c r="EX1721" s="797"/>
      <c r="EY1721" s="797"/>
      <c r="EZ1721" s="797"/>
      <c r="FA1721" s="797"/>
      <c r="FB1721" s="797"/>
      <c r="FC1721" s="797"/>
      <c r="FD1721" s="797"/>
      <c r="FE1721" s="797"/>
      <c r="FF1721" s="797"/>
      <c r="FG1721" s="797"/>
      <c r="FH1721" s="797"/>
      <c r="FI1721" s="797"/>
      <c r="FJ1721" s="797"/>
      <c r="FK1721" s="797"/>
      <c r="FL1721" s="797"/>
      <c r="FM1721" s="797"/>
      <c r="FN1721" s="797"/>
      <c r="FO1721" s="797"/>
      <c r="FP1721" s="797"/>
      <c r="FQ1721" s="797"/>
      <c r="FR1721" s="797"/>
      <c r="FS1721" s="797"/>
      <c r="FT1721" s="797"/>
      <c r="FU1721" s="797"/>
      <c r="FV1721" s="797"/>
      <c r="FW1721" s="797"/>
      <c r="FX1721" s="797"/>
      <c r="FY1721" s="797"/>
      <c r="FZ1721" s="797"/>
      <c r="GA1721" s="797"/>
      <c r="GB1721" s="797"/>
      <c r="GC1721" s="797"/>
      <c r="GD1721" s="797"/>
      <c r="GE1721" s="797"/>
      <c r="GF1721" s="797"/>
      <c r="GG1721" s="797"/>
      <c r="GH1721" s="797"/>
      <c r="GI1721" s="797"/>
      <c r="GJ1721" s="797"/>
      <c r="GK1721" s="797"/>
      <c r="GL1721" s="797"/>
      <c r="GM1721" s="797"/>
      <c r="GN1721" s="797"/>
      <c r="GO1721" s="797"/>
      <c r="GP1721" s="797"/>
      <c r="GQ1721" s="797"/>
      <c r="GR1721" s="797"/>
      <c r="GS1721" s="797"/>
      <c r="GT1721" s="797"/>
      <c r="GU1721" s="797"/>
      <c r="GV1721" s="797"/>
      <c r="GW1721" s="797"/>
      <c r="GX1721" s="797"/>
      <c r="GY1721" s="797"/>
      <c r="GZ1721" s="797"/>
      <c r="HA1721" s="797"/>
      <c r="HB1721" s="797"/>
      <c r="HC1721" s="797"/>
      <c r="HD1721" s="797"/>
      <c r="HE1721" s="797"/>
      <c r="HF1721" s="797"/>
      <c r="HG1721" s="797"/>
      <c r="HH1721" s="797"/>
      <c r="HI1721" s="797"/>
      <c r="HJ1721" s="797"/>
      <c r="HK1721" s="797"/>
      <c r="HL1721" s="797"/>
      <c r="HM1721" s="797"/>
      <c r="HN1721" s="797"/>
      <c r="HO1721" s="797"/>
      <c r="HP1721" s="797"/>
      <c r="HQ1721" s="797"/>
      <c r="HR1721" s="797"/>
      <c r="HS1721" s="797"/>
      <c r="HT1721" s="797"/>
      <c r="HU1721" s="797"/>
      <c r="HV1721" s="797"/>
      <c r="HW1721" s="797"/>
      <c r="HX1721" s="797"/>
      <c r="HY1721" s="797"/>
      <c r="HZ1721" s="797"/>
      <c r="IA1721" s="797"/>
      <c r="IB1721" s="797"/>
      <c r="IC1721" s="797"/>
      <c r="ID1721" s="797"/>
      <c r="IE1721" s="797"/>
      <c r="IF1721" s="797"/>
      <c r="IG1721" s="797"/>
      <c r="IH1721" s="797"/>
      <c r="II1721" s="797"/>
      <c r="IJ1721" s="797"/>
      <c r="IK1721" s="797"/>
      <c r="IL1721" s="797"/>
      <c r="IM1721" s="797"/>
      <c r="IN1721" s="797"/>
      <c r="IO1721" s="797"/>
      <c r="IP1721" s="797"/>
      <c r="IQ1721" s="797"/>
      <c r="IR1721" s="797"/>
      <c r="IS1721" s="797"/>
      <c r="IT1721" s="797"/>
      <c r="IU1721" s="797"/>
    </row>
    <row r="1722" spans="1:255" s="817" customFormat="1" ht="15.75" hidden="1" customHeight="1">
      <c r="A1722" s="336">
        <v>16</v>
      </c>
      <c r="B1722" s="815" t="s">
        <v>1354</v>
      </c>
      <c r="C1722" s="816" t="s">
        <v>1355</v>
      </c>
      <c r="D1722" s="486" t="s">
        <v>816</v>
      </c>
      <c r="E1722" s="863"/>
      <c r="F1722" s="388">
        <f>'დეფექტური აქტი'!E398</f>
        <v>0</v>
      </c>
      <c r="G1722" s="389"/>
      <c r="H1722" s="389"/>
      <c r="I1722" s="389"/>
      <c r="J1722" s="389"/>
      <c r="K1722" s="389"/>
      <c r="L1722" s="389"/>
      <c r="M1722" s="389"/>
      <c r="N1722" s="415"/>
      <c r="P1722" s="818"/>
      <c r="Q1722" s="818"/>
      <c r="R1722" s="818"/>
      <c r="S1722" s="818"/>
      <c r="T1722" s="818"/>
      <c r="U1722" s="818"/>
      <c r="V1722" s="818"/>
      <c r="W1722" s="818"/>
      <c r="X1722" s="818"/>
      <c r="Y1722" s="818"/>
      <c r="Z1722" s="818"/>
    </row>
    <row r="1723" spans="1:255" s="463" customFormat="1" ht="15.75" hidden="1" customHeight="1">
      <c r="A1723" s="336"/>
      <c r="B1723" s="540"/>
      <c r="C1723" s="335" t="s">
        <v>209</v>
      </c>
      <c r="D1723" s="486" t="s">
        <v>80</v>
      </c>
      <c r="E1723" s="614">
        <v>18.3</v>
      </c>
      <c r="F1723" s="614">
        <f>F1722*E1723</f>
        <v>0</v>
      </c>
      <c r="G1723" s="542"/>
      <c r="H1723" s="389"/>
      <c r="I1723" s="389">
        <v>4.5999999999999996</v>
      </c>
      <c r="J1723" s="389">
        <f>F1723*I1723</f>
        <v>0</v>
      </c>
      <c r="K1723" s="389"/>
      <c r="L1723" s="389"/>
      <c r="M1723" s="389">
        <f>H1723+J1723+L1723</f>
        <v>0</v>
      </c>
      <c r="N1723" s="799"/>
      <c r="O1723" s="799"/>
      <c r="P1723" s="800"/>
      <c r="Q1723" s="800"/>
      <c r="R1723" s="800"/>
      <c r="S1723" s="800"/>
      <c r="T1723" s="800"/>
      <c r="U1723" s="800"/>
      <c r="V1723" s="800"/>
      <c r="W1723" s="800"/>
      <c r="X1723" s="800"/>
      <c r="Y1723" s="800"/>
      <c r="Z1723" s="800"/>
      <c r="AA1723" s="799"/>
      <c r="AB1723" s="799"/>
      <c r="AC1723" s="799"/>
      <c r="AD1723" s="799"/>
      <c r="AE1723" s="799"/>
      <c r="AF1723" s="799"/>
      <c r="AG1723" s="799"/>
      <c r="AH1723" s="799"/>
      <c r="AI1723" s="799"/>
      <c r="AJ1723" s="799"/>
      <c r="AK1723" s="799"/>
      <c r="AL1723" s="799"/>
      <c r="AM1723" s="799"/>
      <c r="AN1723" s="799"/>
      <c r="AO1723" s="799"/>
      <c r="AP1723" s="799"/>
      <c r="AQ1723" s="799"/>
      <c r="AR1723" s="799"/>
      <c r="AS1723" s="799"/>
      <c r="AT1723" s="799"/>
      <c r="AU1723" s="799"/>
      <c r="AV1723" s="799"/>
      <c r="AW1723" s="799"/>
      <c r="AX1723" s="799"/>
      <c r="AY1723" s="799"/>
      <c r="AZ1723" s="799"/>
      <c r="BA1723" s="799"/>
      <c r="BB1723" s="799"/>
      <c r="BC1723" s="799"/>
      <c r="BD1723" s="799"/>
      <c r="BE1723" s="799"/>
      <c r="BF1723" s="799"/>
      <c r="BG1723" s="799"/>
      <c r="BH1723" s="799"/>
      <c r="BI1723" s="799"/>
      <c r="BJ1723" s="799"/>
      <c r="BK1723" s="799"/>
      <c r="BL1723" s="799"/>
      <c r="BM1723" s="799"/>
      <c r="BN1723" s="799"/>
      <c r="BO1723" s="799"/>
      <c r="BP1723" s="799"/>
      <c r="BQ1723" s="799"/>
      <c r="BR1723" s="799"/>
      <c r="BS1723" s="799"/>
      <c r="BT1723" s="799"/>
      <c r="BU1723" s="799"/>
      <c r="BV1723" s="799"/>
      <c r="BW1723" s="799"/>
      <c r="BX1723" s="799"/>
      <c r="BY1723" s="799"/>
      <c r="BZ1723" s="799"/>
      <c r="CA1723" s="799"/>
      <c r="CB1723" s="799"/>
      <c r="CC1723" s="799"/>
      <c r="CD1723" s="799"/>
      <c r="CE1723" s="799"/>
      <c r="CF1723" s="799"/>
      <c r="CG1723" s="799"/>
      <c r="CH1723" s="799"/>
      <c r="CI1723" s="799"/>
      <c r="CJ1723" s="799"/>
      <c r="CK1723" s="799"/>
      <c r="CL1723" s="799"/>
      <c r="CM1723" s="799"/>
      <c r="CN1723" s="799"/>
      <c r="CO1723" s="799"/>
      <c r="CP1723" s="799"/>
      <c r="CQ1723" s="799"/>
      <c r="CR1723" s="799"/>
      <c r="CS1723" s="799"/>
      <c r="CT1723" s="799"/>
      <c r="CU1723" s="799"/>
      <c r="CV1723" s="799"/>
      <c r="CW1723" s="799"/>
      <c r="CX1723" s="799"/>
      <c r="CY1723" s="799"/>
      <c r="CZ1723" s="799"/>
      <c r="DA1723" s="799"/>
      <c r="DB1723" s="799"/>
      <c r="DC1723" s="799"/>
      <c r="DD1723" s="799"/>
      <c r="DE1723" s="799"/>
      <c r="DF1723" s="799"/>
      <c r="DG1723" s="799"/>
      <c r="DH1723" s="799"/>
      <c r="DI1723" s="799"/>
      <c r="DJ1723" s="799"/>
      <c r="DK1723" s="799"/>
      <c r="DL1723" s="799"/>
      <c r="DM1723" s="799"/>
      <c r="DN1723" s="799"/>
      <c r="DO1723" s="799"/>
      <c r="DP1723" s="799"/>
      <c r="DQ1723" s="799"/>
      <c r="DR1723" s="799"/>
      <c r="DS1723" s="799"/>
      <c r="DT1723" s="799"/>
      <c r="DU1723" s="799"/>
      <c r="DV1723" s="799"/>
      <c r="DW1723" s="799"/>
      <c r="DX1723" s="799"/>
      <c r="DY1723" s="799"/>
      <c r="DZ1723" s="799"/>
      <c r="EA1723" s="799"/>
      <c r="EB1723" s="799"/>
      <c r="EC1723" s="799"/>
      <c r="ED1723" s="799"/>
      <c r="EE1723" s="799"/>
      <c r="EF1723" s="799"/>
      <c r="EG1723" s="799"/>
      <c r="EH1723" s="799"/>
      <c r="EI1723" s="799"/>
      <c r="EJ1723" s="799"/>
      <c r="EK1723" s="799"/>
      <c r="EL1723" s="799"/>
      <c r="EM1723" s="799"/>
      <c r="EN1723" s="799"/>
      <c r="EO1723" s="799"/>
      <c r="EP1723" s="799"/>
      <c r="EQ1723" s="799"/>
      <c r="ER1723" s="799"/>
      <c r="ES1723" s="799"/>
      <c r="ET1723" s="799"/>
      <c r="EU1723" s="799"/>
      <c r="EV1723" s="799"/>
      <c r="EW1723" s="799"/>
      <c r="EX1723" s="799"/>
      <c r="EY1723" s="799"/>
      <c r="EZ1723" s="799"/>
      <c r="FA1723" s="799"/>
      <c r="FB1723" s="799"/>
      <c r="FC1723" s="799"/>
      <c r="FD1723" s="799"/>
      <c r="FE1723" s="799"/>
      <c r="FF1723" s="799"/>
      <c r="FG1723" s="799"/>
      <c r="FH1723" s="799"/>
      <c r="FI1723" s="799"/>
      <c r="FJ1723" s="799"/>
      <c r="FK1723" s="799"/>
      <c r="FL1723" s="799"/>
      <c r="FM1723" s="799"/>
      <c r="FN1723" s="799"/>
      <c r="FO1723" s="799"/>
      <c r="FP1723" s="799"/>
      <c r="FQ1723" s="799"/>
      <c r="FR1723" s="799"/>
      <c r="FS1723" s="799"/>
      <c r="FT1723" s="799"/>
      <c r="FU1723" s="799"/>
      <c r="FV1723" s="799"/>
      <c r="FW1723" s="799"/>
      <c r="FX1723" s="799"/>
      <c r="FY1723" s="799"/>
      <c r="FZ1723" s="799"/>
      <c r="GA1723" s="799"/>
      <c r="GB1723" s="799"/>
      <c r="GC1723" s="799"/>
      <c r="GD1723" s="799"/>
      <c r="GE1723" s="799"/>
      <c r="GF1723" s="799"/>
      <c r="GG1723" s="799"/>
      <c r="GH1723" s="799"/>
      <c r="GI1723" s="799"/>
      <c r="GJ1723" s="799"/>
      <c r="GK1723" s="799"/>
      <c r="GL1723" s="799"/>
      <c r="GM1723" s="799"/>
      <c r="GN1723" s="799"/>
      <c r="GO1723" s="799"/>
      <c r="GP1723" s="799"/>
      <c r="GQ1723" s="799"/>
      <c r="GR1723" s="799"/>
      <c r="GS1723" s="799"/>
      <c r="GT1723" s="799"/>
      <c r="GU1723" s="799"/>
      <c r="GV1723" s="799"/>
      <c r="GW1723" s="799"/>
      <c r="GX1723" s="799"/>
      <c r="GY1723" s="799"/>
      <c r="GZ1723" s="799"/>
      <c r="HA1723" s="799"/>
      <c r="HB1723" s="799"/>
      <c r="HC1723" s="799"/>
      <c r="HD1723" s="799"/>
      <c r="HE1723" s="799"/>
      <c r="HF1723" s="799"/>
      <c r="HG1723" s="799"/>
      <c r="HH1723" s="799"/>
      <c r="HI1723" s="799"/>
      <c r="HJ1723" s="799"/>
      <c r="HK1723" s="799"/>
      <c r="HL1723" s="799"/>
      <c r="HM1723" s="799"/>
      <c r="HN1723" s="799"/>
      <c r="HO1723" s="799"/>
      <c r="HP1723" s="799"/>
      <c r="HQ1723" s="799"/>
      <c r="HR1723" s="799"/>
      <c r="HS1723" s="799"/>
      <c r="HT1723" s="799"/>
      <c r="HU1723" s="799"/>
      <c r="HV1723" s="799"/>
      <c r="HW1723" s="799"/>
      <c r="HX1723" s="799"/>
      <c r="HY1723" s="799"/>
      <c r="HZ1723" s="799"/>
      <c r="IA1723" s="799"/>
      <c r="IB1723" s="799"/>
      <c r="IC1723" s="799"/>
      <c r="ID1723" s="799"/>
      <c r="IE1723" s="799"/>
      <c r="IF1723" s="799"/>
      <c r="IG1723" s="799"/>
      <c r="IH1723" s="799"/>
      <c r="II1723" s="799"/>
      <c r="IJ1723" s="799"/>
      <c r="IK1723" s="799"/>
      <c r="IL1723" s="799"/>
      <c r="IM1723" s="799"/>
      <c r="IN1723" s="799"/>
      <c r="IO1723" s="799"/>
      <c r="IP1723" s="799"/>
      <c r="IQ1723" s="799"/>
      <c r="IR1723" s="799"/>
      <c r="IS1723" s="799"/>
      <c r="IT1723" s="799"/>
      <c r="IU1723" s="799"/>
    </row>
    <row r="1724" spans="1:255" s="463" customFormat="1" hidden="1">
      <c r="A1724" s="336"/>
      <c r="B1724" s="543"/>
      <c r="C1724" s="335" t="s">
        <v>133</v>
      </c>
      <c r="D1724" s="486" t="s">
        <v>57</v>
      </c>
      <c r="E1724" s="863">
        <v>1.51</v>
      </c>
      <c r="F1724" s="614">
        <f>F1722*E1724</f>
        <v>0</v>
      </c>
      <c r="G1724" s="542"/>
      <c r="H1724" s="389"/>
      <c r="I1724" s="389"/>
      <c r="J1724" s="389"/>
      <c r="K1724" s="389">
        <v>3.2</v>
      </c>
      <c r="L1724" s="389">
        <f>F1724*K1724</f>
        <v>0</v>
      </c>
      <c r="M1724" s="389">
        <f>H1724+J1724+L1724</f>
        <v>0</v>
      </c>
      <c r="N1724" s="799"/>
      <c r="O1724" s="799"/>
      <c r="P1724" s="800"/>
      <c r="Q1724" s="800"/>
      <c r="R1724" s="800"/>
      <c r="S1724" s="800"/>
      <c r="T1724" s="800"/>
      <c r="U1724" s="800"/>
      <c r="V1724" s="800"/>
      <c r="W1724" s="800"/>
      <c r="X1724" s="800"/>
      <c r="Y1724" s="800"/>
      <c r="Z1724" s="800"/>
      <c r="AA1724" s="799"/>
      <c r="AB1724" s="799"/>
      <c r="AC1724" s="799"/>
      <c r="AD1724" s="799"/>
      <c r="AE1724" s="799"/>
      <c r="AF1724" s="799"/>
      <c r="AG1724" s="799"/>
      <c r="AH1724" s="799"/>
      <c r="AI1724" s="799"/>
      <c r="AJ1724" s="799"/>
      <c r="AK1724" s="799"/>
      <c r="AL1724" s="799"/>
      <c r="AM1724" s="799"/>
      <c r="AN1724" s="799"/>
      <c r="AO1724" s="799"/>
      <c r="AP1724" s="799"/>
      <c r="AQ1724" s="799"/>
      <c r="AR1724" s="799"/>
      <c r="AS1724" s="799"/>
      <c r="AT1724" s="799"/>
      <c r="AU1724" s="799"/>
      <c r="AV1724" s="799"/>
      <c r="AW1724" s="799"/>
      <c r="AX1724" s="799"/>
      <c r="AY1724" s="799"/>
      <c r="AZ1724" s="799"/>
      <c r="BA1724" s="799"/>
      <c r="BB1724" s="799"/>
      <c r="BC1724" s="799"/>
      <c r="BD1724" s="799"/>
      <c r="BE1724" s="799"/>
      <c r="BF1724" s="799"/>
      <c r="BG1724" s="799"/>
      <c r="BH1724" s="799"/>
      <c r="BI1724" s="799"/>
      <c r="BJ1724" s="799"/>
      <c r="BK1724" s="799"/>
      <c r="BL1724" s="799"/>
      <c r="BM1724" s="799"/>
      <c r="BN1724" s="799"/>
      <c r="BO1724" s="799"/>
      <c r="BP1724" s="799"/>
      <c r="BQ1724" s="799"/>
      <c r="BR1724" s="799"/>
      <c r="BS1724" s="799"/>
      <c r="BT1724" s="799"/>
      <c r="BU1724" s="799"/>
      <c r="BV1724" s="799"/>
      <c r="BW1724" s="799"/>
      <c r="BX1724" s="799"/>
      <c r="BY1724" s="799"/>
      <c r="BZ1724" s="799"/>
      <c r="CA1724" s="799"/>
      <c r="CB1724" s="799"/>
      <c r="CC1724" s="799"/>
      <c r="CD1724" s="799"/>
      <c r="CE1724" s="799"/>
      <c r="CF1724" s="799"/>
      <c r="CG1724" s="799"/>
      <c r="CH1724" s="799"/>
      <c r="CI1724" s="799"/>
      <c r="CJ1724" s="799"/>
      <c r="CK1724" s="799"/>
      <c r="CL1724" s="799"/>
      <c r="CM1724" s="799"/>
      <c r="CN1724" s="799"/>
      <c r="CO1724" s="799"/>
      <c r="CP1724" s="799"/>
      <c r="CQ1724" s="799"/>
      <c r="CR1724" s="799"/>
      <c r="CS1724" s="799"/>
      <c r="CT1724" s="799"/>
      <c r="CU1724" s="799"/>
      <c r="CV1724" s="799"/>
      <c r="CW1724" s="799"/>
      <c r="CX1724" s="799"/>
      <c r="CY1724" s="799"/>
      <c r="CZ1724" s="799"/>
      <c r="DA1724" s="799"/>
      <c r="DB1724" s="799"/>
      <c r="DC1724" s="799"/>
      <c r="DD1724" s="799"/>
      <c r="DE1724" s="799"/>
      <c r="DF1724" s="799"/>
      <c r="DG1724" s="799"/>
      <c r="DH1724" s="799"/>
      <c r="DI1724" s="799"/>
      <c r="DJ1724" s="799"/>
      <c r="DK1724" s="799"/>
      <c r="DL1724" s="799"/>
      <c r="DM1724" s="799"/>
      <c r="DN1724" s="799"/>
      <c r="DO1724" s="799"/>
      <c r="DP1724" s="799"/>
      <c r="DQ1724" s="799"/>
      <c r="DR1724" s="799"/>
      <c r="DS1724" s="799"/>
      <c r="DT1724" s="799"/>
      <c r="DU1724" s="799"/>
      <c r="DV1724" s="799"/>
      <c r="DW1724" s="799"/>
      <c r="DX1724" s="799"/>
      <c r="DY1724" s="799"/>
      <c r="DZ1724" s="799"/>
      <c r="EA1724" s="799"/>
      <c r="EB1724" s="799"/>
      <c r="EC1724" s="799"/>
      <c r="ED1724" s="799"/>
      <c r="EE1724" s="799"/>
      <c r="EF1724" s="799"/>
      <c r="EG1724" s="799"/>
      <c r="EH1724" s="799"/>
      <c r="EI1724" s="799"/>
      <c r="EJ1724" s="799"/>
      <c r="EK1724" s="799"/>
      <c r="EL1724" s="799"/>
      <c r="EM1724" s="799"/>
      <c r="EN1724" s="799"/>
      <c r="EO1724" s="799"/>
      <c r="EP1724" s="799"/>
      <c r="EQ1724" s="799"/>
      <c r="ER1724" s="799"/>
      <c r="ES1724" s="799"/>
      <c r="ET1724" s="799"/>
      <c r="EU1724" s="799"/>
      <c r="EV1724" s="799"/>
      <c r="EW1724" s="799"/>
      <c r="EX1724" s="799"/>
      <c r="EY1724" s="799"/>
      <c r="EZ1724" s="799"/>
      <c r="FA1724" s="799"/>
      <c r="FB1724" s="799"/>
      <c r="FC1724" s="799"/>
      <c r="FD1724" s="799"/>
      <c r="FE1724" s="799"/>
      <c r="FF1724" s="799"/>
      <c r="FG1724" s="799"/>
      <c r="FH1724" s="799"/>
      <c r="FI1724" s="799"/>
      <c r="FJ1724" s="799"/>
      <c r="FK1724" s="799"/>
      <c r="FL1724" s="799"/>
      <c r="FM1724" s="799"/>
      <c r="FN1724" s="799"/>
      <c r="FO1724" s="799"/>
      <c r="FP1724" s="799"/>
      <c r="FQ1724" s="799"/>
      <c r="FR1724" s="799"/>
      <c r="FS1724" s="799"/>
      <c r="FT1724" s="799"/>
      <c r="FU1724" s="799"/>
      <c r="FV1724" s="799"/>
      <c r="FW1724" s="799"/>
      <c r="FX1724" s="799"/>
      <c r="FY1724" s="799"/>
      <c r="FZ1724" s="799"/>
      <c r="GA1724" s="799"/>
      <c r="GB1724" s="799"/>
      <c r="GC1724" s="799"/>
      <c r="GD1724" s="799"/>
      <c r="GE1724" s="799"/>
      <c r="GF1724" s="799"/>
      <c r="GG1724" s="799"/>
      <c r="GH1724" s="799"/>
      <c r="GI1724" s="799"/>
      <c r="GJ1724" s="799"/>
      <c r="GK1724" s="799"/>
      <c r="GL1724" s="799"/>
      <c r="GM1724" s="799"/>
      <c r="GN1724" s="799"/>
      <c r="GO1724" s="799"/>
      <c r="GP1724" s="799"/>
      <c r="GQ1724" s="799"/>
      <c r="GR1724" s="799"/>
      <c r="GS1724" s="799"/>
      <c r="GT1724" s="799"/>
      <c r="GU1724" s="799"/>
      <c r="GV1724" s="799"/>
      <c r="GW1724" s="799"/>
      <c r="GX1724" s="799"/>
      <c r="GY1724" s="799"/>
      <c r="GZ1724" s="799"/>
      <c r="HA1724" s="799"/>
      <c r="HB1724" s="799"/>
      <c r="HC1724" s="799"/>
      <c r="HD1724" s="799"/>
      <c r="HE1724" s="799"/>
      <c r="HF1724" s="799"/>
      <c r="HG1724" s="799"/>
      <c r="HH1724" s="799"/>
      <c r="HI1724" s="799"/>
      <c r="HJ1724" s="799"/>
      <c r="HK1724" s="799"/>
      <c r="HL1724" s="799"/>
      <c r="HM1724" s="799"/>
      <c r="HN1724" s="799"/>
      <c r="HO1724" s="799"/>
      <c r="HP1724" s="799"/>
      <c r="HQ1724" s="799"/>
      <c r="HR1724" s="799"/>
      <c r="HS1724" s="799"/>
      <c r="HT1724" s="799"/>
      <c r="HU1724" s="799"/>
      <c r="HV1724" s="799"/>
      <c r="HW1724" s="799"/>
      <c r="HX1724" s="799"/>
      <c r="HY1724" s="799"/>
      <c r="HZ1724" s="799"/>
      <c r="IA1724" s="799"/>
      <c r="IB1724" s="799"/>
      <c r="IC1724" s="799"/>
      <c r="ID1724" s="799"/>
      <c r="IE1724" s="799"/>
      <c r="IF1724" s="799"/>
      <c r="IG1724" s="799"/>
      <c r="IH1724" s="799"/>
      <c r="II1724" s="799"/>
      <c r="IJ1724" s="799"/>
      <c r="IK1724" s="799"/>
      <c r="IL1724" s="799"/>
      <c r="IM1724" s="799"/>
      <c r="IN1724" s="799"/>
      <c r="IO1724" s="799"/>
      <c r="IP1724" s="799"/>
      <c r="IQ1724" s="799"/>
      <c r="IR1724" s="799"/>
      <c r="IS1724" s="799"/>
      <c r="IT1724" s="799"/>
      <c r="IU1724" s="799"/>
    </row>
    <row r="1725" spans="1:255" s="463" customFormat="1" hidden="1">
      <c r="A1725" s="336"/>
      <c r="B1725" s="543"/>
      <c r="C1725" s="335" t="s">
        <v>210</v>
      </c>
      <c r="D1725" s="486"/>
      <c r="E1725" s="863"/>
      <c r="F1725" s="614"/>
      <c r="G1725" s="542"/>
      <c r="H1725" s="389"/>
      <c r="I1725" s="389"/>
      <c r="J1725" s="389"/>
      <c r="K1725" s="389"/>
      <c r="L1725" s="389"/>
      <c r="M1725" s="389"/>
      <c r="N1725" s="799"/>
      <c r="O1725" s="799"/>
      <c r="P1725" s="800"/>
      <c r="Q1725" s="800"/>
      <c r="R1725" s="800"/>
      <c r="S1725" s="800"/>
      <c r="T1725" s="800"/>
      <c r="U1725" s="800"/>
      <c r="V1725" s="800"/>
      <c r="W1725" s="800"/>
      <c r="X1725" s="800"/>
      <c r="Y1725" s="800"/>
      <c r="Z1725" s="800"/>
      <c r="AA1725" s="799"/>
      <c r="AB1725" s="799"/>
      <c r="AC1725" s="799"/>
      <c r="AD1725" s="799"/>
      <c r="AE1725" s="799"/>
      <c r="AF1725" s="799"/>
      <c r="AG1725" s="799"/>
      <c r="AH1725" s="799"/>
      <c r="AI1725" s="799"/>
      <c r="AJ1725" s="799"/>
      <c r="AK1725" s="799"/>
      <c r="AL1725" s="799"/>
      <c r="AM1725" s="799"/>
      <c r="AN1725" s="799"/>
      <c r="AO1725" s="799"/>
      <c r="AP1725" s="799"/>
      <c r="AQ1725" s="799"/>
      <c r="AR1725" s="799"/>
      <c r="AS1725" s="799"/>
      <c r="AT1725" s="799"/>
      <c r="AU1725" s="799"/>
      <c r="AV1725" s="799"/>
      <c r="AW1725" s="799"/>
      <c r="AX1725" s="799"/>
      <c r="AY1725" s="799"/>
      <c r="AZ1725" s="799"/>
      <c r="BA1725" s="799"/>
      <c r="BB1725" s="799"/>
      <c r="BC1725" s="799"/>
      <c r="BD1725" s="799"/>
      <c r="BE1725" s="799"/>
      <c r="BF1725" s="799"/>
      <c r="BG1725" s="799"/>
      <c r="BH1725" s="799"/>
      <c r="BI1725" s="799"/>
      <c r="BJ1725" s="799"/>
      <c r="BK1725" s="799"/>
      <c r="BL1725" s="799"/>
      <c r="BM1725" s="799"/>
      <c r="BN1725" s="799"/>
      <c r="BO1725" s="799"/>
      <c r="BP1725" s="799"/>
      <c r="BQ1725" s="799"/>
      <c r="BR1725" s="799"/>
      <c r="BS1725" s="799"/>
      <c r="BT1725" s="799"/>
      <c r="BU1725" s="799"/>
      <c r="BV1725" s="799"/>
      <c r="BW1725" s="799"/>
      <c r="BX1725" s="799"/>
      <c r="BY1725" s="799"/>
      <c r="BZ1725" s="799"/>
      <c r="CA1725" s="799"/>
      <c r="CB1725" s="799"/>
      <c r="CC1725" s="799"/>
      <c r="CD1725" s="799"/>
      <c r="CE1725" s="799"/>
      <c r="CF1725" s="799"/>
      <c r="CG1725" s="799"/>
      <c r="CH1725" s="799"/>
      <c r="CI1725" s="799"/>
      <c r="CJ1725" s="799"/>
      <c r="CK1725" s="799"/>
      <c r="CL1725" s="799"/>
      <c r="CM1725" s="799"/>
      <c r="CN1725" s="799"/>
      <c r="CO1725" s="799"/>
      <c r="CP1725" s="799"/>
      <c r="CQ1725" s="799"/>
      <c r="CR1725" s="799"/>
      <c r="CS1725" s="799"/>
      <c r="CT1725" s="799"/>
      <c r="CU1725" s="799"/>
      <c r="CV1725" s="799"/>
      <c r="CW1725" s="799"/>
      <c r="CX1725" s="799"/>
      <c r="CY1725" s="799"/>
      <c r="CZ1725" s="799"/>
      <c r="DA1725" s="799"/>
      <c r="DB1725" s="799"/>
      <c r="DC1725" s="799"/>
      <c r="DD1725" s="799"/>
      <c r="DE1725" s="799"/>
      <c r="DF1725" s="799"/>
      <c r="DG1725" s="799"/>
      <c r="DH1725" s="799"/>
      <c r="DI1725" s="799"/>
      <c r="DJ1725" s="799"/>
      <c r="DK1725" s="799"/>
      <c r="DL1725" s="799"/>
      <c r="DM1725" s="799"/>
      <c r="DN1725" s="799"/>
      <c r="DO1725" s="799"/>
      <c r="DP1725" s="799"/>
      <c r="DQ1725" s="799"/>
      <c r="DR1725" s="799"/>
      <c r="DS1725" s="799"/>
      <c r="DT1725" s="799"/>
      <c r="DU1725" s="799"/>
      <c r="DV1725" s="799"/>
      <c r="DW1725" s="799"/>
      <c r="DX1725" s="799"/>
      <c r="DY1725" s="799"/>
      <c r="DZ1725" s="799"/>
      <c r="EA1725" s="799"/>
      <c r="EB1725" s="799"/>
      <c r="EC1725" s="799"/>
      <c r="ED1725" s="799"/>
      <c r="EE1725" s="799"/>
      <c r="EF1725" s="799"/>
      <c r="EG1725" s="799"/>
      <c r="EH1725" s="799"/>
      <c r="EI1725" s="799"/>
      <c r="EJ1725" s="799"/>
      <c r="EK1725" s="799"/>
      <c r="EL1725" s="799"/>
      <c r="EM1725" s="799"/>
      <c r="EN1725" s="799"/>
      <c r="EO1725" s="799"/>
      <c r="EP1725" s="799"/>
      <c r="EQ1725" s="799"/>
      <c r="ER1725" s="799"/>
      <c r="ES1725" s="799"/>
      <c r="ET1725" s="799"/>
      <c r="EU1725" s="799"/>
      <c r="EV1725" s="799"/>
      <c r="EW1725" s="799"/>
      <c r="EX1725" s="799"/>
      <c r="EY1725" s="799"/>
      <c r="EZ1725" s="799"/>
      <c r="FA1725" s="799"/>
      <c r="FB1725" s="799"/>
      <c r="FC1725" s="799"/>
      <c r="FD1725" s="799"/>
      <c r="FE1725" s="799"/>
      <c r="FF1725" s="799"/>
      <c r="FG1725" s="799"/>
      <c r="FH1725" s="799"/>
      <c r="FI1725" s="799"/>
      <c r="FJ1725" s="799"/>
      <c r="FK1725" s="799"/>
      <c r="FL1725" s="799"/>
      <c r="FM1725" s="799"/>
      <c r="FN1725" s="799"/>
      <c r="FO1725" s="799"/>
      <c r="FP1725" s="799"/>
      <c r="FQ1725" s="799"/>
      <c r="FR1725" s="799"/>
      <c r="FS1725" s="799"/>
      <c r="FT1725" s="799"/>
      <c r="FU1725" s="799"/>
      <c r="FV1725" s="799"/>
      <c r="FW1725" s="799"/>
      <c r="FX1725" s="799"/>
      <c r="FY1725" s="799"/>
      <c r="FZ1725" s="799"/>
      <c r="GA1725" s="799"/>
      <c r="GB1725" s="799"/>
      <c r="GC1725" s="799"/>
      <c r="GD1725" s="799"/>
      <c r="GE1725" s="799"/>
      <c r="GF1725" s="799"/>
      <c r="GG1725" s="799"/>
      <c r="GH1725" s="799"/>
      <c r="GI1725" s="799"/>
      <c r="GJ1725" s="799"/>
      <c r="GK1725" s="799"/>
      <c r="GL1725" s="799"/>
      <c r="GM1725" s="799"/>
      <c r="GN1725" s="799"/>
      <c r="GO1725" s="799"/>
      <c r="GP1725" s="799"/>
      <c r="GQ1725" s="799"/>
      <c r="GR1725" s="799"/>
      <c r="GS1725" s="799"/>
      <c r="GT1725" s="799"/>
      <c r="GU1725" s="799"/>
      <c r="GV1725" s="799"/>
      <c r="GW1725" s="799"/>
      <c r="GX1725" s="799"/>
      <c r="GY1725" s="799"/>
      <c r="GZ1725" s="799"/>
      <c r="HA1725" s="799"/>
      <c r="HB1725" s="799"/>
      <c r="HC1725" s="799"/>
      <c r="HD1725" s="799"/>
      <c r="HE1725" s="799"/>
      <c r="HF1725" s="799"/>
      <c r="HG1725" s="799"/>
      <c r="HH1725" s="799"/>
      <c r="HI1725" s="799"/>
      <c r="HJ1725" s="799"/>
      <c r="HK1725" s="799"/>
      <c r="HL1725" s="799"/>
      <c r="HM1725" s="799"/>
      <c r="HN1725" s="799"/>
      <c r="HO1725" s="799"/>
      <c r="HP1725" s="799"/>
      <c r="HQ1725" s="799"/>
      <c r="HR1725" s="799"/>
      <c r="HS1725" s="799"/>
      <c r="HT1725" s="799"/>
      <c r="HU1725" s="799"/>
      <c r="HV1725" s="799"/>
      <c r="HW1725" s="799"/>
      <c r="HX1725" s="799"/>
      <c r="HY1725" s="799"/>
      <c r="HZ1725" s="799"/>
      <c r="IA1725" s="799"/>
      <c r="IB1725" s="799"/>
      <c r="IC1725" s="799"/>
      <c r="ID1725" s="799"/>
      <c r="IE1725" s="799"/>
      <c r="IF1725" s="799"/>
      <c r="IG1725" s="799"/>
      <c r="IH1725" s="799"/>
      <c r="II1725" s="799"/>
      <c r="IJ1725" s="799"/>
      <c r="IK1725" s="799"/>
      <c r="IL1725" s="799"/>
      <c r="IM1725" s="799"/>
      <c r="IN1725" s="799"/>
      <c r="IO1725" s="799"/>
      <c r="IP1725" s="799"/>
      <c r="IQ1725" s="799"/>
      <c r="IR1725" s="799"/>
      <c r="IS1725" s="799"/>
      <c r="IT1725" s="799"/>
      <c r="IU1725" s="799"/>
    </row>
    <row r="1726" spans="1:255" s="463" customFormat="1" ht="15" hidden="1" customHeight="1">
      <c r="A1726" s="336"/>
      <c r="B1726" s="543"/>
      <c r="C1726" s="809" t="s">
        <v>1356</v>
      </c>
      <c r="D1726" s="486" t="s">
        <v>816</v>
      </c>
      <c r="E1726" s="863">
        <v>1</v>
      </c>
      <c r="F1726" s="389">
        <f>F1722*E1726</f>
        <v>0</v>
      </c>
      <c r="G1726" s="511">
        <v>288</v>
      </c>
      <c r="H1726" s="389">
        <f>F1726*G1726</f>
        <v>0</v>
      </c>
      <c r="I1726" s="389"/>
      <c r="J1726" s="389"/>
      <c r="K1726" s="389"/>
      <c r="L1726" s="389"/>
      <c r="M1726" s="389">
        <f>H1726+J1726+L1726</f>
        <v>0</v>
      </c>
      <c r="N1726" s="799"/>
      <c r="O1726" s="799"/>
      <c r="P1726" s="800"/>
      <c r="Q1726" s="800"/>
      <c r="R1726" s="800"/>
      <c r="S1726" s="800"/>
      <c r="T1726" s="800"/>
      <c r="U1726" s="800"/>
      <c r="V1726" s="800"/>
      <c r="W1726" s="800"/>
      <c r="X1726" s="800"/>
      <c r="Y1726" s="800"/>
      <c r="Z1726" s="800"/>
      <c r="AA1726" s="799"/>
      <c r="AB1726" s="799"/>
      <c r="AC1726" s="799"/>
      <c r="AD1726" s="799"/>
      <c r="AE1726" s="799"/>
      <c r="AF1726" s="799"/>
      <c r="AG1726" s="799"/>
      <c r="AH1726" s="799"/>
      <c r="AI1726" s="799"/>
      <c r="AJ1726" s="799"/>
      <c r="AK1726" s="799"/>
      <c r="AL1726" s="799"/>
      <c r="AM1726" s="799"/>
      <c r="AN1726" s="799"/>
      <c r="AO1726" s="799"/>
      <c r="AP1726" s="799"/>
      <c r="AQ1726" s="799"/>
      <c r="AR1726" s="799"/>
      <c r="AS1726" s="799"/>
      <c r="AT1726" s="799"/>
      <c r="AU1726" s="799"/>
      <c r="AV1726" s="799"/>
      <c r="AW1726" s="799"/>
      <c r="AX1726" s="799"/>
      <c r="AY1726" s="799"/>
      <c r="AZ1726" s="799"/>
      <c r="BA1726" s="799"/>
      <c r="BB1726" s="799"/>
      <c r="BC1726" s="799"/>
      <c r="BD1726" s="799"/>
      <c r="BE1726" s="799"/>
      <c r="BF1726" s="799"/>
      <c r="BG1726" s="799"/>
      <c r="BH1726" s="799"/>
      <c r="BI1726" s="799"/>
      <c r="BJ1726" s="799"/>
      <c r="BK1726" s="799"/>
      <c r="BL1726" s="799"/>
      <c r="BM1726" s="799"/>
      <c r="BN1726" s="799"/>
      <c r="BO1726" s="799"/>
      <c r="BP1726" s="799"/>
      <c r="BQ1726" s="799"/>
      <c r="BR1726" s="799"/>
      <c r="BS1726" s="799"/>
      <c r="BT1726" s="799"/>
      <c r="BU1726" s="799"/>
      <c r="BV1726" s="799"/>
      <c r="BW1726" s="799"/>
      <c r="BX1726" s="799"/>
      <c r="BY1726" s="799"/>
      <c r="BZ1726" s="799"/>
      <c r="CA1726" s="799"/>
      <c r="CB1726" s="799"/>
      <c r="CC1726" s="799"/>
      <c r="CD1726" s="799"/>
      <c r="CE1726" s="799"/>
      <c r="CF1726" s="799"/>
      <c r="CG1726" s="799"/>
      <c r="CH1726" s="799"/>
      <c r="CI1726" s="799"/>
      <c r="CJ1726" s="799"/>
      <c r="CK1726" s="799"/>
      <c r="CL1726" s="799"/>
      <c r="CM1726" s="799"/>
      <c r="CN1726" s="799"/>
      <c r="CO1726" s="799"/>
      <c r="CP1726" s="799"/>
      <c r="CQ1726" s="799"/>
      <c r="CR1726" s="799"/>
      <c r="CS1726" s="799"/>
      <c r="CT1726" s="799"/>
      <c r="CU1726" s="799"/>
      <c r="CV1726" s="799"/>
      <c r="CW1726" s="799"/>
      <c r="CX1726" s="799"/>
      <c r="CY1726" s="799"/>
      <c r="CZ1726" s="799"/>
      <c r="DA1726" s="799"/>
      <c r="DB1726" s="799"/>
      <c r="DC1726" s="799"/>
      <c r="DD1726" s="799"/>
      <c r="DE1726" s="799"/>
      <c r="DF1726" s="799"/>
      <c r="DG1726" s="799"/>
      <c r="DH1726" s="799"/>
      <c r="DI1726" s="799"/>
      <c r="DJ1726" s="799"/>
      <c r="DK1726" s="799"/>
      <c r="DL1726" s="799"/>
      <c r="DM1726" s="799"/>
      <c r="DN1726" s="799"/>
      <c r="DO1726" s="799"/>
      <c r="DP1726" s="799"/>
      <c r="DQ1726" s="799"/>
      <c r="DR1726" s="799"/>
      <c r="DS1726" s="799"/>
      <c r="DT1726" s="799"/>
      <c r="DU1726" s="799"/>
      <c r="DV1726" s="799"/>
      <c r="DW1726" s="799"/>
      <c r="DX1726" s="799"/>
      <c r="DY1726" s="799"/>
      <c r="DZ1726" s="799"/>
      <c r="EA1726" s="799"/>
      <c r="EB1726" s="799"/>
      <c r="EC1726" s="799"/>
      <c r="ED1726" s="799"/>
      <c r="EE1726" s="799"/>
      <c r="EF1726" s="799"/>
      <c r="EG1726" s="799"/>
      <c r="EH1726" s="799"/>
      <c r="EI1726" s="799"/>
      <c r="EJ1726" s="799"/>
      <c r="EK1726" s="799"/>
      <c r="EL1726" s="799"/>
      <c r="EM1726" s="799"/>
      <c r="EN1726" s="799"/>
      <c r="EO1726" s="799"/>
      <c r="EP1726" s="799"/>
      <c r="EQ1726" s="799"/>
      <c r="ER1726" s="799"/>
      <c r="ES1726" s="799"/>
      <c r="ET1726" s="799"/>
      <c r="EU1726" s="799"/>
      <c r="EV1726" s="799"/>
      <c r="EW1726" s="799"/>
      <c r="EX1726" s="799"/>
      <c r="EY1726" s="799"/>
      <c r="EZ1726" s="799"/>
      <c r="FA1726" s="799"/>
      <c r="FB1726" s="799"/>
      <c r="FC1726" s="799"/>
      <c r="FD1726" s="799"/>
      <c r="FE1726" s="799"/>
      <c r="FF1726" s="799"/>
      <c r="FG1726" s="799"/>
      <c r="FH1726" s="799"/>
      <c r="FI1726" s="799"/>
      <c r="FJ1726" s="799"/>
      <c r="FK1726" s="799"/>
      <c r="FL1726" s="799"/>
      <c r="FM1726" s="799"/>
      <c r="FN1726" s="799"/>
      <c r="FO1726" s="799"/>
      <c r="FP1726" s="799"/>
      <c r="FQ1726" s="799"/>
      <c r="FR1726" s="799"/>
      <c r="FS1726" s="799"/>
      <c r="FT1726" s="799"/>
      <c r="FU1726" s="799"/>
      <c r="FV1726" s="799"/>
      <c r="FW1726" s="799"/>
      <c r="FX1726" s="799"/>
      <c r="FY1726" s="799"/>
      <c r="FZ1726" s="799"/>
      <c r="GA1726" s="799"/>
      <c r="GB1726" s="799"/>
      <c r="GC1726" s="799"/>
      <c r="GD1726" s="799"/>
      <c r="GE1726" s="799"/>
      <c r="GF1726" s="799"/>
      <c r="GG1726" s="799"/>
      <c r="GH1726" s="799"/>
      <c r="GI1726" s="799"/>
      <c r="GJ1726" s="799"/>
      <c r="GK1726" s="799"/>
      <c r="GL1726" s="799"/>
      <c r="GM1726" s="799"/>
      <c r="GN1726" s="799"/>
      <c r="GO1726" s="799"/>
      <c r="GP1726" s="799"/>
      <c r="GQ1726" s="799"/>
      <c r="GR1726" s="799"/>
      <c r="GS1726" s="799"/>
      <c r="GT1726" s="799"/>
      <c r="GU1726" s="799"/>
      <c r="GV1726" s="799"/>
      <c r="GW1726" s="799"/>
      <c r="GX1726" s="799"/>
      <c r="GY1726" s="799"/>
      <c r="GZ1726" s="799"/>
      <c r="HA1726" s="799"/>
      <c r="HB1726" s="799"/>
      <c r="HC1726" s="799"/>
      <c r="HD1726" s="799"/>
      <c r="HE1726" s="799"/>
      <c r="HF1726" s="799"/>
      <c r="HG1726" s="799"/>
      <c r="HH1726" s="799"/>
      <c r="HI1726" s="799"/>
      <c r="HJ1726" s="799"/>
      <c r="HK1726" s="799"/>
      <c r="HL1726" s="799"/>
      <c r="HM1726" s="799"/>
      <c r="HN1726" s="799"/>
      <c r="HO1726" s="799"/>
      <c r="HP1726" s="799"/>
      <c r="HQ1726" s="799"/>
      <c r="HR1726" s="799"/>
      <c r="HS1726" s="799"/>
      <c r="HT1726" s="799"/>
      <c r="HU1726" s="799"/>
      <c r="HV1726" s="799"/>
      <c r="HW1726" s="799"/>
      <c r="HX1726" s="799"/>
      <c r="HY1726" s="799"/>
      <c r="HZ1726" s="799"/>
      <c r="IA1726" s="799"/>
      <c r="IB1726" s="799"/>
      <c r="IC1726" s="799"/>
      <c r="ID1726" s="799"/>
      <c r="IE1726" s="799"/>
      <c r="IF1726" s="799"/>
      <c r="IG1726" s="799"/>
      <c r="IH1726" s="799"/>
      <c r="II1726" s="799"/>
      <c r="IJ1726" s="799"/>
      <c r="IK1726" s="799"/>
      <c r="IL1726" s="799"/>
      <c r="IM1726" s="799"/>
      <c r="IN1726" s="799"/>
      <c r="IO1726" s="799"/>
      <c r="IP1726" s="799"/>
      <c r="IQ1726" s="799"/>
      <c r="IR1726" s="799"/>
      <c r="IS1726" s="799"/>
      <c r="IT1726" s="799"/>
      <c r="IU1726" s="799"/>
    </row>
    <row r="1727" spans="1:255" s="463" customFormat="1" ht="15" hidden="1" customHeight="1">
      <c r="A1727" s="336"/>
      <c r="B1727" s="543"/>
      <c r="C1727" s="809" t="s">
        <v>1357</v>
      </c>
      <c r="D1727" s="486" t="s">
        <v>816</v>
      </c>
      <c r="E1727" s="863">
        <v>1</v>
      </c>
      <c r="F1727" s="389">
        <f>F1722*E1727</f>
        <v>0</v>
      </c>
      <c r="G1727" s="511">
        <v>10</v>
      </c>
      <c r="H1727" s="389">
        <f t="shared" ref="H1727:H1732" si="33">F1727*G1727</f>
        <v>0</v>
      </c>
      <c r="I1727" s="389"/>
      <c r="J1727" s="389"/>
      <c r="K1727" s="389"/>
      <c r="L1727" s="389"/>
      <c r="M1727" s="389">
        <f t="shared" ref="M1727:M1732" si="34">H1727+J1727+L1727</f>
        <v>0</v>
      </c>
      <c r="N1727" s="799"/>
      <c r="O1727" s="799"/>
      <c r="P1727" s="800"/>
      <c r="Q1727" s="800"/>
      <c r="R1727" s="800"/>
      <c r="S1727" s="800"/>
      <c r="T1727" s="800"/>
      <c r="U1727" s="800"/>
      <c r="V1727" s="800"/>
      <c r="W1727" s="800"/>
      <c r="X1727" s="800"/>
      <c r="Y1727" s="800"/>
      <c r="Z1727" s="800"/>
      <c r="AA1727" s="799"/>
      <c r="AB1727" s="799"/>
      <c r="AC1727" s="799"/>
      <c r="AD1727" s="799"/>
      <c r="AE1727" s="799"/>
      <c r="AF1727" s="799"/>
      <c r="AG1727" s="799"/>
      <c r="AH1727" s="799"/>
      <c r="AI1727" s="799"/>
      <c r="AJ1727" s="799"/>
      <c r="AK1727" s="799"/>
      <c r="AL1727" s="799"/>
      <c r="AM1727" s="799"/>
      <c r="AN1727" s="799"/>
      <c r="AO1727" s="799"/>
      <c r="AP1727" s="799"/>
      <c r="AQ1727" s="799"/>
      <c r="AR1727" s="799"/>
      <c r="AS1727" s="799"/>
      <c r="AT1727" s="799"/>
      <c r="AU1727" s="799"/>
      <c r="AV1727" s="799"/>
      <c r="AW1727" s="799"/>
      <c r="AX1727" s="799"/>
      <c r="AY1727" s="799"/>
      <c r="AZ1727" s="799"/>
      <c r="BA1727" s="799"/>
      <c r="BB1727" s="799"/>
      <c r="BC1727" s="799"/>
      <c r="BD1727" s="799"/>
      <c r="BE1727" s="799"/>
      <c r="BF1727" s="799"/>
      <c r="BG1727" s="799"/>
      <c r="BH1727" s="799"/>
      <c r="BI1727" s="799"/>
      <c r="BJ1727" s="799"/>
      <c r="BK1727" s="799"/>
      <c r="BL1727" s="799"/>
      <c r="BM1727" s="799"/>
      <c r="BN1727" s="799"/>
      <c r="BO1727" s="799"/>
      <c r="BP1727" s="799"/>
      <c r="BQ1727" s="799"/>
      <c r="BR1727" s="799"/>
      <c r="BS1727" s="799"/>
      <c r="BT1727" s="799"/>
      <c r="BU1727" s="799"/>
      <c r="BV1727" s="799"/>
      <c r="BW1727" s="799"/>
      <c r="BX1727" s="799"/>
      <c r="BY1727" s="799"/>
      <c r="BZ1727" s="799"/>
      <c r="CA1727" s="799"/>
      <c r="CB1727" s="799"/>
      <c r="CC1727" s="799"/>
      <c r="CD1727" s="799"/>
      <c r="CE1727" s="799"/>
      <c r="CF1727" s="799"/>
      <c r="CG1727" s="799"/>
      <c r="CH1727" s="799"/>
      <c r="CI1727" s="799"/>
      <c r="CJ1727" s="799"/>
      <c r="CK1727" s="799"/>
      <c r="CL1727" s="799"/>
      <c r="CM1727" s="799"/>
      <c r="CN1727" s="799"/>
      <c r="CO1727" s="799"/>
      <c r="CP1727" s="799"/>
      <c r="CQ1727" s="799"/>
      <c r="CR1727" s="799"/>
      <c r="CS1727" s="799"/>
      <c r="CT1727" s="799"/>
      <c r="CU1727" s="799"/>
      <c r="CV1727" s="799"/>
      <c r="CW1727" s="799"/>
      <c r="CX1727" s="799"/>
      <c r="CY1727" s="799"/>
      <c r="CZ1727" s="799"/>
      <c r="DA1727" s="799"/>
      <c r="DB1727" s="799"/>
      <c r="DC1727" s="799"/>
      <c r="DD1727" s="799"/>
      <c r="DE1727" s="799"/>
      <c r="DF1727" s="799"/>
      <c r="DG1727" s="799"/>
      <c r="DH1727" s="799"/>
      <c r="DI1727" s="799"/>
      <c r="DJ1727" s="799"/>
      <c r="DK1727" s="799"/>
      <c r="DL1727" s="799"/>
      <c r="DM1727" s="799"/>
      <c r="DN1727" s="799"/>
      <c r="DO1727" s="799"/>
      <c r="DP1727" s="799"/>
      <c r="DQ1727" s="799"/>
      <c r="DR1727" s="799"/>
      <c r="DS1727" s="799"/>
      <c r="DT1727" s="799"/>
      <c r="DU1727" s="799"/>
      <c r="DV1727" s="799"/>
      <c r="DW1727" s="799"/>
      <c r="DX1727" s="799"/>
      <c r="DY1727" s="799"/>
      <c r="DZ1727" s="799"/>
      <c r="EA1727" s="799"/>
      <c r="EB1727" s="799"/>
      <c r="EC1727" s="799"/>
      <c r="ED1727" s="799"/>
      <c r="EE1727" s="799"/>
      <c r="EF1727" s="799"/>
      <c r="EG1727" s="799"/>
      <c r="EH1727" s="799"/>
      <c r="EI1727" s="799"/>
      <c r="EJ1727" s="799"/>
      <c r="EK1727" s="799"/>
      <c r="EL1727" s="799"/>
      <c r="EM1727" s="799"/>
      <c r="EN1727" s="799"/>
      <c r="EO1727" s="799"/>
      <c r="EP1727" s="799"/>
      <c r="EQ1727" s="799"/>
      <c r="ER1727" s="799"/>
      <c r="ES1727" s="799"/>
      <c r="ET1727" s="799"/>
      <c r="EU1727" s="799"/>
      <c r="EV1727" s="799"/>
      <c r="EW1727" s="799"/>
      <c r="EX1727" s="799"/>
      <c r="EY1727" s="799"/>
      <c r="EZ1727" s="799"/>
      <c r="FA1727" s="799"/>
      <c r="FB1727" s="799"/>
      <c r="FC1727" s="799"/>
      <c r="FD1727" s="799"/>
      <c r="FE1727" s="799"/>
      <c r="FF1727" s="799"/>
      <c r="FG1727" s="799"/>
      <c r="FH1727" s="799"/>
      <c r="FI1727" s="799"/>
      <c r="FJ1727" s="799"/>
      <c r="FK1727" s="799"/>
      <c r="FL1727" s="799"/>
      <c r="FM1727" s="799"/>
      <c r="FN1727" s="799"/>
      <c r="FO1727" s="799"/>
      <c r="FP1727" s="799"/>
      <c r="FQ1727" s="799"/>
      <c r="FR1727" s="799"/>
      <c r="FS1727" s="799"/>
      <c r="FT1727" s="799"/>
      <c r="FU1727" s="799"/>
      <c r="FV1727" s="799"/>
      <c r="FW1727" s="799"/>
      <c r="FX1727" s="799"/>
      <c r="FY1727" s="799"/>
      <c r="FZ1727" s="799"/>
      <c r="GA1727" s="799"/>
      <c r="GB1727" s="799"/>
      <c r="GC1727" s="799"/>
      <c r="GD1727" s="799"/>
      <c r="GE1727" s="799"/>
      <c r="GF1727" s="799"/>
      <c r="GG1727" s="799"/>
      <c r="GH1727" s="799"/>
      <c r="GI1727" s="799"/>
      <c r="GJ1727" s="799"/>
      <c r="GK1727" s="799"/>
      <c r="GL1727" s="799"/>
      <c r="GM1727" s="799"/>
      <c r="GN1727" s="799"/>
      <c r="GO1727" s="799"/>
      <c r="GP1727" s="799"/>
      <c r="GQ1727" s="799"/>
      <c r="GR1727" s="799"/>
      <c r="GS1727" s="799"/>
      <c r="GT1727" s="799"/>
      <c r="GU1727" s="799"/>
      <c r="GV1727" s="799"/>
      <c r="GW1727" s="799"/>
      <c r="GX1727" s="799"/>
      <c r="GY1727" s="799"/>
      <c r="GZ1727" s="799"/>
      <c r="HA1727" s="799"/>
      <c r="HB1727" s="799"/>
      <c r="HC1727" s="799"/>
      <c r="HD1727" s="799"/>
      <c r="HE1727" s="799"/>
      <c r="HF1727" s="799"/>
      <c r="HG1727" s="799"/>
      <c r="HH1727" s="799"/>
      <c r="HI1727" s="799"/>
      <c r="HJ1727" s="799"/>
      <c r="HK1727" s="799"/>
      <c r="HL1727" s="799"/>
      <c r="HM1727" s="799"/>
      <c r="HN1727" s="799"/>
      <c r="HO1727" s="799"/>
      <c r="HP1727" s="799"/>
      <c r="HQ1727" s="799"/>
      <c r="HR1727" s="799"/>
      <c r="HS1727" s="799"/>
      <c r="HT1727" s="799"/>
      <c r="HU1727" s="799"/>
      <c r="HV1727" s="799"/>
      <c r="HW1727" s="799"/>
      <c r="HX1727" s="799"/>
      <c r="HY1727" s="799"/>
      <c r="HZ1727" s="799"/>
      <c r="IA1727" s="799"/>
      <c r="IB1727" s="799"/>
      <c r="IC1727" s="799"/>
      <c r="ID1727" s="799"/>
      <c r="IE1727" s="799"/>
      <c r="IF1727" s="799"/>
      <c r="IG1727" s="799"/>
      <c r="IH1727" s="799"/>
      <c r="II1727" s="799"/>
      <c r="IJ1727" s="799"/>
      <c r="IK1727" s="799"/>
      <c r="IL1727" s="799"/>
      <c r="IM1727" s="799"/>
      <c r="IN1727" s="799"/>
      <c r="IO1727" s="799"/>
      <c r="IP1727" s="799"/>
      <c r="IQ1727" s="799"/>
      <c r="IR1727" s="799"/>
      <c r="IS1727" s="799"/>
      <c r="IT1727" s="799"/>
      <c r="IU1727" s="799"/>
    </row>
    <row r="1728" spans="1:255" s="463" customFormat="1" ht="15" hidden="1" customHeight="1">
      <c r="A1728" s="336"/>
      <c r="B1728" s="543"/>
      <c r="C1728" s="809" t="s">
        <v>1358</v>
      </c>
      <c r="D1728" s="486" t="s">
        <v>816</v>
      </c>
      <c r="E1728" s="863">
        <v>1</v>
      </c>
      <c r="F1728" s="389">
        <f>F1722*E1728</f>
        <v>0</v>
      </c>
      <c r="G1728" s="389">
        <v>16.2</v>
      </c>
      <c r="H1728" s="389">
        <f t="shared" si="33"/>
        <v>0</v>
      </c>
      <c r="I1728" s="389"/>
      <c r="J1728" s="389"/>
      <c r="K1728" s="389"/>
      <c r="L1728" s="389"/>
      <c r="M1728" s="389">
        <f t="shared" si="34"/>
        <v>0</v>
      </c>
      <c r="N1728" s="799"/>
      <c r="O1728" s="799"/>
      <c r="P1728" s="800"/>
      <c r="Q1728" s="800"/>
      <c r="R1728" s="800"/>
      <c r="S1728" s="800"/>
      <c r="T1728" s="800"/>
      <c r="U1728" s="800"/>
      <c r="V1728" s="800"/>
      <c r="W1728" s="800"/>
      <c r="X1728" s="800"/>
      <c r="Y1728" s="800"/>
      <c r="Z1728" s="800"/>
      <c r="AA1728" s="799"/>
      <c r="AB1728" s="799"/>
      <c r="AC1728" s="799"/>
      <c r="AD1728" s="799"/>
      <c r="AE1728" s="799"/>
      <c r="AF1728" s="799"/>
      <c r="AG1728" s="799"/>
      <c r="AH1728" s="799"/>
      <c r="AI1728" s="799"/>
      <c r="AJ1728" s="799"/>
      <c r="AK1728" s="799"/>
      <c r="AL1728" s="799"/>
      <c r="AM1728" s="799"/>
      <c r="AN1728" s="799"/>
      <c r="AO1728" s="799"/>
      <c r="AP1728" s="799"/>
      <c r="AQ1728" s="799"/>
      <c r="AR1728" s="799"/>
      <c r="AS1728" s="799"/>
      <c r="AT1728" s="799"/>
      <c r="AU1728" s="799"/>
      <c r="AV1728" s="799"/>
      <c r="AW1728" s="799"/>
      <c r="AX1728" s="799"/>
      <c r="AY1728" s="799"/>
      <c r="AZ1728" s="799"/>
      <c r="BA1728" s="799"/>
      <c r="BB1728" s="799"/>
      <c r="BC1728" s="799"/>
      <c r="BD1728" s="799"/>
      <c r="BE1728" s="799"/>
      <c r="BF1728" s="799"/>
      <c r="BG1728" s="799"/>
      <c r="BH1728" s="799"/>
      <c r="BI1728" s="799"/>
      <c r="BJ1728" s="799"/>
      <c r="BK1728" s="799"/>
      <c r="BL1728" s="799"/>
      <c r="BM1728" s="799"/>
      <c r="BN1728" s="799"/>
      <c r="BO1728" s="799"/>
      <c r="BP1728" s="799"/>
      <c r="BQ1728" s="799"/>
      <c r="BR1728" s="799"/>
      <c r="BS1728" s="799"/>
      <c r="BT1728" s="799"/>
      <c r="BU1728" s="799"/>
      <c r="BV1728" s="799"/>
      <c r="BW1728" s="799"/>
      <c r="BX1728" s="799"/>
      <c r="BY1728" s="799"/>
      <c r="BZ1728" s="799"/>
      <c r="CA1728" s="799"/>
      <c r="CB1728" s="799"/>
      <c r="CC1728" s="799"/>
      <c r="CD1728" s="799"/>
      <c r="CE1728" s="799"/>
      <c r="CF1728" s="799"/>
      <c r="CG1728" s="799"/>
      <c r="CH1728" s="799"/>
      <c r="CI1728" s="799"/>
      <c r="CJ1728" s="799"/>
      <c r="CK1728" s="799"/>
      <c r="CL1728" s="799"/>
      <c r="CM1728" s="799"/>
      <c r="CN1728" s="799"/>
      <c r="CO1728" s="799"/>
      <c r="CP1728" s="799"/>
      <c r="CQ1728" s="799"/>
      <c r="CR1728" s="799"/>
      <c r="CS1728" s="799"/>
      <c r="CT1728" s="799"/>
      <c r="CU1728" s="799"/>
      <c r="CV1728" s="799"/>
      <c r="CW1728" s="799"/>
      <c r="CX1728" s="799"/>
      <c r="CY1728" s="799"/>
      <c r="CZ1728" s="799"/>
      <c r="DA1728" s="799"/>
      <c r="DB1728" s="799"/>
      <c r="DC1728" s="799"/>
      <c r="DD1728" s="799"/>
      <c r="DE1728" s="799"/>
      <c r="DF1728" s="799"/>
      <c r="DG1728" s="799"/>
      <c r="DH1728" s="799"/>
      <c r="DI1728" s="799"/>
      <c r="DJ1728" s="799"/>
      <c r="DK1728" s="799"/>
      <c r="DL1728" s="799"/>
      <c r="DM1728" s="799"/>
      <c r="DN1728" s="799"/>
      <c r="DO1728" s="799"/>
      <c r="DP1728" s="799"/>
      <c r="DQ1728" s="799"/>
      <c r="DR1728" s="799"/>
      <c r="DS1728" s="799"/>
      <c r="DT1728" s="799"/>
      <c r="DU1728" s="799"/>
      <c r="DV1728" s="799"/>
      <c r="DW1728" s="799"/>
      <c r="DX1728" s="799"/>
      <c r="DY1728" s="799"/>
      <c r="DZ1728" s="799"/>
      <c r="EA1728" s="799"/>
      <c r="EB1728" s="799"/>
      <c r="EC1728" s="799"/>
      <c r="ED1728" s="799"/>
      <c r="EE1728" s="799"/>
      <c r="EF1728" s="799"/>
      <c r="EG1728" s="799"/>
      <c r="EH1728" s="799"/>
      <c r="EI1728" s="799"/>
      <c r="EJ1728" s="799"/>
      <c r="EK1728" s="799"/>
      <c r="EL1728" s="799"/>
      <c r="EM1728" s="799"/>
      <c r="EN1728" s="799"/>
      <c r="EO1728" s="799"/>
      <c r="EP1728" s="799"/>
      <c r="EQ1728" s="799"/>
      <c r="ER1728" s="799"/>
      <c r="ES1728" s="799"/>
      <c r="ET1728" s="799"/>
      <c r="EU1728" s="799"/>
      <c r="EV1728" s="799"/>
      <c r="EW1728" s="799"/>
      <c r="EX1728" s="799"/>
      <c r="EY1728" s="799"/>
      <c r="EZ1728" s="799"/>
      <c r="FA1728" s="799"/>
      <c r="FB1728" s="799"/>
      <c r="FC1728" s="799"/>
      <c r="FD1728" s="799"/>
      <c r="FE1728" s="799"/>
      <c r="FF1728" s="799"/>
      <c r="FG1728" s="799"/>
      <c r="FH1728" s="799"/>
      <c r="FI1728" s="799"/>
      <c r="FJ1728" s="799"/>
      <c r="FK1728" s="799"/>
      <c r="FL1728" s="799"/>
      <c r="FM1728" s="799"/>
      <c r="FN1728" s="799"/>
      <c r="FO1728" s="799"/>
      <c r="FP1728" s="799"/>
      <c r="FQ1728" s="799"/>
      <c r="FR1728" s="799"/>
      <c r="FS1728" s="799"/>
      <c r="FT1728" s="799"/>
      <c r="FU1728" s="799"/>
      <c r="FV1728" s="799"/>
      <c r="FW1728" s="799"/>
      <c r="FX1728" s="799"/>
      <c r="FY1728" s="799"/>
      <c r="FZ1728" s="799"/>
      <c r="GA1728" s="799"/>
      <c r="GB1728" s="799"/>
      <c r="GC1728" s="799"/>
      <c r="GD1728" s="799"/>
      <c r="GE1728" s="799"/>
      <c r="GF1728" s="799"/>
      <c r="GG1728" s="799"/>
      <c r="GH1728" s="799"/>
      <c r="GI1728" s="799"/>
      <c r="GJ1728" s="799"/>
      <c r="GK1728" s="799"/>
      <c r="GL1728" s="799"/>
      <c r="GM1728" s="799"/>
      <c r="GN1728" s="799"/>
      <c r="GO1728" s="799"/>
      <c r="GP1728" s="799"/>
      <c r="GQ1728" s="799"/>
      <c r="GR1728" s="799"/>
      <c r="GS1728" s="799"/>
      <c r="GT1728" s="799"/>
      <c r="GU1728" s="799"/>
      <c r="GV1728" s="799"/>
      <c r="GW1728" s="799"/>
      <c r="GX1728" s="799"/>
      <c r="GY1728" s="799"/>
      <c r="GZ1728" s="799"/>
      <c r="HA1728" s="799"/>
      <c r="HB1728" s="799"/>
      <c r="HC1728" s="799"/>
      <c r="HD1728" s="799"/>
      <c r="HE1728" s="799"/>
      <c r="HF1728" s="799"/>
      <c r="HG1728" s="799"/>
      <c r="HH1728" s="799"/>
      <c r="HI1728" s="799"/>
      <c r="HJ1728" s="799"/>
      <c r="HK1728" s="799"/>
      <c r="HL1728" s="799"/>
      <c r="HM1728" s="799"/>
      <c r="HN1728" s="799"/>
      <c r="HO1728" s="799"/>
      <c r="HP1728" s="799"/>
      <c r="HQ1728" s="799"/>
      <c r="HR1728" s="799"/>
      <c r="HS1728" s="799"/>
      <c r="HT1728" s="799"/>
      <c r="HU1728" s="799"/>
      <c r="HV1728" s="799"/>
      <c r="HW1728" s="799"/>
      <c r="HX1728" s="799"/>
      <c r="HY1728" s="799"/>
      <c r="HZ1728" s="799"/>
      <c r="IA1728" s="799"/>
      <c r="IB1728" s="799"/>
      <c r="IC1728" s="799"/>
      <c r="ID1728" s="799"/>
      <c r="IE1728" s="799"/>
      <c r="IF1728" s="799"/>
      <c r="IG1728" s="799"/>
      <c r="IH1728" s="799"/>
      <c r="II1728" s="799"/>
      <c r="IJ1728" s="799"/>
      <c r="IK1728" s="799"/>
      <c r="IL1728" s="799"/>
      <c r="IM1728" s="799"/>
      <c r="IN1728" s="799"/>
      <c r="IO1728" s="799"/>
      <c r="IP1728" s="799"/>
      <c r="IQ1728" s="799"/>
      <c r="IR1728" s="799"/>
      <c r="IS1728" s="799"/>
      <c r="IT1728" s="799"/>
      <c r="IU1728" s="799"/>
    </row>
    <row r="1729" spans="1:255" s="463" customFormat="1" ht="15" hidden="1" customHeight="1">
      <c r="A1729" s="336"/>
      <c r="B1729" s="543"/>
      <c r="C1729" s="809" t="s">
        <v>1359</v>
      </c>
      <c r="D1729" s="486" t="s">
        <v>876</v>
      </c>
      <c r="E1729" s="863">
        <v>0.2</v>
      </c>
      <c r="F1729" s="389">
        <f>F1722*E1729</f>
        <v>0</v>
      </c>
      <c r="G1729" s="389">
        <v>2.8</v>
      </c>
      <c r="H1729" s="389">
        <f t="shared" si="33"/>
        <v>0</v>
      </c>
      <c r="I1729" s="389"/>
      <c r="J1729" s="389"/>
      <c r="K1729" s="389"/>
      <c r="L1729" s="389"/>
      <c r="M1729" s="389">
        <f t="shared" si="34"/>
        <v>0</v>
      </c>
      <c r="N1729" s="799"/>
      <c r="O1729" s="799"/>
      <c r="P1729" s="800"/>
      <c r="Q1729" s="800"/>
      <c r="R1729" s="800"/>
      <c r="S1729" s="800"/>
      <c r="T1729" s="800"/>
      <c r="U1729" s="800"/>
      <c r="V1729" s="800"/>
      <c r="W1729" s="800"/>
      <c r="X1729" s="800"/>
      <c r="Y1729" s="800"/>
      <c r="Z1729" s="800"/>
      <c r="AA1729" s="799"/>
      <c r="AB1729" s="799"/>
      <c r="AC1729" s="799"/>
      <c r="AD1729" s="799"/>
      <c r="AE1729" s="799"/>
      <c r="AF1729" s="799"/>
      <c r="AG1729" s="799"/>
      <c r="AH1729" s="799"/>
      <c r="AI1729" s="799"/>
      <c r="AJ1729" s="799"/>
      <c r="AK1729" s="799"/>
      <c r="AL1729" s="799"/>
      <c r="AM1729" s="799"/>
      <c r="AN1729" s="799"/>
      <c r="AO1729" s="799"/>
      <c r="AP1729" s="799"/>
      <c r="AQ1729" s="799"/>
      <c r="AR1729" s="799"/>
      <c r="AS1729" s="799"/>
      <c r="AT1729" s="799"/>
      <c r="AU1729" s="799"/>
      <c r="AV1729" s="799"/>
      <c r="AW1729" s="799"/>
      <c r="AX1729" s="799"/>
      <c r="AY1729" s="799"/>
      <c r="AZ1729" s="799"/>
      <c r="BA1729" s="799"/>
      <c r="BB1729" s="799"/>
      <c r="BC1729" s="799"/>
      <c r="BD1729" s="799"/>
      <c r="BE1729" s="799"/>
      <c r="BF1729" s="799"/>
      <c r="BG1729" s="799"/>
      <c r="BH1729" s="799"/>
      <c r="BI1729" s="799"/>
      <c r="BJ1729" s="799"/>
      <c r="BK1729" s="799"/>
      <c r="BL1729" s="799"/>
      <c r="BM1729" s="799"/>
      <c r="BN1729" s="799"/>
      <c r="BO1729" s="799"/>
      <c r="BP1729" s="799"/>
      <c r="BQ1729" s="799"/>
      <c r="BR1729" s="799"/>
      <c r="BS1729" s="799"/>
      <c r="BT1729" s="799"/>
      <c r="BU1729" s="799"/>
      <c r="BV1729" s="799"/>
      <c r="BW1729" s="799"/>
      <c r="BX1729" s="799"/>
      <c r="BY1729" s="799"/>
      <c r="BZ1729" s="799"/>
      <c r="CA1729" s="799"/>
      <c r="CB1729" s="799"/>
      <c r="CC1729" s="799"/>
      <c r="CD1729" s="799"/>
      <c r="CE1729" s="799"/>
      <c r="CF1729" s="799"/>
      <c r="CG1729" s="799"/>
      <c r="CH1729" s="799"/>
      <c r="CI1729" s="799"/>
      <c r="CJ1729" s="799"/>
      <c r="CK1729" s="799"/>
      <c r="CL1729" s="799"/>
      <c r="CM1729" s="799"/>
      <c r="CN1729" s="799"/>
      <c r="CO1729" s="799"/>
      <c r="CP1729" s="799"/>
      <c r="CQ1729" s="799"/>
      <c r="CR1729" s="799"/>
      <c r="CS1729" s="799"/>
      <c r="CT1729" s="799"/>
      <c r="CU1729" s="799"/>
      <c r="CV1729" s="799"/>
      <c r="CW1729" s="799"/>
      <c r="CX1729" s="799"/>
      <c r="CY1729" s="799"/>
      <c r="CZ1729" s="799"/>
      <c r="DA1729" s="799"/>
      <c r="DB1729" s="799"/>
      <c r="DC1729" s="799"/>
      <c r="DD1729" s="799"/>
      <c r="DE1729" s="799"/>
      <c r="DF1729" s="799"/>
      <c r="DG1729" s="799"/>
      <c r="DH1729" s="799"/>
      <c r="DI1729" s="799"/>
      <c r="DJ1729" s="799"/>
      <c r="DK1729" s="799"/>
      <c r="DL1729" s="799"/>
      <c r="DM1729" s="799"/>
      <c r="DN1729" s="799"/>
      <c r="DO1729" s="799"/>
      <c r="DP1729" s="799"/>
      <c r="DQ1729" s="799"/>
      <c r="DR1729" s="799"/>
      <c r="DS1729" s="799"/>
      <c r="DT1729" s="799"/>
      <c r="DU1729" s="799"/>
      <c r="DV1729" s="799"/>
      <c r="DW1729" s="799"/>
      <c r="DX1729" s="799"/>
      <c r="DY1729" s="799"/>
      <c r="DZ1729" s="799"/>
      <c r="EA1729" s="799"/>
      <c r="EB1729" s="799"/>
      <c r="EC1729" s="799"/>
      <c r="ED1729" s="799"/>
      <c r="EE1729" s="799"/>
      <c r="EF1729" s="799"/>
      <c r="EG1729" s="799"/>
      <c r="EH1729" s="799"/>
      <c r="EI1729" s="799"/>
      <c r="EJ1729" s="799"/>
      <c r="EK1729" s="799"/>
      <c r="EL1729" s="799"/>
      <c r="EM1729" s="799"/>
      <c r="EN1729" s="799"/>
      <c r="EO1729" s="799"/>
      <c r="EP1729" s="799"/>
      <c r="EQ1729" s="799"/>
      <c r="ER1729" s="799"/>
      <c r="ES1729" s="799"/>
      <c r="ET1729" s="799"/>
      <c r="EU1729" s="799"/>
      <c r="EV1729" s="799"/>
      <c r="EW1729" s="799"/>
      <c r="EX1729" s="799"/>
      <c r="EY1729" s="799"/>
      <c r="EZ1729" s="799"/>
      <c r="FA1729" s="799"/>
      <c r="FB1729" s="799"/>
      <c r="FC1729" s="799"/>
      <c r="FD1729" s="799"/>
      <c r="FE1729" s="799"/>
      <c r="FF1729" s="799"/>
      <c r="FG1729" s="799"/>
      <c r="FH1729" s="799"/>
      <c r="FI1729" s="799"/>
      <c r="FJ1729" s="799"/>
      <c r="FK1729" s="799"/>
      <c r="FL1729" s="799"/>
      <c r="FM1729" s="799"/>
      <c r="FN1729" s="799"/>
      <c r="FO1729" s="799"/>
      <c r="FP1729" s="799"/>
      <c r="FQ1729" s="799"/>
      <c r="FR1729" s="799"/>
      <c r="FS1729" s="799"/>
      <c r="FT1729" s="799"/>
      <c r="FU1729" s="799"/>
      <c r="FV1729" s="799"/>
      <c r="FW1729" s="799"/>
      <c r="FX1729" s="799"/>
      <c r="FY1729" s="799"/>
      <c r="FZ1729" s="799"/>
      <c r="GA1729" s="799"/>
      <c r="GB1729" s="799"/>
      <c r="GC1729" s="799"/>
      <c r="GD1729" s="799"/>
      <c r="GE1729" s="799"/>
      <c r="GF1729" s="799"/>
      <c r="GG1729" s="799"/>
      <c r="GH1729" s="799"/>
      <c r="GI1729" s="799"/>
      <c r="GJ1729" s="799"/>
      <c r="GK1729" s="799"/>
      <c r="GL1729" s="799"/>
      <c r="GM1729" s="799"/>
      <c r="GN1729" s="799"/>
      <c r="GO1729" s="799"/>
      <c r="GP1729" s="799"/>
      <c r="GQ1729" s="799"/>
      <c r="GR1729" s="799"/>
      <c r="GS1729" s="799"/>
      <c r="GT1729" s="799"/>
      <c r="GU1729" s="799"/>
      <c r="GV1729" s="799"/>
      <c r="GW1729" s="799"/>
      <c r="GX1729" s="799"/>
      <c r="GY1729" s="799"/>
      <c r="GZ1729" s="799"/>
      <c r="HA1729" s="799"/>
      <c r="HB1729" s="799"/>
      <c r="HC1729" s="799"/>
      <c r="HD1729" s="799"/>
      <c r="HE1729" s="799"/>
      <c r="HF1729" s="799"/>
      <c r="HG1729" s="799"/>
      <c r="HH1729" s="799"/>
      <c r="HI1729" s="799"/>
      <c r="HJ1729" s="799"/>
      <c r="HK1729" s="799"/>
      <c r="HL1729" s="799"/>
      <c r="HM1729" s="799"/>
      <c r="HN1729" s="799"/>
      <c r="HO1729" s="799"/>
      <c r="HP1729" s="799"/>
      <c r="HQ1729" s="799"/>
      <c r="HR1729" s="799"/>
      <c r="HS1729" s="799"/>
      <c r="HT1729" s="799"/>
      <c r="HU1729" s="799"/>
      <c r="HV1729" s="799"/>
      <c r="HW1729" s="799"/>
      <c r="HX1729" s="799"/>
      <c r="HY1729" s="799"/>
      <c r="HZ1729" s="799"/>
      <c r="IA1729" s="799"/>
      <c r="IB1729" s="799"/>
      <c r="IC1729" s="799"/>
      <c r="ID1729" s="799"/>
      <c r="IE1729" s="799"/>
      <c r="IF1729" s="799"/>
      <c r="IG1729" s="799"/>
      <c r="IH1729" s="799"/>
      <c r="II1729" s="799"/>
      <c r="IJ1729" s="799"/>
      <c r="IK1729" s="799"/>
      <c r="IL1729" s="799"/>
      <c r="IM1729" s="799"/>
      <c r="IN1729" s="799"/>
      <c r="IO1729" s="799"/>
      <c r="IP1729" s="799"/>
      <c r="IQ1729" s="799"/>
      <c r="IR1729" s="799"/>
      <c r="IS1729" s="799"/>
      <c r="IT1729" s="799"/>
      <c r="IU1729" s="799"/>
    </row>
    <row r="1730" spans="1:255" s="463" customFormat="1" ht="15" hidden="1" customHeight="1">
      <c r="A1730" s="336"/>
      <c r="B1730" s="543"/>
      <c r="C1730" s="809" t="s">
        <v>1360</v>
      </c>
      <c r="D1730" s="486" t="s">
        <v>876</v>
      </c>
      <c r="E1730" s="863">
        <v>1.8</v>
      </c>
      <c r="F1730" s="389">
        <f>F1722*E1730</f>
        <v>0</v>
      </c>
      <c r="G1730" s="511">
        <v>12.9</v>
      </c>
      <c r="H1730" s="389">
        <f t="shared" si="33"/>
        <v>0</v>
      </c>
      <c r="I1730" s="389"/>
      <c r="J1730" s="389"/>
      <c r="K1730" s="389"/>
      <c r="L1730" s="389"/>
      <c r="M1730" s="389">
        <f t="shared" si="34"/>
        <v>0</v>
      </c>
      <c r="N1730" s="799"/>
      <c r="O1730" s="799"/>
      <c r="P1730" s="800"/>
      <c r="Q1730" s="800"/>
      <c r="R1730" s="800"/>
      <c r="S1730" s="800"/>
      <c r="T1730" s="800"/>
      <c r="U1730" s="800"/>
      <c r="V1730" s="800"/>
      <c r="W1730" s="800"/>
      <c r="X1730" s="800"/>
      <c r="Y1730" s="800"/>
      <c r="Z1730" s="800"/>
      <c r="AA1730" s="799"/>
      <c r="AB1730" s="799"/>
      <c r="AC1730" s="799"/>
      <c r="AD1730" s="799"/>
      <c r="AE1730" s="799"/>
      <c r="AF1730" s="799"/>
      <c r="AG1730" s="799"/>
      <c r="AH1730" s="799"/>
      <c r="AI1730" s="799"/>
      <c r="AJ1730" s="799"/>
      <c r="AK1730" s="799"/>
      <c r="AL1730" s="799"/>
      <c r="AM1730" s="799"/>
      <c r="AN1730" s="799"/>
      <c r="AO1730" s="799"/>
      <c r="AP1730" s="799"/>
      <c r="AQ1730" s="799"/>
      <c r="AR1730" s="799"/>
      <c r="AS1730" s="799"/>
      <c r="AT1730" s="799"/>
      <c r="AU1730" s="799"/>
      <c r="AV1730" s="799"/>
      <c r="AW1730" s="799"/>
      <c r="AX1730" s="799"/>
      <c r="AY1730" s="799"/>
      <c r="AZ1730" s="799"/>
      <c r="BA1730" s="799"/>
      <c r="BB1730" s="799"/>
      <c r="BC1730" s="799"/>
      <c r="BD1730" s="799"/>
      <c r="BE1730" s="799"/>
      <c r="BF1730" s="799"/>
      <c r="BG1730" s="799"/>
      <c r="BH1730" s="799"/>
      <c r="BI1730" s="799"/>
      <c r="BJ1730" s="799"/>
      <c r="BK1730" s="799"/>
      <c r="BL1730" s="799"/>
      <c r="BM1730" s="799"/>
      <c r="BN1730" s="799"/>
      <c r="BO1730" s="799"/>
      <c r="BP1730" s="799"/>
      <c r="BQ1730" s="799"/>
      <c r="BR1730" s="799"/>
      <c r="BS1730" s="799"/>
      <c r="BT1730" s="799"/>
      <c r="BU1730" s="799"/>
      <c r="BV1730" s="799"/>
      <c r="BW1730" s="799"/>
      <c r="BX1730" s="799"/>
      <c r="BY1730" s="799"/>
      <c r="BZ1730" s="799"/>
      <c r="CA1730" s="799"/>
      <c r="CB1730" s="799"/>
      <c r="CC1730" s="799"/>
      <c r="CD1730" s="799"/>
      <c r="CE1730" s="799"/>
      <c r="CF1730" s="799"/>
      <c r="CG1730" s="799"/>
      <c r="CH1730" s="799"/>
      <c r="CI1730" s="799"/>
      <c r="CJ1730" s="799"/>
      <c r="CK1730" s="799"/>
      <c r="CL1730" s="799"/>
      <c r="CM1730" s="799"/>
      <c r="CN1730" s="799"/>
      <c r="CO1730" s="799"/>
      <c r="CP1730" s="799"/>
      <c r="CQ1730" s="799"/>
      <c r="CR1730" s="799"/>
      <c r="CS1730" s="799"/>
      <c r="CT1730" s="799"/>
      <c r="CU1730" s="799"/>
      <c r="CV1730" s="799"/>
      <c r="CW1730" s="799"/>
      <c r="CX1730" s="799"/>
      <c r="CY1730" s="799"/>
      <c r="CZ1730" s="799"/>
      <c r="DA1730" s="799"/>
      <c r="DB1730" s="799"/>
      <c r="DC1730" s="799"/>
      <c r="DD1730" s="799"/>
      <c r="DE1730" s="799"/>
      <c r="DF1730" s="799"/>
      <c r="DG1730" s="799"/>
      <c r="DH1730" s="799"/>
      <c r="DI1730" s="799"/>
      <c r="DJ1730" s="799"/>
      <c r="DK1730" s="799"/>
      <c r="DL1730" s="799"/>
      <c r="DM1730" s="799"/>
      <c r="DN1730" s="799"/>
      <c r="DO1730" s="799"/>
      <c r="DP1730" s="799"/>
      <c r="DQ1730" s="799"/>
      <c r="DR1730" s="799"/>
      <c r="DS1730" s="799"/>
      <c r="DT1730" s="799"/>
      <c r="DU1730" s="799"/>
      <c r="DV1730" s="799"/>
      <c r="DW1730" s="799"/>
      <c r="DX1730" s="799"/>
      <c r="DY1730" s="799"/>
      <c r="DZ1730" s="799"/>
      <c r="EA1730" s="799"/>
      <c r="EB1730" s="799"/>
      <c r="EC1730" s="799"/>
      <c r="ED1730" s="799"/>
      <c r="EE1730" s="799"/>
      <c r="EF1730" s="799"/>
      <c r="EG1730" s="799"/>
      <c r="EH1730" s="799"/>
      <c r="EI1730" s="799"/>
      <c r="EJ1730" s="799"/>
      <c r="EK1730" s="799"/>
      <c r="EL1730" s="799"/>
      <c r="EM1730" s="799"/>
      <c r="EN1730" s="799"/>
      <c r="EO1730" s="799"/>
      <c r="EP1730" s="799"/>
      <c r="EQ1730" s="799"/>
      <c r="ER1730" s="799"/>
      <c r="ES1730" s="799"/>
      <c r="ET1730" s="799"/>
      <c r="EU1730" s="799"/>
      <c r="EV1730" s="799"/>
      <c r="EW1730" s="799"/>
      <c r="EX1730" s="799"/>
      <c r="EY1730" s="799"/>
      <c r="EZ1730" s="799"/>
      <c r="FA1730" s="799"/>
      <c r="FB1730" s="799"/>
      <c r="FC1730" s="799"/>
      <c r="FD1730" s="799"/>
      <c r="FE1730" s="799"/>
      <c r="FF1730" s="799"/>
      <c r="FG1730" s="799"/>
      <c r="FH1730" s="799"/>
      <c r="FI1730" s="799"/>
      <c r="FJ1730" s="799"/>
      <c r="FK1730" s="799"/>
      <c r="FL1730" s="799"/>
      <c r="FM1730" s="799"/>
      <c r="FN1730" s="799"/>
      <c r="FO1730" s="799"/>
      <c r="FP1730" s="799"/>
      <c r="FQ1730" s="799"/>
      <c r="FR1730" s="799"/>
      <c r="FS1730" s="799"/>
      <c r="FT1730" s="799"/>
      <c r="FU1730" s="799"/>
      <c r="FV1730" s="799"/>
      <c r="FW1730" s="799"/>
      <c r="FX1730" s="799"/>
      <c r="FY1730" s="799"/>
      <c r="FZ1730" s="799"/>
      <c r="GA1730" s="799"/>
      <c r="GB1730" s="799"/>
      <c r="GC1730" s="799"/>
      <c r="GD1730" s="799"/>
      <c r="GE1730" s="799"/>
      <c r="GF1730" s="799"/>
      <c r="GG1730" s="799"/>
      <c r="GH1730" s="799"/>
      <c r="GI1730" s="799"/>
      <c r="GJ1730" s="799"/>
      <c r="GK1730" s="799"/>
      <c r="GL1730" s="799"/>
      <c r="GM1730" s="799"/>
      <c r="GN1730" s="799"/>
      <c r="GO1730" s="799"/>
      <c r="GP1730" s="799"/>
      <c r="GQ1730" s="799"/>
      <c r="GR1730" s="799"/>
      <c r="GS1730" s="799"/>
      <c r="GT1730" s="799"/>
      <c r="GU1730" s="799"/>
      <c r="GV1730" s="799"/>
      <c r="GW1730" s="799"/>
      <c r="GX1730" s="799"/>
      <c r="GY1730" s="799"/>
      <c r="GZ1730" s="799"/>
      <c r="HA1730" s="799"/>
      <c r="HB1730" s="799"/>
      <c r="HC1730" s="799"/>
      <c r="HD1730" s="799"/>
      <c r="HE1730" s="799"/>
      <c r="HF1730" s="799"/>
      <c r="HG1730" s="799"/>
      <c r="HH1730" s="799"/>
      <c r="HI1730" s="799"/>
      <c r="HJ1730" s="799"/>
      <c r="HK1730" s="799"/>
      <c r="HL1730" s="799"/>
      <c r="HM1730" s="799"/>
      <c r="HN1730" s="799"/>
      <c r="HO1730" s="799"/>
      <c r="HP1730" s="799"/>
      <c r="HQ1730" s="799"/>
      <c r="HR1730" s="799"/>
      <c r="HS1730" s="799"/>
      <c r="HT1730" s="799"/>
      <c r="HU1730" s="799"/>
      <c r="HV1730" s="799"/>
      <c r="HW1730" s="799"/>
      <c r="HX1730" s="799"/>
      <c r="HY1730" s="799"/>
      <c r="HZ1730" s="799"/>
      <c r="IA1730" s="799"/>
      <c r="IB1730" s="799"/>
      <c r="IC1730" s="799"/>
      <c r="ID1730" s="799"/>
      <c r="IE1730" s="799"/>
      <c r="IF1730" s="799"/>
      <c r="IG1730" s="799"/>
      <c r="IH1730" s="799"/>
      <c r="II1730" s="799"/>
      <c r="IJ1730" s="799"/>
      <c r="IK1730" s="799"/>
      <c r="IL1730" s="799"/>
      <c r="IM1730" s="799"/>
      <c r="IN1730" s="799"/>
      <c r="IO1730" s="799"/>
      <c r="IP1730" s="799"/>
      <c r="IQ1730" s="799"/>
      <c r="IR1730" s="799"/>
      <c r="IS1730" s="799"/>
      <c r="IT1730" s="799"/>
      <c r="IU1730" s="799"/>
    </row>
    <row r="1731" spans="1:255" s="463" customFormat="1" ht="15" hidden="1" customHeight="1">
      <c r="A1731" s="336"/>
      <c r="B1731" s="543"/>
      <c r="C1731" s="809" t="s">
        <v>1361</v>
      </c>
      <c r="D1731" s="486" t="s">
        <v>97</v>
      </c>
      <c r="E1731" s="863">
        <v>17.8</v>
      </c>
      <c r="F1731" s="389">
        <f>F1722*E1731</f>
        <v>0</v>
      </c>
      <c r="G1731" s="389">
        <v>2.5</v>
      </c>
      <c r="H1731" s="389">
        <f t="shared" si="33"/>
        <v>0</v>
      </c>
      <c r="I1731" s="389"/>
      <c r="J1731" s="389"/>
      <c r="K1731" s="389"/>
      <c r="L1731" s="389"/>
      <c r="M1731" s="389">
        <f t="shared" si="34"/>
        <v>0</v>
      </c>
      <c r="N1731" s="799"/>
      <c r="O1731" s="799"/>
      <c r="P1731" s="800"/>
      <c r="Q1731" s="800"/>
      <c r="R1731" s="800"/>
      <c r="S1731" s="800"/>
      <c r="T1731" s="800"/>
      <c r="U1731" s="800"/>
      <c r="V1731" s="800"/>
      <c r="W1731" s="800"/>
      <c r="X1731" s="800"/>
      <c r="Y1731" s="800"/>
      <c r="Z1731" s="800"/>
      <c r="AA1731" s="799"/>
      <c r="AB1731" s="799"/>
      <c r="AC1731" s="799"/>
      <c r="AD1731" s="799"/>
      <c r="AE1731" s="799"/>
      <c r="AF1731" s="799"/>
      <c r="AG1731" s="799"/>
      <c r="AH1731" s="799"/>
      <c r="AI1731" s="799"/>
      <c r="AJ1731" s="799"/>
      <c r="AK1731" s="799"/>
      <c r="AL1731" s="799"/>
      <c r="AM1731" s="799"/>
      <c r="AN1731" s="799"/>
      <c r="AO1731" s="799"/>
      <c r="AP1731" s="799"/>
      <c r="AQ1731" s="799"/>
      <c r="AR1731" s="799"/>
      <c r="AS1731" s="799"/>
      <c r="AT1731" s="799"/>
      <c r="AU1731" s="799"/>
      <c r="AV1731" s="799"/>
      <c r="AW1731" s="799"/>
      <c r="AX1731" s="799"/>
      <c r="AY1731" s="799"/>
      <c r="AZ1731" s="799"/>
      <c r="BA1731" s="799"/>
      <c r="BB1731" s="799"/>
      <c r="BC1731" s="799"/>
      <c r="BD1731" s="799"/>
      <c r="BE1731" s="799"/>
      <c r="BF1731" s="799"/>
      <c r="BG1731" s="799"/>
      <c r="BH1731" s="799"/>
      <c r="BI1731" s="799"/>
      <c r="BJ1731" s="799"/>
      <c r="BK1731" s="799"/>
      <c r="BL1731" s="799"/>
      <c r="BM1731" s="799"/>
      <c r="BN1731" s="799"/>
      <c r="BO1731" s="799"/>
      <c r="BP1731" s="799"/>
      <c r="BQ1731" s="799"/>
      <c r="BR1731" s="799"/>
      <c r="BS1731" s="799"/>
      <c r="BT1731" s="799"/>
      <c r="BU1731" s="799"/>
      <c r="BV1731" s="799"/>
      <c r="BW1731" s="799"/>
      <c r="BX1731" s="799"/>
      <c r="BY1731" s="799"/>
      <c r="BZ1731" s="799"/>
      <c r="CA1731" s="799"/>
      <c r="CB1731" s="799"/>
      <c r="CC1731" s="799"/>
      <c r="CD1731" s="799"/>
      <c r="CE1731" s="799"/>
      <c r="CF1731" s="799"/>
      <c r="CG1731" s="799"/>
      <c r="CH1731" s="799"/>
      <c r="CI1731" s="799"/>
      <c r="CJ1731" s="799"/>
      <c r="CK1731" s="799"/>
      <c r="CL1731" s="799"/>
      <c r="CM1731" s="799"/>
      <c r="CN1731" s="799"/>
      <c r="CO1731" s="799"/>
      <c r="CP1731" s="799"/>
      <c r="CQ1731" s="799"/>
      <c r="CR1731" s="799"/>
      <c r="CS1731" s="799"/>
      <c r="CT1731" s="799"/>
      <c r="CU1731" s="799"/>
      <c r="CV1731" s="799"/>
      <c r="CW1731" s="799"/>
      <c r="CX1731" s="799"/>
      <c r="CY1731" s="799"/>
      <c r="CZ1731" s="799"/>
      <c r="DA1731" s="799"/>
      <c r="DB1731" s="799"/>
      <c r="DC1731" s="799"/>
      <c r="DD1731" s="799"/>
      <c r="DE1731" s="799"/>
      <c r="DF1731" s="799"/>
      <c r="DG1731" s="799"/>
      <c r="DH1731" s="799"/>
      <c r="DI1731" s="799"/>
      <c r="DJ1731" s="799"/>
      <c r="DK1731" s="799"/>
      <c r="DL1731" s="799"/>
      <c r="DM1731" s="799"/>
      <c r="DN1731" s="799"/>
      <c r="DO1731" s="799"/>
      <c r="DP1731" s="799"/>
      <c r="DQ1731" s="799"/>
      <c r="DR1731" s="799"/>
      <c r="DS1731" s="799"/>
      <c r="DT1731" s="799"/>
      <c r="DU1731" s="799"/>
      <c r="DV1731" s="799"/>
      <c r="DW1731" s="799"/>
      <c r="DX1731" s="799"/>
      <c r="DY1731" s="799"/>
      <c r="DZ1731" s="799"/>
      <c r="EA1731" s="799"/>
      <c r="EB1731" s="799"/>
      <c r="EC1731" s="799"/>
      <c r="ED1731" s="799"/>
      <c r="EE1731" s="799"/>
      <c r="EF1731" s="799"/>
      <c r="EG1731" s="799"/>
      <c r="EH1731" s="799"/>
      <c r="EI1731" s="799"/>
      <c r="EJ1731" s="799"/>
      <c r="EK1731" s="799"/>
      <c r="EL1731" s="799"/>
      <c r="EM1731" s="799"/>
      <c r="EN1731" s="799"/>
      <c r="EO1731" s="799"/>
      <c r="EP1731" s="799"/>
      <c r="EQ1731" s="799"/>
      <c r="ER1731" s="799"/>
      <c r="ES1731" s="799"/>
      <c r="ET1731" s="799"/>
      <c r="EU1731" s="799"/>
      <c r="EV1731" s="799"/>
      <c r="EW1731" s="799"/>
      <c r="EX1731" s="799"/>
      <c r="EY1731" s="799"/>
      <c r="EZ1731" s="799"/>
      <c r="FA1731" s="799"/>
      <c r="FB1731" s="799"/>
      <c r="FC1731" s="799"/>
      <c r="FD1731" s="799"/>
      <c r="FE1731" s="799"/>
      <c r="FF1731" s="799"/>
      <c r="FG1731" s="799"/>
      <c r="FH1731" s="799"/>
      <c r="FI1731" s="799"/>
      <c r="FJ1731" s="799"/>
      <c r="FK1731" s="799"/>
      <c r="FL1731" s="799"/>
      <c r="FM1731" s="799"/>
      <c r="FN1731" s="799"/>
      <c r="FO1731" s="799"/>
      <c r="FP1731" s="799"/>
      <c r="FQ1731" s="799"/>
      <c r="FR1731" s="799"/>
      <c r="FS1731" s="799"/>
      <c r="FT1731" s="799"/>
      <c r="FU1731" s="799"/>
      <c r="FV1731" s="799"/>
      <c r="FW1731" s="799"/>
      <c r="FX1731" s="799"/>
      <c r="FY1731" s="799"/>
      <c r="FZ1731" s="799"/>
      <c r="GA1731" s="799"/>
      <c r="GB1731" s="799"/>
      <c r="GC1731" s="799"/>
      <c r="GD1731" s="799"/>
      <c r="GE1731" s="799"/>
      <c r="GF1731" s="799"/>
      <c r="GG1731" s="799"/>
      <c r="GH1731" s="799"/>
      <c r="GI1731" s="799"/>
      <c r="GJ1731" s="799"/>
      <c r="GK1731" s="799"/>
      <c r="GL1731" s="799"/>
      <c r="GM1731" s="799"/>
      <c r="GN1731" s="799"/>
      <c r="GO1731" s="799"/>
      <c r="GP1731" s="799"/>
      <c r="GQ1731" s="799"/>
      <c r="GR1731" s="799"/>
      <c r="GS1731" s="799"/>
      <c r="GT1731" s="799"/>
      <c r="GU1731" s="799"/>
      <c r="GV1731" s="799"/>
      <c r="GW1731" s="799"/>
      <c r="GX1731" s="799"/>
      <c r="GY1731" s="799"/>
      <c r="GZ1731" s="799"/>
      <c r="HA1731" s="799"/>
      <c r="HB1731" s="799"/>
      <c r="HC1731" s="799"/>
      <c r="HD1731" s="799"/>
      <c r="HE1731" s="799"/>
      <c r="HF1731" s="799"/>
      <c r="HG1731" s="799"/>
      <c r="HH1731" s="799"/>
      <c r="HI1731" s="799"/>
      <c r="HJ1731" s="799"/>
      <c r="HK1731" s="799"/>
      <c r="HL1731" s="799"/>
      <c r="HM1731" s="799"/>
      <c r="HN1731" s="799"/>
      <c r="HO1731" s="799"/>
      <c r="HP1731" s="799"/>
      <c r="HQ1731" s="799"/>
      <c r="HR1731" s="799"/>
      <c r="HS1731" s="799"/>
      <c r="HT1731" s="799"/>
      <c r="HU1731" s="799"/>
      <c r="HV1731" s="799"/>
      <c r="HW1731" s="799"/>
      <c r="HX1731" s="799"/>
      <c r="HY1731" s="799"/>
      <c r="HZ1731" s="799"/>
      <c r="IA1731" s="799"/>
      <c r="IB1731" s="799"/>
      <c r="IC1731" s="799"/>
      <c r="ID1731" s="799"/>
      <c r="IE1731" s="799"/>
      <c r="IF1731" s="799"/>
      <c r="IG1731" s="799"/>
      <c r="IH1731" s="799"/>
      <c r="II1731" s="799"/>
      <c r="IJ1731" s="799"/>
      <c r="IK1731" s="799"/>
      <c r="IL1731" s="799"/>
      <c r="IM1731" s="799"/>
      <c r="IN1731" s="799"/>
      <c r="IO1731" s="799"/>
      <c r="IP1731" s="799"/>
      <c r="IQ1731" s="799"/>
      <c r="IR1731" s="799"/>
      <c r="IS1731" s="799"/>
      <c r="IT1731" s="799"/>
      <c r="IU1731" s="799"/>
    </row>
    <row r="1732" spans="1:255" s="463" customFormat="1" ht="15" hidden="1" customHeight="1">
      <c r="A1732" s="336"/>
      <c r="B1732" s="543"/>
      <c r="C1732" s="809" t="s">
        <v>1362</v>
      </c>
      <c r="D1732" s="486" t="s">
        <v>97</v>
      </c>
      <c r="E1732" s="863">
        <v>10</v>
      </c>
      <c r="F1732" s="389">
        <f>F1722*E1732</f>
        <v>0</v>
      </c>
      <c r="G1732" s="389">
        <v>3.5</v>
      </c>
      <c r="H1732" s="389">
        <f t="shared" si="33"/>
        <v>0</v>
      </c>
      <c r="I1732" s="389"/>
      <c r="J1732" s="389"/>
      <c r="K1732" s="389"/>
      <c r="L1732" s="389"/>
      <c r="M1732" s="389">
        <f t="shared" si="34"/>
        <v>0</v>
      </c>
      <c r="N1732" s="799"/>
      <c r="O1732" s="799"/>
      <c r="P1732" s="800"/>
      <c r="Q1732" s="800"/>
      <c r="R1732" s="800"/>
      <c r="S1732" s="800"/>
      <c r="T1732" s="800"/>
      <c r="U1732" s="800"/>
      <c r="V1732" s="800"/>
      <c r="W1732" s="800"/>
      <c r="X1732" s="800"/>
      <c r="Y1732" s="800"/>
      <c r="Z1732" s="800"/>
      <c r="AA1732" s="799"/>
      <c r="AB1732" s="799"/>
      <c r="AC1732" s="799"/>
      <c r="AD1732" s="799"/>
      <c r="AE1732" s="799"/>
      <c r="AF1732" s="799"/>
      <c r="AG1732" s="799"/>
      <c r="AH1732" s="799"/>
      <c r="AI1732" s="799"/>
      <c r="AJ1732" s="799"/>
      <c r="AK1732" s="799"/>
      <c r="AL1732" s="799"/>
      <c r="AM1732" s="799"/>
      <c r="AN1732" s="799"/>
      <c r="AO1732" s="799"/>
      <c r="AP1732" s="799"/>
      <c r="AQ1732" s="799"/>
      <c r="AR1732" s="799"/>
      <c r="AS1732" s="799"/>
      <c r="AT1732" s="799"/>
      <c r="AU1732" s="799"/>
      <c r="AV1732" s="799"/>
      <c r="AW1732" s="799"/>
      <c r="AX1732" s="799"/>
      <c r="AY1732" s="799"/>
      <c r="AZ1732" s="799"/>
      <c r="BA1732" s="799"/>
      <c r="BB1732" s="799"/>
      <c r="BC1732" s="799"/>
      <c r="BD1732" s="799"/>
      <c r="BE1732" s="799"/>
      <c r="BF1732" s="799"/>
      <c r="BG1732" s="799"/>
      <c r="BH1732" s="799"/>
      <c r="BI1732" s="799"/>
      <c r="BJ1732" s="799"/>
      <c r="BK1732" s="799"/>
      <c r="BL1732" s="799"/>
      <c r="BM1732" s="799"/>
      <c r="BN1732" s="799"/>
      <c r="BO1732" s="799"/>
      <c r="BP1732" s="799"/>
      <c r="BQ1732" s="799"/>
      <c r="BR1732" s="799"/>
      <c r="BS1732" s="799"/>
      <c r="BT1732" s="799"/>
      <c r="BU1732" s="799"/>
      <c r="BV1732" s="799"/>
      <c r="BW1732" s="799"/>
      <c r="BX1732" s="799"/>
      <c r="BY1732" s="799"/>
      <c r="BZ1732" s="799"/>
      <c r="CA1732" s="799"/>
      <c r="CB1732" s="799"/>
      <c r="CC1732" s="799"/>
      <c r="CD1732" s="799"/>
      <c r="CE1732" s="799"/>
      <c r="CF1732" s="799"/>
      <c r="CG1732" s="799"/>
      <c r="CH1732" s="799"/>
      <c r="CI1732" s="799"/>
      <c r="CJ1732" s="799"/>
      <c r="CK1732" s="799"/>
      <c r="CL1732" s="799"/>
      <c r="CM1732" s="799"/>
      <c r="CN1732" s="799"/>
      <c r="CO1732" s="799"/>
      <c r="CP1732" s="799"/>
      <c r="CQ1732" s="799"/>
      <c r="CR1732" s="799"/>
      <c r="CS1732" s="799"/>
      <c r="CT1732" s="799"/>
      <c r="CU1732" s="799"/>
      <c r="CV1732" s="799"/>
      <c r="CW1732" s="799"/>
      <c r="CX1732" s="799"/>
      <c r="CY1732" s="799"/>
      <c r="CZ1732" s="799"/>
      <c r="DA1732" s="799"/>
      <c r="DB1732" s="799"/>
      <c r="DC1732" s="799"/>
      <c r="DD1732" s="799"/>
      <c r="DE1732" s="799"/>
      <c r="DF1732" s="799"/>
      <c r="DG1732" s="799"/>
      <c r="DH1732" s="799"/>
      <c r="DI1732" s="799"/>
      <c r="DJ1732" s="799"/>
      <c r="DK1732" s="799"/>
      <c r="DL1732" s="799"/>
      <c r="DM1732" s="799"/>
      <c r="DN1732" s="799"/>
      <c r="DO1732" s="799"/>
      <c r="DP1732" s="799"/>
      <c r="DQ1732" s="799"/>
      <c r="DR1732" s="799"/>
      <c r="DS1732" s="799"/>
      <c r="DT1732" s="799"/>
      <c r="DU1732" s="799"/>
      <c r="DV1732" s="799"/>
      <c r="DW1732" s="799"/>
      <c r="DX1732" s="799"/>
      <c r="DY1732" s="799"/>
      <c r="DZ1732" s="799"/>
      <c r="EA1732" s="799"/>
      <c r="EB1732" s="799"/>
      <c r="EC1732" s="799"/>
      <c r="ED1732" s="799"/>
      <c r="EE1732" s="799"/>
      <c r="EF1732" s="799"/>
      <c r="EG1732" s="799"/>
      <c r="EH1732" s="799"/>
      <c r="EI1732" s="799"/>
      <c r="EJ1732" s="799"/>
      <c r="EK1732" s="799"/>
      <c r="EL1732" s="799"/>
      <c r="EM1732" s="799"/>
      <c r="EN1732" s="799"/>
      <c r="EO1732" s="799"/>
      <c r="EP1732" s="799"/>
      <c r="EQ1732" s="799"/>
      <c r="ER1732" s="799"/>
      <c r="ES1732" s="799"/>
      <c r="ET1732" s="799"/>
      <c r="EU1732" s="799"/>
      <c r="EV1732" s="799"/>
      <c r="EW1732" s="799"/>
      <c r="EX1732" s="799"/>
      <c r="EY1732" s="799"/>
      <c r="EZ1732" s="799"/>
      <c r="FA1732" s="799"/>
      <c r="FB1732" s="799"/>
      <c r="FC1732" s="799"/>
      <c r="FD1732" s="799"/>
      <c r="FE1732" s="799"/>
      <c r="FF1732" s="799"/>
      <c r="FG1732" s="799"/>
      <c r="FH1732" s="799"/>
      <c r="FI1732" s="799"/>
      <c r="FJ1732" s="799"/>
      <c r="FK1732" s="799"/>
      <c r="FL1732" s="799"/>
      <c r="FM1732" s="799"/>
      <c r="FN1732" s="799"/>
      <c r="FO1732" s="799"/>
      <c r="FP1732" s="799"/>
      <c r="FQ1732" s="799"/>
      <c r="FR1732" s="799"/>
      <c r="FS1732" s="799"/>
      <c r="FT1732" s="799"/>
      <c r="FU1732" s="799"/>
      <c r="FV1732" s="799"/>
      <c r="FW1732" s="799"/>
      <c r="FX1732" s="799"/>
      <c r="FY1732" s="799"/>
      <c r="FZ1732" s="799"/>
      <c r="GA1732" s="799"/>
      <c r="GB1732" s="799"/>
      <c r="GC1732" s="799"/>
      <c r="GD1732" s="799"/>
      <c r="GE1732" s="799"/>
      <c r="GF1732" s="799"/>
      <c r="GG1732" s="799"/>
      <c r="GH1732" s="799"/>
      <c r="GI1732" s="799"/>
      <c r="GJ1732" s="799"/>
      <c r="GK1732" s="799"/>
      <c r="GL1732" s="799"/>
      <c r="GM1732" s="799"/>
      <c r="GN1732" s="799"/>
      <c r="GO1732" s="799"/>
      <c r="GP1732" s="799"/>
      <c r="GQ1732" s="799"/>
      <c r="GR1732" s="799"/>
      <c r="GS1732" s="799"/>
      <c r="GT1732" s="799"/>
      <c r="GU1732" s="799"/>
      <c r="GV1732" s="799"/>
      <c r="GW1732" s="799"/>
      <c r="GX1732" s="799"/>
      <c r="GY1732" s="799"/>
      <c r="GZ1732" s="799"/>
      <c r="HA1732" s="799"/>
      <c r="HB1732" s="799"/>
      <c r="HC1732" s="799"/>
      <c r="HD1732" s="799"/>
      <c r="HE1732" s="799"/>
      <c r="HF1732" s="799"/>
      <c r="HG1732" s="799"/>
      <c r="HH1732" s="799"/>
      <c r="HI1732" s="799"/>
      <c r="HJ1732" s="799"/>
      <c r="HK1732" s="799"/>
      <c r="HL1732" s="799"/>
      <c r="HM1732" s="799"/>
      <c r="HN1732" s="799"/>
      <c r="HO1732" s="799"/>
      <c r="HP1732" s="799"/>
      <c r="HQ1732" s="799"/>
      <c r="HR1732" s="799"/>
      <c r="HS1732" s="799"/>
      <c r="HT1732" s="799"/>
      <c r="HU1732" s="799"/>
      <c r="HV1732" s="799"/>
      <c r="HW1732" s="799"/>
      <c r="HX1732" s="799"/>
      <c r="HY1732" s="799"/>
      <c r="HZ1732" s="799"/>
      <c r="IA1732" s="799"/>
      <c r="IB1732" s="799"/>
      <c r="IC1732" s="799"/>
      <c r="ID1732" s="799"/>
      <c r="IE1732" s="799"/>
      <c r="IF1732" s="799"/>
      <c r="IG1732" s="799"/>
      <c r="IH1732" s="799"/>
      <c r="II1732" s="799"/>
      <c r="IJ1732" s="799"/>
      <c r="IK1732" s="799"/>
      <c r="IL1732" s="799"/>
      <c r="IM1732" s="799"/>
      <c r="IN1732" s="799"/>
      <c r="IO1732" s="799"/>
      <c r="IP1732" s="799"/>
      <c r="IQ1732" s="799"/>
      <c r="IR1732" s="799"/>
      <c r="IS1732" s="799"/>
      <c r="IT1732" s="799"/>
      <c r="IU1732" s="799"/>
    </row>
    <row r="1733" spans="1:255" s="817" customFormat="1" hidden="1">
      <c r="A1733" s="342"/>
      <c r="B1733" s="556"/>
      <c r="C1733" s="551" t="s">
        <v>214</v>
      </c>
      <c r="D1733" s="552" t="s">
        <v>57</v>
      </c>
      <c r="E1733" s="864">
        <v>2.3199999999999998</v>
      </c>
      <c r="F1733" s="861">
        <f>F1722*E1733</f>
        <v>0</v>
      </c>
      <c r="G1733" s="392">
        <v>3.2</v>
      </c>
      <c r="H1733" s="392">
        <f>F1733*G1733</f>
        <v>0</v>
      </c>
      <c r="I1733" s="392"/>
      <c r="J1733" s="392"/>
      <c r="K1733" s="392"/>
      <c r="L1733" s="392"/>
      <c r="M1733" s="392">
        <f>H1733+J1733+L1733</f>
        <v>0</v>
      </c>
      <c r="P1733" s="818"/>
      <c r="Q1733" s="818"/>
      <c r="R1733" s="818"/>
      <c r="S1733" s="818"/>
      <c r="T1733" s="818"/>
      <c r="U1733" s="818"/>
      <c r="V1733" s="818"/>
      <c r="W1733" s="818"/>
      <c r="X1733" s="818"/>
      <c r="Y1733" s="818"/>
      <c r="Z1733" s="818"/>
    </row>
    <row r="1734" spans="1:255" s="822" customFormat="1" ht="14.25" hidden="1">
      <c r="A1734" s="819">
        <v>17</v>
      </c>
      <c r="B1734" s="820" t="s">
        <v>1363</v>
      </c>
      <c r="C1734" s="821" t="s">
        <v>1364</v>
      </c>
      <c r="D1734" s="486" t="s">
        <v>1365</v>
      </c>
      <c r="E1734" s="856"/>
      <c r="F1734" s="388">
        <f>'დეფექტური აქტი'!E399</f>
        <v>0</v>
      </c>
      <c r="G1734" s="865"/>
      <c r="H1734" s="856"/>
      <c r="I1734" s="856"/>
      <c r="J1734" s="856"/>
      <c r="K1734" s="856"/>
      <c r="L1734" s="856"/>
      <c r="M1734" s="389"/>
    </row>
    <row r="1735" spans="1:255" s="825" customFormat="1" ht="16.5" hidden="1" customHeight="1">
      <c r="A1735" s="819"/>
      <c r="B1735" s="819"/>
      <c r="C1735" s="341" t="s">
        <v>581</v>
      </c>
      <c r="D1735" s="486" t="s">
        <v>80</v>
      </c>
      <c r="E1735" s="856">
        <v>1.57</v>
      </c>
      <c r="F1735" s="614">
        <f>F1734*E1735</f>
        <v>0</v>
      </c>
      <c r="G1735" s="856"/>
      <c r="H1735" s="856"/>
      <c r="I1735" s="389">
        <v>4.5999999999999996</v>
      </c>
      <c r="J1735" s="856">
        <f>F1735*I1735</f>
        <v>0</v>
      </c>
      <c r="K1735" s="856"/>
      <c r="L1735" s="856"/>
      <c r="M1735" s="389">
        <f>H1735+J1735+L1735</f>
        <v>0</v>
      </c>
      <c r="N1735" s="823"/>
      <c r="O1735" s="822"/>
      <c r="P1735" s="822"/>
      <c r="Q1735" s="822"/>
      <c r="R1735" s="822"/>
      <c r="S1735" s="822"/>
      <c r="T1735" s="822"/>
      <c r="U1735" s="822"/>
      <c r="V1735" s="822"/>
      <c r="W1735" s="822"/>
      <c r="X1735" s="822"/>
      <c r="Y1735" s="822"/>
      <c r="Z1735" s="822"/>
      <c r="AA1735" s="824"/>
    </row>
    <row r="1736" spans="1:255" s="825" customFormat="1" ht="16.5" hidden="1" customHeight="1">
      <c r="A1736" s="819"/>
      <c r="B1736" s="819"/>
      <c r="C1736" s="341" t="s">
        <v>582</v>
      </c>
      <c r="D1736" s="336" t="s">
        <v>57</v>
      </c>
      <c r="E1736" s="856">
        <v>0.36</v>
      </c>
      <c r="F1736" s="614">
        <f>F1734*E1736</f>
        <v>0</v>
      </c>
      <c r="G1736" s="856"/>
      <c r="H1736" s="856"/>
      <c r="I1736" s="856"/>
      <c r="J1736" s="856"/>
      <c r="K1736" s="856">
        <v>3.2</v>
      </c>
      <c r="L1736" s="856">
        <f>1*F1736*K1736</f>
        <v>0</v>
      </c>
      <c r="M1736" s="389">
        <f>H1736+J1736+L1736</f>
        <v>0</v>
      </c>
      <c r="N1736" s="823"/>
      <c r="O1736" s="822"/>
      <c r="P1736" s="822"/>
      <c r="Q1736" s="822"/>
      <c r="R1736" s="822"/>
      <c r="S1736" s="822"/>
      <c r="T1736" s="822"/>
      <c r="U1736" s="822"/>
      <c r="V1736" s="822"/>
      <c r="W1736" s="822"/>
      <c r="X1736" s="822"/>
      <c r="Y1736" s="822"/>
      <c r="Z1736" s="822"/>
      <c r="AA1736" s="824"/>
    </row>
    <row r="1737" spans="1:255" s="825" customFormat="1" ht="13.5" hidden="1" customHeight="1">
      <c r="A1737" s="819"/>
      <c r="B1737" s="819"/>
      <c r="C1737" s="341" t="s">
        <v>109</v>
      </c>
      <c r="D1737" s="336"/>
      <c r="E1737" s="856"/>
      <c r="F1737" s="614"/>
      <c r="G1737" s="856"/>
      <c r="H1737" s="856"/>
      <c r="I1737" s="856"/>
      <c r="J1737" s="856"/>
      <c r="K1737" s="856"/>
      <c r="L1737" s="856"/>
      <c r="M1737" s="389"/>
      <c r="N1737" s="823"/>
      <c r="O1737" s="822"/>
      <c r="P1737" s="822"/>
      <c r="Q1737" s="822"/>
      <c r="R1737" s="822"/>
      <c r="S1737" s="822"/>
      <c r="T1737" s="822"/>
      <c r="U1737" s="822"/>
      <c r="V1737" s="822"/>
      <c r="W1737" s="822"/>
      <c r="X1737" s="822"/>
      <c r="Y1737" s="822"/>
      <c r="Z1737" s="822"/>
      <c r="AA1737" s="824"/>
    </row>
    <row r="1738" spans="1:255" s="825" customFormat="1" ht="13.5" hidden="1" customHeight="1">
      <c r="A1738" s="819"/>
      <c r="B1738" s="819"/>
      <c r="C1738" s="341" t="s">
        <v>1366</v>
      </c>
      <c r="D1738" s="336" t="s">
        <v>113</v>
      </c>
      <c r="E1738" s="856">
        <v>1</v>
      </c>
      <c r="F1738" s="614">
        <f>F1734*E1738</f>
        <v>0</v>
      </c>
      <c r="G1738" s="856">
        <v>153</v>
      </c>
      <c r="H1738" s="856">
        <f>F1738*G1738</f>
        <v>0</v>
      </c>
      <c r="I1738" s="856"/>
      <c r="J1738" s="856"/>
      <c r="K1738" s="856"/>
      <c r="L1738" s="856"/>
      <c r="M1738" s="389">
        <f>H1738+J1738+L1738</f>
        <v>0</v>
      </c>
      <c r="N1738" s="823"/>
      <c r="O1738" s="822"/>
      <c r="P1738" s="822"/>
      <c r="Q1738" s="822"/>
      <c r="R1738" s="822"/>
      <c r="S1738" s="822"/>
      <c r="T1738" s="822"/>
      <c r="U1738" s="822"/>
      <c r="V1738" s="822"/>
      <c r="W1738" s="822"/>
      <c r="X1738" s="822"/>
      <c r="Y1738" s="822"/>
      <c r="Z1738" s="822"/>
      <c r="AA1738" s="824"/>
    </row>
    <row r="1739" spans="1:255" s="825" customFormat="1" ht="15" hidden="1" customHeight="1">
      <c r="A1739" s="826"/>
      <c r="B1739" s="826"/>
      <c r="C1739" s="344" t="s">
        <v>367</v>
      </c>
      <c r="D1739" s="342" t="s">
        <v>57</v>
      </c>
      <c r="E1739" s="857">
        <v>7.45E-3</v>
      </c>
      <c r="F1739" s="861">
        <f>F1734*E1739</f>
        <v>0</v>
      </c>
      <c r="G1739" s="857">
        <v>3.2</v>
      </c>
      <c r="H1739" s="857">
        <f>F1739*G1739</f>
        <v>0</v>
      </c>
      <c r="I1739" s="857"/>
      <c r="J1739" s="857"/>
      <c r="K1739" s="857"/>
      <c r="L1739" s="857"/>
      <c r="M1739" s="392">
        <f>H1739+J1739+L1739</f>
        <v>0</v>
      </c>
      <c r="N1739" s="823"/>
      <c r="O1739" s="822"/>
      <c r="P1739" s="822"/>
      <c r="Q1739" s="822"/>
      <c r="R1739" s="822"/>
      <c r="S1739" s="822"/>
      <c r="T1739" s="822"/>
      <c r="U1739" s="822"/>
      <c r="V1739" s="822"/>
      <c r="W1739" s="822"/>
      <c r="X1739" s="822"/>
      <c r="Y1739" s="822"/>
      <c r="Z1739" s="822"/>
      <c r="AA1739" s="824"/>
    </row>
    <row r="1740" spans="1:255" customFormat="1" ht="15" hidden="1">
      <c r="A1740" s="336">
        <v>18</v>
      </c>
      <c r="B1740" s="540" t="s">
        <v>331</v>
      </c>
      <c r="C1740" s="329" t="s">
        <v>1163</v>
      </c>
      <c r="D1740" s="486" t="s">
        <v>816</v>
      </c>
      <c r="E1740" s="614"/>
      <c r="F1740" s="388">
        <f>'დეფექტური აქტი'!E400</f>
        <v>0</v>
      </c>
      <c r="G1740" s="542"/>
      <c r="H1740" s="636"/>
      <c r="I1740" s="389"/>
      <c r="J1740" s="389"/>
      <c r="K1740" s="389"/>
      <c r="L1740" s="389"/>
      <c r="M1740" s="389"/>
      <c r="N1740" s="811"/>
      <c r="O1740" s="827"/>
      <c r="P1740" s="828"/>
      <c r="Q1740" s="828"/>
      <c r="R1740" s="828"/>
      <c r="S1740" s="828"/>
      <c r="T1740" s="828"/>
      <c r="U1740" s="828"/>
      <c r="V1740" s="828"/>
      <c r="W1740" s="828"/>
      <c r="X1740" s="828"/>
      <c r="Y1740" s="828"/>
      <c r="Z1740" s="828"/>
      <c r="AA1740" s="827"/>
      <c r="AB1740" s="827"/>
      <c r="AC1740" s="827"/>
      <c r="AD1740" s="827"/>
      <c r="AE1740" s="827"/>
      <c r="AF1740" s="827"/>
      <c r="AG1740" s="827"/>
      <c r="AH1740" s="827"/>
      <c r="AI1740" s="827"/>
      <c r="AJ1740" s="827"/>
      <c r="AK1740" s="827"/>
      <c r="AL1740" s="827"/>
      <c r="AM1740" s="827"/>
      <c r="AN1740" s="827"/>
      <c r="AO1740" s="827"/>
      <c r="AP1740" s="827"/>
      <c r="AQ1740" s="827"/>
      <c r="AR1740" s="827"/>
      <c r="AS1740" s="827"/>
      <c r="AT1740" s="827"/>
      <c r="AU1740" s="827"/>
      <c r="AV1740" s="827"/>
      <c r="AW1740" s="827"/>
      <c r="AX1740" s="827"/>
      <c r="AY1740" s="827"/>
      <c r="AZ1740" s="827"/>
      <c r="BA1740" s="827"/>
      <c r="BB1740" s="827"/>
      <c r="BC1740" s="827"/>
      <c r="BD1740" s="827"/>
      <c r="BE1740" s="827"/>
      <c r="BF1740" s="827"/>
      <c r="BG1740" s="827"/>
      <c r="BH1740" s="827"/>
      <c r="BI1740" s="827"/>
      <c r="BJ1740" s="827"/>
      <c r="BK1740" s="827"/>
      <c r="BL1740" s="827"/>
      <c r="BM1740" s="827"/>
      <c r="BN1740" s="827"/>
      <c r="BO1740" s="827"/>
      <c r="BP1740" s="827"/>
      <c r="BQ1740" s="827"/>
      <c r="BR1740" s="827"/>
      <c r="BS1740" s="827"/>
      <c r="BT1740" s="827"/>
      <c r="BU1740" s="827"/>
      <c r="BV1740" s="827"/>
      <c r="BW1740" s="827"/>
      <c r="BX1740" s="827"/>
      <c r="BY1740" s="827"/>
      <c r="BZ1740" s="827"/>
      <c r="CA1740" s="827"/>
      <c r="CB1740" s="827"/>
      <c r="CC1740" s="827"/>
      <c r="CD1740" s="827"/>
      <c r="CE1740" s="827"/>
      <c r="CF1740" s="827"/>
      <c r="CG1740" s="827"/>
      <c r="CH1740" s="827"/>
      <c r="CI1740" s="827"/>
      <c r="CJ1740" s="827"/>
      <c r="CK1740" s="827"/>
      <c r="CL1740" s="827"/>
      <c r="CM1740" s="827"/>
      <c r="CN1740" s="827"/>
      <c r="CO1740" s="827"/>
      <c r="CP1740" s="827"/>
      <c r="CQ1740" s="827"/>
      <c r="CR1740" s="827"/>
      <c r="CS1740" s="827"/>
      <c r="CT1740" s="827"/>
      <c r="CU1740" s="827"/>
      <c r="CV1740" s="827"/>
      <c r="CW1740" s="827"/>
      <c r="CX1740" s="827"/>
      <c r="CY1740" s="827"/>
      <c r="CZ1740" s="827"/>
      <c r="DA1740" s="827"/>
      <c r="DB1740" s="827"/>
      <c r="DC1740" s="827"/>
      <c r="DD1740" s="827"/>
      <c r="DE1740" s="827"/>
      <c r="DF1740" s="827"/>
      <c r="DG1740" s="827"/>
      <c r="DH1740" s="827"/>
      <c r="DI1740" s="827"/>
      <c r="DJ1740" s="827"/>
      <c r="DK1740" s="827"/>
      <c r="DL1740" s="827"/>
      <c r="DM1740" s="827"/>
      <c r="DN1740" s="827"/>
      <c r="DO1740" s="827"/>
      <c r="DP1740" s="827"/>
      <c r="DQ1740" s="827"/>
      <c r="DR1740" s="827"/>
      <c r="DS1740" s="827"/>
      <c r="DT1740" s="827"/>
      <c r="DU1740" s="827"/>
      <c r="DV1740" s="827"/>
      <c r="DW1740" s="827"/>
      <c r="DX1740" s="827"/>
      <c r="DY1740" s="827"/>
      <c r="DZ1740" s="827"/>
      <c r="EA1740" s="827"/>
      <c r="EB1740" s="827"/>
      <c r="EC1740" s="827"/>
      <c r="ED1740" s="827"/>
      <c r="EE1740" s="827"/>
      <c r="EF1740" s="827"/>
      <c r="EG1740" s="827"/>
      <c r="EH1740" s="827"/>
      <c r="EI1740" s="827"/>
      <c r="EJ1740" s="827"/>
      <c r="EK1740" s="827"/>
      <c r="EL1740" s="827"/>
      <c r="EM1740" s="827"/>
      <c r="EN1740" s="827"/>
      <c r="EO1740" s="827"/>
      <c r="EP1740" s="827"/>
      <c r="EQ1740" s="827"/>
      <c r="ER1740" s="827"/>
      <c r="ES1740" s="827"/>
      <c r="ET1740" s="827"/>
      <c r="EU1740" s="827"/>
      <c r="EV1740" s="827"/>
      <c r="EW1740" s="827"/>
      <c r="EX1740" s="827"/>
      <c r="EY1740" s="827"/>
      <c r="EZ1740" s="827"/>
      <c r="FA1740" s="827"/>
      <c r="FB1740" s="827"/>
      <c r="FC1740" s="827"/>
      <c r="FD1740" s="827"/>
      <c r="FE1740" s="827"/>
      <c r="FF1740" s="827"/>
      <c r="FG1740" s="827"/>
      <c r="FH1740" s="827"/>
      <c r="FI1740" s="827"/>
      <c r="FJ1740" s="827"/>
      <c r="FK1740" s="827"/>
      <c r="FL1740" s="827"/>
      <c r="FM1740" s="827"/>
      <c r="FN1740" s="827"/>
      <c r="FO1740" s="827"/>
      <c r="FP1740" s="827"/>
      <c r="FQ1740" s="827"/>
      <c r="FR1740" s="827"/>
      <c r="FS1740" s="827"/>
      <c r="FT1740" s="827"/>
      <c r="FU1740" s="827"/>
      <c r="FV1740" s="827"/>
      <c r="FW1740" s="827"/>
      <c r="FX1740" s="827"/>
      <c r="FY1740" s="827"/>
      <c r="FZ1740" s="827"/>
      <c r="GA1740" s="827"/>
      <c r="GB1740" s="827"/>
      <c r="GC1740" s="827"/>
      <c r="GD1740" s="827"/>
      <c r="GE1740" s="827"/>
      <c r="GF1740" s="827"/>
      <c r="GG1740" s="827"/>
      <c r="GH1740" s="827"/>
      <c r="GI1740" s="827"/>
      <c r="GJ1740" s="827"/>
      <c r="GK1740" s="827"/>
      <c r="GL1740" s="827"/>
      <c r="GM1740" s="827"/>
      <c r="GN1740" s="827"/>
      <c r="GO1740" s="827"/>
      <c r="GP1740" s="827"/>
      <c r="GQ1740" s="827"/>
      <c r="GR1740" s="827"/>
      <c r="GS1740" s="827"/>
      <c r="GT1740" s="827"/>
      <c r="GU1740" s="827"/>
      <c r="GV1740" s="827"/>
      <c r="GW1740" s="827"/>
      <c r="GX1740" s="827"/>
      <c r="GY1740" s="827"/>
      <c r="GZ1740" s="827"/>
      <c r="HA1740" s="827"/>
      <c r="HB1740" s="827"/>
      <c r="HC1740" s="827"/>
      <c r="HD1740" s="827"/>
      <c r="HE1740" s="827"/>
      <c r="HF1740" s="827"/>
      <c r="HG1740" s="827"/>
      <c r="HH1740" s="827"/>
      <c r="HI1740" s="827"/>
      <c r="HJ1740" s="827"/>
      <c r="HK1740" s="827"/>
      <c r="HL1740" s="827"/>
      <c r="HM1740" s="827"/>
      <c r="HN1740" s="827"/>
      <c r="HO1740" s="827"/>
      <c r="HP1740" s="827"/>
      <c r="HQ1740" s="827"/>
      <c r="HR1740" s="827"/>
      <c r="HS1740" s="827"/>
      <c r="HT1740" s="827"/>
      <c r="HU1740" s="827"/>
      <c r="HV1740" s="827"/>
      <c r="HW1740" s="827"/>
      <c r="HX1740" s="827"/>
      <c r="HY1740" s="827"/>
      <c r="HZ1740" s="827"/>
      <c r="IA1740" s="827"/>
      <c r="IB1740" s="827"/>
      <c r="IC1740" s="827"/>
      <c r="ID1740" s="827"/>
      <c r="IE1740" s="827"/>
      <c r="IF1740" s="827"/>
      <c r="IG1740" s="827"/>
      <c r="IH1740" s="827"/>
      <c r="II1740" s="827"/>
      <c r="IJ1740" s="827"/>
      <c r="IK1740" s="827"/>
      <c r="IL1740" s="827"/>
      <c r="IM1740" s="827"/>
      <c r="IN1740" s="827"/>
      <c r="IO1740" s="827"/>
      <c r="IP1740" s="827"/>
      <c r="IQ1740" s="827"/>
      <c r="IR1740" s="827"/>
      <c r="IS1740" s="827"/>
      <c r="IT1740" s="827"/>
      <c r="IU1740" s="827"/>
    </row>
    <row r="1741" spans="1:255" customFormat="1" ht="16.5" hidden="1" customHeight="1">
      <c r="A1741" s="336"/>
      <c r="B1741" s="540"/>
      <c r="C1741" s="335" t="s">
        <v>209</v>
      </c>
      <c r="D1741" s="486" t="s">
        <v>80</v>
      </c>
      <c r="E1741" s="614">
        <v>1.51</v>
      </c>
      <c r="F1741" s="614">
        <f>F1740*E1741</f>
        <v>0</v>
      </c>
      <c r="G1741" s="542"/>
      <c r="H1741" s="636"/>
      <c r="I1741" s="389">
        <v>4.5999999999999996</v>
      </c>
      <c r="J1741" s="389">
        <f>F1741*I1741</f>
        <v>0</v>
      </c>
      <c r="K1741" s="389"/>
      <c r="L1741" s="389"/>
      <c r="M1741" s="389">
        <f>H1741+J1741+L1741</f>
        <v>0</v>
      </c>
      <c r="N1741" s="811"/>
      <c r="O1741" s="827"/>
      <c r="P1741" s="828"/>
      <c r="Q1741" s="828"/>
      <c r="R1741" s="828"/>
      <c r="S1741" s="828"/>
      <c r="T1741" s="828"/>
      <c r="U1741" s="828"/>
      <c r="V1741" s="828"/>
      <c r="W1741" s="828"/>
      <c r="X1741" s="828"/>
      <c r="Y1741" s="828"/>
      <c r="Z1741" s="828"/>
      <c r="AA1741" s="827"/>
      <c r="AB1741" s="827"/>
      <c r="AC1741" s="827"/>
      <c r="AD1741" s="827"/>
      <c r="AE1741" s="827"/>
      <c r="AF1741" s="827"/>
      <c r="AG1741" s="827"/>
      <c r="AH1741" s="827"/>
      <c r="AI1741" s="827"/>
      <c r="AJ1741" s="827"/>
      <c r="AK1741" s="827"/>
      <c r="AL1741" s="827"/>
      <c r="AM1741" s="827"/>
      <c r="AN1741" s="827"/>
      <c r="AO1741" s="827"/>
      <c r="AP1741" s="827"/>
      <c r="AQ1741" s="827"/>
      <c r="AR1741" s="827"/>
      <c r="AS1741" s="827"/>
      <c r="AT1741" s="827"/>
      <c r="AU1741" s="827"/>
      <c r="AV1741" s="827"/>
      <c r="AW1741" s="827"/>
      <c r="AX1741" s="827"/>
      <c r="AY1741" s="827"/>
      <c r="AZ1741" s="827"/>
      <c r="BA1741" s="827"/>
      <c r="BB1741" s="827"/>
      <c r="BC1741" s="827"/>
      <c r="BD1741" s="827"/>
      <c r="BE1741" s="827"/>
      <c r="BF1741" s="827"/>
      <c r="BG1741" s="827"/>
      <c r="BH1741" s="827"/>
      <c r="BI1741" s="827"/>
      <c r="BJ1741" s="827"/>
      <c r="BK1741" s="827"/>
      <c r="BL1741" s="827"/>
      <c r="BM1741" s="827"/>
      <c r="BN1741" s="827"/>
      <c r="BO1741" s="827"/>
      <c r="BP1741" s="827"/>
      <c r="BQ1741" s="827"/>
      <c r="BR1741" s="827"/>
      <c r="BS1741" s="827"/>
      <c r="BT1741" s="827"/>
      <c r="BU1741" s="827"/>
      <c r="BV1741" s="827"/>
      <c r="BW1741" s="827"/>
      <c r="BX1741" s="827"/>
      <c r="BY1741" s="827"/>
      <c r="BZ1741" s="827"/>
      <c r="CA1741" s="827"/>
      <c r="CB1741" s="827"/>
      <c r="CC1741" s="827"/>
      <c r="CD1741" s="827"/>
      <c r="CE1741" s="827"/>
      <c r="CF1741" s="827"/>
      <c r="CG1741" s="827"/>
      <c r="CH1741" s="827"/>
      <c r="CI1741" s="827"/>
      <c r="CJ1741" s="827"/>
      <c r="CK1741" s="827"/>
      <c r="CL1741" s="827"/>
      <c r="CM1741" s="827"/>
      <c r="CN1741" s="827"/>
      <c r="CO1741" s="827"/>
      <c r="CP1741" s="827"/>
      <c r="CQ1741" s="827"/>
      <c r="CR1741" s="827"/>
      <c r="CS1741" s="827"/>
      <c r="CT1741" s="827"/>
      <c r="CU1741" s="827"/>
      <c r="CV1741" s="827"/>
      <c r="CW1741" s="827"/>
      <c r="CX1741" s="827"/>
      <c r="CY1741" s="827"/>
      <c r="CZ1741" s="827"/>
      <c r="DA1741" s="827"/>
      <c r="DB1741" s="827"/>
      <c r="DC1741" s="827"/>
      <c r="DD1741" s="827"/>
      <c r="DE1741" s="827"/>
      <c r="DF1741" s="827"/>
      <c r="DG1741" s="827"/>
      <c r="DH1741" s="827"/>
      <c r="DI1741" s="827"/>
      <c r="DJ1741" s="827"/>
      <c r="DK1741" s="827"/>
      <c r="DL1741" s="827"/>
      <c r="DM1741" s="827"/>
      <c r="DN1741" s="827"/>
      <c r="DO1741" s="827"/>
      <c r="DP1741" s="827"/>
      <c r="DQ1741" s="827"/>
      <c r="DR1741" s="827"/>
      <c r="DS1741" s="827"/>
      <c r="DT1741" s="827"/>
      <c r="DU1741" s="827"/>
      <c r="DV1741" s="827"/>
      <c r="DW1741" s="827"/>
      <c r="DX1741" s="827"/>
      <c r="DY1741" s="827"/>
      <c r="DZ1741" s="827"/>
      <c r="EA1741" s="827"/>
      <c r="EB1741" s="827"/>
      <c r="EC1741" s="827"/>
      <c r="ED1741" s="827"/>
      <c r="EE1741" s="827"/>
      <c r="EF1741" s="827"/>
      <c r="EG1741" s="827"/>
      <c r="EH1741" s="827"/>
      <c r="EI1741" s="827"/>
      <c r="EJ1741" s="827"/>
      <c r="EK1741" s="827"/>
      <c r="EL1741" s="827"/>
      <c r="EM1741" s="827"/>
      <c r="EN1741" s="827"/>
      <c r="EO1741" s="827"/>
      <c r="EP1741" s="827"/>
      <c r="EQ1741" s="827"/>
      <c r="ER1741" s="827"/>
      <c r="ES1741" s="827"/>
      <c r="ET1741" s="827"/>
      <c r="EU1741" s="827"/>
      <c r="EV1741" s="827"/>
      <c r="EW1741" s="827"/>
      <c r="EX1741" s="827"/>
      <c r="EY1741" s="827"/>
      <c r="EZ1741" s="827"/>
      <c r="FA1741" s="827"/>
      <c r="FB1741" s="827"/>
      <c r="FC1741" s="827"/>
      <c r="FD1741" s="827"/>
      <c r="FE1741" s="827"/>
      <c r="FF1741" s="827"/>
      <c r="FG1741" s="827"/>
      <c r="FH1741" s="827"/>
      <c r="FI1741" s="827"/>
      <c r="FJ1741" s="827"/>
      <c r="FK1741" s="827"/>
      <c r="FL1741" s="827"/>
      <c r="FM1741" s="827"/>
      <c r="FN1741" s="827"/>
      <c r="FO1741" s="827"/>
      <c r="FP1741" s="827"/>
      <c r="FQ1741" s="827"/>
      <c r="FR1741" s="827"/>
      <c r="FS1741" s="827"/>
      <c r="FT1741" s="827"/>
      <c r="FU1741" s="827"/>
      <c r="FV1741" s="827"/>
      <c r="FW1741" s="827"/>
      <c r="FX1741" s="827"/>
      <c r="FY1741" s="827"/>
      <c r="FZ1741" s="827"/>
      <c r="GA1741" s="827"/>
      <c r="GB1741" s="827"/>
      <c r="GC1741" s="827"/>
      <c r="GD1741" s="827"/>
      <c r="GE1741" s="827"/>
      <c r="GF1741" s="827"/>
      <c r="GG1741" s="827"/>
      <c r="GH1741" s="827"/>
      <c r="GI1741" s="827"/>
      <c r="GJ1741" s="827"/>
      <c r="GK1741" s="827"/>
      <c r="GL1741" s="827"/>
      <c r="GM1741" s="827"/>
      <c r="GN1741" s="827"/>
      <c r="GO1741" s="827"/>
      <c r="GP1741" s="827"/>
      <c r="GQ1741" s="827"/>
      <c r="GR1741" s="827"/>
      <c r="GS1741" s="827"/>
      <c r="GT1741" s="827"/>
      <c r="GU1741" s="827"/>
      <c r="GV1741" s="827"/>
      <c r="GW1741" s="827"/>
      <c r="GX1741" s="827"/>
      <c r="GY1741" s="827"/>
      <c r="GZ1741" s="827"/>
      <c r="HA1741" s="827"/>
      <c r="HB1741" s="827"/>
      <c r="HC1741" s="827"/>
      <c r="HD1741" s="827"/>
      <c r="HE1741" s="827"/>
      <c r="HF1741" s="827"/>
      <c r="HG1741" s="827"/>
      <c r="HH1741" s="827"/>
      <c r="HI1741" s="827"/>
      <c r="HJ1741" s="827"/>
      <c r="HK1741" s="827"/>
      <c r="HL1741" s="827"/>
      <c r="HM1741" s="827"/>
      <c r="HN1741" s="827"/>
      <c r="HO1741" s="827"/>
      <c r="HP1741" s="827"/>
      <c r="HQ1741" s="827"/>
      <c r="HR1741" s="827"/>
      <c r="HS1741" s="827"/>
      <c r="HT1741" s="827"/>
      <c r="HU1741" s="827"/>
      <c r="HV1741" s="827"/>
      <c r="HW1741" s="827"/>
      <c r="HX1741" s="827"/>
      <c r="HY1741" s="827"/>
      <c r="HZ1741" s="827"/>
      <c r="IA1741" s="827"/>
      <c r="IB1741" s="827"/>
      <c r="IC1741" s="827"/>
      <c r="ID1741" s="827"/>
      <c r="IE1741" s="827"/>
      <c r="IF1741" s="827"/>
      <c r="IG1741" s="827"/>
      <c r="IH1741" s="827"/>
      <c r="II1741" s="827"/>
      <c r="IJ1741" s="827"/>
      <c r="IK1741" s="827"/>
      <c r="IL1741" s="827"/>
      <c r="IM1741" s="827"/>
      <c r="IN1741" s="827"/>
      <c r="IO1741" s="827"/>
      <c r="IP1741" s="827"/>
      <c r="IQ1741" s="827"/>
      <c r="IR1741" s="827"/>
      <c r="IS1741" s="827"/>
      <c r="IT1741" s="827"/>
      <c r="IU1741" s="827"/>
    </row>
    <row r="1742" spans="1:255" customFormat="1" ht="15" hidden="1">
      <c r="A1742" s="336"/>
      <c r="B1742" s="543"/>
      <c r="C1742" s="335" t="s">
        <v>181</v>
      </c>
      <c r="D1742" s="486" t="s">
        <v>57</v>
      </c>
      <c r="E1742" s="863">
        <v>0.13</v>
      </c>
      <c r="F1742" s="614">
        <f>F1740*E1742</f>
        <v>0</v>
      </c>
      <c r="G1742" s="542"/>
      <c r="H1742" s="389"/>
      <c r="I1742" s="389"/>
      <c r="J1742" s="389"/>
      <c r="K1742" s="389">
        <v>3.2</v>
      </c>
      <c r="L1742" s="389">
        <f>F1742*K1742</f>
        <v>0</v>
      </c>
      <c r="M1742" s="389">
        <f>H1742+J1742+L1742</f>
        <v>0</v>
      </c>
      <c r="N1742" s="811"/>
      <c r="O1742" s="827"/>
      <c r="P1742" s="828"/>
      <c r="Q1742" s="828"/>
      <c r="R1742" s="828"/>
      <c r="S1742" s="828"/>
      <c r="T1742" s="828"/>
      <c r="U1742" s="828"/>
      <c r="V1742" s="828"/>
      <c r="W1742" s="828"/>
      <c r="X1742" s="828"/>
      <c r="Y1742" s="828"/>
      <c r="Z1742" s="828"/>
      <c r="AA1742" s="827"/>
      <c r="AB1742" s="827"/>
      <c r="AC1742" s="827"/>
      <c r="AD1742" s="827"/>
      <c r="AE1742" s="827"/>
      <c r="AF1742" s="827"/>
      <c r="AG1742" s="827"/>
      <c r="AH1742" s="827"/>
      <c r="AI1742" s="827"/>
      <c r="AJ1742" s="827"/>
      <c r="AK1742" s="827"/>
      <c r="AL1742" s="827"/>
      <c r="AM1742" s="827"/>
      <c r="AN1742" s="827"/>
      <c r="AO1742" s="827"/>
      <c r="AP1742" s="827"/>
      <c r="AQ1742" s="827"/>
      <c r="AR1742" s="827"/>
      <c r="AS1742" s="827"/>
      <c r="AT1742" s="827"/>
      <c r="AU1742" s="827"/>
      <c r="AV1742" s="827"/>
      <c r="AW1742" s="827"/>
      <c r="AX1742" s="827"/>
      <c r="AY1742" s="827"/>
      <c r="AZ1742" s="827"/>
      <c r="BA1742" s="827"/>
      <c r="BB1742" s="827"/>
      <c r="BC1742" s="827"/>
      <c r="BD1742" s="827"/>
      <c r="BE1742" s="827"/>
      <c r="BF1742" s="827"/>
      <c r="BG1742" s="827"/>
      <c r="BH1742" s="827"/>
      <c r="BI1742" s="827"/>
      <c r="BJ1742" s="827"/>
      <c r="BK1742" s="827"/>
      <c r="BL1742" s="827"/>
      <c r="BM1742" s="827"/>
      <c r="BN1742" s="827"/>
      <c r="BO1742" s="827"/>
      <c r="BP1742" s="827"/>
      <c r="BQ1742" s="827"/>
      <c r="BR1742" s="827"/>
      <c r="BS1742" s="827"/>
      <c r="BT1742" s="827"/>
      <c r="BU1742" s="827"/>
      <c r="BV1742" s="827"/>
      <c r="BW1742" s="827"/>
      <c r="BX1742" s="827"/>
      <c r="BY1742" s="827"/>
      <c r="BZ1742" s="827"/>
      <c r="CA1742" s="827"/>
      <c r="CB1742" s="827"/>
      <c r="CC1742" s="827"/>
      <c r="CD1742" s="827"/>
      <c r="CE1742" s="827"/>
      <c r="CF1742" s="827"/>
      <c r="CG1742" s="827"/>
      <c r="CH1742" s="827"/>
      <c r="CI1742" s="827"/>
      <c r="CJ1742" s="827"/>
      <c r="CK1742" s="827"/>
      <c r="CL1742" s="827"/>
      <c r="CM1742" s="827"/>
      <c r="CN1742" s="827"/>
      <c r="CO1742" s="827"/>
      <c r="CP1742" s="827"/>
      <c r="CQ1742" s="827"/>
      <c r="CR1742" s="827"/>
      <c r="CS1742" s="827"/>
      <c r="CT1742" s="827"/>
      <c r="CU1742" s="827"/>
      <c r="CV1742" s="827"/>
      <c r="CW1742" s="827"/>
      <c r="CX1742" s="827"/>
      <c r="CY1742" s="827"/>
      <c r="CZ1742" s="827"/>
      <c r="DA1742" s="827"/>
      <c r="DB1742" s="827"/>
      <c r="DC1742" s="827"/>
      <c r="DD1742" s="827"/>
      <c r="DE1742" s="827"/>
      <c r="DF1742" s="827"/>
      <c r="DG1742" s="827"/>
      <c r="DH1742" s="827"/>
      <c r="DI1742" s="827"/>
      <c r="DJ1742" s="827"/>
      <c r="DK1742" s="827"/>
      <c r="DL1742" s="827"/>
      <c r="DM1742" s="827"/>
      <c r="DN1742" s="827"/>
      <c r="DO1742" s="827"/>
      <c r="DP1742" s="827"/>
      <c r="DQ1742" s="827"/>
      <c r="DR1742" s="827"/>
      <c r="DS1742" s="827"/>
      <c r="DT1742" s="827"/>
      <c r="DU1742" s="827"/>
      <c r="DV1742" s="827"/>
      <c r="DW1742" s="827"/>
      <c r="DX1742" s="827"/>
      <c r="DY1742" s="827"/>
      <c r="DZ1742" s="827"/>
      <c r="EA1742" s="827"/>
      <c r="EB1742" s="827"/>
      <c r="EC1742" s="827"/>
      <c r="ED1742" s="827"/>
      <c r="EE1742" s="827"/>
      <c r="EF1742" s="827"/>
      <c r="EG1742" s="827"/>
      <c r="EH1742" s="827"/>
      <c r="EI1742" s="827"/>
      <c r="EJ1742" s="827"/>
      <c r="EK1742" s="827"/>
      <c r="EL1742" s="827"/>
      <c r="EM1742" s="827"/>
      <c r="EN1742" s="827"/>
      <c r="EO1742" s="827"/>
      <c r="EP1742" s="827"/>
      <c r="EQ1742" s="827"/>
      <c r="ER1742" s="827"/>
      <c r="ES1742" s="827"/>
      <c r="ET1742" s="827"/>
      <c r="EU1742" s="827"/>
      <c r="EV1742" s="827"/>
      <c r="EW1742" s="827"/>
      <c r="EX1742" s="827"/>
      <c r="EY1742" s="827"/>
      <c r="EZ1742" s="827"/>
      <c r="FA1742" s="827"/>
      <c r="FB1742" s="827"/>
      <c r="FC1742" s="827"/>
      <c r="FD1742" s="827"/>
      <c r="FE1742" s="827"/>
      <c r="FF1742" s="827"/>
      <c r="FG1742" s="827"/>
      <c r="FH1742" s="827"/>
      <c r="FI1742" s="827"/>
      <c r="FJ1742" s="827"/>
      <c r="FK1742" s="827"/>
      <c r="FL1742" s="827"/>
      <c r="FM1742" s="827"/>
      <c r="FN1742" s="827"/>
      <c r="FO1742" s="827"/>
      <c r="FP1742" s="827"/>
      <c r="FQ1742" s="827"/>
      <c r="FR1742" s="827"/>
      <c r="FS1742" s="827"/>
      <c r="FT1742" s="827"/>
      <c r="FU1742" s="827"/>
      <c r="FV1742" s="827"/>
      <c r="FW1742" s="827"/>
      <c r="FX1742" s="827"/>
      <c r="FY1742" s="827"/>
      <c r="FZ1742" s="827"/>
      <c r="GA1742" s="827"/>
      <c r="GB1742" s="827"/>
      <c r="GC1742" s="827"/>
      <c r="GD1742" s="827"/>
      <c r="GE1742" s="827"/>
      <c r="GF1742" s="827"/>
      <c r="GG1742" s="827"/>
      <c r="GH1742" s="827"/>
      <c r="GI1742" s="827"/>
      <c r="GJ1742" s="827"/>
      <c r="GK1742" s="827"/>
      <c r="GL1742" s="827"/>
      <c r="GM1742" s="827"/>
      <c r="GN1742" s="827"/>
      <c r="GO1742" s="827"/>
      <c r="GP1742" s="827"/>
      <c r="GQ1742" s="827"/>
      <c r="GR1742" s="827"/>
      <c r="GS1742" s="827"/>
      <c r="GT1742" s="827"/>
      <c r="GU1742" s="827"/>
      <c r="GV1742" s="827"/>
      <c r="GW1742" s="827"/>
      <c r="GX1742" s="827"/>
      <c r="GY1742" s="827"/>
      <c r="GZ1742" s="827"/>
      <c r="HA1742" s="827"/>
      <c r="HB1742" s="827"/>
      <c r="HC1742" s="827"/>
      <c r="HD1742" s="827"/>
      <c r="HE1742" s="827"/>
      <c r="HF1742" s="827"/>
      <c r="HG1742" s="827"/>
      <c r="HH1742" s="827"/>
      <c r="HI1742" s="827"/>
      <c r="HJ1742" s="827"/>
      <c r="HK1742" s="827"/>
      <c r="HL1742" s="827"/>
      <c r="HM1742" s="827"/>
      <c r="HN1742" s="827"/>
      <c r="HO1742" s="827"/>
      <c r="HP1742" s="827"/>
      <c r="HQ1742" s="827"/>
      <c r="HR1742" s="827"/>
      <c r="HS1742" s="827"/>
      <c r="HT1742" s="827"/>
      <c r="HU1742" s="827"/>
      <c r="HV1742" s="827"/>
      <c r="HW1742" s="827"/>
      <c r="HX1742" s="827"/>
      <c r="HY1742" s="827"/>
      <c r="HZ1742" s="827"/>
      <c r="IA1742" s="827"/>
      <c r="IB1742" s="827"/>
      <c r="IC1742" s="827"/>
      <c r="ID1742" s="827"/>
      <c r="IE1742" s="827"/>
      <c r="IF1742" s="827"/>
      <c r="IG1742" s="827"/>
      <c r="IH1742" s="827"/>
      <c r="II1742" s="827"/>
      <c r="IJ1742" s="827"/>
      <c r="IK1742" s="827"/>
      <c r="IL1742" s="827"/>
      <c r="IM1742" s="827"/>
      <c r="IN1742" s="827"/>
      <c r="IO1742" s="827"/>
      <c r="IP1742" s="827"/>
      <c r="IQ1742" s="827"/>
      <c r="IR1742" s="827"/>
      <c r="IS1742" s="827"/>
      <c r="IT1742" s="827"/>
      <c r="IU1742" s="827"/>
    </row>
    <row r="1743" spans="1:255" customFormat="1" ht="15" hidden="1">
      <c r="A1743" s="336"/>
      <c r="B1743" s="543"/>
      <c r="C1743" s="335" t="s">
        <v>210</v>
      </c>
      <c r="D1743" s="486"/>
      <c r="E1743" s="863"/>
      <c r="F1743" s="614"/>
      <c r="G1743" s="542"/>
      <c r="H1743" s="389"/>
      <c r="I1743" s="389"/>
      <c r="J1743" s="389"/>
      <c r="K1743" s="389"/>
      <c r="L1743" s="389"/>
      <c r="M1743" s="389"/>
      <c r="N1743" s="811"/>
      <c r="O1743" s="827"/>
      <c r="P1743" s="828"/>
      <c r="Q1743" s="828"/>
      <c r="R1743" s="828"/>
      <c r="S1743" s="828"/>
      <c r="T1743" s="828"/>
      <c r="U1743" s="828"/>
      <c r="V1743" s="828"/>
      <c r="W1743" s="828"/>
      <c r="X1743" s="828"/>
      <c r="Y1743" s="828"/>
      <c r="Z1743" s="828"/>
      <c r="AA1743" s="827"/>
      <c r="AB1743" s="827"/>
      <c r="AC1743" s="827"/>
      <c r="AD1743" s="827"/>
      <c r="AE1743" s="827"/>
      <c r="AF1743" s="827"/>
      <c r="AG1743" s="827"/>
      <c r="AH1743" s="827"/>
      <c r="AI1743" s="827"/>
      <c r="AJ1743" s="827"/>
      <c r="AK1743" s="827"/>
      <c r="AL1743" s="827"/>
      <c r="AM1743" s="827"/>
      <c r="AN1743" s="827"/>
      <c r="AO1743" s="827"/>
      <c r="AP1743" s="827"/>
      <c r="AQ1743" s="827"/>
      <c r="AR1743" s="827"/>
      <c r="AS1743" s="827"/>
      <c r="AT1743" s="827"/>
      <c r="AU1743" s="827"/>
      <c r="AV1743" s="827"/>
      <c r="AW1743" s="827"/>
      <c r="AX1743" s="827"/>
      <c r="AY1743" s="827"/>
      <c r="AZ1743" s="827"/>
      <c r="BA1743" s="827"/>
      <c r="BB1743" s="827"/>
      <c r="BC1743" s="827"/>
      <c r="BD1743" s="827"/>
      <c r="BE1743" s="827"/>
      <c r="BF1743" s="827"/>
      <c r="BG1743" s="827"/>
      <c r="BH1743" s="827"/>
      <c r="BI1743" s="827"/>
      <c r="BJ1743" s="827"/>
      <c r="BK1743" s="827"/>
      <c r="BL1743" s="827"/>
      <c r="BM1743" s="827"/>
      <c r="BN1743" s="827"/>
      <c r="BO1743" s="827"/>
      <c r="BP1743" s="827"/>
      <c r="BQ1743" s="827"/>
      <c r="BR1743" s="827"/>
      <c r="BS1743" s="827"/>
      <c r="BT1743" s="827"/>
      <c r="BU1743" s="827"/>
      <c r="BV1743" s="827"/>
      <c r="BW1743" s="827"/>
      <c r="BX1743" s="827"/>
      <c r="BY1743" s="827"/>
      <c r="BZ1743" s="827"/>
      <c r="CA1743" s="827"/>
      <c r="CB1743" s="827"/>
      <c r="CC1743" s="827"/>
      <c r="CD1743" s="827"/>
      <c r="CE1743" s="827"/>
      <c r="CF1743" s="827"/>
      <c r="CG1743" s="827"/>
      <c r="CH1743" s="827"/>
      <c r="CI1743" s="827"/>
      <c r="CJ1743" s="827"/>
      <c r="CK1743" s="827"/>
      <c r="CL1743" s="827"/>
      <c r="CM1743" s="827"/>
      <c r="CN1743" s="827"/>
      <c r="CO1743" s="827"/>
      <c r="CP1743" s="827"/>
      <c r="CQ1743" s="827"/>
      <c r="CR1743" s="827"/>
      <c r="CS1743" s="827"/>
      <c r="CT1743" s="827"/>
      <c r="CU1743" s="827"/>
      <c r="CV1743" s="827"/>
      <c r="CW1743" s="827"/>
      <c r="CX1743" s="827"/>
      <c r="CY1743" s="827"/>
      <c r="CZ1743" s="827"/>
      <c r="DA1743" s="827"/>
      <c r="DB1743" s="827"/>
      <c r="DC1743" s="827"/>
      <c r="DD1743" s="827"/>
      <c r="DE1743" s="827"/>
      <c r="DF1743" s="827"/>
      <c r="DG1743" s="827"/>
      <c r="DH1743" s="827"/>
      <c r="DI1743" s="827"/>
      <c r="DJ1743" s="827"/>
      <c r="DK1743" s="827"/>
      <c r="DL1743" s="827"/>
      <c r="DM1743" s="827"/>
      <c r="DN1743" s="827"/>
      <c r="DO1743" s="827"/>
      <c r="DP1743" s="827"/>
      <c r="DQ1743" s="827"/>
      <c r="DR1743" s="827"/>
      <c r="DS1743" s="827"/>
      <c r="DT1743" s="827"/>
      <c r="DU1743" s="827"/>
      <c r="DV1743" s="827"/>
      <c r="DW1743" s="827"/>
      <c r="DX1743" s="827"/>
      <c r="DY1743" s="827"/>
      <c r="DZ1743" s="827"/>
      <c r="EA1743" s="827"/>
      <c r="EB1743" s="827"/>
      <c r="EC1743" s="827"/>
      <c r="ED1743" s="827"/>
      <c r="EE1743" s="827"/>
      <c r="EF1743" s="827"/>
      <c r="EG1743" s="827"/>
      <c r="EH1743" s="827"/>
      <c r="EI1743" s="827"/>
      <c r="EJ1743" s="827"/>
      <c r="EK1743" s="827"/>
      <c r="EL1743" s="827"/>
      <c r="EM1743" s="827"/>
      <c r="EN1743" s="827"/>
      <c r="EO1743" s="827"/>
      <c r="EP1743" s="827"/>
      <c r="EQ1743" s="827"/>
      <c r="ER1743" s="827"/>
      <c r="ES1743" s="827"/>
      <c r="ET1743" s="827"/>
      <c r="EU1743" s="827"/>
      <c r="EV1743" s="827"/>
      <c r="EW1743" s="827"/>
      <c r="EX1743" s="827"/>
      <c r="EY1743" s="827"/>
      <c r="EZ1743" s="827"/>
      <c r="FA1743" s="827"/>
      <c r="FB1743" s="827"/>
      <c r="FC1743" s="827"/>
      <c r="FD1743" s="827"/>
      <c r="FE1743" s="827"/>
      <c r="FF1743" s="827"/>
      <c r="FG1743" s="827"/>
      <c r="FH1743" s="827"/>
      <c r="FI1743" s="827"/>
      <c r="FJ1743" s="827"/>
      <c r="FK1743" s="827"/>
      <c r="FL1743" s="827"/>
      <c r="FM1743" s="827"/>
      <c r="FN1743" s="827"/>
      <c r="FO1743" s="827"/>
      <c r="FP1743" s="827"/>
      <c r="FQ1743" s="827"/>
      <c r="FR1743" s="827"/>
      <c r="FS1743" s="827"/>
      <c r="FT1743" s="827"/>
      <c r="FU1743" s="827"/>
      <c r="FV1743" s="827"/>
      <c r="FW1743" s="827"/>
      <c r="FX1743" s="827"/>
      <c r="FY1743" s="827"/>
      <c r="FZ1743" s="827"/>
      <c r="GA1743" s="827"/>
      <c r="GB1743" s="827"/>
      <c r="GC1743" s="827"/>
      <c r="GD1743" s="827"/>
      <c r="GE1743" s="827"/>
      <c r="GF1743" s="827"/>
      <c r="GG1743" s="827"/>
      <c r="GH1743" s="827"/>
      <c r="GI1743" s="827"/>
      <c r="GJ1743" s="827"/>
      <c r="GK1743" s="827"/>
      <c r="GL1743" s="827"/>
      <c r="GM1743" s="827"/>
      <c r="GN1743" s="827"/>
      <c r="GO1743" s="827"/>
      <c r="GP1743" s="827"/>
      <c r="GQ1743" s="827"/>
      <c r="GR1743" s="827"/>
      <c r="GS1743" s="827"/>
      <c r="GT1743" s="827"/>
      <c r="GU1743" s="827"/>
      <c r="GV1743" s="827"/>
      <c r="GW1743" s="827"/>
      <c r="GX1743" s="827"/>
      <c r="GY1743" s="827"/>
      <c r="GZ1743" s="827"/>
      <c r="HA1743" s="827"/>
      <c r="HB1743" s="827"/>
      <c r="HC1743" s="827"/>
      <c r="HD1743" s="827"/>
      <c r="HE1743" s="827"/>
      <c r="HF1743" s="827"/>
      <c r="HG1743" s="827"/>
      <c r="HH1743" s="827"/>
      <c r="HI1743" s="827"/>
      <c r="HJ1743" s="827"/>
      <c r="HK1743" s="827"/>
      <c r="HL1743" s="827"/>
      <c r="HM1743" s="827"/>
      <c r="HN1743" s="827"/>
      <c r="HO1743" s="827"/>
      <c r="HP1743" s="827"/>
      <c r="HQ1743" s="827"/>
      <c r="HR1743" s="827"/>
      <c r="HS1743" s="827"/>
      <c r="HT1743" s="827"/>
      <c r="HU1743" s="827"/>
      <c r="HV1743" s="827"/>
      <c r="HW1743" s="827"/>
      <c r="HX1743" s="827"/>
      <c r="HY1743" s="827"/>
      <c r="HZ1743" s="827"/>
      <c r="IA1743" s="827"/>
      <c r="IB1743" s="827"/>
      <c r="IC1743" s="827"/>
      <c r="ID1743" s="827"/>
      <c r="IE1743" s="827"/>
      <c r="IF1743" s="827"/>
      <c r="IG1743" s="827"/>
      <c r="IH1743" s="827"/>
      <c r="II1743" s="827"/>
      <c r="IJ1743" s="827"/>
      <c r="IK1743" s="827"/>
      <c r="IL1743" s="827"/>
      <c r="IM1743" s="827"/>
      <c r="IN1743" s="827"/>
      <c r="IO1743" s="827"/>
      <c r="IP1743" s="827"/>
      <c r="IQ1743" s="827"/>
      <c r="IR1743" s="827"/>
      <c r="IS1743" s="827"/>
      <c r="IT1743" s="827"/>
      <c r="IU1743" s="827"/>
    </row>
    <row r="1744" spans="1:255" s="359" customFormat="1" hidden="1">
      <c r="A1744" s="336"/>
      <c r="B1744" s="543"/>
      <c r="C1744" s="335" t="s">
        <v>1163</v>
      </c>
      <c r="D1744" s="486" t="s">
        <v>816</v>
      </c>
      <c r="E1744" s="863">
        <v>1</v>
      </c>
      <c r="F1744" s="614">
        <f>F1740*E1744</f>
        <v>0</v>
      </c>
      <c r="G1744" s="389">
        <v>10.199999999999999</v>
      </c>
      <c r="H1744" s="389">
        <f>F1744*G1744</f>
        <v>0</v>
      </c>
      <c r="I1744" s="389"/>
      <c r="J1744" s="389"/>
      <c r="K1744" s="389"/>
      <c r="L1744" s="389"/>
      <c r="M1744" s="389">
        <f>H1744+J1744+L1744</f>
        <v>0</v>
      </c>
      <c r="N1744" s="811"/>
      <c r="O1744" s="827"/>
      <c r="P1744" s="828"/>
      <c r="Q1744" s="828"/>
      <c r="R1744" s="828"/>
      <c r="S1744" s="828"/>
      <c r="T1744" s="828"/>
      <c r="U1744" s="828"/>
      <c r="V1744" s="828"/>
      <c r="W1744" s="828"/>
      <c r="X1744" s="828"/>
      <c r="Y1744" s="828"/>
      <c r="Z1744" s="828"/>
      <c r="AA1744" s="827"/>
      <c r="AB1744" s="827"/>
      <c r="AC1744" s="827"/>
      <c r="AD1744" s="827"/>
      <c r="AE1744" s="827"/>
      <c r="AF1744" s="827"/>
      <c r="AG1744" s="827"/>
      <c r="AH1744" s="827"/>
      <c r="AI1744" s="827"/>
      <c r="AJ1744" s="827"/>
      <c r="AK1744" s="827"/>
      <c r="AL1744" s="827"/>
      <c r="AM1744" s="827"/>
      <c r="AN1744" s="827"/>
      <c r="AO1744" s="827"/>
      <c r="AP1744" s="827"/>
      <c r="AQ1744" s="827"/>
      <c r="AR1744" s="827"/>
      <c r="AS1744" s="827"/>
      <c r="AT1744" s="827"/>
      <c r="AU1744" s="827"/>
      <c r="AV1744" s="827"/>
      <c r="AW1744" s="827"/>
      <c r="AX1744" s="827"/>
      <c r="AY1744" s="827"/>
      <c r="AZ1744" s="827"/>
      <c r="BA1744" s="827"/>
      <c r="BB1744" s="827"/>
      <c r="BC1744" s="827"/>
      <c r="BD1744" s="827"/>
      <c r="BE1744" s="827"/>
      <c r="BF1744" s="827"/>
      <c r="BG1744" s="827"/>
      <c r="BH1744" s="827"/>
      <c r="BI1744" s="827"/>
      <c r="BJ1744" s="827"/>
      <c r="BK1744" s="827"/>
      <c r="BL1744" s="827"/>
      <c r="BM1744" s="827"/>
      <c r="BN1744" s="827"/>
      <c r="BO1744" s="827"/>
      <c r="BP1744" s="827"/>
      <c r="BQ1744" s="827"/>
      <c r="BR1744" s="827"/>
      <c r="BS1744" s="827"/>
      <c r="BT1744" s="827"/>
      <c r="BU1744" s="827"/>
      <c r="BV1744" s="827"/>
      <c r="BW1744" s="827"/>
      <c r="BX1744" s="827"/>
      <c r="BY1744" s="827"/>
      <c r="BZ1744" s="827"/>
      <c r="CA1744" s="827"/>
      <c r="CB1744" s="827"/>
      <c r="CC1744" s="827"/>
      <c r="CD1744" s="827"/>
      <c r="CE1744" s="827"/>
      <c r="CF1744" s="827"/>
      <c r="CG1744" s="827"/>
      <c r="CH1744" s="827"/>
      <c r="CI1744" s="827"/>
      <c r="CJ1744" s="827"/>
      <c r="CK1744" s="827"/>
      <c r="CL1744" s="827"/>
      <c r="CM1744" s="827"/>
      <c r="CN1744" s="827"/>
      <c r="CO1744" s="827"/>
      <c r="CP1744" s="827"/>
      <c r="CQ1744" s="827"/>
      <c r="CR1744" s="827"/>
      <c r="CS1744" s="827"/>
      <c r="CT1744" s="827"/>
      <c r="CU1744" s="827"/>
      <c r="CV1744" s="827"/>
      <c r="CW1744" s="827"/>
      <c r="CX1744" s="827"/>
      <c r="CY1744" s="827"/>
      <c r="CZ1744" s="827"/>
      <c r="DA1744" s="827"/>
      <c r="DB1744" s="827"/>
      <c r="DC1744" s="827"/>
      <c r="DD1744" s="827"/>
      <c r="DE1744" s="827"/>
      <c r="DF1744" s="827"/>
      <c r="DG1744" s="827"/>
      <c r="DH1744" s="827"/>
      <c r="DI1744" s="827"/>
      <c r="DJ1744" s="827"/>
      <c r="DK1744" s="827"/>
      <c r="DL1744" s="827"/>
      <c r="DM1744" s="827"/>
      <c r="DN1744" s="827"/>
      <c r="DO1744" s="827"/>
      <c r="DP1744" s="827"/>
      <c r="DQ1744" s="827"/>
      <c r="DR1744" s="827"/>
      <c r="DS1744" s="827"/>
      <c r="DT1744" s="827"/>
      <c r="DU1744" s="827"/>
      <c r="DV1744" s="827"/>
      <c r="DW1744" s="827"/>
      <c r="DX1744" s="827"/>
      <c r="DY1744" s="827"/>
      <c r="DZ1744" s="827"/>
      <c r="EA1744" s="827"/>
      <c r="EB1744" s="827"/>
      <c r="EC1744" s="827"/>
      <c r="ED1744" s="827"/>
      <c r="EE1744" s="827"/>
      <c r="EF1744" s="827"/>
      <c r="EG1744" s="827"/>
      <c r="EH1744" s="827"/>
      <c r="EI1744" s="827"/>
      <c r="EJ1744" s="827"/>
      <c r="EK1744" s="827"/>
      <c r="EL1744" s="827"/>
      <c r="EM1744" s="827"/>
      <c r="EN1744" s="827"/>
      <c r="EO1744" s="827"/>
      <c r="EP1744" s="827"/>
      <c r="EQ1744" s="827"/>
      <c r="ER1744" s="827"/>
      <c r="ES1744" s="827"/>
      <c r="ET1744" s="827"/>
      <c r="EU1744" s="827"/>
      <c r="EV1744" s="827"/>
      <c r="EW1744" s="827"/>
      <c r="EX1744" s="827"/>
      <c r="EY1744" s="827"/>
      <c r="EZ1744" s="827"/>
      <c r="FA1744" s="827"/>
      <c r="FB1744" s="827"/>
      <c r="FC1744" s="827"/>
      <c r="FD1744" s="827"/>
      <c r="FE1744" s="827"/>
      <c r="FF1744" s="827"/>
      <c r="FG1744" s="827"/>
      <c r="FH1744" s="827"/>
      <c r="FI1744" s="827"/>
      <c r="FJ1744" s="827"/>
      <c r="FK1744" s="827"/>
      <c r="FL1744" s="827"/>
      <c r="FM1744" s="827"/>
      <c r="FN1744" s="827"/>
      <c r="FO1744" s="827"/>
      <c r="FP1744" s="827"/>
      <c r="FQ1744" s="827"/>
      <c r="FR1744" s="827"/>
      <c r="FS1744" s="827"/>
      <c r="FT1744" s="827"/>
      <c r="FU1744" s="827"/>
      <c r="FV1744" s="827"/>
      <c r="FW1744" s="827"/>
      <c r="FX1744" s="827"/>
      <c r="FY1744" s="827"/>
      <c r="FZ1744" s="827"/>
      <c r="GA1744" s="827"/>
      <c r="GB1744" s="827"/>
      <c r="GC1744" s="827"/>
      <c r="GD1744" s="827"/>
      <c r="GE1744" s="827"/>
      <c r="GF1744" s="827"/>
      <c r="GG1744" s="827"/>
      <c r="GH1744" s="827"/>
      <c r="GI1744" s="827"/>
      <c r="GJ1744" s="827"/>
      <c r="GK1744" s="827"/>
      <c r="GL1744" s="827"/>
      <c r="GM1744" s="827"/>
      <c r="GN1744" s="827"/>
      <c r="GO1744" s="827"/>
      <c r="GP1744" s="827"/>
      <c r="GQ1744" s="827"/>
      <c r="GR1744" s="827"/>
      <c r="GS1744" s="827"/>
      <c r="GT1744" s="827"/>
      <c r="GU1744" s="827"/>
      <c r="GV1744" s="827"/>
      <c r="GW1744" s="827"/>
      <c r="GX1744" s="827"/>
      <c r="GY1744" s="827"/>
      <c r="GZ1744" s="827"/>
      <c r="HA1744" s="827"/>
      <c r="HB1744" s="827"/>
      <c r="HC1744" s="827"/>
      <c r="HD1744" s="827"/>
      <c r="HE1744" s="827"/>
      <c r="HF1744" s="827"/>
      <c r="HG1744" s="827"/>
      <c r="HH1744" s="827"/>
      <c r="HI1744" s="827"/>
      <c r="HJ1744" s="827"/>
      <c r="HK1744" s="827"/>
      <c r="HL1744" s="827"/>
      <c r="HM1744" s="827"/>
      <c r="HN1744" s="827"/>
      <c r="HO1744" s="827"/>
      <c r="HP1744" s="827"/>
      <c r="HQ1744" s="827"/>
      <c r="HR1744" s="827"/>
      <c r="HS1744" s="827"/>
      <c r="HT1744" s="827"/>
      <c r="HU1744" s="827"/>
      <c r="HV1744" s="827"/>
      <c r="HW1744" s="827"/>
      <c r="HX1744" s="827"/>
      <c r="HY1744" s="827"/>
      <c r="HZ1744" s="827"/>
      <c r="IA1744" s="827"/>
      <c r="IB1744" s="827"/>
      <c r="IC1744" s="827"/>
      <c r="ID1744" s="827"/>
      <c r="IE1744" s="827"/>
      <c r="IF1744" s="827"/>
      <c r="IG1744" s="827"/>
      <c r="IH1744" s="827"/>
      <c r="II1744" s="827"/>
      <c r="IJ1744" s="827"/>
      <c r="IK1744" s="827"/>
      <c r="IL1744" s="827"/>
      <c r="IM1744" s="827"/>
      <c r="IN1744" s="827"/>
      <c r="IO1744" s="827"/>
      <c r="IP1744" s="827"/>
      <c r="IQ1744" s="827"/>
      <c r="IR1744" s="827"/>
      <c r="IS1744" s="827"/>
      <c r="IT1744" s="827"/>
      <c r="IU1744" s="827"/>
    </row>
    <row r="1745" spans="1:255" s="359" customFormat="1" ht="15" hidden="1" customHeight="1">
      <c r="A1745" s="342"/>
      <c r="B1745" s="556"/>
      <c r="C1745" s="551" t="s">
        <v>214</v>
      </c>
      <c r="D1745" s="552" t="s">
        <v>57</v>
      </c>
      <c r="E1745" s="864">
        <v>7.0000000000000007E-2</v>
      </c>
      <c r="F1745" s="861">
        <f>F1740*E1745</f>
        <v>0</v>
      </c>
      <c r="G1745" s="392">
        <v>3.2</v>
      </c>
      <c r="H1745" s="392">
        <f>F1745*G1745</f>
        <v>0</v>
      </c>
      <c r="I1745" s="392"/>
      <c r="J1745" s="392"/>
      <c r="K1745" s="392"/>
      <c r="L1745" s="392"/>
      <c r="M1745" s="392">
        <f>H1745+J1745+L1745</f>
        <v>0</v>
      </c>
      <c r="N1745" s="811"/>
      <c r="O1745" s="827"/>
      <c r="P1745" s="828"/>
      <c r="Q1745" s="828"/>
      <c r="R1745" s="828"/>
      <c r="S1745" s="828"/>
      <c r="T1745" s="828"/>
      <c r="U1745" s="828"/>
      <c r="V1745" s="828"/>
      <c r="W1745" s="828"/>
      <c r="X1745" s="828"/>
      <c r="Y1745" s="828"/>
      <c r="Z1745" s="828"/>
      <c r="AA1745" s="827"/>
      <c r="AB1745" s="827"/>
      <c r="AC1745" s="827"/>
      <c r="AD1745" s="827"/>
      <c r="AE1745" s="827"/>
      <c r="AF1745" s="827"/>
      <c r="AG1745" s="827"/>
      <c r="AH1745" s="827"/>
      <c r="AI1745" s="827"/>
      <c r="AJ1745" s="827"/>
      <c r="AK1745" s="827"/>
      <c r="AL1745" s="827"/>
      <c r="AM1745" s="827"/>
      <c r="AN1745" s="827"/>
      <c r="AO1745" s="827"/>
      <c r="AP1745" s="827"/>
      <c r="AQ1745" s="827"/>
      <c r="AR1745" s="827"/>
      <c r="AS1745" s="827"/>
      <c r="AT1745" s="827"/>
      <c r="AU1745" s="827"/>
      <c r="AV1745" s="827"/>
      <c r="AW1745" s="827"/>
      <c r="AX1745" s="827"/>
      <c r="AY1745" s="827"/>
      <c r="AZ1745" s="827"/>
      <c r="BA1745" s="827"/>
      <c r="BB1745" s="827"/>
      <c r="BC1745" s="827"/>
      <c r="BD1745" s="827"/>
      <c r="BE1745" s="827"/>
      <c r="BF1745" s="827"/>
      <c r="BG1745" s="827"/>
      <c r="BH1745" s="827"/>
      <c r="BI1745" s="827"/>
      <c r="BJ1745" s="827"/>
      <c r="BK1745" s="827"/>
      <c r="BL1745" s="827"/>
      <c r="BM1745" s="827"/>
      <c r="BN1745" s="827"/>
      <c r="BO1745" s="827"/>
      <c r="BP1745" s="827"/>
      <c r="BQ1745" s="827"/>
      <c r="BR1745" s="827"/>
      <c r="BS1745" s="827"/>
      <c r="BT1745" s="827"/>
      <c r="BU1745" s="827"/>
      <c r="BV1745" s="827"/>
      <c r="BW1745" s="827"/>
      <c r="BX1745" s="827"/>
      <c r="BY1745" s="827"/>
      <c r="BZ1745" s="827"/>
      <c r="CA1745" s="827"/>
      <c r="CB1745" s="827"/>
      <c r="CC1745" s="827"/>
      <c r="CD1745" s="827"/>
      <c r="CE1745" s="827"/>
      <c r="CF1745" s="827"/>
      <c r="CG1745" s="827"/>
      <c r="CH1745" s="827"/>
      <c r="CI1745" s="827"/>
      <c r="CJ1745" s="827"/>
      <c r="CK1745" s="827"/>
      <c r="CL1745" s="827"/>
      <c r="CM1745" s="827"/>
      <c r="CN1745" s="827"/>
      <c r="CO1745" s="827"/>
      <c r="CP1745" s="827"/>
      <c r="CQ1745" s="827"/>
      <c r="CR1745" s="827"/>
      <c r="CS1745" s="827"/>
      <c r="CT1745" s="827"/>
      <c r="CU1745" s="827"/>
      <c r="CV1745" s="827"/>
      <c r="CW1745" s="827"/>
      <c r="CX1745" s="827"/>
      <c r="CY1745" s="827"/>
      <c r="CZ1745" s="827"/>
      <c r="DA1745" s="827"/>
      <c r="DB1745" s="827"/>
      <c r="DC1745" s="827"/>
      <c r="DD1745" s="827"/>
      <c r="DE1745" s="827"/>
      <c r="DF1745" s="827"/>
      <c r="DG1745" s="827"/>
      <c r="DH1745" s="827"/>
      <c r="DI1745" s="827"/>
      <c r="DJ1745" s="827"/>
      <c r="DK1745" s="827"/>
      <c r="DL1745" s="827"/>
      <c r="DM1745" s="827"/>
      <c r="DN1745" s="827"/>
      <c r="DO1745" s="827"/>
      <c r="DP1745" s="827"/>
      <c r="DQ1745" s="827"/>
      <c r="DR1745" s="827"/>
      <c r="DS1745" s="827"/>
      <c r="DT1745" s="827"/>
      <c r="DU1745" s="827"/>
      <c r="DV1745" s="827"/>
      <c r="DW1745" s="827"/>
      <c r="DX1745" s="827"/>
      <c r="DY1745" s="827"/>
      <c r="DZ1745" s="827"/>
      <c r="EA1745" s="827"/>
      <c r="EB1745" s="827"/>
      <c r="EC1745" s="827"/>
      <c r="ED1745" s="827"/>
      <c r="EE1745" s="827"/>
      <c r="EF1745" s="827"/>
      <c r="EG1745" s="827"/>
      <c r="EH1745" s="827"/>
      <c r="EI1745" s="827"/>
      <c r="EJ1745" s="827"/>
      <c r="EK1745" s="827"/>
      <c r="EL1745" s="827"/>
      <c r="EM1745" s="827"/>
      <c r="EN1745" s="827"/>
      <c r="EO1745" s="827"/>
      <c r="EP1745" s="827"/>
      <c r="EQ1745" s="827"/>
      <c r="ER1745" s="827"/>
      <c r="ES1745" s="827"/>
      <c r="ET1745" s="827"/>
      <c r="EU1745" s="827"/>
      <c r="EV1745" s="827"/>
      <c r="EW1745" s="827"/>
      <c r="EX1745" s="827"/>
      <c r="EY1745" s="827"/>
      <c r="EZ1745" s="827"/>
      <c r="FA1745" s="827"/>
      <c r="FB1745" s="827"/>
      <c r="FC1745" s="827"/>
      <c r="FD1745" s="827"/>
      <c r="FE1745" s="827"/>
      <c r="FF1745" s="827"/>
      <c r="FG1745" s="827"/>
      <c r="FH1745" s="827"/>
      <c r="FI1745" s="827"/>
      <c r="FJ1745" s="827"/>
      <c r="FK1745" s="827"/>
      <c r="FL1745" s="827"/>
      <c r="FM1745" s="827"/>
      <c r="FN1745" s="827"/>
      <c r="FO1745" s="827"/>
      <c r="FP1745" s="827"/>
      <c r="FQ1745" s="827"/>
      <c r="FR1745" s="827"/>
      <c r="FS1745" s="827"/>
      <c r="FT1745" s="827"/>
      <c r="FU1745" s="827"/>
      <c r="FV1745" s="827"/>
      <c r="FW1745" s="827"/>
      <c r="FX1745" s="827"/>
      <c r="FY1745" s="827"/>
      <c r="FZ1745" s="827"/>
      <c r="GA1745" s="827"/>
      <c r="GB1745" s="827"/>
      <c r="GC1745" s="827"/>
      <c r="GD1745" s="827"/>
      <c r="GE1745" s="827"/>
      <c r="GF1745" s="827"/>
      <c r="GG1745" s="827"/>
      <c r="GH1745" s="827"/>
      <c r="GI1745" s="827"/>
      <c r="GJ1745" s="827"/>
      <c r="GK1745" s="827"/>
      <c r="GL1745" s="827"/>
      <c r="GM1745" s="827"/>
      <c r="GN1745" s="827"/>
      <c r="GO1745" s="827"/>
      <c r="GP1745" s="827"/>
      <c r="GQ1745" s="827"/>
      <c r="GR1745" s="827"/>
      <c r="GS1745" s="827"/>
      <c r="GT1745" s="827"/>
      <c r="GU1745" s="827"/>
      <c r="GV1745" s="827"/>
      <c r="GW1745" s="827"/>
      <c r="GX1745" s="827"/>
      <c r="GY1745" s="827"/>
      <c r="GZ1745" s="827"/>
      <c r="HA1745" s="827"/>
      <c r="HB1745" s="827"/>
      <c r="HC1745" s="827"/>
      <c r="HD1745" s="827"/>
      <c r="HE1745" s="827"/>
      <c r="HF1745" s="827"/>
      <c r="HG1745" s="827"/>
      <c r="HH1745" s="827"/>
      <c r="HI1745" s="827"/>
      <c r="HJ1745" s="827"/>
      <c r="HK1745" s="827"/>
      <c r="HL1745" s="827"/>
      <c r="HM1745" s="827"/>
      <c r="HN1745" s="827"/>
      <c r="HO1745" s="827"/>
      <c r="HP1745" s="827"/>
      <c r="HQ1745" s="827"/>
      <c r="HR1745" s="827"/>
      <c r="HS1745" s="827"/>
      <c r="HT1745" s="827"/>
      <c r="HU1745" s="827"/>
      <c r="HV1745" s="827"/>
      <c r="HW1745" s="827"/>
      <c r="HX1745" s="827"/>
      <c r="HY1745" s="827"/>
      <c r="HZ1745" s="827"/>
      <c r="IA1745" s="827"/>
      <c r="IB1745" s="827"/>
      <c r="IC1745" s="827"/>
      <c r="ID1745" s="827"/>
      <c r="IE1745" s="827"/>
      <c r="IF1745" s="827"/>
      <c r="IG1745" s="827"/>
      <c r="IH1745" s="827"/>
      <c r="II1745" s="827"/>
      <c r="IJ1745" s="827"/>
      <c r="IK1745" s="827"/>
      <c r="IL1745" s="827"/>
      <c r="IM1745" s="827"/>
      <c r="IN1745" s="827"/>
      <c r="IO1745" s="827"/>
      <c r="IP1745" s="827"/>
      <c r="IQ1745" s="827"/>
      <c r="IR1745" s="827"/>
      <c r="IS1745" s="827"/>
      <c r="IT1745" s="827"/>
      <c r="IU1745" s="827"/>
    </row>
    <row r="1746" spans="1:255" customFormat="1" ht="15.75" hidden="1">
      <c r="A1746" s="336"/>
      <c r="B1746" s="540" t="s">
        <v>1367</v>
      </c>
      <c r="C1746" s="335" t="s">
        <v>1382</v>
      </c>
      <c r="D1746" s="486" t="s">
        <v>816</v>
      </c>
      <c r="E1746" s="863"/>
      <c r="F1746" s="866">
        <f>SUM(F1750:F1751)</f>
        <v>0</v>
      </c>
      <c r="G1746" s="542"/>
      <c r="H1746" s="389"/>
      <c r="I1746" s="389"/>
      <c r="J1746" s="389"/>
      <c r="K1746" s="389"/>
      <c r="L1746" s="389"/>
      <c r="M1746" s="389"/>
      <c r="N1746" s="829"/>
      <c r="O1746" s="827"/>
      <c r="P1746" s="828"/>
      <c r="Q1746" s="828"/>
      <c r="R1746" s="828"/>
      <c r="S1746" s="828"/>
      <c r="T1746" s="828"/>
      <c r="U1746" s="828"/>
      <c r="V1746" s="828"/>
      <c r="W1746" s="828"/>
      <c r="X1746" s="828"/>
      <c r="Y1746" s="828"/>
      <c r="Z1746" s="828"/>
      <c r="AA1746" s="827"/>
      <c r="AB1746" s="827"/>
      <c r="AC1746" s="827"/>
      <c r="AD1746" s="827"/>
      <c r="AE1746" s="827"/>
      <c r="AF1746" s="827"/>
      <c r="AG1746" s="827"/>
      <c r="AH1746" s="827"/>
      <c r="AI1746" s="827"/>
      <c r="AJ1746" s="827"/>
      <c r="AK1746" s="827"/>
      <c r="AL1746" s="827"/>
      <c r="AM1746" s="827"/>
      <c r="AN1746" s="827"/>
      <c r="AO1746" s="827"/>
      <c r="AP1746" s="827"/>
      <c r="AQ1746" s="827"/>
      <c r="AR1746" s="827"/>
      <c r="AS1746" s="827"/>
      <c r="AT1746" s="827"/>
      <c r="AU1746" s="827"/>
      <c r="AV1746" s="827"/>
      <c r="AW1746" s="827"/>
      <c r="AX1746" s="827"/>
      <c r="AY1746" s="827"/>
      <c r="AZ1746" s="827"/>
      <c r="BA1746" s="827"/>
      <c r="BB1746" s="827"/>
      <c r="BC1746" s="827"/>
      <c r="BD1746" s="827"/>
      <c r="BE1746" s="827"/>
      <c r="BF1746" s="827"/>
      <c r="BG1746" s="827"/>
      <c r="BH1746" s="827"/>
      <c r="BI1746" s="827"/>
      <c r="BJ1746" s="827"/>
      <c r="BK1746" s="827"/>
      <c r="BL1746" s="827"/>
      <c r="BM1746" s="827"/>
      <c r="BN1746" s="827"/>
      <c r="BO1746" s="827"/>
      <c r="BP1746" s="827"/>
      <c r="BQ1746" s="827"/>
      <c r="BR1746" s="827"/>
      <c r="BS1746" s="827"/>
      <c r="BT1746" s="827"/>
      <c r="BU1746" s="827"/>
      <c r="BV1746" s="827"/>
      <c r="BW1746" s="827"/>
      <c r="BX1746" s="827"/>
      <c r="BY1746" s="827"/>
      <c r="BZ1746" s="827"/>
      <c r="CA1746" s="827"/>
      <c r="CB1746" s="827"/>
      <c r="CC1746" s="827"/>
      <c r="CD1746" s="827"/>
      <c r="CE1746" s="827"/>
      <c r="CF1746" s="827"/>
      <c r="CG1746" s="827"/>
      <c r="CH1746" s="827"/>
      <c r="CI1746" s="827"/>
      <c r="CJ1746" s="827"/>
      <c r="CK1746" s="827"/>
      <c r="CL1746" s="827"/>
      <c r="CM1746" s="827"/>
      <c r="CN1746" s="827"/>
      <c r="CO1746" s="827"/>
      <c r="CP1746" s="827"/>
      <c r="CQ1746" s="827"/>
      <c r="CR1746" s="827"/>
      <c r="CS1746" s="827"/>
      <c r="CT1746" s="827"/>
      <c r="CU1746" s="827"/>
      <c r="CV1746" s="827"/>
      <c r="CW1746" s="827"/>
      <c r="CX1746" s="827"/>
      <c r="CY1746" s="827"/>
      <c r="CZ1746" s="827"/>
      <c r="DA1746" s="827"/>
      <c r="DB1746" s="827"/>
      <c r="DC1746" s="827"/>
      <c r="DD1746" s="827"/>
      <c r="DE1746" s="827"/>
      <c r="DF1746" s="827"/>
      <c r="DG1746" s="827"/>
      <c r="DH1746" s="827"/>
      <c r="DI1746" s="827"/>
      <c r="DJ1746" s="827"/>
      <c r="DK1746" s="827"/>
      <c r="DL1746" s="827"/>
      <c r="DM1746" s="827"/>
      <c r="DN1746" s="827"/>
      <c r="DO1746" s="827"/>
      <c r="DP1746" s="827"/>
      <c r="DQ1746" s="827"/>
      <c r="DR1746" s="827"/>
      <c r="DS1746" s="827"/>
      <c r="DT1746" s="827"/>
      <c r="DU1746" s="827"/>
      <c r="DV1746" s="827"/>
      <c r="DW1746" s="827"/>
      <c r="DX1746" s="827"/>
      <c r="DY1746" s="827"/>
      <c r="DZ1746" s="827"/>
      <c r="EA1746" s="827"/>
      <c r="EB1746" s="827"/>
      <c r="EC1746" s="827"/>
      <c r="ED1746" s="827"/>
      <c r="EE1746" s="827"/>
      <c r="EF1746" s="827"/>
      <c r="EG1746" s="827"/>
      <c r="EH1746" s="827"/>
      <c r="EI1746" s="827"/>
      <c r="EJ1746" s="827"/>
      <c r="EK1746" s="827"/>
      <c r="EL1746" s="827"/>
      <c r="EM1746" s="827"/>
      <c r="EN1746" s="827"/>
      <c r="EO1746" s="827"/>
      <c r="EP1746" s="827"/>
      <c r="EQ1746" s="827"/>
      <c r="ER1746" s="827"/>
      <c r="ES1746" s="827"/>
      <c r="ET1746" s="827"/>
      <c r="EU1746" s="827"/>
      <c r="EV1746" s="827"/>
      <c r="EW1746" s="827"/>
      <c r="EX1746" s="827"/>
      <c r="EY1746" s="827"/>
      <c r="EZ1746" s="827"/>
      <c r="FA1746" s="827"/>
      <c r="FB1746" s="827"/>
      <c r="FC1746" s="827"/>
      <c r="FD1746" s="827"/>
      <c r="FE1746" s="827"/>
      <c r="FF1746" s="827"/>
      <c r="FG1746" s="827"/>
      <c r="FH1746" s="827"/>
      <c r="FI1746" s="827"/>
      <c r="FJ1746" s="827"/>
      <c r="FK1746" s="827"/>
      <c r="FL1746" s="827"/>
      <c r="FM1746" s="827"/>
      <c r="FN1746" s="827"/>
      <c r="FO1746" s="827"/>
      <c r="FP1746" s="827"/>
      <c r="FQ1746" s="827"/>
      <c r="FR1746" s="827"/>
      <c r="FS1746" s="827"/>
      <c r="FT1746" s="827"/>
      <c r="FU1746" s="827"/>
      <c r="FV1746" s="827"/>
      <c r="FW1746" s="827"/>
      <c r="FX1746" s="827"/>
      <c r="FY1746" s="827"/>
      <c r="FZ1746" s="827"/>
      <c r="GA1746" s="827"/>
      <c r="GB1746" s="827"/>
      <c r="GC1746" s="827"/>
      <c r="GD1746" s="827"/>
      <c r="GE1746" s="827"/>
      <c r="GF1746" s="827"/>
      <c r="GG1746" s="827"/>
      <c r="GH1746" s="827"/>
      <c r="GI1746" s="827"/>
      <c r="GJ1746" s="827"/>
      <c r="GK1746" s="827"/>
      <c r="GL1746" s="827"/>
      <c r="GM1746" s="827"/>
      <c r="GN1746" s="827"/>
      <c r="GO1746" s="827"/>
      <c r="GP1746" s="827"/>
      <c r="GQ1746" s="827"/>
      <c r="GR1746" s="827"/>
      <c r="GS1746" s="827"/>
      <c r="GT1746" s="827"/>
      <c r="GU1746" s="827"/>
      <c r="GV1746" s="827"/>
      <c r="GW1746" s="827"/>
      <c r="GX1746" s="827"/>
      <c r="GY1746" s="827"/>
      <c r="GZ1746" s="827"/>
      <c r="HA1746" s="827"/>
      <c r="HB1746" s="827"/>
      <c r="HC1746" s="827"/>
      <c r="HD1746" s="827"/>
      <c r="HE1746" s="827"/>
      <c r="HF1746" s="827"/>
      <c r="HG1746" s="827"/>
      <c r="HH1746" s="827"/>
      <c r="HI1746" s="827"/>
      <c r="HJ1746" s="827"/>
      <c r="HK1746" s="827"/>
      <c r="HL1746" s="827"/>
      <c r="HM1746" s="827"/>
      <c r="HN1746" s="827"/>
      <c r="HO1746" s="827"/>
      <c r="HP1746" s="827"/>
      <c r="HQ1746" s="827"/>
      <c r="HR1746" s="827"/>
      <c r="HS1746" s="827"/>
      <c r="HT1746" s="827"/>
      <c r="HU1746" s="827"/>
      <c r="HV1746" s="827"/>
      <c r="HW1746" s="827"/>
      <c r="HX1746" s="827"/>
      <c r="HY1746" s="827"/>
      <c r="HZ1746" s="827"/>
      <c r="IA1746" s="827"/>
      <c r="IB1746" s="827"/>
      <c r="IC1746" s="827"/>
      <c r="ID1746" s="827"/>
      <c r="IE1746" s="827"/>
      <c r="IF1746" s="827"/>
      <c r="IG1746" s="827"/>
      <c r="IH1746" s="827"/>
      <c r="II1746" s="827"/>
      <c r="IJ1746" s="827"/>
      <c r="IK1746" s="827"/>
      <c r="IL1746" s="827"/>
      <c r="IM1746" s="827"/>
      <c r="IN1746" s="827"/>
      <c r="IO1746" s="827"/>
      <c r="IP1746" s="827"/>
      <c r="IQ1746" s="827"/>
      <c r="IR1746" s="827"/>
      <c r="IS1746" s="827"/>
      <c r="IT1746" s="827"/>
      <c r="IU1746" s="827"/>
    </row>
    <row r="1747" spans="1:255" customFormat="1" ht="16.5" hidden="1" customHeight="1">
      <c r="A1747" s="336"/>
      <c r="B1747" s="540"/>
      <c r="C1747" s="335" t="s">
        <v>128</v>
      </c>
      <c r="D1747" s="486" t="s">
        <v>80</v>
      </c>
      <c r="E1747" s="614">
        <v>2.29</v>
      </c>
      <c r="F1747" s="389">
        <f>F1746*E1747</f>
        <v>0</v>
      </c>
      <c r="G1747" s="542"/>
      <c r="H1747" s="636"/>
      <c r="I1747" s="389">
        <v>4.5999999999999996</v>
      </c>
      <c r="J1747" s="389">
        <f>F1747*I1747</f>
        <v>0</v>
      </c>
      <c r="K1747" s="389"/>
      <c r="L1747" s="389"/>
      <c r="M1747" s="389">
        <f>H1747+J1747+L1747</f>
        <v>0</v>
      </c>
      <c r="N1747" s="830"/>
      <c r="O1747" s="827"/>
      <c r="P1747" s="828"/>
      <c r="Q1747" s="828"/>
      <c r="R1747" s="828"/>
      <c r="S1747" s="828"/>
      <c r="T1747" s="828"/>
      <c r="U1747" s="828"/>
      <c r="V1747" s="828"/>
      <c r="W1747" s="828"/>
      <c r="X1747" s="828"/>
      <c r="Y1747" s="828"/>
      <c r="Z1747" s="828"/>
      <c r="AA1747" s="827"/>
      <c r="AB1747" s="827"/>
      <c r="AC1747" s="827"/>
      <c r="AD1747" s="827"/>
      <c r="AE1747" s="827"/>
      <c r="AF1747" s="827"/>
      <c r="AG1747" s="827"/>
      <c r="AH1747" s="827"/>
      <c r="AI1747" s="827"/>
      <c r="AJ1747" s="827"/>
      <c r="AK1747" s="827"/>
      <c r="AL1747" s="827"/>
      <c r="AM1747" s="827"/>
      <c r="AN1747" s="827"/>
      <c r="AO1747" s="827"/>
      <c r="AP1747" s="827"/>
      <c r="AQ1747" s="827"/>
      <c r="AR1747" s="827"/>
      <c r="AS1747" s="827"/>
      <c r="AT1747" s="827"/>
      <c r="AU1747" s="827"/>
      <c r="AV1747" s="827"/>
      <c r="AW1747" s="827"/>
      <c r="AX1747" s="827"/>
      <c r="AY1747" s="827"/>
      <c r="AZ1747" s="827"/>
      <c r="BA1747" s="827"/>
      <c r="BB1747" s="827"/>
      <c r="BC1747" s="827"/>
      <c r="BD1747" s="827"/>
      <c r="BE1747" s="827"/>
      <c r="BF1747" s="827"/>
      <c r="BG1747" s="827"/>
      <c r="BH1747" s="827"/>
      <c r="BI1747" s="827"/>
      <c r="BJ1747" s="827"/>
      <c r="BK1747" s="827"/>
      <c r="BL1747" s="827"/>
      <c r="BM1747" s="827"/>
      <c r="BN1747" s="827"/>
      <c r="BO1747" s="827"/>
      <c r="BP1747" s="827"/>
      <c r="BQ1747" s="827"/>
      <c r="BR1747" s="827"/>
      <c r="BS1747" s="827"/>
      <c r="BT1747" s="827"/>
      <c r="BU1747" s="827"/>
      <c r="BV1747" s="827"/>
      <c r="BW1747" s="827"/>
      <c r="BX1747" s="827"/>
      <c r="BY1747" s="827"/>
      <c r="BZ1747" s="827"/>
      <c r="CA1747" s="827"/>
      <c r="CB1747" s="827"/>
      <c r="CC1747" s="827"/>
      <c r="CD1747" s="827"/>
      <c r="CE1747" s="827"/>
      <c r="CF1747" s="827"/>
      <c r="CG1747" s="827"/>
      <c r="CH1747" s="827"/>
      <c r="CI1747" s="827"/>
      <c r="CJ1747" s="827"/>
      <c r="CK1747" s="827"/>
      <c r="CL1747" s="827"/>
      <c r="CM1747" s="827"/>
      <c r="CN1747" s="827"/>
      <c r="CO1747" s="827"/>
      <c r="CP1747" s="827"/>
      <c r="CQ1747" s="827"/>
      <c r="CR1747" s="827"/>
      <c r="CS1747" s="827"/>
      <c r="CT1747" s="827"/>
      <c r="CU1747" s="827"/>
      <c r="CV1747" s="827"/>
      <c r="CW1747" s="827"/>
      <c r="CX1747" s="827"/>
      <c r="CY1747" s="827"/>
      <c r="CZ1747" s="827"/>
      <c r="DA1747" s="827"/>
      <c r="DB1747" s="827"/>
      <c r="DC1747" s="827"/>
      <c r="DD1747" s="827"/>
      <c r="DE1747" s="827"/>
      <c r="DF1747" s="827"/>
      <c r="DG1747" s="827"/>
      <c r="DH1747" s="827"/>
      <c r="DI1747" s="827"/>
      <c r="DJ1747" s="827"/>
      <c r="DK1747" s="827"/>
      <c r="DL1747" s="827"/>
      <c r="DM1747" s="827"/>
      <c r="DN1747" s="827"/>
      <c r="DO1747" s="827"/>
      <c r="DP1747" s="827"/>
      <c r="DQ1747" s="827"/>
      <c r="DR1747" s="827"/>
      <c r="DS1747" s="827"/>
      <c r="DT1747" s="827"/>
      <c r="DU1747" s="827"/>
      <c r="DV1747" s="827"/>
      <c r="DW1747" s="827"/>
      <c r="DX1747" s="827"/>
      <c r="DY1747" s="827"/>
      <c r="DZ1747" s="827"/>
      <c r="EA1747" s="827"/>
      <c r="EB1747" s="827"/>
      <c r="EC1747" s="827"/>
      <c r="ED1747" s="827"/>
      <c r="EE1747" s="827"/>
      <c r="EF1747" s="827"/>
      <c r="EG1747" s="827"/>
      <c r="EH1747" s="827"/>
      <c r="EI1747" s="827"/>
      <c r="EJ1747" s="827"/>
      <c r="EK1747" s="827"/>
      <c r="EL1747" s="827"/>
      <c r="EM1747" s="827"/>
      <c r="EN1747" s="827"/>
      <c r="EO1747" s="827"/>
      <c r="EP1747" s="827"/>
      <c r="EQ1747" s="827"/>
      <c r="ER1747" s="827"/>
      <c r="ES1747" s="827"/>
      <c r="ET1747" s="827"/>
      <c r="EU1747" s="827"/>
      <c r="EV1747" s="827"/>
      <c r="EW1747" s="827"/>
      <c r="EX1747" s="827"/>
      <c r="EY1747" s="827"/>
      <c r="EZ1747" s="827"/>
      <c r="FA1747" s="827"/>
      <c r="FB1747" s="827"/>
      <c r="FC1747" s="827"/>
      <c r="FD1747" s="827"/>
      <c r="FE1747" s="827"/>
      <c r="FF1747" s="827"/>
      <c r="FG1747" s="827"/>
      <c r="FH1747" s="827"/>
      <c r="FI1747" s="827"/>
      <c r="FJ1747" s="827"/>
      <c r="FK1747" s="827"/>
      <c r="FL1747" s="827"/>
      <c r="FM1747" s="827"/>
      <c r="FN1747" s="827"/>
      <c r="FO1747" s="827"/>
      <c r="FP1747" s="827"/>
      <c r="FQ1747" s="827"/>
      <c r="FR1747" s="827"/>
      <c r="FS1747" s="827"/>
      <c r="FT1747" s="827"/>
      <c r="FU1747" s="827"/>
      <c r="FV1747" s="827"/>
      <c r="FW1747" s="827"/>
      <c r="FX1747" s="827"/>
      <c r="FY1747" s="827"/>
      <c r="FZ1747" s="827"/>
      <c r="GA1747" s="827"/>
      <c r="GB1747" s="827"/>
      <c r="GC1747" s="827"/>
      <c r="GD1747" s="827"/>
      <c r="GE1747" s="827"/>
      <c r="GF1747" s="827"/>
      <c r="GG1747" s="827"/>
      <c r="GH1747" s="827"/>
      <c r="GI1747" s="827"/>
      <c r="GJ1747" s="827"/>
      <c r="GK1747" s="827"/>
      <c r="GL1747" s="827"/>
      <c r="GM1747" s="827"/>
      <c r="GN1747" s="827"/>
      <c r="GO1747" s="827"/>
      <c r="GP1747" s="827"/>
      <c r="GQ1747" s="827"/>
      <c r="GR1747" s="827"/>
      <c r="GS1747" s="827"/>
      <c r="GT1747" s="827"/>
      <c r="GU1747" s="827"/>
      <c r="GV1747" s="827"/>
      <c r="GW1747" s="827"/>
      <c r="GX1747" s="827"/>
      <c r="GY1747" s="827"/>
      <c r="GZ1747" s="827"/>
      <c r="HA1747" s="827"/>
      <c r="HB1747" s="827"/>
      <c r="HC1747" s="827"/>
      <c r="HD1747" s="827"/>
      <c r="HE1747" s="827"/>
      <c r="HF1747" s="827"/>
      <c r="HG1747" s="827"/>
      <c r="HH1747" s="827"/>
      <c r="HI1747" s="827"/>
      <c r="HJ1747" s="827"/>
      <c r="HK1747" s="827"/>
      <c r="HL1747" s="827"/>
      <c r="HM1747" s="827"/>
      <c r="HN1747" s="827"/>
      <c r="HO1747" s="827"/>
      <c r="HP1747" s="827"/>
      <c r="HQ1747" s="827"/>
      <c r="HR1747" s="827"/>
      <c r="HS1747" s="827"/>
      <c r="HT1747" s="827"/>
      <c r="HU1747" s="827"/>
      <c r="HV1747" s="827"/>
      <c r="HW1747" s="827"/>
      <c r="HX1747" s="827"/>
      <c r="HY1747" s="827"/>
      <c r="HZ1747" s="827"/>
      <c r="IA1747" s="827"/>
      <c r="IB1747" s="827"/>
      <c r="IC1747" s="827"/>
      <c r="ID1747" s="827"/>
      <c r="IE1747" s="827"/>
      <c r="IF1747" s="827"/>
      <c r="IG1747" s="827"/>
      <c r="IH1747" s="827"/>
      <c r="II1747" s="827"/>
      <c r="IJ1747" s="827"/>
      <c r="IK1747" s="827"/>
      <c r="IL1747" s="827"/>
      <c r="IM1747" s="827"/>
      <c r="IN1747" s="827"/>
      <c r="IO1747" s="827"/>
      <c r="IP1747" s="827"/>
      <c r="IQ1747" s="827"/>
      <c r="IR1747" s="827"/>
      <c r="IS1747" s="827"/>
      <c r="IT1747" s="827"/>
      <c r="IU1747" s="827"/>
    </row>
    <row r="1748" spans="1:255" customFormat="1" ht="15" hidden="1">
      <c r="A1748" s="336"/>
      <c r="B1748" s="543"/>
      <c r="C1748" s="335" t="s">
        <v>133</v>
      </c>
      <c r="D1748" s="336" t="s">
        <v>57</v>
      </c>
      <c r="E1748" s="863">
        <v>0.09</v>
      </c>
      <c r="F1748" s="389">
        <f>F1746*E1748</f>
        <v>0</v>
      </c>
      <c r="G1748" s="542"/>
      <c r="H1748" s="389"/>
      <c r="I1748" s="389"/>
      <c r="J1748" s="389"/>
      <c r="K1748" s="389">
        <v>3.2</v>
      </c>
      <c r="L1748" s="389">
        <f>F1748*K1748</f>
        <v>0</v>
      </c>
      <c r="M1748" s="389">
        <f>H1748+J1748+L1748</f>
        <v>0</v>
      </c>
      <c r="N1748" s="830"/>
      <c r="O1748" s="827"/>
      <c r="P1748" s="828"/>
      <c r="Q1748" s="828"/>
      <c r="R1748" s="828"/>
      <c r="S1748" s="828"/>
      <c r="T1748" s="828"/>
      <c r="U1748" s="828"/>
      <c r="V1748" s="828"/>
      <c r="W1748" s="828"/>
      <c r="X1748" s="828"/>
      <c r="Y1748" s="828"/>
      <c r="Z1748" s="828"/>
      <c r="AA1748" s="827"/>
      <c r="AB1748" s="827"/>
      <c r="AC1748" s="827"/>
      <c r="AD1748" s="827"/>
      <c r="AE1748" s="827"/>
      <c r="AF1748" s="827"/>
      <c r="AG1748" s="827"/>
      <c r="AH1748" s="827"/>
      <c r="AI1748" s="827"/>
      <c r="AJ1748" s="827"/>
      <c r="AK1748" s="827"/>
      <c r="AL1748" s="827"/>
      <c r="AM1748" s="827"/>
      <c r="AN1748" s="827"/>
      <c r="AO1748" s="827"/>
      <c r="AP1748" s="827"/>
      <c r="AQ1748" s="827"/>
      <c r="AR1748" s="827"/>
      <c r="AS1748" s="827"/>
      <c r="AT1748" s="827"/>
      <c r="AU1748" s="827"/>
      <c r="AV1748" s="827"/>
      <c r="AW1748" s="827"/>
      <c r="AX1748" s="827"/>
      <c r="AY1748" s="827"/>
      <c r="AZ1748" s="827"/>
      <c r="BA1748" s="827"/>
      <c r="BB1748" s="827"/>
      <c r="BC1748" s="827"/>
      <c r="BD1748" s="827"/>
      <c r="BE1748" s="827"/>
      <c r="BF1748" s="827"/>
      <c r="BG1748" s="827"/>
      <c r="BH1748" s="827"/>
      <c r="BI1748" s="827"/>
      <c r="BJ1748" s="827"/>
      <c r="BK1748" s="827"/>
      <c r="BL1748" s="827"/>
      <c r="BM1748" s="827"/>
      <c r="BN1748" s="827"/>
      <c r="BO1748" s="827"/>
      <c r="BP1748" s="827"/>
      <c r="BQ1748" s="827"/>
      <c r="BR1748" s="827"/>
      <c r="BS1748" s="827"/>
      <c r="BT1748" s="827"/>
      <c r="BU1748" s="827"/>
      <c r="BV1748" s="827"/>
      <c r="BW1748" s="827"/>
      <c r="BX1748" s="827"/>
      <c r="BY1748" s="827"/>
      <c r="BZ1748" s="827"/>
      <c r="CA1748" s="827"/>
      <c r="CB1748" s="827"/>
      <c r="CC1748" s="827"/>
      <c r="CD1748" s="827"/>
      <c r="CE1748" s="827"/>
      <c r="CF1748" s="827"/>
      <c r="CG1748" s="827"/>
      <c r="CH1748" s="827"/>
      <c r="CI1748" s="827"/>
      <c r="CJ1748" s="827"/>
      <c r="CK1748" s="827"/>
      <c r="CL1748" s="827"/>
      <c r="CM1748" s="827"/>
      <c r="CN1748" s="827"/>
      <c r="CO1748" s="827"/>
      <c r="CP1748" s="827"/>
      <c r="CQ1748" s="827"/>
      <c r="CR1748" s="827"/>
      <c r="CS1748" s="827"/>
      <c r="CT1748" s="827"/>
      <c r="CU1748" s="827"/>
      <c r="CV1748" s="827"/>
      <c r="CW1748" s="827"/>
      <c r="CX1748" s="827"/>
      <c r="CY1748" s="827"/>
      <c r="CZ1748" s="827"/>
      <c r="DA1748" s="827"/>
      <c r="DB1748" s="827"/>
      <c r="DC1748" s="827"/>
      <c r="DD1748" s="827"/>
      <c r="DE1748" s="827"/>
      <c r="DF1748" s="827"/>
      <c r="DG1748" s="827"/>
      <c r="DH1748" s="827"/>
      <c r="DI1748" s="827"/>
      <c r="DJ1748" s="827"/>
      <c r="DK1748" s="827"/>
      <c r="DL1748" s="827"/>
      <c r="DM1748" s="827"/>
      <c r="DN1748" s="827"/>
      <c r="DO1748" s="827"/>
      <c r="DP1748" s="827"/>
      <c r="DQ1748" s="827"/>
      <c r="DR1748" s="827"/>
      <c r="DS1748" s="827"/>
      <c r="DT1748" s="827"/>
      <c r="DU1748" s="827"/>
      <c r="DV1748" s="827"/>
      <c r="DW1748" s="827"/>
      <c r="DX1748" s="827"/>
      <c r="DY1748" s="827"/>
      <c r="DZ1748" s="827"/>
      <c r="EA1748" s="827"/>
      <c r="EB1748" s="827"/>
      <c r="EC1748" s="827"/>
      <c r="ED1748" s="827"/>
      <c r="EE1748" s="827"/>
      <c r="EF1748" s="827"/>
      <c r="EG1748" s="827"/>
      <c r="EH1748" s="827"/>
      <c r="EI1748" s="827"/>
      <c r="EJ1748" s="827"/>
      <c r="EK1748" s="827"/>
      <c r="EL1748" s="827"/>
      <c r="EM1748" s="827"/>
      <c r="EN1748" s="827"/>
      <c r="EO1748" s="827"/>
      <c r="EP1748" s="827"/>
      <c r="EQ1748" s="827"/>
      <c r="ER1748" s="827"/>
      <c r="ES1748" s="827"/>
      <c r="ET1748" s="827"/>
      <c r="EU1748" s="827"/>
      <c r="EV1748" s="827"/>
      <c r="EW1748" s="827"/>
      <c r="EX1748" s="827"/>
      <c r="EY1748" s="827"/>
      <c r="EZ1748" s="827"/>
      <c r="FA1748" s="827"/>
      <c r="FB1748" s="827"/>
      <c r="FC1748" s="827"/>
      <c r="FD1748" s="827"/>
      <c r="FE1748" s="827"/>
      <c r="FF1748" s="827"/>
      <c r="FG1748" s="827"/>
      <c r="FH1748" s="827"/>
      <c r="FI1748" s="827"/>
      <c r="FJ1748" s="827"/>
      <c r="FK1748" s="827"/>
      <c r="FL1748" s="827"/>
      <c r="FM1748" s="827"/>
      <c r="FN1748" s="827"/>
      <c r="FO1748" s="827"/>
      <c r="FP1748" s="827"/>
      <c r="FQ1748" s="827"/>
      <c r="FR1748" s="827"/>
      <c r="FS1748" s="827"/>
      <c r="FT1748" s="827"/>
      <c r="FU1748" s="827"/>
      <c r="FV1748" s="827"/>
      <c r="FW1748" s="827"/>
      <c r="FX1748" s="827"/>
      <c r="FY1748" s="827"/>
      <c r="FZ1748" s="827"/>
      <c r="GA1748" s="827"/>
      <c r="GB1748" s="827"/>
      <c r="GC1748" s="827"/>
      <c r="GD1748" s="827"/>
      <c r="GE1748" s="827"/>
      <c r="GF1748" s="827"/>
      <c r="GG1748" s="827"/>
      <c r="GH1748" s="827"/>
      <c r="GI1748" s="827"/>
      <c r="GJ1748" s="827"/>
      <c r="GK1748" s="827"/>
      <c r="GL1748" s="827"/>
      <c r="GM1748" s="827"/>
      <c r="GN1748" s="827"/>
      <c r="GO1748" s="827"/>
      <c r="GP1748" s="827"/>
      <c r="GQ1748" s="827"/>
      <c r="GR1748" s="827"/>
      <c r="GS1748" s="827"/>
      <c r="GT1748" s="827"/>
      <c r="GU1748" s="827"/>
      <c r="GV1748" s="827"/>
      <c r="GW1748" s="827"/>
      <c r="GX1748" s="827"/>
      <c r="GY1748" s="827"/>
      <c r="GZ1748" s="827"/>
      <c r="HA1748" s="827"/>
      <c r="HB1748" s="827"/>
      <c r="HC1748" s="827"/>
      <c r="HD1748" s="827"/>
      <c r="HE1748" s="827"/>
      <c r="HF1748" s="827"/>
      <c r="HG1748" s="827"/>
      <c r="HH1748" s="827"/>
      <c r="HI1748" s="827"/>
      <c r="HJ1748" s="827"/>
      <c r="HK1748" s="827"/>
      <c r="HL1748" s="827"/>
      <c r="HM1748" s="827"/>
      <c r="HN1748" s="827"/>
      <c r="HO1748" s="827"/>
      <c r="HP1748" s="827"/>
      <c r="HQ1748" s="827"/>
      <c r="HR1748" s="827"/>
      <c r="HS1748" s="827"/>
      <c r="HT1748" s="827"/>
      <c r="HU1748" s="827"/>
      <c r="HV1748" s="827"/>
      <c r="HW1748" s="827"/>
      <c r="HX1748" s="827"/>
      <c r="HY1748" s="827"/>
      <c r="HZ1748" s="827"/>
      <c r="IA1748" s="827"/>
      <c r="IB1748" s="827"/>
      <c r="IC1748" s="827"/>
      <c r="ID1748" s="827"/>
      <c r="IE1748" s="827"/>
      <c r="IF1748" s="827"/>
      <c r="IG1748" s="827"/>
      <c r="IH1748" s="827"/>
      <c r="II1748" s="827"/>
      <c r="IJ1748" s="827"/>
      <c r="IK1748" s="827"/>
      <c r="IL1748" s="827"/>
      <c r="IM1748" s="827"/>
      <c r="IN1748" s="827"/>
      <c r="IO1748" s="827"/>
      <c r="IP1748" s="827"/>
      <c r="IQ1748" s="827"/>
      <c r="IR1748" s="827"/>
      <c r="IS1748" s="827"/>
      <c r="IT1748" s="827"/>
      <c r="IU1748" s="827"/>
    </row>
    <row r="1749" spans="1:255" customFormat="1" ht="15" hidden="1">
      <c r="A1749" s="336"/>
      <c r="B1749" s="543"/>
      <c r="C1749" s="335" t="s">
        <v>210</v>
      </c>
      <c r="D1749" s="486"/>
      <c r="E1749" s="863"/>
      <c r="F1749" s="389"/>
      <c r="G1749" s="542"/>
      <c r="H1749" s="389"/>
      <c r="I1749" s="389"/>
      <c r="J1749" s="389"/>
      <c r="K1749" s="389"/>
      <c r="L1749" s="389"/>
      <c r="M1749" s="389"/>
      <c r="N1749" s="830"/>
      <c r="O1749" s="827"/>
      <c r="P1749" s="828"/>
      <c r="Q1749" s="828"/>
      <c r="R1749" s="828"/>
      <c r="S1749" s="828"/>
      <c r="T1749" s="828"/>
      <c r="U1749" s="828"/>
      <c r="V1749" s="828"/>
      <c r="W1749" s="828"/>
      <c r="X1749" s="828"/>
      <c r="Y1749" s="828"/>
      <c r="Z1749" s="828"/>
      <c r="AA1749" s="827"/>
      <c r="AB1749" s="827"/>
      <c r="AC1749" s="827"/>
      <c r="AD1749" s="827"/>
      <c r="AE1749" s="827"/>
      <c r="AF1749" s="827"/>
      <c r="AG1749" s="827"/>
      <c r="AH1749" s="827"/>
      <c r="AI1749" s="827"/>
      <c r="AJ1749" s="827"/>
      <c r="AK1749" s="827"/>
      <c r="AL1749" s="827"/>
      <c r="AM1749" s="827"/>
      <c r="AN1749" s="827"/>
      <c r="AO1749" s="827"/>
      <c r="AP1749" s="827"/>
      <c r="AQ1749" s="827"/>
      <c r="AR1749" s="827"/>
      <c r="AS1749" s="827"/>
      <c r="AT1749" s="827"/>
      <c r="AU1749" s="827"/>
      <c r="AV1749" s="827"/>
      <c r="AW1749" s="827"/>
      <c r="AX1749" s="827"/>
      <c r="AY1749" s="827"/>
      <c r="AZ1749" s="827"/>
      <c r="BA1749" s="827"/>
      <c r="BB1749" s="827"/>
      <c r="BC1749" s="827"/>
      <c r="BD1749" s="827"/>
      <c r="BE1749" s="827"/>
      <c r="BF1749" s="827"/>
      <c r="BG1749" s="827"/>
      <c r="BH1749" s="827"/>
      <c r="BI1749" s="827"/>
      <c r="BJ1749" s="827"/>
      <c r="BK1749" s="827"/>
      <c r="BL1749" s="827"/>
      <c r="BM1749" s="827"/>
      <c r="BN1749" s="827"/>
      <c r="BO1749" s="827"/>
      <c r="BP1749" s="827"/>
      <c r="BQ1749" s="827"/>
      <c r="BR1749" s="827"/>
      <c r="BS1749" s="827"/>
      <c r="BT1749" s="827"/>
      <c r="BU1749" s="827"/>
      <c r="BV1749" s="827"/>
      <c r="BW1749" s="827"/>
      <c r="BX1749" s="827"/>
      <c r="BY1749" s="827"/>
      <c r="BZ1749" s="827"/>
      <c r="CA1749" s="827"/>
      <c r="CB1749" s="827"/>
      <c r="CC1749" s="827"/>
      <c r="CD1749" s="827"/>
      <c r="CE1749" s="827"/>
      <c r="CF1749" s="827"/>
      <c r="CG1749" s="827"/>
      <c r="CH1749" s="827"/>
      <c r="CI1749" s="827"/>
      <c r="CJ1749" s="827"/>
      <c r="CK1749" s="827"/>
      <c r="CL1749" s="827"/>
      <c r="CM1749" s="827"/>
      <c r="CN1749" s="827"/>
      <c r="CO1749" s="827"/>
      <c r="CP1749" s="827"/>
      <c r="CQ1749" s="827"/>
      <c r="CR1749" s="827"/>
      <c r="CS1749" s="827"/>
      <c r="CT1749" s="827"/>
      <c r="CU1749" s="827"/>
      <c r="CV1749" s="827"/>
      <c r="CW1749" s="827"/>
      <c r="CX1749" s="827"/>
      <c r="CY1749" s="827"/>
      <c r="CZ1749" s="827"/>
      <c r="DA1749" s="827"/>
      <c r="DB1749" s="827"/>
      <c r="DC1749" s="827"/>
      <c r="DD1749" s="827"/>
      <c r="DE1749" s="827"/>
      <c r="DF1749" s="827"/>
      <c r="DG1749" s="827"/>
      <c r="DH1749" s="827"/>
      <c r="DI1749" s="827"/>
      <c r="DJ1749" s="827"/>
      <c r="DK1749" s="827"/>
      <c r="DL1749" s="827"/>
      <c r="DM1749" s="827"/>
      <c r="DN1749" s="827"/>
      <c r="DO1749" s="827"/>
      <c r="DP1749" s="827"/>
      <c r="DQ1749" s="827"/>
      <c r="DR1749" s="827"/>
      <c r="DS1749" s="827"/>
      <c r="DT1749" s="827"/>
      <c r="DU1749" s="827"/>
      <c r="DV1749" s="827"/>
      <c r="DW1749" s="827"/>
      <c r="DX1749" s="827"/>
      <c r="DY1749" s="827"/>
      <c r="DZ1749" s="827"/>
      <c r="EA1749" s="827"/>
      <c r="EB1749" s="827"/>
      <c r="EC1749" s="827"/>
      <c r="ED1749" s="827"/>
      <c r="EE1749" s="827"/>
      <c r="EF1749" s="827"/>
      <c r="EG1749" s="827"/>
      <c r="EH1749" s="827"/>
      <c r="EI1749" s="827"/>
      <c r="EJ1749" s="827"/>
      <c r="EK1749" s="827"/>
      <c r="EL1749" s="827"/>
      <c r="EM1749" s="827"/>
      <c r="EN1749" s="827"/>
      <c r="EO1749" s="827"/>
      <c r="EP1749" s="827"/>
      <c r="EQ1749" s="827"/>
      <c r="ER1749" s="827"/>
      <c r="ES1749" s="827"/>
      <c r="ET1749" s="827"/>
      <c r="EU1749" s="827"/>
      <c r="EV1749" s="827"/>
      <c r="EW1749" s="827"/>
      <c r="EX1749" s="827"/>
      <c r="EY1749" s="827"/>
      <c r="EZ1749" s="827"/>
      <c r="FA1749" s="827"/>
      <c r="FB1749" s="827"/>
      <c r="FC1749" s="827"/>
      <c r="FD1749" s="827"/>
      <c r="FE1749" s="827"/>
      <c r="FF1749" s="827"/>
      <c r="FG1749" s="827"/>
      <c r="FH1749" s="827"/>
      <c r="FI1749" s="827"/>
      <c r="FJ1749" s="827"/>
      <c r="FK1749" s="827"/>
      <c r="FL1749" s="827"/>
      <c r="FM1749" s="827"/>
      <c r="FN1749" s="827"/>
      <c r="FO1749" s="827"/>
      <c r="FP1749" s="827"/>
      <c r="FQ1749" s="827"/>
      <c r="FR1749" s="827"/>
      <c r="FS1749" s="827"/>
      <c r="FT1749" s="827"/>
      <c r="FU1749" s="827"/>
      <c r="FV1749" s="827"/>
      <c r="FW1749" s="827"/>
      <c r="FX1749" s="827"/>
      <c r="FY1749" s="827"/>
      <c r="FZ1749" s="827"/>
      <c r="GA1749" s="827"/>
      <c r="GB1749" s="827"/>
      <c r="GC1749" s="827"/>
      <c r="GD1749" s="827"/>
      <c r="GE1749" s="827"/>
      <c r="GF1749" s="827"/>
      <c r="GG1749" s="827"/>
      <c r="GH1749" s="827"/>
      <c r="GI1749" s="827"/>
      <c r="GJ1749" s="827"/>
      <c r="GK1749" s="827"/>
      <c r="GL1749" s="827"/>
      <c r="GM1749" s="827"/>
      <c r="GN1749" s="827"/>
      <c r="GO1749" s="827"/>
      <c r="GP1749" s="827"/>
      <c r="GQ1749" s="827"/>
      <c r="GR1749" s="827"/>
      <c r="GS1749" s="827"/>
      <c r="GT1749" s="827"/>
      <c r="GU1749" s="827"/>
      <c r="GV1749" s="827"/>
      <c r="GW1749" s="827"/>
      <c r="GX1749" s="827"/>
      <c r="GY1749" s="827"/>
      <c r="GZ1749" s="827"/>
      <c r="HA1749" s="827"/>
      <c r="HB1749" s="827"/>
      <c r="HC1749" s="827"/>
      <c r="HD1749" s="827"/>
      <c r="HE1749" s="827"/>
      <c r="HF1749" s="827"/>
      <c r="HG1749" s="827"/>
      <c r="HH1749" s="827"/>
      <c r="HI1749" s="827"/>
      <c r="HJ1749" s="827"/>
      <c r="HK1749" s="827"/>
      <c r="HL1749" s="827"/>
      <c r="HM1749" s="827"/>
      <c r="HN1749" s="827"/>
      <c r="HO1749" s="827"/>
      <c r="HP1749" s="827"/>
      <c r="HQ1749" s="827"/>
      <c r="HR1749" s="827"/>
      <c r="HS1749" s="827"/>
      <c r="HT1749" s="827"/>
      <c r="HU1749" s="827"/>
      <c r="HV1749" s="827"/>
      <c r="HW1749" s="827"/>
      <c r="HX1749" s="827"/>
      <c r="HY1749" s="827"/>
      <c r="HZ1749" s="827"/>
      <c r="IA1749" s="827"/>
      <c r="IB1749" s="827"/>
      <c r="IC1749" s="827"/>
      <c r="ID1749" s="827"/>
      <c r="IE1749" s="827"/>
      <c r="IF1749" s="827"/>
      <c r="IG1749" s="827"/>
      <c r="IH1749" s="827"/>
      <c r="II1749" s="827"/>
      <c r="IJ1749" s="827"/>
      <c r="IK1749" s="827"/>
      <c r="IL1749" s="827"/>
      <c r="IM1749" s="827"/>
      <c r="IN1749" s="827"/>
      <c r="IO1749" s="827"/>
      <c r="IP1749" s="827"/>
      <c r="IQ1749" s="827"/>
      <c r="IR1749" s="827"/>
      <c r="IS1749" s="827"/>
      <c r="IT1749" s="827"/>
      <c r="IU1749" s="827"/>
    </row>
    <row r="1750" spans="1:255" s="359" customFormat="1" hidden="1">
      <c r="A1750" s="336">
        <v>19</v>
      </c>
      <c r="B1750" s="543"/>
      <c r="C1750" s="335" t="s">
        <v>1383</v>
      </c>
      <c r="D1750" s="486" t="s">
        <v>816</v>
      </c>
      <c r="E1750" s="863"/>
      <c r="F1750" s="388">
        <f>'დეფექტური აქტი'!E401</f>
        <v>0</v>
      </c>
      <c r="G1750" s="389">
        <v>68</v>
      </c>
      <c r="H1750" s="389">
        <f>F1750*G1750</f>
        <v>0</v>
      </c>
      <c r="I1750" s="389"/>
      <c r="J1750" s="389"/>
      <c r="K1750" s="389"/>
      <c r="L1750" s="389"/>
      <c r="M1750" s="389">
        <f>H1750+J1750+L1750</f>
        <v>0</v>
      </c>
      <c r="N1750" s="830"/>
      <c r="O1750" s="827"/>
      <c r="P1750" s="828"/>
      <c r="Q1750" s="828"/>
      <c r="R1750" s="828"/>
      <c r="S1750" s="828"/>
      <c r="T1750" s="828"/>
      <c r="U1750" s="828"/>
      <c r="V1750" s="828"/>
      <c r="W1750" s="828"/>
      <c r="X1750" s="828"/>
      <c r="Y1750" s="828"/>
      <c r="Z1750" s="828"/>
      <c r="AA1750" s="827"/>
      <c r="AB1750" s="827"/>
      <c r="AC1750" s="827"/>
      <c r="AD1750" s="827"/>
      <c r="AE1750" s="827"/>
      <c r="AF1750" s="827"/>
      <c r="AG1750" s="827"/>
      <c r="AH1750" s="827"/>
      <c r="AI1750" s="827"/>
      <c r="AJ1750" s="827"/>
      <c r="AK1750" s="827"/>
      <c r="AL1750" s="827"/>
      <c r="AM1750" s="827"/>
      <c r="AN1750" s="827"/>
      <c r="AO1750" s="827"/>
      <c r="AP1750" s="827"/>
      <c r="AQ1750" s="827"/>
      <c r="AR1750" s="827"/>
      <c r="AS1750" s="827"/>
      <c r="AT1750" s="827"/>
      <c r="AU1750" s="827"/>
      <c r="AV1750" s="827"/>
      <c r="AW1750" s="827"/>
      <c r="AX1750" s="827"/>
      <c r="AY1750" s="827"/>
      <c r="AZ1750" s="827"/>
      <c r="BA1750" s="827"/>
      <c r="BB1750" s="827"/>
      <c r="BC1750" s="827"/>
      <c r="BD1750" s="827"/>
      <c r="BE1750" s="827"/>
      <c r="BF1750" s="827"/>
      <c r="BG1750" s="827"/>
      <c r="BH1750" s="827"/>
      <c r="BI1750" s="827"/>
      <c r="BJ1750" s="827"/>
      <c r="BK1750" s="827"/>
      <c r="BL1750" s="827"/>
      <c r="BM1750" s="827"/>
      <c r="BN1750" s="827"/>
      <c r="BO1750" s="827"/>
      <c r="BP1750" s="827"/>
      <c r="BQ1750" s="827"/>
      <c r="BR1750" s="827"/>
      <c r="BS1750" s="827"/>
      <c r="BT1750" s="827"/>
      <c r="BU1750" s="827"/>
      <c r="BV1750" s="827"/>
      <c r="BW1750" s="827"/>
      <c r="BX1750" s="827"/>
      <c r="BY1750" s="827"/>
      <c r="BZ1750" s="827"/>
      <c r="CA1750" s="827"/>
      <c r="CB1750" s="827"/>
      <c r="CC1750" s="827"/>
      <c r="CD1750" s="827"/>
      <c r="CE1750" s="827"/>
      <c r="CF1750" s="827"/>
      <c r="CG1750" s="827"/>
      <c r="CH1750" s="827"/>
      <c r="CI1750" s="827"/>
      <c r="CJ1750" s="827"/>
      <c r="CK1750" s="827"/>
      <c r="CL1750" s="827"/>
      <c r="CM1750" s="827"/>
      <c r="CN1750" s="827"/>
      <c r="CO1750" s="827"/>
      <c r="CP1750" s="827"/>
      <c r="CQ1750" s="827"/>
      <c r="CR1750" s="827"/>
      <c r="CS1750" s="827"/>
      <c r="CT1750" s="827"/>
      <c r="CU1750" s="827"/>
      <c r="CV1750" s="827"/>
      <c r="CW1750" s="827"/>
      <c r="CX1750" s="827"/>
      <c r="CY1750" s="827"/>
      <c r="CZ1750" s="827"/>
      <c r="DA1750" s="827"/>
      <c r="DB1750" s="827"/>
      <c r="DC1750" s="827"/>
      <c r="DD1750" s="827"/>
      <c r="DE1750" s="827"/>
      <c r="DF1750" s="827"/>
      <c r="DG1750" s="827"/>
      <c r="DH1750" s="827"/>
      <c r="DI1750" s="827"/>
      <c r="DJ1750" s="827"/>
      <c r="DK1750" s="827"/>
      <c r="DL1750" s="827"/>
      <c r="DM1750" s="827"/>
      <c r="DN1750" s="827"/>
      <c r="DO1750" s="827"/>
      <c r="DP1750" s="827"/>
      <c r="DQ1750" s="827"/>
      <c r="DR1750" s="827"/>
      <c r="DS1750" s="827"/>
      <c r="DT1750" s="827"/>
      <c r="DU1750" s="827"/>
      <c r="DV1750" s="827"/>
      <c r="DW1750" s="827"/>
      <c r="DX1750" s="827"/>
      <c r="DY1750" s="827"/>
      <c r="DZ1750" s="827"/>
      <c r="EA1750" s="827"/>
      <c r="EB1750" s="827"/>
      <c r="EC1750" s="827"/>
      <c r="ED1750" s="827"/>
      <c r="EE1750" s="827"/>
      <c r="EF1750" s="827"/>
      <c r="EG1750" s="827"/>
      <c r="EH1750" s="827"/>
      <c r="EI1750" s="827"/>
      <c r="EJ1750" s="827"/>
      <c r="EK1750" s="827"/>
      <c r="EL1750" s="827"/>
      <c r="EM1750" s="827"/>
      <c r="EN1750" s="827"/>
      <c r="EO1750" s="827"/>
      <c r="EP1750" s="827"/>
      <c r="EQ1750" s="827"/>
      <c r="ER1750" s="827"/>
      <c r="ES1750" s="827"/>
      <c r="ET1750" s="827"/>
      <c r="EU1750" s="827"/>
      <c r="EV1750" s="827"/>
      <c r="EW1750" s="827"/>
      <c r="EX1750" s="827"/>
      <c r="EY1750" s="827"/>
      <c r="EZ1750" s="827"/>
      <c r="FA1750" s="827"/>
      <c r="FB1750" s="827"/>
      <c r="FC1750" s="827"/>
      <c r="FD1750" s="827"/>
      <c r="FE1750" s="827"/>
      <c r="FF1750" s="827"/>
      <c r="FG1750" s="827"/>
      <c r="FH1750" s="827"/>
      <c r="FI1750" s="827"/>
      <c r="FJ1750" s="827"/>
      <c r="FK1750" s="827"/>
      <c r="FL1750" s="827"/>
      <c r="FM1750" s="827"/>
      <c r="FN1750" s="827"/>
      <c r="FO1750" s="827"/>
      <c r="FP1750" s="827"/>
      <c r="FQ1750" s="827"/>
      <c r="FR1750" s="827"/>
      <c r="FS1750" s="827"/>
      <c r="FT1750" s="827"/>
      <c r="FU1750" s="827"/>
      <c r="FV1750" s="827"/>
      <c r="FW1750" s="827"/>
      <c r="FX1750" s="827"/>
      <c r="FY1750" s="827"/>
      <c r="FZ1750" s="827"/>
      <c r="GA1750" s="827"/>
      <c r="GB1750" s="827"/>
      <c r="GC1750" s="827"/>
      <c r="GD1750" s="827"/>
      <c r="GE1750" s="827"/>
      <c r="GF1750" s="827"/>
      <c r="GG1750" s="827"/>
      <c r="GH1750" s="827"/>
      <c r="GI1750" s="827"/>
      <c r="GJ1750" s="827"/>
      <c r="GK1750" s="827"/>
      <c r="GL1750" s="827"/>
      <c r="GM1750" s="827"/>
      <c r="GN1750" s="827"/>
      <c r="GO1750" s="827"/>
      <c r="GP1750" s="827"/>
      <c r="GQ1750" s="827"/>
      <c r="GR1750" s="827"/>
      <c r="GS1750" s="827"/>
      <c r="GT1750" s="827"/>
      <c r="GU1750" s="827"/>
      <c r="GV1750" s="827"/>
      <c r="GW1750" s="827"/>
      <c r="GX1750" s="827"/>
      <c r="GY1750" s="827"/>
      <c r="GZ1750" s="827"/>
      <c r="HA1750" s="827"/>
      <c r="HB1750" s="827"/>
      <c r="HC1750" s="827"/>
      <c r="HD1750" s="827"/>
      <c r="HE1750" s="827"/>
      <c r="HF1750" s="827"/>
      <c r="HG1750" s="827"/>
      <c r="HH1750" s="827"/>
      <c r="HI1750" s="827"/>
      <c r="HJ1750" s="827"/>
      <c r="HK1750" s="827"/>
      <c r="HL1750" s="827"/>
      <c r="HM1750" s="827"/>
      <c r="HN1750" s="827"/>
      <c r="HO1750" s="827"/>
      <c r="HP1750" s="827"/>
      <c r="HQ1750" s="827"/>
      <c r="HR1750" s="827"/>
      <c r="HS1750" s="827"/>
      <c r="HT1750" s="827"/>
      <c r="HU1750" s="827"/>
      <c r="HV1750" s="827"/>
      <c r="HW1750" s="827"/>
      <c r="HX1750" s="827"/>
      <c r="HY1750" s="827"/>
      <c r="HZ1750" s="827"/>
      <c r="IA1750" s="827"/>
      <c r="IB1750" s="827"/>
      <c r="IC1750" s="827"/>
      <c r="ID1750" s="827"/>
      <c r="IE1750" s="827"/>
      <c r="IF1750" s="827"/>
      <c r="IG1750" s="827"/>
      <c r="IH1750" s="827"/>
      <c r="II1750" s="827"/>
      <c r="IJ1750" s="827"/>
      <c r="IK1750" s="827"/>
      <c r="IL1750" s="827"/>
      <c r="IM1750" s="827"/>
      <c r="IN1750" s="827"/>
      <c r="IO1750" s="827"/>
      <c r="IP1750" s="827"/>
      <c r="IQ1750" s="827"/>
      <c r="IR1750" s="827"/>
      <c r="IS1750" s="827"/>
      <c r="IT1750" s="827"/>
      <c r="IU1750" s="827"/>
    </row>
    <row r="1751" spans="1:255" s="359" customFormat="1" ht="15" hidden="1" customHeight="1">
      <c r="A1751" s="336">
        <v>20</v>
      </c>
      <c r="B1751" s="543"/>
      <c r="C1751" s="335" t="s">
        <v>1384</v>
      </c>
      <c r="D1751" s="486" t="s">
        <v>816</v>
      </c>
      <c r="E1751" s="863"/>
      <c r="F1751" s="388">
        <f>'დეფექტური აქტი'!E402</f>
        <v>0</v>
      </c>
      <c r="G1751" s="389">
        <v>85</v>
      </c>
      <c r="H1751" s="389">
        <f>F1751*G1751</f>
        <v>0</v>
      </c>
      <c r="I1751" s="389"/>
      <c r="J1751" s="389"/>
      <c r="K1751" s="389"/>
      <c r="L1751" s="389"/>
      <c r="M1751" s="389">
        <f>H1751+J1751+L1751</f>
        <v>0</v>
      </c>
      <c r="N1751" s="830"/>
      <c r="O1751" s="827"/>
      <c r="P1751" s="828"/>
      <c r="Q1751" s="828"/>
      <c r="R1751" s="828"/>
      <c r="S1751" s="828"/>
      <c r="T1751" s="828"/>
      <c r="U1751" s="828"/>
      <c r="V1751" s="828"/>
      <c r="W1751" s="828"/>
      <c r="X1751" s="828"/>
      <c r="Y1751" s="828"/>
      <c r="Z1751" s="828"/>
      <c r="AA1751" s="827"/>
      <c r="AB1751" s="827"/>
      <c r="AC1751" s="827"/>
      <c r="AD1751" s="827"/>
      <c r="AE1751" s="827"/>
      <c r="AF1751" s="827"/>
      <c r="AG1751" s="827"/>
      <c r="AH1751" s="827"/>
      <c r="AI1751" s="827"/>
      <c r="AJ1751" s="827"/>
      <c r="AK1751" s="827"/>
      <c r="AL1751" s="827"/>
      <c r="AM1751" s="827"/>
      <c r="AN1751" s="827"/>
      <c r="AO1751" s="827"/>
      <c r="AP1751" s="827"/>
      <c r="AQ1751" s="827"/>
      <c r="AR1751" s="827"/>
      <c r="AS1751" s="827"/>
      <c r="AT1751" s="827"/>
      <c r="AU1751" s="827"/>
      <c r="AV1751" s="827"/>
      <c r="AW1751" s="827"/>
      <c r="AX1751" s="827"/>
      <c r="AY1751" s="827"/>
      <c r="AZ1751" s="827"/>
      <c r="BA1751" s="827"/>
      <c r="BB1751" s="827"/>
      <c r="BC1751" s="827"/>
      <c r="BD1751" s="827"/>
      <c r="BE1751" s="827"/>
      <c r="BF1751" s="827"/>
      <c r="BG1751" s="827"/>
      <c r="BH1751" s="827"/>
      <c r="BI1751" s="827"/>
      <c r="BJ1751" s="827"/>
      <c r="BK1751" s="827"/>
      <c r="BL1751" s="827"/>
      <c r="BM1751" s="827"/>
      <c r="BN1751" s="827"/>
      <c r="BO1751" s="827"/>
      <c r="BP1751" s="827"/>
      <c r="BQ1751" s="827"/>
      <c r="BR1751" s="827"/>
      <c r="BS1751" s="827"/>
      <c r="BT1751" s="827"/>
      <c r="BU1751" s="827"/>
      <c r="BV1751" s="827"/>
      <c r="BW1751" s="827"/>
      <c r="BX1751" s="827"/>
      <c r="BY1751" s="827"/>
      <c r="BZ1751" s="827"/>
      <c r="CA1751" s="827"/>
      <c r="CB1751" s="827"/>
      <c r="CC1751" s="827"/>
      <c r="CD1751" s="827"/>
      <c r="CE1751" s="827"/>
      <c r="CF1751" s="827"/>
      <c r="CG1751" s="827"/>
      <c r="CH1751" s="827"/>
      <c r="CI1751" s="827"/>
      <c r="CJ1751" s="827"/>
      <c r="CK1751" s="827"/>
      <c r="CL1751" s="827"/>
      <c r="CM1751" s="827"/>
      <c r="CN1751" s="827"/>
      <c r="CO1751" s="827"/>
      <c r="CP1751" s="827"/>
      <c r="CQ1751" s="827"/>
      <c r="CR1751" s="827"/>
      <c r="CS1751" s="827"/>
      <c r="CT1751" s="827"/>
      <c r="CU1751" s="827"/>
      <c r="CV1751" s="827"/>
      <c r="CW1751" s="827"/>
      <c r="CX1751" s="827"/>
      <c r="CY1751" s="827"/>
      <c r="CZ1751" s="827"/>
      <c r="DA1751" s="827"/>
      <c r="DB1751" s="827"/>
      <c r="DC1751" s="827"/>
      <c r="DD1751" s="827"/>
      <c r="DE1751" s="827"/>
      <c r="DF1751" s="827"/>
      <c r="DG1751" s="827"/>
      <c r="DH1751" s="827"/>
      <c r="DI1751" s="827"/>
      <c r="DJ1751" s="827"/>
      <c r="DK1751" s="827"/>
      <c r="DL1751" s="827"/>
      <c r="DM1751" s="827"/>
      <c r="DN1751" s="827"/>
      <c r="DO1751" s="827"/>
      <c r="DP1751" s="827"/>
      <c r="DQ1751" s="827"/>
      <c r="DR1751" s="827"/>
      <c r="DS1751" s="827"/>
      <c r="DT1751" s="827"/>
      <c r="DU1751" s="827"/>
      <c r="DV1751" s="827"/>
      <c r="DW1751" s="827"/>
      <c r="DX1751" s="827"/>
      <c r="DY1751" s="827"/>
      <c r="DZ1751" s="827"/>
      <c r="EA1751" s="827"/>
      <c r="EB1751" s="827"/>
      <c r="EC1751" s="827"/>
      <c r="ED1751" s="827"/>
      <c r="EE1751" s="827"/>
      <c r="EF1751" s="827"/>
      <c r="EG1751" s="827"/>
      <c r="EH1751" s="827"/>
      <c r="EI1751" s="827"/>
      <c r="EJ1751" s="827"/>
      <c r="EK1751" s="827"/>
      <c r="EL1751" s="827"/>
      <c r="EM1751" s="827"/>
      <c r="EN1751" s="827"/>
      <c r="EO1751" s="827"/>
      <c r="EP1751" s="827"/>
      <c r="EQ1751" s="827"/>
      <c r="ER1751" s="827"/>
      <c r="ES1751" s="827"/>
      <c r="ET1751" s="827"/>
      <c r="EU1751" s="827"/>
      <c r="EV1751" s="827"/>
      <c r="EW1751" s="827"/>
      <c r="EX1751" s="827"/>
      <c r="EY1751" s="827"/>
      <c r="EZ1751" s="827"/>
      <c r="FA1751" s="827"/>
      <c r="FB1751" s="827"/>
      <c r="FC1751" s="827"/>
      <c r="FD1751" s="827"/>
      <c r="FE1751" s="827"/>
      <c r="FF1751" s="827"/>
      <c r="FG1751" s="827"/>
      <c r="FH1751" s="827"/>
      <c r="FI1751" s="827"/>
      <c r="FJ1751" s="827"/>
      <c r="FK1751" s="827"/>
      <c r="FL1751" s="827"/>
      <c r="FM1751" s="827"/>
      <c r="FN1751" s="827"/>
      <c r="FO1751" s="827"/>
      <c r="FP1751" s="827"/>
      <c r="FQ1751" s="827"/>
      <c r="FR1751" s="827"/>
      <c r="FS1751" s="827"/>
      <c r="FT1751" s="827"/>
      <c r="FU1751" s="827"/>
      <c r="FV1751" s="827"/>
      <c r="FW1751" s="827"/>
      <c r="FX1751" s="827"/>
      <c r="FY1751" s="827"/>
      <c r="FZ1751" s="827"/>
      <c r="GA1751" s="827"/>
      <c r="GB1751" s="827"/>
      <c r="GC1751" s="827"/>
      <c r="GD1751" s="827"/>
      <c r="GE1751" s="827"/>
      <c r="GF1751" s="827"/>
      <c r="GG1751" s="827"/>
      <c r="GH1751" s="827"/>
      <c r="GI1751" s="827"/>
      <c r="GJ1751" s="827"/>
      <c r="GK1751" s="827"/>
      <c r="GL1751" s="827"/>
      <c r="GM1751" s="827"/>
      <c r="GN1751" s="827"/>
      <c r="GO1751" s="827"/>
      <c r="GP1751" s="827"/>
      <c r="GQ1751" s="827"/>
      <c r="GR1751" s="827"/>
      <c r="GS1751" s="827"/>
      <c r="GT1751" s="827"/>
      <c r="GU1751" s="827"/>
      <c r="GV1751" s="827"/>
      <c r="GW1751" s="827"/>
      <c r="GX1751" s="827"/>
      <c r="GY1751" s="827"/>
      <c r="GZ1751" s="827"/>
      <c r="HA1751" s="827"/>
      <c r="HB1751" s="827"/>
      <c r="HC1751" s="827"/>
      <c r="HD1751" s="827"/>
      <c r="HE1751" s="827"/>
      <c r="HF1751" s="827"/>
      <c r="HG1751" s="827"/>
      <c r="HH1751" s="827"/>
      <c r="HI1751" s="827"/>
      <c r="HJ1751" s="827"/>
      <c r="HK1751" s="827"/>
      <c r="HL1751" s="827"/>
      <c r="HM1751" s="827"/>
      <c r="HN1751" s="827"/>
      <c r="HO1751" s="827"/>
      <c r="HP1751" s="827"/>
      <c r="HQ1751" s="827"/>
      <c r="HR1751" s="827"/>
      <c r="HS1751" s="827"/>
      <c r="HT1751" s="827"/>
      <c r="HU1751" s="827"/>
      <c r="HV1751" s="827"/>
      <c r="HW1751" s="827"/>
      <c r="HX1751" s="827"/>
      <c r="HY1751" s="827"/>
      <c r="HZ1751" s="827"/>
      <c r="IA1751" s="827"/>
      <c r="IB1751" s="827"/>
      <c r="IC1751" s="827"/>
      <c r="ID1751" s="827"/>
      <c r="IE1751" s="827"/>
      <c r="IF1751" s="827"/>
      <c r="IG1751" s="827"/>
      <c r="IH1751" s="827"/>
      <c r="II1751" s="827"/>
      <c r="IJ1751" s="827"/>
      <c r="IK1751" s="827"/>
      <c r="IL1751" s="827"/>
      <c r="IM1751" s="827"/>
      <c r="IN1751" s="827"/>
      <c r="IO1751" s="827"/>
      <c r="IP1751" s="827"/>
      <c r="IQ1751" s="827"/>
      <c r="IR1751" s="827"/>
      <c r="IS1751" s="827"/>
      <c r="IT1751" s="827"/>
      <c r="IU1751" s="827"/>
    </row>
    <row r="1752" spans="1:255" s="831" customFormat="1" ht="17.25" hidden="1" customHeight="1">
      <c r="A1752" s="342"/>
      <c r="B1752" s="556"/>
      <c r="C1752" s="551" t="s">
        <v>214</v>
      </c>
      <c r="D1752" s="342" t="s">
        <v>57</v>
      </c>
      <c r="E1752" s="864">
        <v>0.68</v>
      </c>
      <c r="F1752" s="392">
        <f>F1746*E1752</f>
        <v>0</v>
      </c>
      <c r="G1752" s="392">
        <v>3.2</v>
      </c>
      <c r="H1752" s="392">
        <f>F1752*G1752</f>
        <v>0</v>
      </c>
      <c r="I1752" s="392"/>
      <c r="J1752" s="392"/>
      <c r="K1752" s="392"/>
      <c r="L1752" s="392"/>
      <c r="M1752" s="392">
        <f>H1752+J1752+L1752</f>
        <v>0</v>
      </c>
      <c r="N1752" s="830"/>
      <c r="O1752" s="827"/>
      <c r="P1752" s="828"/>
      <c r="Q1752" s="828"/>
      <c r="R1752" s="828"/>
      <c r="S1752" s="828"/>
      <c r="T1752" s="828"/>
      <c r="U1752" s="828"/>
      <c r="V1752" s="828"/>
      <c r="W1752" s="828"/>
      <c r="X1752" s="828"/>
      <c r="Y1752" s="828"/>
      <c r="Z1752" s="828"/>
      <c r="AA1752" s="827"/>
      <c r="AB1752" s="827"/>
      <c r="AC1752" s="827"/>
      <c r="AD1752" s="827"/>
      <c r="AE1752" s="827"/>
      <c r="AF1752" s="827"/>
      <c r="AG1752" s="827"/>
      <c r="AH1752" s="827"/>
      <c r="AI1752" s="827"/>
      <c r="AJ1752" s="827"/>
      <c r="AK1752" s="827"/>
      <c r="AL1752" s="827"/>
      <c r="AM1752" s="827"/>
      <c r="AN1752" s="827"/>
      <c r="AO1752" s="827"/>
      <c r="AP1752" s="827"/>
      <c r="AQ1752" s="827"/>
      <c r="AR1752" s="827"/>
      <c r="AS1752" s="827"/>
      <c r="AT1752" s="827"/>
      <c r="AU1752" s="827"/>
      <c r="AV1752" s="827"/>
      <c r="AW1752" s="827"/>
      <c r="AX1752" s="827"/>
      <c r="AY1752" s="827"/>
      <c r="AZ1752" s="827"/>
      <c r="BA1752" s="827"/>
      <c r="BB1752" s="827"/>
      <c r="BC1752" s="827"/>
      <c r="BD1752" s="827"/>
      <c r="BE1752" s="827"/>
      <c r="BF1752" s="827"/>
      <c r="BG1752" s="827"/>
      <c r="BH1752" s="827"/>
      <c r="BI1752" s="827"/>
      <c r="BJ1752" s="827"/>
      <c r="BK1752" s="827"/>
      <c r="BL1752" s="827"/>
      <c r="BM1752" s="827"/>
      <c r="BN1752" s="827"/>
      <c r="BO1752" s="827"/>
      <c r="BP1752" s="827"/>
      <c r="BQ1752" s="827"/>
      <c r="BR1752" s="827"/>
      <c r="BS1752" s="827"/>
      <c r="BT1752" s="827"/>
      <c r="BU1752" s="827"/>
      <c r="BV1752" s="827"/>
      <c r="BW1752" s="827"/>
      <c r="BX1752" s="827"/>
      <c r="BY1752" s="827"/>
      <c r="BZ1752" s="827"/>
      <c r="CA1752" s="827"/>
      <c r="CB1752" s="827"/>
      <c r="CC1752" s="827"/>
      <c r="CD1752" s="827"/>
      <c r="CE1752" s="827"/>
      <c r="CF1752" s="827"/>
      <c r="CG1752" s="827"/>
      <c r="CH1752" s="827"/>
      <c r="CI1752" s="827"/>
      <c r="CJ1752" s="827"/>
      <c r="CK1752" s="827"/>
      <c r="CL1752" s="827"/>
      <c r="CM1752" s="827"/>
      <c r="CN1752" s="827"/>
      <c r="CO1752" s="827"/>
      <c r="CP1752" s="827"/>
      <c r="CQ1752" s="827"/>
      <c r="CR1752" s="827"/>
      <c r="CS1752" s="827"/>
      <c r="CT1752" s="827"/>
      <c r="CU1752" s="827"/>
      <c r="CV1752" s="827"/>
      <c r="CW1752" s="827"/>
      <c r="CX1752" s="827"/>
      <c r="CY1752" s="827"/>
      <c r="CZ1752" s="827"/>
      <c r="DA1752" s="827"/>
      <c r="DB1752" s="827"/>
      <c r="DC1752" s="827"/>
      <c r="DD1752" s="827"/>
      <c r="DE1752" s="827"/>
      <c r="DF1752" s="827"/>
      <c r="DG1752" s="827"/>
      <c r="DH1752" s="827"/>
      <c r="DI1752" s="827"/>
      <c r="DJ1752" s="827"/>
      <c r="DK1752" s="827"/>
      <c r="DL1752" s="827"/>
      <c r="DM1752" s="827"/>
      <c r="DN1752" s="827"/>
      <c r="DO1752" s="827"/>
      <c r="DP1752" s="827"/>
      <c r="DQ1752" s="827"/>
      <c r="DR1752" s="827"/>
      <c r="DS1752" s="827"/>
      <c r="DT1752" s="827"/>
      <c r="DU1752" s="827"/>
      <c r="DV1752" s="827"/>
      <c r="DW1752" s="827"/>
      <c r="DX1752" s="827"/>
      <c r="DY1752" s="827"/>
      <c r="DZ1752" s="827"/>
      <c r="EA1752" s="827"/>
      <c r="EB1752" s="827"/>
      <c r="EC1752" s="827"/>
      <c r="ED1752" s="827"/>
      <c r="EE1752" s="827"/>
      <c r="EF1752" s="827"/>
      <c r="EG1752" s="827"/>
      <c r="EH1752" s="827"/>
      <c r="EI1752" s="827"/>
      <c r="EJ1752" s="827"/>
      <c r="EK1752" s="827"/>
      <c r="EL1752" s="827"/>
      <c r="EM1752" s="827"/>
      <c r="EN1752" s="827"/>
      <c r="EO1752" s="827"/>
      <c r="EP1752" s="827"/>
      <c r="EQ1752" s="827"/>
      <c r="ER1752" s="827"/>
      <c r="ES1752" s="827"/>
      <c r="ET1752" s="827"/>
      <c r="EU1752" s="827"/>
      <c r="EV1752" s="827"/>
      <c r="EW1752" s="827"/>
      <c r="EX1752" s="827"/>
      <c r="EY1752" s="827"/>
      <c r="EZ1752" s="827"/>
      <c r="FA1752" s="827"/>
      <c r="FB1752" s="827"/>
      <c r="FC1752" s="827"/>
      <c r="FD1752" s="827"/>
      <c r="FE1752" s="827"/>
      <c r="FF1752" s="827"/>
      <c r="FG1752" s="827"/>
      <c r="FH1752" s="827"/>
      <c r="FI1752" s="827"/>
      <c r="FJ1752" s="827"/>
      <c r="FK1752" s="827"/>
      <c r="FL1752" s="827"/>
      <c r="FM1752" s="827"/>
      <c r="FN1752" s="827"/>
      <c r="FO1752" s="827"/>
      <c r="FP1752" s="827"/>
      <c r="FQ1752" s="827"/>
      <c r="FR1752" s="827"/>
      <c r="FS1752" s="827"/>
      <c r="FT1752" s="827"/>
      <c r="FU1752" s="827"/>
      <c r="FV1752" s="827"/>
      <c r="FW1752" s="827"/>
      <c r="FX1752" s="827"/>
      <c r="FY1752" s="827"/>
      <c r="FZ1752" s="827"/>
      <c r="GA1752" s="827"/>
      <c r="GB1752" s="827"/>
      <c r="GC1752" s="827"/>
      <c r="GD1752" s="827"/>
      <c r="GE1752" s="827"/>
      <c r="GF1752" s="827"/>
      <c r="GG1752" s="827"/>
      <c r="GH1752" s="827"/>
      <c r="GI1752" s="827"/>
      <c r="GJ1752" s="827"/>
      <c r="GK1752" s="827"/>
      <c r="GL1752" s="827"/>
      <c r="GM1752" s="827"/>
      <c r="GN1752" s="827"/>
      <c r="GO1752" s="827"/>
      <c r="GP1752" s="827"/>
      <c r="GQ1752" s="827"/>
      <c r="GR1752" s="827"/>
      <c r="GS1752" s="827"/>
      <c r="GT1752" s="827"/>
      <c r="GU1752" s="827"/>
      <c r="GV1752" s="827"/>
      <c r="GW1752" s="827"/>
      <c r="GX1752" s="827"/>
      <c r="GY1752" s="827"/>
      <c r="GZ1752" s="827"/>
      <c r="HA1752" s="827"/>
      <c r="HB1752" s="827"/>
      <c r="HC1752" s="827"/>
      <c r="HD1752" s="827"/>
      <c r="HE1752" s="827"/>
      <c r="HF1752" s="827"/>
      <c r="HG1752" s="827"/>
      <c r="HH1752" s="827"/>
      <c r="HI1752" s="827"/>
      <c r="HJ1752" s="827"/>
      <c r="HK1752" s="827"/>
      <c r="HL1752" s="827"/>
      <c r="HM1752" s="827"/>
      <c r="HN1752" s="827"/>
      <c r="HO1752" s="827"/>
      <c r="HP1752" s="827"/>
      <c r="HQ1752" s="827"/>
      <c r="HR1752" s="827"/>
      <c r="HS1752" s="827"/>
      <c r="HT1752" s="827"/>
      <c r="HU1752" s="827"/>
      <c r="HV1752" s="827"/>
      <c r="HW1752" s="827"/>
      <c r="HX1752" s="827"/>
      <c r="HY1752" s="827"/>
      <c r="HZ1752" s="827"/>
      <c r="IA1752" s="827"/>
      <c r="IB1752" s="827"/>
      <c r="IC1752" s="827"/>
      <c r="ID1752" s="827"/>
      <c r="IE1752" s="827"/>
      <c r="IF1752" s="827"/>
      <c r="IG1752" s="827"/>
      <c r="IH1752" s="827"/>
      <c r="II1752" s="827"/>
      <c r="IJ1752" s="827"/>
      <c r="IK1752" s="827"/>
      <c r="IL1752" s="827"/>
      <c r="IM1752" s="827"/>
      <c r="IN1752" s="827"/>
      <c r="IO1752" s="827"/>
      <c r="IP1752" s="827"/>
      <c r="IQ1752" s="827"/>
      <c r="IR1752" s="827"/>
      <c r="IS1752" s="827"/>
      <c r="IT1752" s="827"/>
      <c r="IU1752" s="827"/>
    </row>
    <row r="1753" spans="1:255" s="831" customFormat="1" ht="15" hidden="1" customHeight="1">
      <c r="A1753" s="336">
        <v>21</v>
      </c>
      <c r="B1753" s="540" t="s">
        <v>1368</v>
      </c>
      <c r="C1753" s="335" t="s">
        <v>1385</v>
      </c>
      <c r="D1753" s="486" t="s">
        <v>816</v>
      </c>
      <c r="E1753" s="863"/>
      <c r="F1753" s="867">
        <f>'დეფექტური აქტი'!E403</f>
        <v>0</v>
      </c>
      <c r="G1753" s="542"/>
      <c r="H1753" s="389"/>
      <c r="I1753" s="389"/>
      <c r="J1753" s="389"/>
      <c r="K1753" s="389"/>
      <c r="L1753" s="389"/>
      <c r="M1753" s="389"/>
      <c r="N1753" s="829"/>
      <c r="O1753" s="827"/>
      <c r="P1753" s="828"/>
      <c r="Q1753" s="828"/>
      <c r="R1753" s="828"/>
      <c r="S1753" s="828"/>
      <c r="T1753" s="828"/>
      <c r="U1753" s="828"/>
      <c r="V1753" s="828"/>
      <c r="W1753" s="828"/>
      <c r="X1753" s="828"/>
      <c r="Y1753" s="828"/>
      <c r="Z1753" s="828"/>
      <c r="AA1753" s="827"/>
      <c r="AB1753" s="827"/>
      <c r="AC1753" s="827"/>
      <c r="AD1753" s="827"/>
      <c r="AE1753" s="827"/>
      <c r="AF1753" s="827"/>
      <c r="AG1753" s="827"/>
      <c r="AH1753" s="827"/>
      <c r="AI1753" s="827"/>
      <c r="AJ1753" s="827"/>
      <c r="AK1753" s="827"/>
      <c r="AL1753" s="827"/>
      <c r="AM1753" s="827"/>
      <c r="AN1753" s="827"/>
      <c r="AO1753" s="827"/>
      <c r="AP1753" s="827"/>
      <c r="AQ1753" s="827"/>
      <c r="AR1753" s="827"/>
      <c r="AS1753" s="827"/>
      <c r="AT1753" s="827"/>
      <c r="AU1753" s="827"/>
      <c r="AV1753" s="827"/>
      <c r="AW1753" s="827"/>
      <c r="AX1753" s="827"/>
      <c r="AY1753" s="827"/>
      <c r="AZ1753" s="827"/>
      <c r="BA1753" s="827"/>
      <c r="BB1753" s="827"/>
      <c r="BC1753" s="827"/>
      <c r="BD1753" s="827"/>
      <c r="BE1753" s="827"/>
      <c r="BF1753" s="827"/>
      <c r="BG1753" s="827"/>
      <c r="BH1753" s="827"/>
      <c r="BI1753" s="827"/>
      <c r="BJ1753" s="827"/>
      <c r="BK1753" s="827"/>
      <c r="BL1753" s="827"/>
      <c r="BM1753" s="827"/>
      <c r="BN1753" s="827"/>
      <c r="BO1753" s="827"/>
      <c r="BP1753" s="827"/>
      <c r="BQ1753" s="827"/>
      <c r="BR1753" s="827"/>
      <c r="BS1753" s="827"/>
      <c r="BT1753" s="827"/>
      <c r="BU1753" s="827"/>
      <c r="BV1753" s="827"/>
      <c r="BW1753" s="827"/>
      <c r="BX1753" s="827"/>
      <c r="BY1753" s="827"/>
      <c r="BZ1753" s="827"/>
      <c r="CA1753" s="827"/>
      <c r="CB1753" s="827"/>
      <c r="CC1753" s="827"/>
      <c r="CD1753" s="827"/>
      <c r="CE1753" s="827"/>
      <c r="CF1753" s="827"/>
      <c r="CG1753" s="827"/>
      <c r="CH1753" s="827"/>
      <c r="CI1753" s="827"/>
      <c r="CJ1753" s="827"/>
      <c r="CK1753" s="827"/>
      <c r="CL1753" s="827"/>
      <c r="CM1753" s="827"/>
      <c r="CN1753" s="827"/>
      <c r="CO1753" s="827"/>
      <c r="CP1753" s="827"/>
      <c r="CQ1753" s="827"/>
      <c r="CR1753" s="827"/>
      <c r="CS1753" s="827"/>
      <c r="CT1753" s="827"/>
      <c r="CU1753" s="827"/>
      <c r="CV1753" s="827"/>
      <c r="CW1753" s="827"/>
      <c r="CX1753" s="827"/>
      <c r="CY1753" s="827"/>
      <c r="CZ1753" s="827"/>
      <c r="DA1753" s="827"/>
      <c r="DB1753" s="827"/>
      <c r="DC1753" s="827"/>
      <c r="DD1753" s="827"/>
      <c r="DE1753" s="827"/>
      <c r="DF1753" s="827"/>
      <c r="DG1753" s="827"/>
      <c r="DH1753" s="827"/>
      <c r="DI1753" s="827"/>
      <c r="DJ1753" s="827"/>
      <c r="DK1753" s="827"/>
      <c r="DL1753" s="827"/>
      <c r="DM1753" s="827"/>
      <c r="DN1753" s="827"/>
      <c r="DO1753" s="827"/>
      <c r="DP1753" s="827"/>
      <c r="DQ1753" s="827"/>
      <c r="DR1753" s="827"/>
      <c r="DS1753" s="827"/>
      <c r="DT1753" s="827"/>
      <c r="DU1753" s="827"/>
      <c r="DV1753" s="827"/>
      <c r="DW1753" s="827"/>
      <c r="DX1753" s="827"/>
      <c r="DY1753" s="827"/>
      <c r="DZ1753" s="827"/>
      <c r="EA1753" s="827"/>
      <c r="EB1753" s="827"/>
      <c r="EC1753" s="827"/>
      <c r="ED1753" s="827"/>
      <c r="EE1753" s="827"/>
      <c r="EF1753" s="827"/>
      <c r="EG1753" s="827"/>
      <c r="EH1753" s="827"/>
      <c r="EI1753" s="827"/>
      <c r="EJ1753" s="827"/>
      <c r="EK1753" s="827"/>
      <c r="EL1753" s="827"/>
      <c r="EM1753" s="827"/>
      <c r="EN1753" s="827"/>
      <c r="EO1753" s="827"/>
      <c r="EP1753" s="827"/>
      <c r="EQ1753" s="827"/>
      <c r="ER1753" s="827"/>
      <c r="ES1753" s="827"/>
      <c r="ET1753" s="827"/>
      <c r="EU1753" s="827"/>
      <c r="EV1753" s="827"/>
      <c r="EW1753" s="827"/>
      <c r="EX1753" s="827"/>
      <c r="EY1753" s="827"/>
      <c r="EZ1753" s="827"/>
      <c r="FA1753" s="827"/>
      <c r="FB1753" s="827"/>
      <c r="FC1753" s="827"/>
      <c r="FD1753" s="827"/>
      <c r="FE1753" s="827"/>
      <c r="FF1753" s="827"/>
      <c r="FG1753" s="827"/>
      <c r="FH1753" s="827"/>
      <c r="FI1753" s="827"/>
      <c r="FJ1753" s="827"/>
      <c r="FK1753" s="827"/>
      <c r="FL1753" s="827"/>
      <c r="FM1753" s="827"/>
      <c r="FN1753" s="827"/>
      <c r="FO1753" s="827"/>
      <c r="FP1753" s="827"/>
      <c r="FQ1753" s="827"/>
      <c r="FR1753" s="827"/>
      <c r="FS1753" s="827"/>
      <c r="FT1753" s="827"/>
      <c r="FU1753" s="827"/>
      <c r="FV1753" s="827"/>
      <c r="FW1753" s="827"/>
      <c r="FX1753" s="827"/>
      <c r="FY1753" s="827"/>
      <c r="FZ1753" s="827"/>
      <c r="GA1753" s="827"/>
      <c r="GB1753" s="827"/>
      <c r="GC1753" s="827"/>
      <c r="GD1753" s="827"/>
      <c r="GE1753" s="827"/>
      <c r="GF1753" s="827"/>
      <c r="GG1753" s="827"/>
      <c r="GH1753" s="827"/>
      <c r="GI1753" s="827"/>
      <c r="GJ1753" s="827"/>
      <c r="GK1753" s="827"/>
      <c r="GL1753" s="827"/>
      <c r="GM1753" s="827"/>
      <c r="GN1753" s="827"/>
      <c r="GO1753" s="827"/>
      <c r="GP1753" s="827"/>
      <c r="GQ1753" s="827"/>
      <c r="GR1753" s="827"/>
      <c r="GS1753" s="827"/>
      <c r="GT1753" s="827"/>
      <c r="GU1753" s="827"/>
      <c r="GV1753" s="827"/>
      <c r="GW1753" s="827"/>
      <c r="GX1753" s="827"/>
      <c r="GY1753" s="827"/>
      <c r="GZ1753" s="827"/>
      <c r="HA1753" s="827"/>
      <c r="HB1753" s="827"/>
      <c r="HC1753" s="827"/>
      <c r="HD1753" s="827"/>
      <c r="HE1753" s="827"/>
      <c r="HF1753" s="827"/>
      <c r="HG1753" s="827"/>
      <c r="HH1753" s="827"/>
      <c r="HI1753" s="827"/>
      <c r="HJ1753" s="827"/>
      <c r="HK1753" s="827"/>
      <c r="HL1753" s="827"/>
      <c r="HM1753" s="827"/>
      <c r="HN1753" s="827"/>
      <c r="HO1753" s="827"/>
      <c r="HP1753" s="827"/>
      <c r="HQ1753" s="827"/>
      <c r="HR1753" s="827"/>
      <c r="HS1753" s="827"/>
      <c r="HT1753" s="827"/>
      <c r="HU1753" s="827"/>
      <c r="HV1753" s="827"/>
      <c r="HW1753" s="827"/>
      <c r="HX1753" s="827"/>
      <c r="HY1753" s="827"/>
      <c r="HZ1753" s="827"/>
      <c r="IA1753" s="827"/>
      <c r="IB1753" s="827"/>
      <c r="IC1753" s="827"/>
      <c r="ID1753" s="827"/>
      <c r="IE1753" s="827"/>
      <c r="IF1753" s="827"/>
      <c r="IG1753" s="827"/>
      <c r="IH1753" s="827"/>
      <c r="II1753" s="827"/>
      <c r="IJ1753" s="827"/>
      <c r="IK1753" s="827"/>
      <c r="IL1753" s="827"/>
      <c r="IM1753" s="827"/>
      <c r="IN1753" s="827"/>
      <c r="IO1753" s="827"/>
      <c r="IP1753" s="827"/>
      <c r="IQ1753" s="827"/>
      <c r="IR1753" s="827"/>
      <c r="IS1753" s="827"/>
      <c r="IT1753" s="827"/>
      <c r="IU1753" s="827"/>
    </row>
    <row r="1754" spans="1:255" s="831" customFormat="1" ht="14.25" hidden="1" customHeight="1">
      <c r="A1754" s="336"/>
      <c r="B1754" s="540"/>
      <c r="C1754" s="335" t="s">
        <v>128</v>
      </c>
      <c r="D1754" s="486" t="s">
        <v>80</v>
      </c>
      <c r="E1754" s="614">
        <v>1.38</v>
      </c>
      <c r="F1754" s="389">
        <f>F1753*E1754</f>
        <v>0</v>
      </c>
      <c r="G1754" s="542"/>
      <c r="H1754" s="636"/>
      <c r="I1754" s="389">
        <v>4.5999999999999996</v>
      </c>
      <c r="J1754" s="389">
        <f>F1754*I1754</f>
        <v>0</v>
      </c>
      <c r="K1754" s="389"/>
      <c r="L1754" s="389"/>
      <c r="M1754" s="389">
        <f>H1754+J1754+L1754</f>
        <v>0</v>
      </c>
      <c r="N1754" s="830"/>
      <c r="O1754" s="827"/>
      <c r="P1754" s="828"/>
      <c r="Q1754" s="828"/>
      <c r="R1754" s="828"/>
      <c r="S1754" s="828"/>
      <c r="T1754" s="828"/>
      <c r="U1754" s="828"/>
      <c r="V1754" s="828"/>
      <c r="W1754" s="828"/>
      <c r="X1754" s="828"/>
      <c r="Y1754" s="828"/>
      <c r="Z1754" s="828"/>
      <c r="AA1754" s="827"/>
      <c r="AB1754" s="827"/>
      <c r="AC1754" s="827"/>
      <c r="AD1754" s="827"/>
      <c r="AE1754" s="827"/>
      <c r="AF1754" s="827"/>
      <c r="AG1754" s="827"/>
      <c r="AH1754" s="827"/>
      <c r="AI1754" s="827"/>
      <c r="AJ1754" s="827"/>
      <c r="AK1754" s="827"/>
      <c r="AL1754" s="827"/>
      <c r="AM1754" s="827"/>
      <c r="AN1754" s="827"/>
      <c r="AO1754" s="827"/>
      <c r="AP1754" s="827"/>
      <c r="AQ1754" s="827"/>
      <c r="AR1754" s="827"/>
      <c r="AS1754" s="827"/>
      <c r="AT1754" s="827"/>
      <c r="AU1754" s="827"/>
      <c r="AV1754" s="827"/>
      <c r="AW1754" s="827"/>
      <c r="AX1754" s="827"/>
      <c r="AY1754" s="827"/>
      <c r="AZ1754" s="827"/>
      <c r="BA1754" s="827"/>
      <c r="BB1754" s="827"/>
      <c r="BC1754" s="827"/>
      <c r="BD1754" s="827"/>
      <c r="BE1754" s="827"/>
      <c r="BF1754" s="827"/>
      <c r="BG1754" s="827"/>
      <c r="BH1754" s="827"/>
      <c r="BI1754" s="827"/>
      <c r="BJ1754" s="827"/>
      <c r="BK1754" s="827"/>
      <c r="BL1754" s="827"/>
      <c r="BM1754" s="827"/>
      <c r="BN1754" s="827"/>
      <c r="BO1754" s="827"/>
      <c r="BP1754" s="827"/>
      <c r="BQ1754" s="827"/>
      <c r="BR1754" s="827"/>
      <c r="BS1754" s="827"/>
      <c r="BT1754" s="827"/>
      <c r="BU1754" s="827"/>
      <c r="BV1754" s="827"/>
      <c r="BW1754" s="827"/>
      <c r="BX1754" s="827"/>
      <c r="BY1754" s="827"/>
      <c r="BZ1754" s="827"/>
      <c r="CA1754" s="827"/>
      <c r="CB1754" s="827"/>
      <c r="CC1754" s="827"/>
      <c r="CD1754" s="827"/>
      <c r="CE1754" s="827"/>
      <c r="CF1754" s="827"/>
      <c r="CG1754" s="827"/>
      <c r="CH1754" s="827"/>
      <c r="CI1754" s="827"/>
      <c r="CJ1754" s="827"/>
      <c r="CK1754" s="827"/>
      <c r="CL1754" s="827"/>
      <c r="CM1754" s="827"/>
      <c r="CN1754" s="827"/>
      <c r="CO1754" s="827"/>
      <c r="CP1754" s="827"/>
      <c r="CQ1754" s="827"/>
      <c r="CR1754" s="827"/>
      <c r="CS1754" s="827"/>
      <c r="CT1754" s="827"/>
      <c r="CU1754" s="827"/>
      <c r="CV1754" s="827"/>
      <c r="CW1754" s="827"/>
      <c r="CX1754" s="827"/>
      <c r="CY1754" s="827"/>
      <c r="CZ1754" s="827"/>
      <c r="DA1754" s="827"/>
      <c r="DB1754" s="827"/>
      <c r="DC1754" s="827"/>
      <c r="DD1754" s="827"/>
      <c r="DE1754" s="827"/>
      <c r="DF1754" s="827"/>
      <c r="DG1754" s="827"/>
      <c r="DH1754" s="827"/>
      <c r="DI1754" s="827"/>
      <c r="DJ1754" s="827"/>
      <c r="DK1754" s="827"/>
      <c r="DL1754" s="827"/>
      <c r="DM1754" s="827"/>
      <c r="DN1754" s="827"/>
      <c r="DO1754" s="827"/>
      <c r="DP1754" s="827"/>
      <c r="DQ1754" s="827"/>
      <c r="DR1754" s="827"/>
      <c r="DS1754" s="827"/>
      <c r="DT1754" s="827"/>
      <c r="DU1754" s="827"/>
      <c r="DV1754" s="827"/>
      <c r="DW1754" s="827"/>
      <c r="DX1754" s="827"/>
      <c r="DY1754" s="827"/>
      <c r="DZ1754" s="827"/>
      <c r="EA1754" s="827"/>
      <c r="EB1754" s="827"/>
      <c r="EC1754" s="827"/>
      <c r="ED1754" s="827"/>
      <c r="EE1754" s="827"/>
      <c r="EF1754" s="827"/>
      <c r="EG1754" s="827"/>
      <c r="EH1754" s="827"/>
      <c r="EI1754" s="827"/>
      <c r="EJ1754" s="827"/>
      <c r="EK1754" s="827"/>
      <c r="EL1754" s="827"/>
      <c r="EM1754" s="827"/>
      <c r="EN1754" s="827"/>
      <c r="EO1754" s="827"/>
      <c r="EP1754" s="827"/>
      <c r="EQ1754" s="827"/>
      <c r="ER1754" s="827"/>
      <c r="ES1754" s="827"/>
      <c r="ET1754" s="827"/>
      <c r="EU1754" s="827"/>
      <c r="EV1754" s="827"/>
      <c r="EW1754" s="827"/>
      <c r="EX1754" s="827"/>
      <c r="EY1754" s="827"/>
      <c r="EZ1754" s="827"/>
      <c r="FA1754" s="827"/>
      <c r="FB1754" s="827"/>
      <c r="FC1754" s="827"/>
      <c r="FD1754" s="827"/>
      <c r="FE1754" s="827"/>
      <c r="FF1754" s="827"/>
      <c r="FG1754" s="827"/>
      <c r="FH1754" s="827"/>
      <c r="FI1754" s="827"/>
      <c r="FJ1754" s="827"/>
      <c r="FK1754" s="827"/>
      <c r="FL1754" s="827"/>
      <c r="FM1754" s="827"/>
      <c r="FN1754" s="827"/>
      <c r="FO1754" s="827"/>
      <c r="FP1754" s="827"/>
      <c r="FQ1754" s="827"/>
      <c r="FR1754" s="827"/>
      <c r="FS1754" s="827"/>
      <c r="FT1754" s="827"/>
      <c r="FU1754" s="827"/>
      <c r="FV1754" s="827"/>
      <c r="FW1754" s="827"/>
      <c r="FX1754" s="827"/>
      <c r="FY1754" s="827"/>
      <c r="FZ1754" s="827"/>
      <c r="GA1754" s="827"/>
      <c r="GB1754" s="827"/>
      <c r="GC1754" s="827"/>
      <c r="GD1754" s="827"/>
      <c r="GE1754" s="827"/>
      <c r="GF1754" s="827"/>
      <c r="GG1754" s="827"/>
      <c r="GH1754" s="827"/>
      <c r="GI1754" s="827"/>
      <c r="GJ1754" s="827"/>
      <c r="GK1754" s="827"/>
      <c r="GL1754" s="827"/>
      <c r="GM1754" s="827"/>
      <c r="GN1754" s="827"/>
      <c r="GO1754" s="827"/>
      <c r="GP1754" s="827"/>
      <c r="GQ1754" s="827"/>
      <c r="GR1754" s="827"/>
      <c r="GS1754" s="827"/>
      <c r="GT1754" s="827"/>
      <c r="GU1754" s="827"/>
      <c r="GV1754" s="827"/>
      <c r="GW1754" s="827"/>
      <c r="GX1754" s="827"/>
      <c r="GY1754" s="827"/>
      <c r="GZ1754" s="827"/>
      <c r="HA1754" s="827"/>
      <c r="HB1754" s="827"/>
      <c r="HC1754" s="827"/>
      <c r="HD1754" s="827"/>
      <c r="HE1754" s="827"/>
      <c r="HF1754" s="827"/>
      <c r="HG1754" s="827"/>
      <c r="HH1754" s="827"/>
      <c r="HI1754" s="827"/>
      <c r="HJ1754" s="827"/>
      <c r="HK1754" s="827"/>
      <c r="HL1754" s="827"/>
      <c r="HM1754" s="827"/>
      <c r="HN1754" s="827"/>
      <c r="HO1754" s="827"/>
      <c r="HP1754" s="827"/>
      <c r="HQ1754" s="827"/>
      <c r="HR1754" s="827"/>
      <c r="HS1754" s="827"/>
      <c r="HT1754" s="827"/>
      <c r="HU1754" s="827"/>
      <c r="HV1754" s="827"/>
      <c r="HW1754" s="827"/>
      <c r="HX1754" s="827"/>
      <c r="HY1754" s="827"/>
      <c r="HZ1754" s="827"/>
      <c r="IA1754" s="827"/>
      <c r="IB1754" s="827"/>
      <c r="IC1754" s="827"/>
      <c r="ID1754" s="827"/>
      <c r="IE1754" s="827"/>
      <c r="IF1754" s="827"/>
      <c r="IG1754" s="827"/>
      <c r="IH1754" s="827"/>
      <c r="II1754" s="827"/>
      <c r="IJ1754" s="827"/>
      <c r="IK1754" s="827"/>
      <c r="IL1754" s="827"/>
      <c r="IM1754" s="827"/>
      <c r="IN1754" s="827"/>
      <c r="IO1754" s="827"/>
      <c r="IP1754" s="827"/>
      <c r="IQ1754" s="827"/>
      <c r="IR1754" s="827"/>
      <c r="IS1754" s="827"/>
      <c r="IT1754" s="827"/>
      <c r="IU1754" s="827"/>
    </row>
    <row r="1755" spans="1:255" s="831" customFormat="1" ht="14.25" hidden="1" customHeight="1">
      <c r="A1755" s="336"/>
      <c r="B1755" s="543"/>
      <c r="C1755" s="335" t="s">
        <v>133</v>
      </c>
      <c r="D1755" s="336" t="s">
        <v>57</v>
      </c>
      <c r="E1755" s="863">
        <v>0.06</v>
      </c>
      <c r="F1755" s="389">
        <f>F1753*E1755</f>
        <v>0</v>
      </c>
      <c r="G1755" s="542"/>
      <c r="H1755" s="389"/>
      <c r="I1755" s="389"/>
      <c r="J1755" s="389"/>
      <c r="K1755" s="389">
        <v>3.2</v>
      </c>
      <c r="L1755" s="389">
        <f>F1755*K1755</f>
        <v>0</v>
      </c>
      <c r="M1755" s="389">
        <f>H1755+J1755+L1755</f>
        <v>0</v>
      </c>
      <c r="N1755" s="830"/>
      <c r="O1755" s="827"/>
      <c r="P1755" s="828"/>
      <c r="Q1755" s="828"/>
      <c r="R1755" s="828"/>
      <c r="S1755" s="828"/>
      <c r="T1755" s="828"/>
      <c r="U1755" s="828"/>
      <c r="V1755" s="828"/>
      <c r="W1755" s="828"/>
      <c r="X1755" s="828"/>
      <c r="Y1755" s="828"/>
      <c r="Z1755" s="828"/>
      <c r="AA1755" s="827"/>
      <c r="AB1755" s="827"/>
      <c r="AC1755" s="827"/>
      <c r="AD1755" s="827"/>
      <c r="AE1755" s="827"/>
      <c r="AF1755" s="827"/>
      <c r="AG1755" s="827"/>
      <c r="AH1755" s="827"/>
      <c r="AI1755" s="827"/>
      <c r="AJ1755" s="827"/>
      <c r="AK1755" s="827"/>
      <c r="AL1755" s="827"/>
      <c r="AM1755" s="827"/>
      <c r="AN1755" s="827"/>
      <c r="AO1755" s="827"/>
      <c r="AP1755" s="827"/>
      <c r="AQ1755" s="827"/>
      <c r="AR1755" s="827"/>
      <c r="AS1755" s="827"/>
      <c r="AT1755" s="827"/>
      <c r="AU1755" s="827"/>
      <c r="AV1755" s="827"/>
      <c r="AW1755" s="827"/>
      <c r="AX1755" s="827"/>
      <c r="AY1755" s="827"/>
      <c r="AZ1755" s="827"/>
      <c r="BA1755" s="827"/>
      <c r="BB1755" s="827"/>
      <c r="BC1755" s="827"/>
      <c r="BD1755" s="827"/>
      <c r="BE1755" s="827"/>
      <c r="BF1755" s="827"/>
      <c r="BG1755" s="827"/>
      <c r="BH1755" s="827"/>
      <c r="BI1755" s="827"/>
      <c r="BJ1755" s="827"/>
      <c r="BK1755" s="827"/>
      <c r="BL1755" s="827"/>
      <c r="BM1755" s="827"/>
      <c r="BN1755" s="827"/>
      <c r="BO1755" s="827"/>
      <c r="BP1755" s="827"/>
      <c r="BQ1755" s="827"/>
      <c r="BR1755" s="827"/>
      <c r="BS1755" s="827"/>
      <c r="BT1755" s="827"/>
      <c r="BU1755" s="827"/>
      <c r="BV1755" s="827"/>
      <c r="BW1755" s="827"/>
      <c r="BX1755" s="827"/>
      <c r="BY1755" s="827"/>
      <c r="BZ1755" s="827"/>
      <c r="CA1755" s="827"/>
      <c r="CB1755" s="827"/>
      <c r="CC1755" s="827"/>
      <c r="CD1755" s="827"/>
      <c r="CE1755" s="827"/>
      <c r="CF1755" s="827"/>
      <c r="CG1755" s="827"/>
      <c r="CH1755" s="827"/>
      <c r="CI1755" s="827"/>
      <c r="CJ1755" s="827"/>
      <c r="CK1755" s="827"/>
      <c r="CL1755" s="827"/>
      <c r="CM1755" s="827"/>
      <c r="CN1755" s="827"/>
      <c r="CO1755" s="827"/>
      <c r="CP1755" s="827"/>
      <c r="CQ1755" s="827"/>
      <c r="CR1755" s="827"/>
      <c r="CS1755" s="827"/>
      <c r="CT1755" s="827"/>
      <c r="CU1755" s="827"/>
      <c r="CV1755" s="827"/>
      <c r="CW1755" s="827"/>
      <c r="CX1755" s="827"/>
      <c r="CY1755" s="827"/>
      <c r="CZ1755" s="827"/>
      <c r="DA1755" s="827"/>
      <c r="DB1755" s="827"/>
      <c r="DC1755" s="827"/>
      <c r="DD1755" s="827"/>
      <c r="DE1755" s="827"/>
      <c r="DF1755" s="827"/>
      <c r="DG1755" s="827"/>
      <c r="DH1755" s="827"/>
      <c r="DI1755" s="827"/>
      <c r="DJ1755" s="827"/>
      <c r="DK1755" s="827"/>
      <c r="DL1755" s="827"/>
      <c r="DM1755" s="827"/>
      <c r="DN1755" s="827"/>
      <c r="DO1755" s="827"/>
      <c r="DP1755" s="827"/>
      <c r="DQ1755" s="827"/>
      <c r="DR1755" s="827"/>
      <c r="DS1755" s="827"/>
      <c r="DT1755" s="827"/>
      <c r="DU1755" s="827"/>
      <c r="DV1755" s="827"/>
      <c r="DW1755" s="827"/>
      <c r="DX1755" s="827"/>
      <c r="DY1755" s="827"/>
      <c r="DZ1755" s="827"/>
      <c r="EA1755" s="827"/>
      <c r="EB1755" s="827"/>
      <c r="EC1755" s="827"/>
      <c r="ED1755" s="827"/>
      <c r="EE1755" s="827"/>
      <c r="EF1755" s="827"/>
      <c r="EG1755" s="827"/>
      <c r="EH1755" s="827"/>
      <c r="EI1755" s="827"/>
      <c r="EJ1755" s="827"/>
      <c r="EK1755" s="827"/>
      <c r="EL1755" s="827"/>
      <c r="EM1755" s="827"/>
      <c r="EN1755" s="827"/>
      <c r="EO1755" s="827"/>
      <c r="EP1755" s="827"/>
      <c r="EQ1755" s="827"/>
      <c r="ER1755" s="827"/>
      <c r="ES1755" s="827"/>
      <c r="ET1755" s="827"/>
      <c r="EU1755" s="827"/>
      <c r="EV1755" s="827"/>
      <c r="EW1755" s="827"/>
      <c r="EX1755" s="827"/>
      <c r="EY1755" s="827"/>
      <c r="EZ1755" s="827"/>
      <c r="FA1755" s="827"/>
      <c r="FB1755" s="827"/>
      <c r="FC1755" s="827"/>
      <c r="FD1755" s="827"/>
      <c r="FE1755" s="827"/>
      <c r="FF1755" s="827"/>
      <c r="FG1755" s="827"/>
      <c r="FH1755" s="827"/>
      <c r="FI1755" s="827"/>
      <c r="FJ1755" s="827"/>
      <c r="FK1755" s="827"/>
      <c r="FL1755" s="827"/>
      <c r="FM1755" s="827"/>
      <c r="FN1755" s="827"/>
      <c r="FO1755" s="827"/>
      <c r="FP1755" s="827"/>
      <c r="FQ1755" s="827"/>
      <c r="FR1755" s="827"/>
      <c r="FS1755" s="827"/>
      <c r="FT1755" s="827"/>
      <c r="FU1755" s="827"/>
      <c r="FV1755" s="827"/>
      <c r="FW1755" s="827"/>
      <c r="FX1755" s="827"/>
      <c r="FY1755" s="827"/>
      <c r="FZ1755" s="827"/>
      <c r="GA1755" s="827"/>
      <c r="GB1755" s="827"/>
      <c r="GC1755" s="827"/>
      <c r="GD1755" s="827"/>
      <c r="GE1755" s="827"/>
      <c r="GF1755" s="827"/>
      <c r="GG1755" s="827"/>
      <c r="GH1755" s="827"/>
      <c r="GI1755" s="827"/>
      <c r="GJ1755" s="827"/>
      <c r="GK1755" s="827"/>
      <c r="GL1755" s="827"/>
      <c r="GM1755" s="827"/>
      <c r="GN1755" s="827"/>
      <c r="GO1755" s="827"/>
      <c r="GP1755" s="827"/>
      <c r="GQ1755" s="827"/>
      <c r="GR1755" s="827"/>
      <c r="GS1755" s="827"/>
      <c r="GT1755" s="827"/>
      <c r="GU1755" s="827"/>
      <c r="GV1755" s="827"/>
      <c r="GW1755" s="827"/>
      <c r="GX1755" s="827"/>
      <c r="GY1755" s="827"/>
      <c r="GZ1755" s="827"/>
      <c r="HA1755" s="827"/>
      <c r="HB1755" s="827"/>
      <c r="HC1755" s="827"/>
      <c r="HD1755" s="827"/>
      <c r="HE1755" s="827"/>
      <c r="HF1755" s="827"/>
      <c r="HG1755" s="827"/>
      <c r="HH1755" s="827"/>
      <c r="HI1755" s="827"/>
      <c r="HJ1755" s="827"/>
      <c r="HK1755" s="827"/>
      <c r="HL1755" s="827"/>
      <c r="HM1755" s="827"/>
      <c r="HN1755" s="827"/>
      <c r="HO1755" s="827"/>
      <c r="HP1755" s="827"/>
      <c r="HQ1755" s="827"/>
      <c r="HR1755" s="827"/>
      <c r="HS1755" s="827"/>
      <c r="HT1755" s="827"/>
      <c r="HU1755" s="827"/>
      <c r="HV1755" s="827"/>
      <c r="HW1755" s="827"/>
      <c r="HX1755" s="827"/>
      <c r="HY1755" s="827"/>
      <c r="HZ1755" s="827"/>
      <c r="IA1755" s="827"/>
      <c r="IB1755" s="827"/>
      <c r="IC1755" s="827"/>
      <c r="ID1755" s="827"/>
      <c r="IE1755" s="827"/>
      <c r="IF1755" s="827"/>
      <c r="IG1755" s="827"/>
      <c r="IH1755" s="827"/>
      <c r="II1755" s="827"/>
      <c r="IJ1755" s="827"/>
      <c r="IK1755" s="827"/>
      <c r="IL1755" s="827"/>
      <c r="IM1755" s="827"/>
      <c r="IN1755" s="827"/>
      <c r="IO1755" s="827"/>
      <c r="IP1755" s="827"/>
      <c r="IQ1755" s="827"/>
      <c r="IR1755" s="827"/>
      <c r="IS1755" s="827"/>
      <c r="IT1755" s="827"/>
      <c r="IU1755" s="827"/>
    </row>
    <row r="1756" spans="1:255" s="831" customFormat="1" ht="14.25" hidden="1" customHeight="1">
      <c r="A1756" s="336"/>
      <c r="B1756" s="543"/>
      <c r="C1756" s="335" t="s">
        <v>210</v>
      </c>
      <c r="D1756" s="486"/>
      <c r="E1756" s="863"/>
      <c r="F1756" s="389"/>
      <c r="G1756" s="542"/>
      <c r="H1756" s="389"/>
      <c r="I1756" s="389"/>
      <c r="J1756" s="389"/>
      <c r="K1756" s="389"/>
      <c r="L1756" s="389"/>
      <c r="M1756" s="389"/>
      <c r="N1756" s="830"/>
      <c r="O1756" s="827"/>
      <c r="P1756" s="828"/>
      <c r="Q1756" s="828"/>
      <c r="R1756" s="828"/>
      <c r="S1756" s="828"/>
      <c r="T1756" s="828"/>
      <c r="U1756" s="828"/>
      <c r="V1756" s="828"/>
      <c r="W1756" s="828"/>
      <c r="X1756" s="828"/>
      <c r="Y1756" s="828"/>
      <c r="Z1756" s="828"/>
      <c r="AA1756" s="827"/>
      <c r="AB1756" s="827"/>
      <c r="AC1756" s="827"/>
      <c r="AD1756" s="827"/>
      <c r="AE1756" s="827"/>
      <c r="AF1756" s="827"/>
      <c r="AG1756" s="827"/>
      <c r="AH1756" s="827"/>
      <c r="AI1756" s="827"/>
      <c r="AJ1756" s="827"/>
      <c r="AK1756" s="827"/>
      <c r="AL1756" s="827"/>
      <c r="AM1756" s="827"/>
      <c r="AN1756" s="827"/>
      <c r="AO1756" s="827"/>
      <c r="AP1756" s="827"/>
      <c r="AQ1756" s="827"/>
      <c r="AR1756" s="827"/>
      <c r="AS1756" s="827"/>
      <c r="AT1756" s="827"/>
      <c r="AU1756" s="827"/>
      <c r="AV1756" s="827"/>
      <c r="AW1756" s="827"/>
      <c r="AX1756" s="827"/>
      <c r="AY1756" s="827"/>
      <c r="AZ1756" s="827"/>
      <c r="BA1756" s="827"/>
      <c r="BB1756" s="827"/>
      <c r="BC1756" s="827"/>
      <c r="BD1756" s="827"/>
      <c r="BE1756" s="827"/>
      <c r="BF1756" s="827"/>
      <c r="BG1756" s="827"/>
      <c r="BH1756" s="827"/>
      <c r="BI1756" s="827"/>
      <c r="BJ1756" s="827"/>
      <c r="BK1756" s="827"/>
      <c r="BL1756" s="827"/>
      <c r="BM1756" s="827"/>
      <c r="BN1756" s="827"/>
      <c r="BO1756" s="827"/>
      <c r="BP1756" s="827"/>
      <c r="BQ1756" s="827"/>
      <c r="BR1756" s="827"/>
      <c r="BS1756" s="827"/>
      <c r="BT1756" s="827"/>
      <c r="BU1756" s="827"/>
      <c r="BV1756" s="827"/>
      <c r="BW1756" s="827"/>
      <c r="BX1756" s="827"/>
      <c r="BY1756" s="827"/>
      <c r="BZ1756" s="827"/>
      <c r="CA1756" s="827"/>
      <c r="CB1756" s="827"/>
      <c r="CC1756" s="827"/>
      <c r="CD1756" s="827"/>
      <c r="CE1756" s="827"/>
      <c r="CF1756" s="827"/>
      <c r="CG1756" s="827"/>
      <c r="CH1756" s="827"/>
      <c r="CI1756" s="827"/>
      <c r="CJ1756" s="827"/>
      <c r="CK1756" s="827"/>
      <c r="CL1756" s="827"/>
      <c r="CM1756" s="827"/>
      <c r="CN1756" s="827"/>
      <c r="CO1756" s="827"/>
      <c r="CP1756" s="827"/>
      <c r="CQ1756" s="827"/>
      <c r="CR1756" s="827"/>
      <c r="CS1756" s="827"/>
      <c r="CT1756" s="827"/>
      <c r="CU1756" s="827"/>
      <c r="CV1756" s="827"/>
      <c r="CW1756" s="827"/>
      <c r="CX1756" s="827"/>
      <c r="CY1756" s="827"/>
      <c r="CZ1756" s="827"/>
      <c r="DA1756" s="827"/>
      <c r="DB1756" s="827"/>
      <c r="DC1756" s="827"/>
      <c r="DD1756" s="827"/>
      <c r="DE1756" s="827"/>
      <c r="DF1756" s="827"/>
      <c r="DG1756" s="827"/>
      <c r="DH1756" s="827"/>
      <c r="DI1756" s="827"/>
      <c r="DJ1756" s="827"/>
      <c r="DK1756" s="827"/>
      <c r="DL1756" s="827"/>
      <c r="DM1756" s="827"/>
      <c r="DN1756" s="827"/>
      <c r="DO1756" s="827"/>
      <c r="DP1756" s="827"/>
      <c r="DQ1756" s="827"/>
      <c r="DR1756" s="827"/>
      <c r="DS1756" s="827"/>
      <c r="DT1756" s="827"/>
      <c r="DU1756" s="827"/>
      <c r="DV1756" s="827"/>
      <c r="DW1756" s="827"/>
      <c r="DX1756" s="827"/>
      <c r="DY1756" s="827"/>
      <c r="DZ1756" s="827"/>
      <c r="EA1756" s="827"/>
      <c r="EB1756" s="827"/>
      <c r="EC1756" s="827"/>
      <c r="ED1756" s="827"/>
      <c r="EE1756" s="827"/>
      <c r="EF1756" s="827"/>
      <c r="EG1756" s="827"/>
      <c r="EH1756" s="827"/>
      <c r="EI1756" s="827"/>
      <c r="EJ1756" s="827"/>
      <c r="EK1756" s="827"/>
      <c r="EL1756" s="827"/>
      <c r="EM1756" s="827"/>
      <c r="EN1756" s="827"/>
      <c r="EO1756" s="827"/>
      <c r="EP1756" s="827"/>
      <c r="EQ1756" s="827"/>
      <c r="ER1756" s="827"/>
      <c r="ES1756" s="827"/>
      <c r="ET1756" s="827"/>
      <c r="EU1756" s="827"/>
      <c r="EV1756" s="827"/>
      <c r="EW1756" s="827"/>
      <c r="EX1756" s="827"/>
      <c r="EY1756" s="827"/>
      <c r="EZ1756" s="827"/>
      <c r="FA1756" s="827"/>
      <c r="FB1756" s="827"/>
      <c r="FC1756" s="827"/>
      <c r="FD1756" s="827"/>
      <c r="FE1756" s="827"/>
      <c r="FF1756" s="827"/>
      <c r="FG1756" s="827"/>
      <c r="FH1756" s="827"/>
      <c r="FI1756" s="827"/>
      <c r="FJ1756" s="827"/>
      <c r="FK1756" s="827"/>
      <c r="FL1756" s="827"/>
      <c r="FM1756" s="827"/>
      <c r="FN1756" s="827"/>
      <c r="FO1756" s="827"/>
      <c r="FP1756" s="827"/>
      <c r="FQ1756" s="827"/>
      <c r="FR1756" s="827"/>
      <c r="FS1756" s="827"/>
      <c r="FT1756" s="827"/>
      <c r="FU1756" s="827"/>
      <c r="FV1756" s="827"/>
      <c r="FW1756" s="827"/>
      <c r="FX1756" s="827"/>
      <c r="FY1756" s="827"/>
      <c r="FZ1756" s="827"/>
      <c r="GA1756" s="827"/>
      <c r="GB1756" s="827"/>
      <c r="GC1756" s="827"/>
      <c r="GD1756" s="827"/>
      <c r="GE1756" s="827"/>
      <c r="GF1756" s="827"/>
      <c r="GG1756" s="827"/>
      <c r="GH1756" s="827"/>
      <c r="GI1756" s="827"/>
      <c r="GJ1756" s="827"/>
      <c r="GK1756" s="827"/>
      <c r="GL1756" s="827"/>
      <c r="GM1756" s="827"/>
      <c r="GN1756" s="827"/>
      <c r="GO1756" s="827"/>
      <c r="GP1756" s="827"/>
      <c r="GQ1756" s="827"/>
      <c r="GR1756" s="827"/>
      <c r="GS1756" s="827"/>
      <c r="GT1756" s="827"/>
      <c r="GU1756" s="827"/>
      <c r="GV1756" s="827"/>
      <c r="GW1756" s="827"/>
      <c r="GX1756" s="827"/>
      <c r="GY1756" s="827"/>
      <c r="GZ1756" s="827"/>
      <c r="HA1756" s="827"/>
      <c r="HB1756" s="827"/>
      <c r="HC1756" s="827"/>
      <c r="HD1756" s="827"/>
      <c r="HE1756" s="827"/>
      <c r="HF1756" s="827"/>
      <c r="HG1756" s="827"/>
      <c r="HH1756" s="827"/>
      <c r="HI1756" s="827"/>
      <c r="HJ1756" s="827"/>
      <c r="HK1756" s="827"/>
      <c r="HL1756" s="827"/>
      <c r="HM1756" s="827"/>
      <c r="HN1756" s="827"/>
      <c r="HO1756" s="827"/>
      <c r="HP1756" s="827"/>
      <c r="HQ1756" s="827"/>
      <c r="HR1756" s="827"/>
      <c r="HS1756" s="827"/>
      <c r="HT1756" s="827"/>
      <c r="HU1756" s="827"/>
      <c r="HV1756" s="827"/>
      <c r="HW1756" s="827"/>
      <c r="HX1756" s="827"/>
      <c r="HY1756" s="827"/>
      <c r="HZ1756" s="827"/>
      <c r="IA1756" s="827"/>
      <c r="IB1756" s="827"/>
      <c r="IC1756" s="827"/>
      <c r="ID1756" s="827"/>
      <c r="IE1756" s="827"/>
      <c r="IF1756" s="827"/>
      <c r="IG1756" s="827"/>
      <c r="IH1756" s="827"/>
      <c r="II1756" s="827"/>
      <c r="IJ1756" s="827"/>
      <c r="IK1756" s="827"/>
      <c r="IL1756" s="827"/>
      <c r="IM1756" s="827"/>
      <c r="IN1756" s="827"/>
      <c r="IO1756" s="827"/>
      <c r="IP1756" s="827"/>
      <c r="IQ1756" s="827"/>
      <c r="IR1756" s="827"/>
      <c r="IS1756" s="827"/>
      <c r="IT1756" s="827"/>
      <c r="IU1756" s="827"/>
    </row>
    <row r="1757" spans="1:255" s="831" customFormat="1" ht="15" hidden="1" customHeight="1">
      <c r="A1757" s="336"/>
      <c r="B1757" s="543"/>
      <c r="C1757" s="335" t="s">
        <v>1385</v>
      </c>
      <c r="D1757" s="486" t="s">
        <v>816</v>
      </c>
      <c r="E1757" s="863">
        <v>1</v>
      </c>
      <c r="F1757" s="389">
        <f>F1753*E1757</f>
        <v>0</v>
      </c>
      <c r="G1757" s="389">
        <v>42.4</v>
      </c>
      <c r="H1757" s="389">
        <f>F1757*G1757</f>
        <v>0</v>
      </c>
      <c r="I1757" s="389"/>
      <c r="J1757" s="389"/>
      <c r="K1757" s="389"/>
      <c r="L1757" s="389"/>
      <c r="M1757" s="389">
        <f>H1757+J1757+L1757</f>
        <v>0</v>
      </c>
      <c r="N1757" s="830"/>
      <c r="O1757" s="827"/>
      <c r="P1757" s="828"/>
      <c r="Q1757" s="828"/>
      <c r="R1757" s="828"/>
      <c r="S1757" s="828"/>
      <c r="T1757" s="828"/>
      <c r="U1757" s="828"/>
      <c r="V1757" s="828"/>
      <c r="W1757" s="828"/>
      <c r="X1757" s="828"/>
      <c r="Y1757" s="828"/>
      <c r="Z1757" s="828"/>
      <c r="AA1757" s="827"/>
      <c r="AB1757" s="827"/>
      <c r="AC1757" s="827"/>
      <c r="AD1757" s="827"/>
      <c r="AE1757" s="827"/>
      <c r="AF1757" s="827"/>
      <c r="AG1757" s="827"/>
      <c r="AH1757" s="827"/>
      <c r="AI1757" s="827"/>
      <c r="AJ1757" s="827"/>
      <c r="AK1757" s="827"/>
      <c r="AL1757" s="827"/>
      <c r="AM1757" s="827"/>
      <c r="AN1757" s="827"/>
      <c r="AO1757" s="827"/>
      <c r="AP1757" s="827"/>
      <c r="AQ1757" s="827"/>
      <c r="AR1757" s="827"/>
      <c r="AS1757" s="827"/>
      <c r="AT1757" s="827"/>
      <c r="AU1757" s="827"/>
      <c r="AV1757" s="827"/>
      <c r="AW1757" s="827"/>
      <c r="AX1757" s="827"/>
      <c r="AY1757" s="827"/>
      <c r="AZ1757" s="827"/>
      <c r="BA1757" s="827"/>
      <c r="BB1757" s="827"/>
      <c r="BC1757" s="827"/>
      <c r="BD1757" s="827"/>
      <c r="BE1757" s="827"/>
      <c r="BF1757" s="827"/>
      <c r="BG1757" s="827"/>
      <c r="BH1757" s="827"/>
      <c r="BI1757" s="827"/>
      <c r="BJ1757" s="827"/>
      <c r="BK1757" s="827"/>
      <c r="BL1757" s="827"/>
      <c r="BM1757" s="827"/>
      <c r="BN1757" s="827"/>
      <c r="BO1757" s="827"/>
      <c r="BP1757" s="827"/>
      <c r="BQ1757" s="827"/>
      <c r="BR1757" s="827"/>
      <c r="BS1757" s="827"/>
      <c r="BT1757" s="827"/>
      <c r="BU1757" s="827"/>
      <c r="BV1757" s="827"/>
      <c r="BW1757" s="827"/>
      <c r="BX1757" s="827"/>
      <c r="BY1757" s="827"/>
      <c r="BZ1757" s="827"/>
      <c r="CA1757" s="827"/>
      <c r="CB1757" s="827"/>
      <c r="CC1757" s="827"/>
      <c r="CD1757" s="827"/>
      <c r="CE1757" s="827"/>
      <c r="CF1757" s="827"/>
      <c r="CG1757" s="827"/>
      <c r="CH1757" s="827"/>
      <c r="CI1757" s="827"/>
      <c r="CJ1757" s="827"/>
      <c r="CK1757" s="827"/>
      <c r="CL1757" s="827"/>
      <c r="CM1757" s="827"/>
      <c r="CN1757" s="827"/>
      <c r="CO1757" s="827"/>
      <c r="CP1757" s="827"/>
      <c r="CQ1757" s="827"/>
      <c r="CR1757" s="827"/>
      <c r="CS1757" s="827"/>
      <c r="CT1757" s="827"/>
      <c r="CU1757" s="827"/>
      <c r="CV1757" s="827"/>
      <c r="CW1757" s="827"/>
      <c r="CX1757" s="827"/>
      <c r="CY1757" s="827"/>
      <c r="CZ1757" s="827"/>
      <c r="DA1757" s="827"/>
      <c r="DB1757" s="827"/>
      <c r="DC1757" s="827"/>
      <c r="DD1757" s="827"/>
      <c r="DE1757" s="827"/>
      <c r="DF1757" s="827"/>
      <c r="DG1757" s="827"/>
      <c r="DH1757" s="827"/>
      <c r="DI1757" s="827"/>
      <c r="DJ1757" s="827"/>
      <c r="DK1757" s="827"/>
      <c r="DL1757" s="827"/>
      <c r="DM1757" s="827"/>
      <c r="DN1757" s="827"/>
      <c r="DO1757" s="827"/>
      <c r="DP1757" s="827"/>
      <c r="DQ1757" s="827"/>
      <c r="DR1757" s="827"/>
      <c r="DS1757" s="827"/>
      <c r="DT1757" s="827"/>
      <c r="DU1757" s="827"/>
      <c r="DV1757" s="827"/>
      <c r="DW1757" s="827"/>
      <c r="DX1757" s="827"/>
      <c r="DY1757" s="827"/>
      <c r="DZ1757" s="827"/>
      <c r="EA1757" s="827"/>
      <c r="EB1757" s="827"/>
      <c r="EC1757" s="827"/>
      <c r="ED1757" s="827"/>
      <c r="EE1757" s="827"/>
      <c r="EF1757" s="827"/>
      <c r="EG1757" s="827"/>
      <c r="EH1757" s="827"/>
      <c r="EI1757" s="827"/>
      <c r="EJ1757" s="827"/>
      <c r="EK1757" s="827"/>
      <c r="EL1757" s="827"/>
      <c r="EM1757" s="827"/>
      <c r="EN1757" s="827"/>
      <c r="EO1757" s="827"/>
      <c r="EP1757" s="827"/>
      <c r="EQ1757" s="827"/>
      <c r="ER1757" s="827"/>
      <c r="ES1757" s="827"/>
      <c r="ET1757" s="827"/>
      <c r="EU1757" s="827"/>
      <c r="EV1757" s="827"/>
      <c r="EW1757" s="827"/>
      <c r="EX1757" s="827"/>
      <c r="EY1757" s="827"/>
      <c r="EZ1757" s="827"/>
      <c r="FA1757" s="827"/>
      <c r="FB1757" s="827"/>
      <c r="FC1757" s="827"/>
      <c r="FD1757" s="827"/>
      <c r="FE1757" s="827"/>
      <c r="FF1757" s="827"/>
      <c r="FG1757" s="827"/>
      <c r="FH1757" s="827"/>
      <c r="FI1757" s="827"/>
      <c r="FJ1757" s="827"/>
      <c r="FK1757" s="827"/>
      <c r="FL1757" s="827"/>
      <c r="FM1757" s="827"/>
      <c r="FN1757" s="827"/>
      <c r="FO1757" s="827"/>
      <c r="FP1757" s="827"/>
      <c r="FQ1757" s="827"/>
      <c r="FR1757" s="827"/>
      <c r="FS1757" s="827"/>
      <c r="FT1757" s="827"/>
      <c r="FU1757" s="827"/>
      <c r="FV1757" s="827"/>
      <c r="FW1757" s="827"/>
      <c r="FX1757" s="827"/>
      <c r="FY1757" s="827"/>
      <c r="FZ1757" s="827"/>
      <c r="GA1757" s="827"/>
      <c r="GB1757" s="827"/>
      <c r="GC1757" s="827"/>
      <c r="GD1757" s="827"/>
      <c r="GE1757" s="827"/>
      <c r="GF1757" s="827"/>
      <c r="GG1757" s="827"/>
      <c r="GH1757" s="827"/>
      <c r="GI1757" s="827"/>
      <c r="GJ1757" s="827"/>
      <c r="GK1757" s="827"/>
      <c r="GL1757" s="827"/>
      <c r="GM1757" s="827"/>
      <c r="GN1757" s="827"/>
      <c r="GO1757" s="827"/>
      <c r="GP1757" s="827"/>
      <c r="GQ1757" s="827"/>
      <c r="GR1757" s="827"/>
      <c r="GS1757" s="827"/>
      <c r="GT1757" s="827"/>
      <c r="GU1757" s="827"/>
      <c r="GV1757" s="827"/>
      <c r="GW1757" s="827"/>
      <c r="GX1757" s="827"/>
      <c r="GY1757" s="827"/>
      <c r="GZ1757" s="827"/>
      <c r="HA1757" s="827"/>
      <c r="HB1757" s="827"/>
      <c r="HC1757" s="827"/>
      <c r="HD1757" s="827"/>
      <c r="HE1757" s="827"/>
      <c r="HF1757" s="827"/>
      <c r="HG1757" s="827"/>
      <c r="HH1757" s="827"/>
      <c r="HI1757" s="827"/>
      <c r="HJ1757" s="827"/>
      <c r="HK1757" s="827"/>
      <c r="HL1757" s="827"/>
      <c r="HM1757" s="827"/>
      <c r="HN1757" s="827"/>
      <c r="HO1757" s="827"/>
      <c r="HP1757" s="827"/>
      <c r="HQ1757" s="827"/>
      <c r="HR1757" s="827"/>
      <c r="HS1757" s="827"/>
      <c r="HT1757" s="827"/>
      <c r="HU1757" s="827"/>
      <c r="HV1757" s="827"/>
      <c r="HW1757" s="827"/>
      <c r="HX1757" s="827"/>
      <c r="HY1757" s="827"/>
      <c r="HZ1757" s="827"/>
      <c r="IA1757" s="827"/>
      <c r="IB1757" s="827"/>
      <c r="IC1757" s="827"/>
      <c r="ID1757" s="827"/>
      <c r="IE1757" s="827"/>
      <c r="IF1757" s="827"/>
      <c r="IG1757" s="827"/>
      <c r="IH1757" s="827"/>
      <c r="II1757" s="827"/>
      <c r="IJ1757" s="827"/>
      <c r="IK1757" s="827"/>
      <c r="IL1757" s="827"/>
      <c r="IM1757" s="827"/>
      <c r="IN1757" s="827"/>
      <c r="IO1757" s="827"/>
      <c r="IP1757" s="827"/>
      <c r="IQ1757" s="827"/>
      <c r="IR1757" s="827"/>
      <c r="IS1757" s="827"/>
      <c r="IT1757" s="827"/>
      <c r="IU1757" s="827"/>
    </row>
    <row r="1758" spans="1:255" s="831" customFormat="1" ht="16.5" hidden="1" customHeight="1">
      <c r="A1758" s="342"/>
      <c r="B1758" s="556"/>
      <c r="C1758" s="551" t="s">
        <v>214</v>
      </c>
      <c r="D1758" s="342" t="s">
        <v>57</v>
      </c>
      <c r="E1758" s="864">
        <v>0.38</v>
      </c>
      <c r="F1758" s="392">
        <f>F1753*E1758</f>
        <v>0</v>
      </c>
      <c r="G1758" s="392">
        <v>3.2</v>
      </c>
      <c r="H1758" s="392">
        <f>F1758*G1758</f>
        <v>0</v>
      </c>
      <c r="I1758" s="392"/>
      <c r="J1758" s="392"/>
      <c r="K1758" s="392"/>
      <c r="L1758" s="392"/>
      <c r="M1758" s="392">
        <f>H1758+J1758+L1758</f>
        <v>0</v>
      </c>
      <c r="N1758" s="830"/>
      <c r="O1758" s="827"/>
      <c r="P1758" s="828"/>
      <c r="Q1758" s="828"/>
      <c r="R1758" s="828"/>
      <c r="S1758" s="828"/>
      <c r="T1758" s="828"/>
      <c r="U1758" s="828"/>
      <c r="V1758" s="828"/>
      <c r="W1758" s="828"/>
      <c r="X1758" s="828"/>
      <c r="Y1758" s="828"/>
      <c r="Z1758" s="828"/>
      <c r="AA1758" s="827"/>
      <c r="AB1758" s="827"/>
      <c r="AC1758" s="827"/>
      <c r="AD1758" s="827"/>
      <c r="AE1758" s="827"/>
      <c r="AF1758" s="827"/>
      <c r="AG1758" s="827"/>
      <c r="AH1758" s="827"/>
      <c r="AI1758" s="827"/>
      <c r="AJ1758" s="827"/>
      <c r="AK1758" s="827"/>
      <c r="AL1758" s="827"/>
      <c r="AM1758" s="827"/>
      <c r="AN1758" s="827"/>
      <c r="AO1758" s="827"/>
      <c r="AP1758" s="827"/>
      <c r="AQ1758" s="827"/>
      <c r="AR1758" s="827"/>
      <c r="AS1758" s="827"/>
      <c r="AT1758" s="827"/>
      <c r="AU1758" s="827"/>
      <c r="AV1758" s="827"/>
      <c r="AW1758" s="827"/>
      <c r="AX1758" s="827"/>
      <c r="AY1758" s="827"/>
      <c r="AZ1758" s="827"/>
      <c r="BA1758" s="827"/>
      <c r="BB1758" s="827"/>
      <c r="BC1758" s="827"/>
      <c r="BD1758" s="827"/>
      <c r="BE1758" s="827"/>
      <c r="BF1758" s="827"/>
      <c r="BG1758" s="827"/>
      <c r="BH1758" s="827"/>
      <c r="BI1758" s="827"/>
      <c r="BJ1758" s="827"/>
      <c r="BK1758" s="827"/>
      <c r="BL1758" s="827"/>
      <c r="BM1758" s="827"/>
      <c r="BN1758" s="827"/>
      <c r="BO1758" s="827"/>
      <c r="BP1758" s="827"/>
      <c r="BQ1758" s="827"/>
      <c r="BR1758" s="827"/>
      <c r="BS1758" s="827"/>
      <c r="BT1758" s="827"/>
      <c r="BU1758" s="827"/>
      <c r="BV1758" s="827"/>
      <c r="BW1758" s="827"/>
      <c r="BX1758" s="827"/>
      <c r="BY1758" s="827"/>
      <c r="BZ1758" s="827"/>
      <c r="CA1758" s="827"/>
      <c r="CB1758" s="827"/>
      <c r="CC1758" s="827"/>
      <c r="CD1758" s="827"/>
      <c r="CE1758" s="827"/>
      <c r="CF1758" s="827"/>
      <c r="CG1758" s="827"/>
      <c r="CH1758" s="827"/>
      <c r="CI1758" s="827"/>
      <c r="CJ1758" s="827"/>
      <c r="CK1758" s="827"/>
      <c r="CL1758" s="827"/>
      <c r="CM1758" s="827"/>
      <c r="CN1758" s="827"/>
      <c r="CO1758" s="827"/>
      <c r="CP1758" s="827"/>
      <c r="CQ1758" s="827"/>
      <c r="CR1758" s="827"/>
      <c r="CS1758" s="827"/>
      <c r="CT1758" s="827"/>
      <c r="CU1758" s="827"/>
      <c r="CV1758" s="827"/>
      <c r="CW1758" s="827"/>
      <c r="CX1758" s="827"/>
      <c r="CY1758" s="827"/>
      <c r="CZ1758" s="827"/>
      <c r="DA1758" s="827"/>
      <c r="DB1758" s="827"/>
      <c r="DC1758" s="827"/>
      <c r="DD1758" s="827"/>
      <c r="DE1758" s="827"/>
      <c r="DF1758" s="827"/>
      <c r="DG1758" s="827"/>
      <c r="DH1758" s="827"/>
      <c r="DI1758" s="827"/>
      <c r="DJ1758" s="827"/>
      <c r="DK1758" s="827"/>
      <c r="DL1758" s="827"/>
      <c r="DM1758" s="827"/>
      <c r="DN1758" s="827"/>
      <c r="DO1758" s="827"/>
      <c r="DP1758" s="827"/>
      <c r="DQ1758" s="827"/>
      <c r="DR1758" s="827"/>
      <c r="DS1758" s="827"/>
      <c r="DT1758" s="827"/>
      <c r="DU1758" s="827"/>
      <c r="DV1758" s="827"/>
      <c r="DW1758" s="827"/>
      <c r="DX1758" s="827"/>
      <c r="DY1758" s="827"/>
      <c r="DZ1758" s="827"/>
      <c r="EA1758" s="827"/>
      <c r="EB1758" s="827"/>
      <c r="EC1758" s="827"/>
      <c r="ED1758" s="827"/>
      <c r="EE1758" s="827"/>
      <c r="EF1758" s="827"/>
      <c r="EG1758" s="827"/>
      <c r="EH1758" s="827"/>
      <c r="EI1758" s="827"/>
      <c r="EJ1758" s="827"/>
      <c r="EK1758" s="827"/>
      <c r="EL1758" s="827"/>
      <c r="EM1758" s="827"/>
      <c r="EN1758" s="827"/>
      <c r="EO1758" s="827"/>
      <c r="EP1758" s="827"/>
      <c r="EQ1758" s="827"/>
      <c r="ER1758" s="827"/>
      <c r="ES1758" s="827"/>
      <c r="ET1758" s="827"/>
      <c r="EU1758" s="827"/>
      <c r="EV1758" s="827"/>
      <c r="EW1758" s="827"/>
      <c r="EX1758" s="827"/>
      <c r="EY1758" s="827"/>
      <c r="EZ1758" s="827"/>
      <c r="FA1758" s="827"/>
      <c r="FB1758" s="827"/>
      <c r="FC1758" s="827"/>
      <c r="FD1758" s="827"/>
      <c r="FE1758" s="827"/>
      <c r="FF1758" s="827"/>
      <c r="FG1758" s="827"/>
      <c r="FH1758" s="827"/>
      <c r="FI1758" s="827"/>
      <c r="FJ1758" s="827"/>
      <c r="FK1758" s="827"/>
      <c r="FL1758" s="827"/>
      <c r="FM1758" s="827"/>
      <c r="FN1758" s="827"/>
      <c r="FO1758" s="827"/>
      <c r="FP1758" s="827"/>
      <c r="FQ1758" s="827"/>
      <c r="FR1758" s="827"/>
      <c r="FS1758" s="827"/>
      <c r="FT1758" s="827"/>
      <c r="FU1758" s="827"/>
      <c r="FV1758" s="827"/>
      <c r="FW1758" s="827"/>
      <c r="FX1758" s="827"/>
      <c r="FY1758" s="827"/>
      <c r="FZ1758" s="827"/>
      <c r="GA1758" s="827"/>
      <c r="GB1758" s="827"/>
      <c r="GC1758" s="827"/>
      <c r="GD1758" s="827"/>
      <c r="GE1758" s="827"/>
      <c r="GF1758" s="827"/>
      <c r="GG1758" s="827"/>
      <c r="GH1758" s="827"/>
      <c r="GI1758" s="827"/>
      <c r="GJ1758" s="827"/>
      <c r="GK1758" s="827"/>
      <c r="GL1758" s="827"/>
      <c r="GM1758" s="827"/>
      <c r="GN1758" s="827"/>
      <c r="GO1758" s="827"/>
      <c r="GP1758" s="827"/>
      <c r="GQ1758" s="827"/>
      <c r="GR1758" s="827"/>
      <c r="GS1758" s="827"/>
      <c r="GT1758" s="827"/>
      <c r="GU1758" s="827"/>
      <c r="GV1758" s="827"/>
      <c r="GW1758" s="827"/>
      <c r="GX1758" s="827"/>
      <c r="GY1758" s="827"/>
      <c r="GZ1758" s="827"/>
      <c r="HA1758" s="827"/>
      <c r="HB1758" s="827"/>
      <c r="HC1758" s="827"/>
      <c r="HD1758" s="827"/>
      <c r="HE1758" s="827"/>
      <c r="HF1758" s="827"/>
      <c r="HG1758" s="827"/>
      <c r="HH1758" s="827"/>
      <c r="HI1758" s="827"/>
      <c r="HJ1758" s="827"/>
      <c r="HK1758" s="827"/>
      <c r="HL1758" s="827"/>
      <c r="HM1758" s="827"/>
      <c r="HN1758" s="827"/>
      <c r="HO1758" s="827"/>
      <c r="HP1758" s="827"/>
      <c r="HQ1758" s="827"/>
      <c r="HR1758" s="827"/>
      <c r="HS1758" s="827"/>
      <c r="HT1758" s="827"/>
      <c r="HU1758" s="827"/>
      <c r="HV1758" s="827"/>
      <c r="HW1758" s="827"/>
      <c r="HX1758" s="827"/>
      <c r="HY1758" s="827"/>
      <c r="HZ1758" s="827"/>
      <c r="IA1758" s="827"/>
      <c r="IB1758" s="827"/>
      <c r="IC1758" s="827"/>
      <c r="ID1758" s="827"/>
      <c r="IE1758" s="827"/>
      <c r="IF1758" s="827"/>
      <c r="IG1758" s="827"/>
      <c r="IH1758" s="827"/>
      <c r="II1758" s="827"/>
      <c r="IJ1758" s="827"/>
      <c r="IK1758" s="827"/>
      <c r="IL1758" s="827"/>
      <c r="IM1758" s="827"/>
      <c r="IN1758" s="827"/>
      <c r="IO1758" s="827"/>
      <c r="IP1758" s="827"/>
      <c r="IQ1758" s="827"/>
      <c r="IR1758" s="827"/>
      <c r="IS1758" s="827"/>
      <c r="IT1758" s="827"/>
      <c r="IU1758" s="827"/>
    </row>
    <row r="1759" spans="1:255" s="831" customFormat="1" ht="13.5" hidden="1" customHeight="1">
      <c r="A1759" s="336">
        <v>22</v>
      </c>
      <c r="B1759" s="540" t="s">
        <v>1369</v>
      </c>
      <c r="C1759" s="335" t="s">
        <v>1370</v>
      </c>
      <c r="D1759" s="486" t="s">
        <v>816</v>
      </c>
      <c r="E1759" s="863"/>
      <c r="F1759" s="867">
        <f>'დეფექტური აქტი'!E404</f>
        <v>0</v>
      </c>
      <c r="G1759" s="542"/>
      <c r="H1759" s="389"/>
      <c r="I1759" s="389"/>
      <c r="J1759" s="389"/>
      <c r="K1759" s="389"/>
      <c r="L1759" s="389"/>
      <c r="M1759" s="389"/>
      <c r="N1759" s="829"/>
      <c r="O1759" s="827"/>
      <c r="P1759" s="828"/>
      <c r="Q1759" s="828"/>
      <c r="R1759" s="828"/>
      <c r="S1759" s="828"/>
      <c r="T1759" s="828"/>
      <c r="U1759" s="828"/>
      <c r="V1759" s="828"/>
      <c r="W1759" s="828"/>
      <c r="X1759" s="828"/>
      <c r="Y1759" s="828"/>
      <c r="Z1759" s="828"/>
      <c r="AA1759" s="827"/>
      <c r="AB1759" s="827"/>
      <c r="AC1759" s="827"/>
      <c r="AD1759" s="827"/>
      <c r="AE1759" s="827"/>
      <c r="AF1759" s="827"/>
      <c r="AG1759" s="827"/>
      <c r="AH1759" s="827"/>
      <c r="AI1759" s="827"/>
      <c r="AJ1759" s="827"/>
      <c r="AK1759" s="827"/>
      <c r="AL1759" s="827"/>
      <c r="AM1759" s="827"/>
      <c r="AN1759" s="827"/>
      <c r="AO1759" s="827"/>
      <c r="AP1759" s="827"/>
      <c r="AQ1759" s="827"/>
      <c r="AR1759" s="827"/>
      <c r="AS1759" s="827"/>
      <c r="AT1759" s="827"/>
      <c r="AU1759" s="827"/>
      <c r="AV1759" s="827"/>
      <c r="AW1759" s="827"/>
      <c r="AX1759" s="827"/>
      <c r="AY1759" s="827"/>
      <c r="AZ1759" s="827"/>
      <c r="BA1759" s="827"/>
      <c r="BB1759" s="827"/>
      <c r="BC1759" s="827"/>
      <c r="BD1759" s="827"/>
      <c r="BE1759" s="827"/>
      <c r="BF1759" s="827"/>
      <c r="BG1759" s="827"/>
      <c r="BH1759" s="827"/>
      <c r="BI1759" s="827"/>
      <c r="BJ1759" s="827"/>
      <c r="BK1759" s="827"/>
      <c r="BL1759" s="827"/>
      <c r="BM1759" s="827"/>
      <c r="BN1759" s="827"/>
      <c r="BO1759" s="827"/>
      <c r="BP1759" s="827"/>
      <c r="BQ1759" s="827"/>
      <c r="BR1759" s="827"/>
      <c r="BS1759" s="827"/>
      <c r="BT1759" s="827"/>
      <c r="BU1759" s="827"/>
      <c r="BV1759" s="827"/>
      <c r="BW1759" s="827"/>
      <c r="BX1759" s="827"/>
      <c r="BY1759" s="827"/>
      <c r="BZ1759" s="827"/>
      <c r="CA1759" s="827"/>
      <c r="CB1759" s="827"/>
      <c r="CC1759" s="827"/>
      <c r="CD1759" s="827"/>
      <c r="CE1759" s="827"/>
      <c r="CF1759" s="827"/>
      <c r="CG1759" s="827"/>
      <c r="CH1759" s="827"/>
      <c r="CI1759" s="827"/>
      <c r="CJ1759" s="827"/>
      <c r="CK1759" s="827"/>
      <c r="CL1759" s="827"/>
      <c r="CM1759" s="827"/>
      <c r="CN1759" s="827"/>
      <c r="CO1759" s="827"/>
      <c r="CP1759" s="827"/>
      <c r="CQ1759" s="827"/>
      <c r="CR1759" s="827"/>
      <c r="CS1759" s="827"/>
      <c r="CT1759" s="827"/>
      <c r="CU1759" s="827"/>
      <c r="CV1759" s="827"/>
      <c r="CW1759" s="827"/>
      <c r="CX1759" s="827"/>
      <c r="CY1759" s="827"/>
      <c r="CZ1759" s="827"/>
      <c r="DA1759" s="827"/>
      <c r="DB1759" s="827"/>
      <c r="DC1759" s="827"/>
      <c r="DD1759" s="827"/>
      <c r="DE1759" s="827"/>
      <c r="DF1759" s="827"/>
      <c r="DG1759" s="827"/>
      <c r="DH1759" s="827"/>
      <c r="DI1759" s="827"/>
      <c r="DJ1759" s="827"/>
      <c r="DK1759" s="827"/>
      <c r="DL1759" s="827"/>
      <c r="DM1759" s="827"/>
      <c r="DN1759" s="827"/>
      <c r="DO1759" s="827"/>
      <c r="DP1759" s="827"/>
      <c r="DQ1759" s="827"/>
      <c r="DR1759" s="827"/>
      <c r="DS1759" s="827"/>
      <c r="DT1759" s="827"/>
      <c r="DU1759" s="827"/>
      <c r="DV1759" s="827"/>
      <c r="DW1759" s="827"/>
      <c r="DX1759" s="827"/>
      <c r="DY1759" s="827"/>
      <c r="DZ1759" s="827"/>
      <c r="EA1759" s="827"/>
      <c r="EB1759" s="827"/>
      <c r="EC1759" s="827"/>
      <c r="ED1759" s="827"/>
      <c r="EE1759" s="827"/>
      <c r="EF1759" s="827"/>
      <c r="EG1759" s="827"/>
      <c r="EH1759" s="827"/>
      <c r="EI1759" s="827"/>
      <c r="EJ1759" s="827"/>
      <c r="EK1759" s="827"/>
      <c r="EL1759" s="827"/>
      <c r="EM1759" s="827"/>
      <c r="EN1759" s="827"/>
      <c r="EO1759" s="827"/>
      <c r="EP1759" s="827"/>
      <c r="EQ1759" s="827"/>
      <c r="ER1759" s="827"/>
      <c r="ES1759" s="827"/>
      <c r="ET1759" s="827"/>
      <c r="EU1759" s="827"/>
      <c r="EV1759" s="827"/>
      <c r="EW1759" s="827"/>
      <c r="EX1759" s="827"/>
      <c r="EY1759" s="827"/>
      <c r="EZ1759" s="827"/>
      <c r="FA1759" s="827"/>
      <c r="FB1759" s="827"/>
      <c r="FC1759" s="827"/>
      <c r="FD1759" s="827"/>
      <c r="FE1759" s="827"/>
      <c r="FF1759" s="827"/>
      <c r="FG1759" s="827"/>
      <c r="FH1759" s="827"/>
      <c r="FI1759" s="827"/>
      <c r="FJ1759" s="827"/>
      <c r="FK1759" s="827"/>
      <c r="FL1759" s="827"/>
      <c r="FM1759" s="827"/>
      <c r="FN1759" s="827"/>
      <c r="FO1759" s="827"/>
      <c r="FP1759" s="827"/>
      <c r="FQ1759" s="827"/>
      <c r="FR1759" s="827"/>
      <c r="FS1759" s="827"/>
      <c r="FT1759" s="827"/>
      <c r="FU1759" s="827"/>
      <c r="FV1759" s="827"/>
      <c r="FW1759" s="827"/>
      <c r="FX1759" s="827"/>
      <c r="FY1759" s="827"/>
      <c r="FZ1759" s="827"/>
      <c r="GA1759" s="827"/>
      <c r="GB1759" s="827"/>
      <c r="GC1759" s="827"/>
      <c r="GD1759" s="827"/>
      <c r="GE1759" s="827"/>
      <c r="GF1759" s="827"/>
      <c r="GG1759" s="827"/>
      <c r="GH1759" s="827"/>
      <c r="GI1759" s="827"/>
      <c r="GJ1759" s="827"/>
      <c r="GK1759" s="827"/>
      <c r="GL1759" s="827"/>
      <c r="GM1759" s="827"/>
      <c r="GN1759" s="827"/>
      <c r="GO1759" s="827"/>
      <c r="GP1759" s="827"/>
      <c r="GQ1759" s="827"/>
      <c r="GR1759" s="827"/>
      <c r="GS1759" s="827"/>
      <c r="GT1759" s="827"/>
      <c r="GU1759" s="827"/>
      <c r="GV1759" s="827"/>
      <c r="GW1759" s="827"/>
      <c r="GX1759" s="827"/>
      <c r="GY1759" s="827"/>
      <c r="GZ1759" s="827"/>
      <c r="HA1759" s="827"/>
      <c r="HB1759" s="827"/>
      <c r="HC1759" s="827"/>
      <c r="HD1759" s="827"/>
      <c r="HE1759" s="827"/>
      <c r="HF1759" s="827"/>
      <c r="HG1759" s="827"/>
      <c r="HH1759" s="827"/>
      <c r="HI1759" s="827"/>
      <c r="HJ1759" s="827"/>
      <c r="HK1759" s="827"/>
      <c r="HL1759" s="827"/>
      <c r="HM1759" s="827"/>
      <c r="HN1759" s="827"/>
      <c r="HO1759" s="827"/>
      <c r="HP1759" s="827"/>
      <c r="HQ1759" s="827"/>
      <c r="HR1759" s="827"/>
      <c r="HS1759" s="827"/>
      <c r="HT1759" s="827"/>
      <c r="HU1759" s="827"/>
      <c r="HV1759" s="827"/>
      <c r="HW1759" s="827"/>
      <c r="HX1759" s="827"/>
      <c r="HY1759" s="827"/>
      <c r="HZ1759" s="827"/>
      <c r="IA1759" s="827"/>
      <c r="IB1759" s="827"/>
      <c r="IC1759" s="827"/>
      <c r="ID1759" s="827"/>
      <c r="IE1759" s="827"/>
      <c r="IF1759" s="827"/>
      <c r="IG1759" s="827"/>
      <c r="IH1759" s="827"/>
      <c r="II1759" s="827"/>
      <c r="IJ1759" s="827"/>
      <c r="IK1759" s="827"/>
      <c r="IL1759" s="827"/>
      <c r="IM1759" s="827"/>
      <c r="IN1759" s="827"/>
      <c r="IO1759" s="827"/>
      <c r="IP1759" s="827"/>
      <c r="IQ1759" s="827"/>
      <c r="IR1759" s="827"/>
      <c r="IS1759" s="827"/>
      <c r="IT1759" s="827"/>
      <c r="IU1759" s="827"/>
    </row>
    <row r="1760" spans="1:255" s="831" customFormat="1" ht="15.75" hidden="1" customHeight="1">
      <c r="A1760" s="336"/>
      <c r="B1760" s="540"/>
      <c r="C1760" s="335" t="s">
        <v>128</v>
      </c>
      <c r="D1760" s="486" t="s">
        <v>80</v>
      </c>
      <c r="E1760" s="614">
        <v>1.01</v>
      </c>
      <c r="F1760" s="389">
        <f>F1759*E1760</f>
        <v>0</v>
      </c>
      <c r="G1760" s="542"/>
      <c r="H1760" s="636"/>
      <c r="I1760" s="389">
        <v>4.5999999999999996</v>
      </c>
      <c r="J1760" s="389">
        <f>F1760*I1760</f>
        <v>0</v>
      </c>
      <c r="K1760" s="389"/>
      <c r="L1760" s="389"/>
      <c r="M1760" s="389">
        <f>H1760+J1760+L1760</f>
        <v>0</v>
      </c>
      <c r="N1760" s="830"/>
      <c r="O1760" s="827"/>
      <c r="P1760" s="828"/>
      <c r="Q1760" s="828"/>
      <c r="R1760" s="828"/>
      <c r="S1760" s="828"/>
      <c r="T1760" s="828"/>
      <c r="U1760" s="828"/>
      <c r="V1760" s="828"/>
      <c r="W1760" s="828"/>
      <c r="X1760" s="828"/>
      <c r="Y1760" s="828"/>
      <c r="Z1760" s="828"/>
      <c r="AA1760" s="827"/>
      <c r="AB1760" s="827"/>
      <c r="AC1760" s="827"/>
      <c r="AD1760" s="827"/>
      <c r="AE1760" s="827"/>
      <c r="AF1760" s="827"/>
      <c r="AG1760" s="827"/>
      <c r="AH1760" s="827"/>
      <c r="AI1760" s="827"/>
      <c r="AJ1760" s="827"/>
      <c r="AK1760" s="827"/>
      <c r="AL1760" s="827"/>
      <c r="AM1760" s="827"/>
      <c r="AN1760" s="827"/>
      <c r="AO1760" s="827"/>
      <c r="AP1760" s="827"/>
      <c r="AQ1760" s="827"/>
      <c r="AR1760" s="827"/>
      <c r="AS1760" s="827"/>
      <c r="AT1760" s="827"/>
      <c r="AU1760" s="827"/>
      <c r="AV1760" s="827"/>
      <c r="AW1760" s="827"/>
      <c r="AX1760" s="827"/>
      <c r="AY1760" s="827"/>
      <c r="AZ1760" s="827"/>
      <c r="BA1760" s="827"/>
      <c r="BB1760" s="827"/>
      <c r="BC1760" s="827"/>
      <c r="BD1760" s="827"/>
      <c r="BE1760" s="827"/>
      <c r="BF1760" s="827"/>
      <c r="BG1760" s="827"/>
      <c r="BH1760" s="827"/>
      <c r="BI1760" s="827"/>
      <c r="BJ1760" s="827"/>
      <c r="BK1760" s="827"/>
      <c r="BL1760" s="827"/>
      <c r="BM1760" s="827"/>
      <c r="BN1760" s="827"/>
      <c r="BO1760" s="827"/>
      <c r="BP1760" s="827"/>
      <c r="BQ1760" s="827"/>
      <c r="BR1760" s="827"/>
      <c r="BS1760" s="827"/>
      <c r="BT1760" s="827"/>
      <c r="BU1760" s="827"/>
      <c r="BV1760" s="827"/>
      <c r="BW1760" s="827"/>
      <c r="BX1760" s="827"/>
      <c r="BY1760" s="827"/>
      <c r="BZ1760" s="827"/>
      <c r="CA1760" s="827"/>
      <c r="CB1760" s="827"/>
      <c r="CC1760" s="827"/>
      <c r="CD1760" s="827"/>
      <c r="CE1760" s="827"/>
      <c r="CF1760" s="827"/>
      <c r="CG1760" s="827"/>
      <c r="CH1760" s="827"/>
      <c r="CI1760" s="827"/>
      <c r="CJ1760" s="827"/>
      <c r="CK1760" s="827"/>
      <c r="CL1760" s="827"/>
      <c r="CM1760" s="827"/>
      <c r="CN1760" s="827"/>
      <c r="CO1760" s="827"/>
      <c r="CP1760" s="827"/>
      <c r="CQ1760" s="827"/>
      <c r="CR1760" s="827"/>
      <c r="CS1760" s="827"/>
      <c r="CT1760" s="827"/>
      <c r="CU1760" s="827"/>
      <c r="CV1760" s="827"/>
      <c r="CW1760" s="827"/>
      <c r="CX1760" s="827"/>
      <c r="CY1760" s="827"/>
      <c r="CZ1760" s="827"/>
      <c r="DA1760" s="827"/>
      <c r="DB1760" s="827"/>
      <c r="DC1760" s="827"/>
      <c r="DD1760" s="827"/>
      <c r="DE1760" s="827"/>
      <c r="DF1760" s="827"/>
      <c r="DG1760" s="827"/>
      <c r="DH1760" s="827"/>
      <c r="DI1760" s="827"/>
      <c r="DJ1760" s="827"/>
      <c r="DK1760" s="827"/>
      <c r="DL1760" s="827"/>
      <c r="DM1760" s="827"/>
      <c r="DN1760" s="827"/>
      <c r="DO1760" s="827"/>
      <c r="DP1760" s="827"/>
      <c r="DQ1760" s="827"/>
      <c r="DR1760" s="827"/>
      <c r="DS1760" s="827"/>
      <c r="DT1760" s="827"/>
      <c r="DU1760" s="827"/>
      <c r="DV1760" s="827"/>
      <c r="DW1760" s="827"/>
      <c r="DX1760" s="827"/>
      <c r="DY1760" s="827"/>
      <c r="DZ1760" s="827"/>
      <c r="EA1760" s="827"/>
      <c r="EB1760" s="827"/>
      <c r="EC1760" s="827"/>
      <c r="ED1760" s="827"/>
      <c r="EE1760" s="827"/>
      <c r="EF1760" s="827"/>
      <c r="EG1760" s="827"/>
      <c r="EH1760" s="827"/>
      <c r="EI1760" s="827"/>
      <c r="EJ1760" s="827"/>
      <c r="EK1760" s="827"/>
      <c r="EL1760" s="827"/>
      <c r="EM1760" s="827"/>
      <c r="EN1760" s="827"/>
      <c r="EO1760" s="827"/>
      <c r="EP1760" s="827"/>
      <c r="EQ1760" s="827"/>
      <c r="ER1760" s="827"/>
      <c r="ES1760" s="827"/>
      <c r="ET1760" s="827"/>
      <c r="EU1760" s="827"/>
      <c r="EV1760" s="827"/>
      <c r="EW1760" s="827"/>
      <c r="EX1760" s="827"/>
      <c r="EY1760" s="827"/>
      <c r="EZ1760" s="827"/>
      <c r="FA1760" s="827"/>
      <c r="FB1760" s="827"/>
      <c r="FC1760" s="827"/>
      <c r="FD1760" s="827"/>
      <c r="FE1760" s="827"/>
      <c r="FF1760" s="827"/>
      <c r="FG1760" s="827"/>
      <c r="FH1760" s="827"/>
      <c r="FI1760" s="827"/>
      <c r="FJ1760" s="827"/>
      <c r="FK1760" s="827"/>
      <c r="FL1760" s="827"/>
      <c r="FM1760" s="827"/>
      <c r="FN1760" s="827"/>
      <c r="FO1760" s="827"/>
      <c r="FP1760" s="827"/>
      <c r="FQ1760" s="827"/>
      <c r="FR1760" s="827"/>
      <c r="FS1760" s="827"/>
      <c r="FT1760" s="827"/>
      <c r="FU1760" s="827"/>
      <c r="FV1760" s="827"/>
      <c r="FW1760" s="827"/>
      <c r="FX1760" s="827"/>
      <c r="FY1760" s="827"/>
      <c r="FZ1760" s="827"/>
      <c r="GA1760" s="827"/>
      <c r="GB1760" s="827"/>
      <c r="GC1760" s="827"/>
      <c r="GD1760" s="827"/>
      <c r="GE1760" s="827"/>
      <c r="GF1760" s="827"/>
      <c r="GG1760" s="827"/>
      <c r="GH1760" s="827"/>
      <c r="GI1760" s="827"/>
      <c r="GJ1760" s="827"/>
      <c r="GK1760" s="827"/>
      <c r="GL1760" s="827"/>
      <c r="GM1760" s="827"/>
      <c r="GN1760" s="827"/>
      <c r="GO1760" s="827"/>
      <c r="GP1760" s="827"/>
      <c r="GQ1760" s="827"/>
      <c r="GR1760" s="827"/>
      <c r="GS1760" s="827"/>
      <c r="GT1760" s="827"/>
      <c r="GU1760" s="827"/>
      <c r="GV1760" s="827"/>
      <c r="GW1760" s="827"/>
      <c r="GX1760" s="827"/>
      <c r="GY1760" s="827"/>
      <c r="GZ1760" s="827"/>
      <c r="HA1760" s="827"/>
      <c r="HB1760" s="827"/>
      <c r="HC1760" s="827"/>
      <c r="HD1760" s="827"/>
      <c r="HE1760" s="827"/>
      <c r="HF1760" s="827"/>
      <c r="HG1760" s="827"/>
      <c r="HH1760" s="827"/>
      <c r="HI1760" s="827"/>
      <c r="HJ1760" s="827"/>
      <c r="HK1760" s="827"/>
      <c r="HL1760" s="827"/>
      <c r="HM1760" s="827"/>
      <c r="HN1760" s="827"/>
      <c r="HO1760" s="827"/>
      <c r="HP1760" s="827"/>
      <c r="HQ1760" s="827"/>
      <c r="HR1760" s="827"/>
      <c r="HS1760" s="827"/>
      <c r="HT1760" s="827"/>
      <c r="HU1760" s="827"/>
      <c r="HV1760" s="827"/>
      <c r="HW1760" s="827"/>
      <c r="HX1760" s="827"/>
      <c r="HY1760" s="827"/>
      <c r="HZ1760" s="827"/>
      <c r="IA1760" s="827"/>
      <c r="IB1760" s="827"/>
      <c r="IC1760" s="827"/>
      <c r="ID1760" s="827"/>
      <c r="IE1760" s="827"/>
      <c r="IF1760" s="827"/>
      <c r="IG1760" s="827"/>
      <c r="IH1760" s="827"/>
      <c r="II1760" s="827"/>
      <c r="IJ1760" s="827"/>
      <c r="IK1760" s="827"/>
      <c r="IL1760" s="827"/>
      <c r="IM1760" s="827"/>
      <c r="IN1760" s="827"/>
      <c r="IO1760" s="827"/>
      <c r="IP1760" s="827"/>
      <c r="IQ1760" s="827"/>
      <c r="IR1760" s="827"/>
      <c r="IS1760" s="827"/>
      <c r="IT1760" s="827"/>
      <c r="IU1760" s="827"/>
    </row>
    <row r="1761" spans="1:255" s="831" customFormat="1" ht="13.5" hidden="1" customHeight="1">
      <c r="A1761" s="336"/>
      <c r="B1761" s="543"/>
      <c r="C1761" s="335" t="s">
        <v>133</v>
      </c>
      <c r="D1761" s="336" t="s">
        <v>57</v>
      </c>
      <c r="E1761" s="863">
        <v>0.02</v>
      </c>
      <c r="F1761" s="389">
        <f>F1759*E1761</f>
        <v>0</v>
      </c>
      <c r="G1761" s="542"/>
      <c r="H1761" s="389"/>
      <c r="I1761" s="389"/>
      <c r="J1761" s="389"/>
      <c r="K1761" s="389">
        <v>3.2</v>
      </c>
      <c r="L1761" s="389">
        <f>F1761*K1761</f>
        <v>0</v>
      </c>
      <c r="M1761" s="389">
        <f>H1761+J1761+L1761</f>
        <v>0</v>
      </c>
      <c r="N1761" s="830"/>
      <c r="O1761" s="827"/>
      <c r="P1761" s="828"/>
      <c r="Q1761" s="828"/>
      <c r="R1761" s="828"/>
      <c r="S1761" s="828"/>
      <c r="T1761" s="828"/>
      <c r="U1761" s="828"/>
      <c r="V1761" s="828"/>
      <c r="W1761" s="828"/>
      <c r="X1761" s="828"/>
      <c r="Y1761" s="828"/>
      <c r="Z1761" s="828"/>
      <c r="AA1761" s="827"/>
      <c r="AB1761" s="827"/>
      <c r="AC1761" s="827"/>
      <c r="AD1761" s="827"/>
      <c r="AE1761" s="827"/>
      <c r="AF1761" s="827"/>
      <c r="AG1761" s="827"/>
      <c r="AH1761" s="827"/>
      <c r="AI1761" s="827"/>
      <c r="AJ1761" s="827"/>
      <c r="AK1761" s="827"/>
      <c r="AL1761" s="827"/>
      <c r="AM1761" s="827"/>
      <c r="AN1761" s="827"/>
      <c r="AO1761" s="827"/>
      <c r="AP1761" s="827"/>
      <c r="AQ1761" s="827"/>
      <c r="AR1761" s="827"/>
      <c r="AS1761" s="827"/>
      <c r="AT1761" s="827"/>
      <c r="AU1761" s="827"/>
      <c r="AV1761" s="827"/>
      <c r="AW1761" s="827"/>
      <c r="AX1761" s="827"/>
      <c r="AY1761" s="827"/>
      <c r="AZ1761" s="827"/>
      <c r="BA1761" s="827"/>
      <c r="BB1761" s="827"/>
      <c r="BC1761" s="827"/>
      <c r="BD1761" s="827"/>
      <c r="BE1761" s="827"/>
      <c r="BF1761" s="827"/>
      <c r="BG1761" s="827"/>
      <c r="BH1761" s="827"/>
      <c r="BI1761" s="827"/>
      <c r="BJ1761" s="827"/>
      <c r="BK1761" s="827"/>
      <c r="BL1761" s="827"/>
      <c r="BM1761" s="827"/>
      <c r="BN1761" s="827"/>
      <c r="BO1761" s="827"/>
      <c r="BP1761" s="827"/>
      <c r="BQ1761" s="827"/>
      <c r="BR1761" s="827"/>
      <c r="BS1761" s="827"/>
      <c r="BT1761" s="827"/>
      <c r="BU1761" s="827"/>
      <c r="BV1761" s="827"/>
      <c r="BW1761" s="827"/>
      <c r="BX1761" s="827"/>
      <c r="BY1761" s="827"/>
      <c r="BZ1761" s="827"/>
      <c r="CA1761" s="827"/>
      <c r="CB1761" s="827"/>
      <c r="CC1761" s="827"/>
      <c r="CD1761" s="827"/>
      <c r="CE1761" s="827"/>
      <c r="CF1761" s="827"/>
      <c r="CG1761" s="827"/>
      <c r="CH1761" s="827"/>
      <c r="CI1761" s="827"/>
      <c r="CJ1761" s="827"/>
      <c r="CK1761" s="827"/>
      <c r="CL1761" s="827"/>
      <c r="CM1761" s="827"/>
      <c r="CN1761" s="827"/>
      <c r="CO1761" s="827"/>
      <c r="CP1761" s="827"/>
      <c r="CQ1761" s="827"/>
      <c r="CR1761" s="827"/>
      <c r="CS1761" s="827"/>
      <c r="CT1761" s="827"/>
      <c r="CU1761" s="827"/>
      <c r="CV1761" s="827"/>
      <c r="CW1761" s="827"/>
      <c r="CX1761" s="827"/>
      <c r="CY1761" s="827"/>
      <c r="CZ1761" s="827"/>
      <c r="DA1761" s="827"/>
      <c r="DB1761" s="827"/>
      <c r="DC1761" s="827"/>
      <c r="DD1761" s="827"/>
      <c r="DE1761" s="827"/>
      <c r="DF1761" s="827"/>
      <c r="DG1761" s="827"/>
      <c r="DH1761" s="827"/>
      <c r="DI1761" s="827"/>
      <c r="DJ1761" s="827"/>
      <c r="DK1761" s="827"/>
      <c r="DL1761" s="827"/>
      <c r="DM1761" s="827"/>
      <c r="DN1761" s="827"/>
      <c r="DO1761" s="827"/>
      <c r="DP1761" s="827"/>
      <c r="DQ1761" s="827"/>
      <c r="DR1761" s="827"/>
      <c r="DS1761" s="827"/>
      <c r="DT1761" s="827"/>
      <c r="DU1761" s="827"/>
      <c r="DV1761" s="827"/>
      <c r="DW1761" s="827"/>
      <c r="DX1761" s="827"/>
      <c r="DY1761" s="827"/>
      <c r="DZ1761" s="827"/>
      <c r="EA1761" s="827"/>
      <c r="EB1761" s="827"/>
      <c r="EC1761" s="827"/>
      <c r="ED1761" s="827"/>
      <c r="EE1761" s="827"/>
      <c r="EF1761" s="827"/>
      <c r="EG1761" s="827"/>
      <c r="EH1761" s="827"/>
      <c r="EI1761" s="827"/>
      <c r="EJ1761" s="827"/>
      <c r="EK1761" s="827"/>
      <c r="EL1761" s="827"/>
      <c r="EM1761" s="827"/>
      <c r="EN1761" s="827"/>
      <c r="EO1761" s="827"/>
      <c r="EP1761" s="827"/>
      <c r="EQ1761" s="827"/>
      <c r="ER1761" s="827"/>
      <c r="ES1761" s="827"/>
      <c r="ET1761" s="827"/>
      <c r="EU1761" s="827"/>
      <c r="EV1761" s="827"/>
      <c r="EW1761" s="827"/>
      <c r="EX1761" s="827"/>
      <c r="EY1761" s="827"/>
      <c r="EZ1761" s="827"/>
      <c r="FA1761" s="827"/>
      <c r="FB1761" s="827"/>
      <c r="FC1761" s="827"/>
      <c r="FD1761" s="827"/>
      <c r="FE1761" s="827"/>
      <c r="FF1761" s="827"/>
      <c r="FG1761" s="827"/>
      <c r="FH1761" s="827"/>
      <c r="FI1761" s="827"/>
      <c r="FJ1761" s="827"/>
      <c r="FK1761" s="827"/>
      <c r="FL1761" s="827"/>
      <c r="FM1761" s="827"/>
      <c r="FN1761" s="827"/>
      <c r="FO1761" s="827"/>
      <c r="FP1761" s="827"/>
      <c r="FQ1761" s="827"/>
      <c r="FR1761" s="827"/>
      <c r="FS1761" s="827"/>
      <c r="FT1761" s="827"/>
      <c r="FU1761" s="827"/>
      <c r="FV1761" s="827"/>
      <c r="FW1761" s="827"/>
      <c r="FX1761" s="827"/>
      <c r="FY1761" s="827"/>
      <c r="FZ1761" s="827"/>
      <c r="GA1761" s="827"/>
      <c r="GB1761" s="827"/>
      <c r="GC1761" s="827"/>
      <c r="GD1761" s="827"/>
      <c r="GE1761" s="827"/>
      <c r="GF1761" s="827"/>
      <c r="GG1761" s="827"/>
      <c r="GH1761" s="827"/>
      <c r="GI1761" s="827"/>
      <c r="GJ1761" s="827"/>
      <c r="GK1761" s="827"/>
      <c r="GL1761" s="827"/>
      <c r="GM1761" s="827"/>
      <c r="GN1761" s="827"/>
      <c r="GO1761" s="827"/>
      <c r="GP1761" s="827"/>
      <c r="GQ1761" s="827"/>
      <c r="GR1761" s="827"/>
      <c r="GS1761" s="827"/>
      <c r="GT1761" s="827"/>
      <c r="GU1761" s="827"/>
      <c r="GV1761" s="827"/>
      <c r="GW1761" s="827"/>
      <c r="GX1761" s="827"/>
      <c r="GY1761" s="827"/>
      <c r="GZ1761" s="827"/>
      <c r="HA1761" s="827"/>
      <c r="HB1761" s="827"/>
      <c r="HC1761" s="827"/>
      <c r="HD1761" s="827"/>
      <c r="HE1761" s="827"/>
      <c r="HF1761" s="827"/>
      <c r="HG1761" s="827"/>
      <c r="HH1761" s="827"/>
      <c r="HI1761" s="827"/>
      <c r="HJ1761" s="827"/>
      <c r="HK1761" s="827"/>
      <c r="HL1761" s="827"/>
      <c r="HM1761" s="827"/>
      <c r="HN1761" s="827"/>
      <c r="HO1761" s="827"/>
      <c r="HP1761" s="827"/>
      <c r="HQ1761" s="827"/>
      <c r="HR1761" s="827"/>
      <c r="HS1761" s="827"/>
      <c r="HT1761" s="827"/>
      <c r="HU1761" s="827"/>
      <c r="HV1761" s="827"/>
      <c r="HW1761" s="827"/>
      <c r="HX1761" s="827"/>
      <c r="HY1761" s="827"/>
      <c r="HZ1761" s="827"/>
      <c r="IA1761" s="827"/>
      <c r="IB1761" s="827"/>
      <c r="IC1761" s="827"/>
      <c r="ID1761" s="827"/>
      <c r="IE1761" s="827"/>
      <c r="IF1761" s="827"/>
      <c r="IG1761" s="827"/>
      <c r="IH1761" s="827"/>
      <c r="II1761" s="827"/>
      <c r="IJ1761" s="827"/>
      <c r="IK1761" s="827"/>
      <c r="IL1761" s="827"/>
      <c r="IM1761" s="827"/>
      <c r="IN1761" s="827"/>
      <c r="IO1761" s="827"/>
      <c r="IP1761" s="827"/>
      <c r="IQ1761" s="827"/>
      <c r="IR1761" s="827"/>
      <c r="IS1761" s="827"/>
      <c r="IT1761" s="827"/>
      <c r="IU1761" s="827"/>
    </row>
    <row r="1762" spans="1:255" s="831" customFormat="1" ht="13.5" hidden="1" customHeight="1">
      <c r="A1762" s="336"/>
      <c r="B1762" s="543"/>
      <c r="C1762" s="335" t="s">
        <v>210</v>
      </c>
      <c r="D1762" s="486"/>
      <c r="E1762" s="863"/>
      <c r="F1762" s="389"/>
      <c r="G1762" s="542"/>
      <c r="H1762" s="389"/>
      <c r="I1762" s="389"/>
      <c r="J1762" s="389"/>
      <c r="K1762" s="389"/>
      <c r="L1762" s="389"/>
      <c r="M1762" s="389"/>
      <c r="N1762" s="830"/>
      <c r="O1762" s="827"/>
      <c r="P1762" s="828"/>
      <c r="Q1762" s="828"/>
      <c r="R1762" s="828"/>
      <c r="S1762" s="828"/>
      <c r="T1762" s="828"/>
      <c r="U1762" s="828"/>
      <c r="V1762" s="828"/>
      <c r="W1762" s="828"/>
      <c r="X1762" s="828"/>
      <c r="Y1762" s="828"/>
      <c r="Z1762" s="828"/>
      <c r="AA1762" s="827"/>
      <c r="AB1762" s="827"/>
      <c r="AC1762" s="827"/>
      <c r="AD1762" s="827"/>
      <c r="AE1762" s="827"/>
      <c r="AF1762" s="827"/>
      <c r="AG1762" s="827"/>
      <c r="AH1762" s="827"/>
      <c r="AI1762" s="827"/>
      <c r="AJ1762" s="827"/>
      <c r="AK1762" s="827"/>
      <c r="AL1762" s="827"/>
      <c r="AM1762" s="827"/>
      <c r="AN1762" s="827"/>
      <c r="AO1762" s="827"/>
      <c r="AP1762" s="827"/>
      <c r="AQ1762" s="827"/>
      <c r="AR1762" s="827"/>
      <c r="AS1762" s="827"/>
      <c r="AT1762" s="827"/>
      <c r="AU1762" s="827"/>
      <c r="AV1762" s="827"/>
      <c r="AW1762" s="827"/>
      <c r="AX1762" s="827"/>
      <c r="AY1762" s="827"/>
      <c r="AZ1762" s="827"/>
      <c r="BA1762" s="827"/>
      <c r="BB1762" s="827"/>
      <c r="BC1762" s="827"/>
      <c r="BD1762" s="827"/>
      <c r="BE1762" s="827"/>
      <c r="BF1762" s="827"/>
      <c r="BG1762" s="827"/>
      <c r="BH1762" s="827"/>
      <c r="BI1762" s="827"/>
      <c r="BJ1762" s="827"/>
      <c r="BK1762" s="827"/>
      <c r="BL1762" s="827"/>
      <c r="BM1762" s="827"/>
      <c r="BN1762" s="827"/>
      <c r="BO1762" s="827"/>
      <c r="BP1762" s="827"/>
      <c r="BQ1762" s="827"/>
      <c r="BR1762" s="827"/>
      <c r="BS1762" s="827"/>
      <c r="BT1762" s="827"/>
      <c r="BU1762" s="827"/>
      <c r="BV1762" s="827"/>
      <c r="BW1762" s="827"/>
      <c r="BX1762" s="827"/>
      <c r="BY1762" s="827"/>
      <c r="BZ1762" s="827"/>
      <c r="CA1762" s="827"/>
      <c r="CB1762" s="827"/>
      <c r="CC1762" s="827"/>
      <c r="CD1762" s="827"/>
      <c r="CE1762" s="827"/>
      <c r="CF1762" s="827"/>
      <c r="CG1762" s="827"/>
      <c r="CH1762" s="827"/>
      <c r="CI1762" s="827"/>
      <c r="CJ1762" s="827"/>
      <c r="CK1762" s="827"/>
      <c r="CL1762" s="827"/>
      <c r="CM1762" s="827"/>
      <c r="CN1762" s="827"/>
      <c r="CO1762" s="827"/>
      <c r="CP1762" s="827"/>
      <c r="CQ1762" s="827"/>
      <c r="CR1762" s="827"/>
      <c r="CS1762" s="827"/>
      <c r="CT1762" s="827"/>
      <c r="CU1762" s="827"/>
      <c r="CV1762" s="827"/>
      <c r="CW1762" s="827"/>
      <c r="CX1762" s="827"/>
      <c r="CY1762" s="827"/>
      <c r="CZ1762" s="827"/>
      <c r="DA1762" s="827"/>
      <c r="DB1762" s="827"/>
      <c r="DC1762" s="827"/>
      <c r="DD1762" s="827"/>
      <c r="DE1762" s="827"/>
      <c r="DF1762" s="827"/>
      <c r="DG1762" s="827"/>
      <c r="DH1762" s="827"/>
      <c r="DI1762" s="827"/>
      <c r="DJ1762" s="827"/>
      <c r="DK1762" s="827"/>
      <c r="DL1762" s="827"/>
      <c r="DM1762" s="827"/>
      <c r="DN1762" s="827"/>
      <c r="DO1762" s="827"/>
      <c r="DP1762" s="827"/>
      <c r="DQ1762" s="827"/>
      <c r="DR1762" s="827"/>
      <c r="DS1762" s="827"/>
      <c r="DT1762" s="827"/>
      <c r="DU1762" s="827"/>
      <c r="DV1762" s="827"/>
      <c r="DW1762" s="827"/>
      <c r="DX1762" s="827"/>
      <c r="DY1762" s="827"/>
      <c r="DZ1762" s="827"/>
      <c r="EA1762" s="827"/>
      <c r="EB1762" s="827"/>
      <c r="EC1762" s="827"/>
      <c r="ED1762" s="827"/>
      <c r="EE1762" s="827"/>
      <c r="EF1762" s="827"/>
      <c r="EG1762" s="827"/>
      <c r="EH1762" s="827"/>
      <c r="EI1762" s="827"/>
      <c r="EJ1762" s="827"/>
      <c r="EK1762" s="827"/>
      <c r="EL1762" s="827"/>
      <c r="EM1762" s="827"/>
      <c r="EN1762" s="827"/>
      <c r="EO1762" s="827"/>
      <c r="EP1762" s="827"/>
      <c r="EQ1762" s="827"/>
      <c r="ER1762" s="827"/>
      <c r="ES1762" s="827"/>
      <c r="ET1762" s="827"/>
      <c r="EU1762" s="827"/>
      <c r="EV1762" s="827"/>
      <c r="EW1762" s="827"/>
      <c r="EX1762" s="827"/>
      <c r="EY1762" s="827"/>
      <c r="EZ1762" s="827"/>
      <c r="FA1762" s="827"/>
      <c r="FB1762" s="827"/>
      <c r="FC1762" s="827"/>
      <c r="FD1762" s="827"/>
      <c r="FE1762" s="827"/>
      <c r="FF1762" s="827"/>
      <c r="FG1762" s="827"/>
      <c r="FH1762" s="827"/>
      <c r="FI1762" s="827"/>
      <c r="FJ1762" s="827"/>
      <c r="FK1762" s="827"/>
      <c r="FL1762" s="827"/>
      <c r="FM1762" s="827"/>
      <c r="FN1762" s="827"/>
      <c r="FO1762" s="827"/>
      <c r="FP1762" s="827"/>
      <c r="FQ1762" s="827"/>
      <c r="FR1762" s="827"/>
      <c r="FS1762" s="827"/>
      <c r="FT1762" s="827"/>
      <c r="FU1762" s="827"/>
      <c r="FV1762" s="827"/>
      <c r="FW1762" s="827"/>
      <c r="FX1762" s="827"/>
      <c r="FY1762" s="827"/>
      <c r="FZ1762" s="827"/>
      <c r="GA1762" s="827"/>
      <c r="GB1762" s="827"/>
      <c r="GC1762" s="827"/>
      <c r="GD1762" s="827"/>
      <c r="GE1762" s="827"/>
      <c r="GF1762" s="827"/>
      <c r="GG1762" s="827"/>
      <c r="GH1762" s="827"/>
      <c r="GI1762" s="827"/>
      <c r="GJ1762" s="827"/>
      <c r="GK1762" s="827"/>
      <c r="GL1762" s="827"/>
      <c r="GM1762" s="827"/>
      <c r="GN1762" s="827"/>
      <c r="GO1762" s="827"/>
      <c r="GP1762" s="827"/>
      <c r="GQ1762" s="827"/>
      <c r="GR1762" s="827"/>
      <c r="GS1762" s="827"/>
      <c r="GT1762" s="827"/>
      <c r="GU1762" s="827"/>
      <c r="GV1762" s="827"/>
      <c r="GW1762" s="827"/>
      <c r="GX1762" s="827"/>
      <c r="GY1762" s="827"/>
      <c r="GZ1762" s="827"/>
      <c r="HA1762" s="827"/>
      <c r="HB1762" s="827"/>
      <c r="HC1762" s="827"/>
      <c r="HD1762" s="827"/>
      <c r="HE1762" s="827"/>
      <c r="HF1762" s="827"/>
      <c r="HG1762" s="827"/>
      <c r="HH1762" s="827"/>
      <c r="HI1762" s="827"/>
      <c r="HJ1762" s="827"/>
      <c r="HK1762" s="827"/>
      <c r="HL1762" s="827"/>
      <c r="HM1762" s="827"/>
      <c r="HN1762" s="827"/>
      <c r="HO1762" s="827"/>
      <c r="HP1762" s="827"/>
      <c r="HQ1762" s="827"/>
      <c r="HR1762" s="827"/>
      <c r="HS1762" s="827"/>
      <c r="HT1762" s="827"/>
      <c r="HU1762" s="827"/>
      <c r="HV1762" s="827"/>
      <c r="HW1762" s="827"/>
      <c r="HX1762" s="827"/>
      <c r="HY1762" s="827"/>
      <c r="HZ1762" s="827"/>
      <c r="IA1762" s="827"/>
      <c r="IB1762" s="827"/>
      <c r="IC1762" s="827"/>
      <c r="ID1762" s="827"/>
      <c r="IE1762" s="827"/>
      <c r="IF1762" s="827"/>
      <c r="IG1762" s="827"/>
      <c r="IH1762" s="827"/>
      <c r="II1762" s="827"/>
      <c r="IJ1762" s="827"/>
      <c r="IK1762" s="827"/>
      <c r="IL1762" s="827"/>
      <c r="IM1762" s="827"/>
      <c r="IN1762" s="827"/>
      <c r="IO1762" s="827"/>
      <c r="IP1762" s="827"/>
      <c r="IQ1762" s="827"/>
      <c r="IR1762" s="827"/>
      <c r="IS1762" s="827"/>
      <c r="IT1762" s="827"/>
      <c r="IU1762" s="827"/>
    </row>
    <row r="1763" spans="1:255" s="831" customFormat="1" ht="13.5" hidden="1" customHeight="1">
      <c r="A1763" s="336"/>
      <c r="B1763" s="543"/>
      <c r="C1763" s="335" t="s">
        <v>1370</v>
      </c>
      <c r="D1763" s="486" t="s">
        <v>816</v>
      </c>
      <c r="E1763" s="863">
        <v>1</v>
      </c>
      <c r="F1763" s="389">
        <f>F1759*E1763</f>
        <v>0</v>
      </c>
      <c r="G1763" s="511">
        <v>38.1</v>
      </c>
      <c r="H1763" s="389">
        <f>F1763*G1763</f>
        <v>0</v>
      </c>
      <c r="I1763" s="389"/>
      <c r="J1763" s="389"/>
      <c r="K1763" s="389"/>
      <c r="L1763" s="389"/>
      <c r="M1763" s="389">
        <f>H1763+J1763+L1763</f>
        <v>0</v>
      </c>
      <c r="N1763" s="830"/>
      <c r="O1763" s="827"/>
      <c r="P1763" s="828"/>
      <c r="Q1763" s="828"/>
      <c r="R1763" s="828"/>
      <c r="S1763" s="828"/>
      <c r="T1763" s="828"/>
      <c r="U1763" s="828"/>
      <c r="V1763" s="828"/>
      <c r="W1763" s="828"/>
      <c r="X1763" s="828"/>
      <c r="Y1763" s="828"/>
      <c r="Z1763" s="828"/>
      <c r="AA1763" s="827"/>
      <c r="AB1763" s="827"/>
      <c r="AC1763" s="827"/>
      <c r="AD1763" s="827"/>
      <c r="AE1763" s="827"/>
      <c r="AF1763" s="827"/>
      <c r="AG1763" s="827"/>
      <c r="AH1763" s="827"/>
      <c r="AI1763" s="827"/>
      <c r="AJ1763" s="827"/>
      <c r="AK1763" s="827"/>
      <c r="AL1763" s="827"/>
      <c r="AM1763" s="827"/>
      <c r="AN1763" s="827"/>
      <c r="AO1763" s="827"/>
      <c r="AP1763" s="827"/>
      <c r="AQ1763" s="827"/>
      <c r="AR1763" s="827"/>
      <c r="AS1763" s="827"/>
      <c r="AT1763" s="827"/>
      <c r="AU1763" s="827"/>
      <c r="AV1763" s="827"/>
      <c r="AW1763" s="827"/>
      <c r="AX1763" s="827"/>
      <c r="AY1763" s="827"/>
      <c r="AZ1763" s="827"/>
      <c r="BA1763" s="827"/>
      <c r="BB1763" s="827"/>
      <c r="BC1763" s="827"/>
      <c r="BD1763" s="827"/>
      <c r="BE1763" s="827"/>
      <c r="BF1763" s="827"/>
      <c r="BG1763" s="827"/>
      <c r="BH1763" s="827"/>
      <c r="BI1763" s="827"/>
      <c r="BJ1763" s="827"/>
      <c r="BK1763" s="827"/>
      <c r="BL1763" s="827"/>
      <c r="BM1763" s="827"/>
      <c r="BN1763" s="827"/>
      <c r="BO1763" s="827"/>
      <c r="BP1763" s="827"/>
      <c r="BQ1763" s="827"/>
      <c r="BR1763" s="827"/>
      <c r="BS1763" s="827"/>
      <c r="BT1763" s="827"/>
      <c r="BU1763" s="827"/>
      <c r="BV1763" s="827"/>
      <c r="BW1763" s="827"/>
      <c r="BX1763" s="827"/>
      <c r="BY1763" s="827"/>
      <c r="BZ1763" s="827"/>
      <c r="CA1763" s="827"/>
      <c r="CB1763" s="827"/>
      <c r="CC1763" s="827"/>
      <c r="CD1763" s="827"/>
      <c r="CE1763" s="827"/>
      <c r="CF1763" s="827"/>
      <c r="CG1763" s="827"/>
      <c r="CH1763" s="827"/>
      <c r="CI1763" s="827"/>
      <c r="CJ1763" s="827"/>
      <c r="CK1763" s="827"/>
      <c r="CL1763" s="827"/>
      <c r="CM1763" s="827"/>
      <c r="CN1763" s="827"/>
      <c r="CO1763" s="827"/>
      <c r="CP1763" s="827"/>
      <c r="CQ1763" s="827"/>
      <c r="CR1763" s="827"/>
      <c r="CS1763" s="827"/>
      <c r="CT1763" s="827"/>
      <c r="CU1763" s="827"/>
      <c r="CV1763" s="827"/>
      <c r="CW1763" s="827"/>
      <c r="CX1763" s="827"/>
      <c r="CY1763" s="827"/>
      <c r="CZ1763" s="827"/>
      <c r="DA1763" s="827"/>
      <c r="DB1763" s="827"/>
      <c r="DC1763" s="827"/>
      <c r="DD1763" s="827"/>
      <c r="DE1763" s="827"/>
      <c r="DF1763" s="827"/>
      <c r="DG1763" s="827"/>
      <c r="DH1763" s="827"/>
      <c r="DI1763" s="827"/>
      <c r="DJ1763" s="827"/>
      <c r="DK1763" s="827"/>
      <c r="DL1763" s="827"/>
      <c r="DM1763" s="827"/>
      <c r="DN1763" s="827"/>
      <c r="DO1763" s="827"/>
      <c r="DP1763" s="827"/>
      <c r="DQ1763" s="827"/>
      <c r="DR1763" s="827"/>
      <c r="DS1763" s="827"/>
      <c r="DT1763" s="827"/>
      <c r="DU1763" s="827"/>
      <c r="DV1763" s="827"/>
      <c r="DW1763" s="827"/>
      <c r="DX1763" s="827"/>
      <c r="DY1763" s="827"/>
      <c r="DZ1763" s="827"/>
      <c r="EA1763" s="827"/>
      <c r="EB1763" s="827"/>
      <c r="EC1763" s="827"/>
      <c r="ED1763" s="827"/>
      <c r="EE1763" s="827"/>
      <c r="EF1763" s="827"/>
      <c r="EG1763" s="827"/>
      <c r="EH1763" s="827"/>
      <c r="EI1763" s="827"/>
      <c r="EJ1763" s="827"/>
      <c r="EK1763" s="827"/>
      <c r="EL1763" s="827"/>
      <c r="EM1763" s="827"/>
      <c r="EN1763" s="827"/>
      <c r="EO1763" s="827"/>
      <c r="EP1763" s="827"/>
      <c r="EQ1763" s="827"/>
      <c r="ER1763" s="827"/>
      <c r="ES1763" s="827"/>
      <c r="ET1763" s="827"/>
      <c r="EU1763" s="827"/>
      <c r="EV1763" s="827"/>
      <c r="EW1763" s="827"/>
      <c r="EX1763" s="827"/>
      <c r="EY1763" s="827"/>
      <c r="EZ1763" s="827"/>
      <c r="FA1763" s="827"/>
      <c r="FB1763" s="827"/>
      <c r="FC1763" s="827"/>
      <c r="FD1763" s="827"/>
      <c r="FE1763" s="827"/>
      <c r="FF1763" s="827"/>
      <c r="FG1763" s="827"/>
      <c r="FH1763" s="827"/>
      <c r="FI1763" s="827"/>
      <c r="FJ1763" s="827"/>
      <c r="FK1763" s="827"/>
      <c r="FL1763" s="827"/>
      <c r="FM1763" s="827"/>
      <c r="FN1763" s="827"/>
      <c r="FO1763" s="827"/>
      <c r="FP1763" s="827"/>
      <c r="FQ1763" s="827"/>
      <c r="FR1763" s="827"/>
      <c r="FS1763" s="827"/>
      <c r="FT1763" s="827"/>
      <c r="FU1763" s="827"/>
      <c r="FV1763" s="827"/>
      <c r="FW1763" s="827"/>
      <c r="FX1763" s="827"/>
      <c r="FY1763" s="827"/>
      <c r="FZ1763" s="827"/>
      <c r="GA1763" s="827"/>
      <c r="GB1763" s="827"/>
      <c r="GC1763" s="827"/>
      <c r="GD1763" s="827"/>
      <c r="GE1763" s="827"/>
      <c r="GF1763" s="827"/>
      <c r="GG1763" s="827"/>
      <c r="GH1763" s="827"/>
      <c r="GI1763" s="827"/>
      <c r="GJ1763" s="827"/>
      <c r="GK1763" s="827"/>
      <c r="GL1763" s="827"/>
      <c r="GM1763" s="827"/>
      <c r="GN1763" s="827"/>
      <c r="GO1763" s="827"/>
      <c r="GP1763" s="827"/>
      <c r="GQ1763" s="827"/>
      <c r="GR1763" s="827"/>
      <c r="GS1763" s="827"/>
      <c r="GT1763" s="827"/>
      <c r="GU1763" s="827"/>
      <c r="GV1763" s="827"/>
      <c r="GW1763" s="827"/>
      <c r="GX1763" s="827"/>
      <c r="GY1763" s="827"/>
      <c r="GZ1763" s="827"/>
      <c r="HA1763" s="827"/>
      <c r="HB1763" s="827"/>
      <c r="HC1763" s="827"/>
      <c r="HD1763" s="827"/>
      <c r="HE1763" s="827"/>
      <c r="HF1763" s="827"/>
      <c r="HG1763" s="827"/>
      <c r="HH1763" s="827"/>
      <c r="HI1763" s="827"/>
      <c r="HJ1763" s="827"/>
      <c r="HK1763" s="827"/>
      <c r="HL1763" s="827"/>
      <c r="HM1763" s="827"/>
      <c r="HN1763" s="827"/>
      <c r="HO1763" s="827"/>
      <c r="HP1763" s="827"/>
      <c r="HQ1763" s="827"/>
      <c r="HR1763" s="827"/>
      <c r="HS1763" s="827"/>
      <c r="HT1763" s="827"/>
      <c r="HU1763" s="827"/>
      <c r="HV1763" s="827"/>
      <c r="HW1763" s="827"/>
      <c r="HX1763" s="827"/>
      <c r="HY1763" s="827"/>
      <c r="HZ1763" s="827"/>
      <c r="IA1763" s="827"/>
      <c r="IB1763" s="827"/>
      <c r="IC1763" s="827"/>
      <c r="ID1763" s="827"/>
      <c r="IE1763" s="827"/>
      <c r="IF1763" s="827"/>
      <c r="IG1763" s="827"/>
      <c r="IH1763" s="827"/>
      <c r="II1763" s="827"/>
      <c r="IJ1763" s="827"/>
      <c r="IK1763" s="827"/>
      <c r="IL1763" s="827"/>
      <c r="IM1763" s="827"/>
      <c r="IN1763" s="827"/>
      <c r="IO1763" s="827"/>
      <c r="IP1763" s="827"/>
      <c r="IQ1763" s="827"/>
      <c r="IR1763" s="827"/>
      <c r="IS1763" s="827"/>
      <c r="IT1763" s="827"/>
      <c r="IU1763" s="827"/>
    </row>
    <row r="1764" spans="1:255" s="831" customFormat="1" ht="13.5" hidden="1" customHeight="1">
      <c r="A1764" s="342"/>
      <c r="B1764" s="556"/>
      <c r="C1764" s="551" t="s">
        <v>214</v>
      </c>
      <c r="D1764" s="342" t="s">
        <v>57</v>
      </c>
      <c r="E1764" s="864">
        <v>0.49</v>
      </c>
      <c r="F1764" s="392">
        <f>F1759*E1764</f>
        <v>0</v>
      </c>
      <c r="G1764" s="392">
        <v>3.2</v>
      </c>
      <c r="H1764" s="392">
        <f>F1764*G1764</f>
        <v>0</v>
      </c>
      <c r="I1764" s="392"/>
      <c r="J1764" s="392"/>
      <c r="K1764" s="392"/>
      <c r="L1764" s="392"/>
      <c r="M1764" s="392">
        <f>H1764+J1764+L1764</f>
        <v>0</v>
      </c>
      <c r="N1764" s="830"/>
      <c r="O1764" s="827"/>
      <c r="P1764" s="828"/>
      <c r="Q1764" s="828"/>
      <c r="R1764" s="828"/>
      <c r="S1764" s="828"/>
      <c r="T1764" s="828"/>
      <c r="U1764" s="828"/>
      <c r="V1764" s="828"/>
      <c r="W1764" s="828"/>
      <c r="X1764" s="828"/>
      <c r="Y1764" s="828"/>
      <c r="Z1764" s="828"/>
      <c r="AA1764" s="827"/>
      <c r="AB1764" s="827"/>
      <c r="AC1764" s="827"/>
      <c r="AD1764" s="827"/>
      <c r="AE1764" s="827"/>
      <c r="AF1764" s="827"/>
      <c r="AG1764" s="827"/>
      <c r="AH1764" s="827"/>
      <c r="AI1764" s="827"/>
      <c r="AJ1764" s="827"/>
      <c r="AK1764" s="827"/>
      <c r="AL1764" s="827"/>
      <c r="AM1764" s="827"/>
      <c r="AN1764" s="827"/>
      <c r="AO1764" s="827"/>
      <c r="AP1764" s="827"/>
      <c r="AQ1764" s="827"/>
      <c r="AR1764" s="827"/>
      <c r="AS1764" s="827"/>
      <c r="AT1764" s="827"/>
      <c r="AU1764" s="827"/>
      <c r="AV1764" s="827"/>
      <c r="AW1764" s="827"/>
      <c r="AX1764" s="827"/>
      <c r="AY1764" s="827"/>
      <c r="AZ1764" s="827"/>
      <c r="BA1764" s="827"/>
      <c r="BB1764" s="827"/>
      <c r="BC1764" s="827"/>
      <c r="BD1764" s="827"/>
      <c r="BE1764" s="827"/>
      <c r="BF1764" s="827"/>
      <c r="BG1764" s="827"/>
      <c r="BH1764" s="827"/>
      <c r="BI1764" s="827"/>
      <c r="BJ1764" s="827"/>
      <c r="BK1764" s="827"/>
      <c r="BL1764" s="827"/>
      <c r="BM1764" s="827"/>
      <c r="BN1764" s="827"/>
      <c r="BO1764" s="827"/>
      <c r="BP1764" s="827"/>
      <c r="BQ1764" s="827"/>
      <c r="BR1764" s="827"/>
      <c r="BS1764" s="827"/>
      <c r="BT1764" s="827"/>
      <c r="BU1764" s="827"/>
      <c r="BV1764" s="827"/>
      <c r="BW1764" s="827"/>
      <c r="BX1764" s="827"/>
      <c r="BY1764" s="827"/>
      <c r="BZ1764" s="827"/>
      <c r="CA1764" s="827"/>
      <c r="CB1764" s="827"/>
      <c r="CC1764" s="827"/>
      <c r="CD1764" s="827"/>
      <c r="CE1764" s="827"/>
      <c r="CF1764" s="827"/>
      <c r="CG1764" s="827"/>
      <c r="CH1764" s="827"/>
      <c r="CI1764" s="827"/>
      <c r="CJ1764" s="827"/>
      <c r="CK1764" s="827"/>
      <c r="CL1764" s="827"/>
      <c r="CM1764" s="827"/>
      <c r="CN1764" s="827"/>
      <c r="CO1764" s="827"/>
      <c r="CP1764" s="827"/>
      <c r="CQ1764" s="827"/>
      <c r="CR1764" s="827"/>
      <c r="CS1764" s="827"/>
      <c r="CT1764" s="827"/>
      <c r="CU1764" s="827"/>
      <c r="CV1764" s="827"/>
      <c r="CW1764" s="827"/>
      <c r="CX1764" s="827"/>
      <c r="CY1764" s="827"/>
      <c r="CZ1764" s="827"/>
      <c r="DA1764" s="827"/>
      <c r="DB1764" s="827"/>
      <c r="DC1764" s="827"/>
      <c r="DD1764" s="827"/>
      <c r="DE1764" s="827"/>
      <c r="DF1764" s="827"/>
      <c r="DG1764" s="827"/>
      <c r="DH1764" s="827"/>
      <c r="DI1764" s="827"/>
      <c r="DJ1764" s="827"/>
      <c r="DK1764" s="827"/>
      <c r="DL1764" s="827"/>
      <c r="DM1764" s="827"/>
      <c r="DN1764" s="827"/>
      <c r="DO1764" s="827"/>
      <c r="DP1764" s="827"/>
      <c r="DQ1764" s="827"/>
      <c r="DR1764" s="827"/>
      <c r="DS1764" s="827"/>
      <c r="DT1764" s="827"/>
      <c r="DU1764" s="827"/>
      <c r="DV1764" s="827"/>
      <c r="DW1764" s="827"/>
      <c r="DX1764" s="827"/>
      <c r="DY1764" s="827"/>
      <c r="DZ1764" s="827"/>
      <c r="EA1764" s="827"/>
      <c r="EB1764" s="827"/>
      <c r="EC1764" s="827"/>
      <c r="ED1764" s="827"/>
      <c r="EE1764" s="827"/>
      <c r="EF1764" s="827"/>
      <c r="EG1764" s="827"/>
      <c r="EH1764" s="827"/>
      <c r="EI1764" s="827"/>
      <c r="EJ1764" s="827"/>
      <c r="EK1764" s="827"/>
      <c r="EL1764" s="827"/>
      <c r="EM1764" s="827"/>
      <c r="EN1764" s="827"/>
      <c r="EO1764" s="827"/>
      <c r="EP1764" s="827"/>
      <c r="EQ1764" s="827"/>
      <c r="ER1764" s="827"/>
      <c r="ES1764" s="827"/>
      <c r="ET1764" s="827"/>
      <c r="EU1764" s="827"/>
      <c r="EV1764" s="827"/>
      <c r="EW1764" s="827"/>
      <c r="EX1764" s="827"/>
      <c r="EY1764" s="827"/>
      <c r="EZ1764" s="827"/>
      <c r="FA1764" s="827"/>
      <c r="FB1764" s="827"/>
      <c r="FC1764" s="827"/>
      <c r="FD1764" s="827"/>
      <c r="FE1764" s="827"/>
      <c r="FF1764" s="827"/>
      <c r="FG1764" s="827"/>
      <c r="FH1764" s="827"/>
      <c r="FI1764" s="827"/>
      <c r="FJ1764" s="827"/>
      <c r="FK1764" s="827"/>
      <c r="FL1764" s="827"/>
      <c r="FM1764" s="827"/>
      <c r="FN1764" s="827"/>
      <c r="FO1764" s="827"/>
      <c r="FP1764" s="827"/>
      <c r="FQ1764" s="827"/>
      <c r="FR1764" s="827"/>
      <c r="FS1764" s="827"/>
      <c r="FT1764" s="827"/>
      <c r="FU1764" s="827"/>
      <c r="FV1764" s="827"/>
      <c r="FW1764" s="827"/>
      <c r="FX1764" s="827"/>
      <c r="FY1764" s="827"/>
      <c r="FZ1764" s="827"/>
      <c r="GA1764" s="827"/>
      <c r="GB1764" s="827"/>
      <c r="GC1764" s="827"/>
      <c r="GD1764" s="827"/>
      <c r="GE1764" s="827"/>
      <c r="GF1764" s="827"/>
      <c r="GG1764" s="827"/>
      <c r="GH1764" s="827"/>
      <c r="GI1764" s="827"/>
      <c r="GJ1764" s="827"/>
      <c r="GK1764" s="827"/>
      <c r="GL1764" s="827"/>
      <c r="GM1764" s="827"/>
      <c r="GN1764" s="827"/>
      <c r="GO1764" s="827"/>
      <c r="GP1764" s="827"/>
      <c r="GQ1764" s="827"/>
      <c r="GR1764" s="827"/>
      <c r="GS1764" s="827"/>
      <c r="GT1764" s="827"/>
      <c r="GU1764" s="827"/>
      <c r="GV1764" s="827"/>
      <c r="GW1764" s="827"/>
      <c r="GX1764" s="827"/>
      <c r="GY1764" s="827"/>
      <c r="GZ1764" s="827"/>
      <c r="HA1764" s="827"/>
      <c r="HB1764" s="827"/>
      <c r="HC1764" s="827"/>
      <c r="HD1764" s="827"/>
      <c r="HE1764" s="827"/>
      <c r="HF1764" s="827"/>
      <c r="HG1764" s="827"/>
      <c r="HH1764" s="827"/>
      <c r="HI1764" s="827"/>
      <c r="HJ1764" s="827"/>
      <c r="HK1764" s="827"/>
      <c r="HL1764" s="827"/>
      <c r="HM1764" s="827"/>
      <c r="HN1764" s="827"/>
      <c r="HO1764" s="827"/>
      <c r="HP1764" s="827"/>
      <c r="HQ1764" s="827"/>
      <c r="HR1764" s="827"/>
      <c r="HS1764" s="827"/>
      <c r="HT1764" s="827"/>
      <c r="HU1764" s="827"/>
      <c r="HV1764" s="827"/>
      <c r="HW1764" s="827"/>
      <c r="HX1764" s="827"/>
      <c r="HY1764" s="827"/>
      <c r="HZ1764" s="827"/>
      <c r="IA1764" s="827"/>
      <c r="IB1764" s="827"/>
      <c r="IC1764" s="827"/>
      <c r="ID1764" s="827"/>
      <c r="IE1764" s="827"/>
      <c r="IF1764" s="827"/>
      <c r="IG1764" s="827"/>
      <c r="IH1764" s="827"/>
      <c r="II1764" s="827"/>
      <c r="IJ1764" s="827"/>
      <c r="IK1764" s="827"/>
      <c r="IL1764" s="827"/>
      <c r="IM1764" s="827"/>
      <c r="IN1764" s="827"/>
      <c r="IO1764" s="827"/>
      <c r="IP1764" s="827"/>
      <c r="IQ1764" s="827"/>
      <c r="IR1764" s="827"/>
      <c r="IS1764" s="827"/>
      <c r="IT1764" s="827"/>
      <c r="IU1764" s="827"/>
    </row>
    <row r="1765" spans="1:255" s="831" customFormat="1" ht="16.5" hidden="1" customHeight="1">
      <c r="A1765" s="336">
        <v>23</v>
      </c>
      <c r="B1765" s="540" t="s">
        <v>1371</v>
      </c>
      <c r="C1765" s="335" t="s">
        <v>1594</v>
      </c>
      <c r="D1765" s="486" t="s">
        <v>816</v>
      </c>
      <c r="E1765" s="863"/>
      <c r="F1765" s="867">
        <f>'დეფექტური აქტი'!E405</f>
        <v>0</v>
      </c>
      <c r="G1765" s="542"/>
      <c r="H1765" s="389"/>
      <c r="I1765" s="389"/>
      <c r="J1765" s="389"/>
      <c r="K1765" s="389"/>
      <c r="L1765" s="389"/>
      <c r="M1765" s="389"/>
      <c r="N1765" s="829"/>
      <c r="O1765" s="827"/>
      <c r="P1765" s="828"/>
      <c r="Q1765" s="828"/>
      <c r="R1765" s="828"/>
      <c r="S1765" s="828"/>
      <c r="T1765" s="828"/>
      <c r="U1765" s="828"/>
      <c r="V1765" s="828"/>
      <c r="W1765" s="828"/>
      <c r="X1765" s="828"/>
      <c r="Y1765" s="828"/>
      <c r="Z1765" s="828"/>
      <c r="AA1765" s="827"/>
      <c r="AB1765" s="827"/>
      <c r="AC1765" s="827"/>
      <c r="AD1765" s="827"/>
      <c r="AE1765" s="827"/>
      <c r="AF1765" s="827"/>
      <c r="AG1765" s="827"/>
      <c r="AH1765" s="827"/>
      <c r="AI1765" s="827"/>
      <c r="AJ1765" s="827"/>
      <c r="AK1765" s="827"/>
      <c r="AL1765" s="827"/>
      <c r="AM1765" s="827"/>
      <c r="AN1765" s="827"/>
      <c r="AO1765" s="827"/>
      <c r="AP1765" s="827"/>
      <c r="AQ1765" s="827"/>
      <c r="AR1765" s="827"/>
      <c r="AS1765" s="827"/>
      <c r="AT1765" s="827"/>
      <c r="AU1765" s="827"/>
      <c r="AV1765" s="827"/>
      <c r="AW1765" s="827"/>
      <c r="AX1765" s="827"/>
      <c r="AY1765" s="827"/>
      <c r="AZ1765" s="827"/>
      <c r="BA1765" s="827"/>
      <c r="BB1765" s="827"/>
      <c r="BC1765" s="827"/>
      <c r="BD1765" s="827"/>
      <c r="BE1765" s="827"/>
      <c r="BF1765" s="827"/>
      <c r="BG1765" s="827"/>
      <c r="BH1765" s="827"/>
      <c r="BI1765" s="827"/>
      <c r="BJ1765" s="827"/>
      <c r="BK1765" s="827"/>
      <c r="BL1765" s="827"/>
      <c r="BM1765" s="827"/>
      <c r="BN1765" s="827"/>
      <c r="BO1765" s="827"/>
      <c r="BP1765" s="827"/>
      <c r="BQ1765" s="827"/>
      <c r="BR1765" s="827"/>
      <c r="BS1765" s="827"/>
      <c r="BT1765" s="827"/>
      <c r="BU1765" s="827"/>
      <c r="BV1765" s="827"/>
      <c r="BW1765" s="827"/>
      <c r="BX1765" s="827"/>
      <c r="BY1765" s="827"/>
      <c r="BZ1765" s="827"/>
      <c r="CA1765" s="827"/>
      <c r="CB1765" s="827"/>
      <c r="CC1765" s="827"/>
      <c r="CD1765" s="827"/>
      <c r="CE1765" s="827"/>
      <c r="CF1765" s="827"/>
      <c r="CG1765" s="827"/>
      <c r="CH1765" s="827"/>
      <c r="CI1765" s="827"/>
      <c r="CJ1765" s="827"/>
      <c r="CK1765" s="827"/>
      <c r="CL1765" s="827"/>
      <c r="CM1765" s="827"/>
      <c r="CN1765" s="827"/>
      <c r="CO1765" s="827"/>
      <c r="CP1765" s="827"/>
      <c r="CQ1765" s="827"/>
      <c r="CR1765" s="827"/>
      <c r="CS1765" s="827"/>
      <c r="CT1765" s="827"/>
      <c r="CU1765" s="827"/>
      <c r="CV1765" s="827"/>
      <c r="CW1765" s="827"/>
      <c r="CX1765" s="827"/>
      <c r="CY1765" s="827"/>
      <c r="CZ1765" s="827"/>
      <c r="DA1765" s="827"/>
      <c r="DB1765" s="827"/>
      <c r="DC1765" s="827"/>
      <c r="DD1765" s="827"/>
      <c r="DE1765" s="827"/>
      <c r="DF1765" s="827"/>
      <c r="DG1765" s="827"/>
      <c r="DH1765" s="827"/>
      <c r="DI1765" s="827"/>
      <c r="DJ1765" s="827"/>
      <c r="DK1765" s="827"/>
      <c r="DL1765" s="827"/>
      <c r="DM1765" s="827"/>
      <c r="DN1765" s="827"/>
      <c r="DO1765" s="827"/>
      <c r="DP1765" s="827"/>
      <c r="DQ1765" s="827"/>
      <c r="DR1765" s="827"/>
      <c r="DS1765" s="827"/>
      <c r="DT1765" s="827"/>
      <c r="DU1765" s="827"/>
      <c r="DV1765" s="827"/>
      <c r="DW1765" s="827"/>
      <c r="DX1765" s="827"/>
      <c r="DY1765" s="827"/>
      <c r="DZ1765" s="827"/>
      <c r="EA1765" s="827"/>
      <c r="EB1765" s="827"/>
      <c r="EC1765" s="827"/>
      <c r="ED1765" s="827"/>
      <c r="EE1765" s="827"/>
      <c r="EF1765" s="827"/>
      <c r="EG1765" s="827"/>
      <c r="EH1765" s="827"/>
      <c r="EI1765" s="827"/>
      <c r="EJ1765" s="827"/>
      <c r="EK1765" s="827"/>
      <c r="EL1765" s="827"/>
      <c r="EM1765" s="827"/>
      <c r="EN1765" s="827"/>
      <c r="EO1765" s="827"/>
      <c r="EP1765" s="827"/>
      <c r="EQ1765" s="827"/>
      <c r="ER1765" s="827"/>
      <c r="ES1765" s="827"/>
      <c r="ET1765" s="827"/>
      <c r="EU1765" s="827"/>
      <c r="EV1765" s="827"/>
      <c r="EW1765" s="827"/>
      <c r="EX1765" s="827"/>
      <c r="EY1765" s="827"/>
      <c r="EZ1765" s="827"/>
      <c r="FA1765" s="827"/>
      <c r="FB1765" s="827"/>
      <c r="FC1765" s="827"/>
      <c r="FD1765" s="827"/>
      <c r="FE1765" s="827"/>
      <c r="FF1765" s="827"/>
      <c r="FG1765" s="827"/>
      <c r="FH1765" s="827"/>
      <c r="FI1765" s="827"/>
      <c r="FJ1765" s="827"/>
      <c r="FK1765" s="827"/>
      <c r="FL1765" s="827"/>
      <c r="FM1765" s="827"/>
      <c r="FN1765" s="827"/>
      <c r="FO1765" s="827"/>
      <c r="FP1765" s="827"/>
      <c r="FQ1765" s="827"/>
      <c r="FR1765" s="827"/>
      <c r="FS1765" s="827"/>
      <c r="FT1765" s="827"/>
      <c r="FU1765" s="827"/>
      <c r="FV1765" s="827"/>
      <c r="FW1765" s="827"/>
      <c r="FX1765" s="827"/>
      <c r="FY1765" s="827"/>
      <c r="FZ1765" s="827"/>
      <c r="GA1765" s="827"/>
      <c r="GB1765" s="827"/>
      <c r="GC1765" s="827"/>
      <c r="GD1765" s="827"/>
      <c r="GE1765" s="827"/>
      <c r="GF1765" s="827"/>
      <c r="GG1765" s="827"/>
      <c r="GH1765" s="827"/>
      <c r="GI1765" s="827"/>
      <c r="GJ1765" s="827"/>
      <c r="GK1765" s="827"/>
      <c r="GL1765" s="827"/>
      <c r="GM1765" s="827"/>
      <c r="GN1765" s="827"/>
      <c r="GO1765" s="827"/>
      <c r="GP1765" s="827"/>
      <c r="GQ1765" s="827"/>
      <c r="GR1765" s="827"/>
      <c r="GS1765" s="827"/>
      <c r="GT1765" s="827"/>
      <c r="GU1765" s="827"/>
      <c r="GV1765" s="827"/>
      <c r="GW1765" s="827"/>
      <c r="GX1765" s="827"/>
      <c r="GY1765" s="827"/>
      <c r="GZ1765" s="827"/>
      <c r="HA1765" s="827"/>
      <c r="HB1765" s="827"/>
      <c r="HC1765" s="827"/>
      <c r="HD1765" s="827"/>
      <c r="HE1765" s="827"/>
      <c r="HF1765" s="827"/>
      <c r="HG1765" s="827"/>
      <c r="HH1765" s="827"/>
      <c r="HI1765" s="827"/>
      <c r="HJ1765" s="827"/>
      <c r="HK1765" s="827"/>
      <c r="HL1765" s="827"/>
      <c r="HM1765" s="827"/>
      <c r="HN1765" s="827"/>
      <c r="HO1765" s="827"/>
      <c r="HP1765" s="827"/>
      <c r="HQ1765" s="827"/>
      <c r="HR1765" s="827"/>
      <c r="HS1765" s="827"/>
      <c r="HT1765" s="827"/>
      <c r="HU1765" s="827"/>
      <c r="HV1765" s="827"/>
      <c r="HW1765" s="827"/>
      <c r="HX1765" s="827"/>
      <c r="HY1765" s="827"/>
      <c r="HZ1765" s="827"/>
      <c r="IA1765" s="827"/>
      <c r="IB1765" s="827"/>
      <c r="IC1765" s="827"/>
      <c r="ID1765" s="827"/>
      <c r="IE1765" s="827"/>
      <c r="IF1765" s="827"/>
      <c r="IG1765" s="827"/>
      <c r="IH1765" s="827"/>
      <c r="II1765" s="827"/>
      <c r="IJ1765" s="827"/>
      <c r="IK1765" s="827"/>
      <c r="IL1765" s="827"/>
      <c r="IM1765" s="827"/>
      <c r="IN1765" s="827"/>
      <c r="IO1765" s="827"/>
      <c r="IP1765" s="827"/>
      <c r="IQ1765" s="827"/>
      <c r="IR1765" s="827"/>
      <c r="IS1765" s="827"/>
      <c r="IT1765" s="827"/>
      <c r="IU1765" s="827"/>
    </row>
    <row r="1766" spans="1:255" s="831" customFormat="1" ht="13.5" hidden="1" customHeight="1">
      <c r="A1766" s="336"/>
      <c r="B1766" s="540"/>
      <c r="C1766" s="335" t="s">
        <v>128</v>
      </c>
      <c r="D1766" s="486" t="s">
        <v>80</v>
      </c>
      <c r="E1766" s="614">
        <v>1.67</v>
      </c>
      <c r="F1766" s="389">
        <f>F1765*E1766</f>
        <v>0</v>
      </c>
      <c r="G1766" s="542"/>
      <c r="H1766" s="636"/>
      <c r="I1766" s="389">
        <v>4.5999999999999996</v>
      </c>
      <c r="J1766" s="389">
        <f>F1766*I1766</f>
        <v>0</v>
      </c>
      <c r="K1766" s="389"/>
      <c r="L1766" s="389"/>
      <c r="M1766" s="389">
        <f>H1766+J1766+L1766</f>
        <v>0</v>
      </c>
      <c r="N1766" s="830"/>
      <c r="O1766" s="827"/>
      <c r="P1766" s="828"/>
      <c r="Q1766" s="828"/>
      <c r="R1766" s="828"/>
      <c r="S1766" s="828"/>
      <c r="T1766" s="828"/>
      <c r="U1766" s="828"/>
      <c r="V1766" s="828"/>
      <c r="W1766" s="828"/>
      <c r="X1766" s="828"/>
      <c r="Y1766" s="828"/>
      <c r="Z1766" s="828"/>
      <c r="AA1766" s="827"/>
      <c r="AB1766" s="827"/>
      <c r="AC1766" s="827"/>
      <c r="AD1766" s="827"/>
      <c r="AE1766" s="827"/>
      <c r="AF1766" s="827"/>
      <c r="AG1766" s="827"/>
      <c r="AH1766" s="827"/>
      <c r="AI1766" s="827"/>
      <c r="AJ1766" s="827"/>
      <c r="AK1766" s="827"/>
      <c r="AL1766" s="827"/>
      <c r="AM1766" s="827"/>
      <c r="AN1766" s="827"/>
      <c r="AO1766" s="827"/>
      <c r="AP1766" s="827"/>
      <c r="AQ1766" s="827"/>
      <c r="AR1766" s="827"/>
      <c r="AS1766" s="827"/>
      <c r="AT1766" s="827"/>
      <c r="AU1766" s="827"/>
      <c r="AV1766" s="827"/>
      <c r="AW1766" s="827"/>
      <c r="AX1766" s="827"/>
      <c r="AY1766" s="827"/>
      <c r="AZ1766" s="827"/>
      <c r="BA1766" s="827"/>
      <c r="BB1766" s="827"/>
      <c r="BC1766" s="827"/>
      <c r="BD1766" s="827"/>
      <c r="BE1766" s="827"/>
      <c r="BF1766" s="827"/>
      <c r="BG1766" s="827"/>
      <c r="BH1766" s="827"/>
      <c r="BI1766" s="827"/>
      <c r="BJ1766" s="827"/>
      <c r="BK1766" s="827"/>
      <c r="BL1766" s="827"/>
      <c r="BM1766" s="827"/>
      <c r="BN1766" s="827"/>
      <c r="BO1766" s="827"/>
      <c r="BP1766" s="827"/>
      <c r="BQ1766" s="827"/>
      <c r="BR1766" s="827"/>
      <c r="BS1766" s="827"/>
      <c r="BT1766" s="827"/>
      <c r="BU1766" s="827"/>
      <c r="BV1766" s="827"/>
      <c r="BW1766" s="827"/>
      <c r="BX1766" s="827"/>
      <c r="BY1766" s="827"/>
      <c r="BZ1766" s="827"/>
      <c r="CA1766" s="827"/>
      <c r="CB1766" s="827"/>
      <c r="CC1766" s="827"/>
      <c r="CD1766" s="827"/>
      <c r="CE1766" s="827"/>
      <c r="CF1766" s="827"/>
      <c r="CG1766" s="827"/>
      <c r="CH1766" s="827"/>
      <c r="CI1766" s="827"/>
      <c r="CJ1766" s="827"/>
      <c r="CK1766" s="827"/>
      <c r="CL1766" s="827"/>
      <c r="CM1766" s="827"/>
      <c r="CN1766" s="827"/>
      <c r="CO1766" s="827"/>
      <c r="CP1766" s="827"/>
      <c r="CQ1766" s="827"/>
      <c r="CR1766" s="827"/>
      <c r="CS1766" s="827"/>
      <c r="CT1766" s="827"/>
      <c r="CU1766" s="827"/>
      <c r="CV1766" s="827"/>
      <c r="CW1766" s="827"/>
      <c r="CX1766" s="827"/>
      <c r="CY1766" s="827"/>
      <c r="CZ1766" s="827"/>
      <c r="DA1766" s="827"/>
      <c r="DB1766" s="827"/>
      <c r="DC1766" s="827"/>
      <c r="DD1766" s="827"/>
      <c r="DE1766" s="827"/>
      <c r="DF1766" s="827"/>
      <c r="DG1766" s="827"/>
      <c r="DH1766" s="827"/>
      <c r="DI1766" s="827"/>
      <c r="DJ1766" s="827"/>
      <c r="DK1766" s="827"/>
      <c r="DL1766" s="827"/>
      <c r="DM1766" s="827"/>
      <c r="DN1766" s="827"/>
      <c r="DO1766" s="827"/>
      <c r="DP1766" s="827"/>
      <c r="DQ1766" s="827"/>
      <c r="DR1766" s="827"/>
      <c r="DS1766" s="827"/>
      <c r="DT1766" s="827"/>
      <c r="DU1766" s="827"/>
      <c r="DV1766" s="827"/>
      <c r="DW1766" s="827"/>
      <c r="DX1766" s="827"/>
      <c r="DY1766" s="827"/>
      <c r="DZ1766" s="827"/>
      <c r="EA1766" s="827"/>
      <c r="EB1766" s="827"/>
      <c r="EC1766" s="827"/>
      <c r="ED1766" s="827"/>
      <c r="EE1766" s="827"/>
      <c r="EF1766" s="827"/>
      <c r="EG1766" s="827"/>
      <c r="EH1766" s="827"/>
      <c r="EI1766" s="827"/>
      <c r="EJ1766" s="827"/>
      <c r="EK1766" s="827"/>
      <c r="EL1766" s="827"/>
      <c r="EM1766" s="827"/>
      <c r="EN1766" s="827"/>
      <c r="EO1766" s="827"/>
      <c r="EP1766" s="827"/>
      <c r="EQ1766" s="827"/>
      <c r="ER1766" s="827"/>
      <c r="ES1766" s="827"/>
      <c r="ET1766" s="827"/>
      <c r="EU1766" s="827"/>
      <c r="EV1766" s="827"/>
      <c r="EW1766" s="827"/>
      <c r="EX1766" s="827"/>
      <c r="EY1766" s="827"/>
      <c r="EZ1766" s="827"/>
      <c r="FA1766" s="827"/>
      <c r="FB1766" s="827"/>
      <c r="FC1766" s="827"/>
      <c r="FD1766" s="827"/>
      <c r="FE1766" s="827"/>
      <c r="FF1766" s="827"/>
      <c r="FG1766" s="827"/>
      <c r="FH1766" s="827"/>
      <c r="FI1766" s="827"/>
      <c r="FJ1766" s="827"/>
      <c r="FK1766" s="827"/>
      <c r="FL1766" s="827"/>
      <c r="FM1766" s="827"/>
      <c r="FN1766" s="827"/>
      <c r="FO1766" s="827"/>
      <c r="FP1766" s="827"/>
      <c r="FQ1766" s="827"/>
      <c r="FR1766" s="827"/>
      <c r="FS1766" s="827"/>
      <c r="FT1766" s="827"/>
      <c r="FU1766" s="827"/>
      <c r="FV1766" s="827"/>
      <c r="FW1766" s="827"/>
      <c r="FX1766" s="827"/>
      <c r="FY1766" s="827"/>
      <c r="FZ1766" s="827"/>
      <c r="GA1766" s="827"/>
      <c r="GB1766" s="827"/>
      <c r="GC1766" s="827"/>
      <c r="GD1766" s="827"/>
      <c r="GE1766" s="827"/>
      <c r="GF1766" s="827"/>
      <c r="GG1766" s="827"/>
      <c r="GH1766" s="827"/>
      <c r="GI1766" s="827"/>
      <c r="GJ1766" s="827"/>
      <c r="GK1766" s="827"/>
      <c r="GL1766" s="827"/>
      <c r="GM1766" s="827"/>
      <c r="GN1766" s="827"/>
      <c r="GO1766" s="827"/>
      <c r="GP1766" s="827"/>
      <c r="GQ1766" s="827"/>
      <c r="GR1766" s="827"/>
      <c r="GS1766" s="827"/>
      <c r="GT1766" s="827"/>
      <c r="GU1766" s="827"/>
      <c r="GV1766" s="827"/>
      <c r="GW1766" s="827"/>
      <c r="GX1766" s="827"/>
      <c r="GY1766" s="827"/>
      <c r="GZ1766" s="827"/>
      <c r="HA1766" s="827"/>
      <c r="HB1766" s="827"/>
      <c r="HC1766" s="827"/>
      <c r="HD1766" s="827"/>
      <c r="HE1766" s="827"/>
      <c r="HF1766" s="827"/>
      <c r="HG1766" s="827"/>
      <c r="HH1766" s="827"/>
      <c r="HI1766" s="827"/>
      <c r="HJ1766" s="827"/>
      <c r="HK1766" s="827"/>
      <c r="HL1766" s="827"/>
      <c r="HM1766" s="827"/>
      <c r="HN1766" s="827"/>
      <c r="HO1766" s="827"/>
      <c r="HP1766" s="827"/>
      <c r="HQ1766" s="827"/>
      <c r="HR1766" s="827"/>
      <c r="HS1766" s="827"/>
      <c r="HT1766" s="827"/>
      <c r="HU1766" s="827"/>
      <c r="HV1766" s="827"/>
      <c r="HW1766" s="827"/>
      <c r="HX1766" s="827"/>
      <c r="HY1766" s="827"/>
      <c r="HZ1766" s="827"/>
      <c r="IA1766" s="827"/>
      <c r="IB1766" s="827"/>
      <c r="IC1766" s="827"/>
      <c r="ID1766" s="827"/>
      <c r="IE1766" s="827"/>
      <c r="IF1766" s="827"/>
      <c r="IG1766" s="827"/>
      <c r="IH1766" s="827"/>
      <c r="II1766" s="827"/>
      <c r="IJ1766" s="827"/>
      <c r="IK1766" s="827"/>
      <c r="IL1766" s="827"/>
      <c r="IM1766" s="827"/>
      <c r="IN1766" s="827"/>
      <c r="IO1766" s="827"/>
      <c r="IP1766" s="827"/>
      <c r="IQ1766" s="827"/>
      <c r="IR1766" s="827"/>
      <c r="IS1766" s="827"/>
      <c r="IT1766" s="827"/>
      <c r="IU1766" s="827"/>
    </row>
    <row r="1767" spans="1:255" s="831" customFormat="1" ht="15.75" hidden="1" customHeight="1">
      <c r="A1767" s="336"/>
      <c r="B1767" s="543"/>
      <c r="C1767" s="335" t="s">
        <v>133</v>
      </c>
      <c r="D1767" s="336" t="s">
        <v>57</v>
      </c>
      <c r="E1767" s="863">
        <v>0.05</v>
      </c>
      <c r="F1767" s="389">
        <f>F1765*E1767</f>
        <v>0</v>
      </c>
      <c r="G1767" s="542"/>
      <c r="H1767" s="389"/>
      <c r="I1767" s="389"/>
      <c r="J1767" s="389"/>
      <c r="K1767" s="389">
        <v>3.2</v>
      </c>
      <c r="L1767" s="389">
        <f>F1767*K1767</f>
        <v>0</v>
      </c>
      <c r="M1767" s="389">
        <f>H1767+J1767+L1767</f>
        <v>0</v>
      </c>
      <c r="N1767" s="830"/>
      <c r="O1767" s="827"/>
      <c r="P1767" s="828"/>
      <c r="Q1767" s="828"/>
      <c r="R1767" s="828"/>
      <c r="S1767" s="828"/>
      <c r="T1767" s="828"/>
      <c r="U1767" s="828"/>
      <c r="V1767" s="828"/>
      <c r="W1767" s="828"/>
      <c r="X1767" s="828"/>
      <c r="Y1767" s="828"/>
      <c r="Z1767" s="828"/>
      <c r="AA1767" s="827"/>
      <c r="AB1767" s="827"/>
      <c r="AC1767" s="827"/>
      <c r="AD1767" s="827"/>
      <c r="AE1767" s="827"/>
      <c r="AF1767" s="827"/>
      <c r="AG1767" s="827"/>
      <c r="AH1767" s="827"/>
      <c r="AI1767" s="827"/>
      <c r="AJ1767" s="827"/>
      <c r="AK1767" s="827"/>
      <c r="AL1767" s="827"/>
      <c r="AM1767" s="827"/>
      <c r="AN1767" s="827"/>
      <c r="AO1767" s="827"/>
      <c r="AP1767" s="827"/>
      <c r="AQ1767" s="827"/>
      <c r="AR1767" s="827"/>
      <c r="AS1767" s="827"/>
      <c r="AT1767" s="827"/>
      <c r="AU1767" s="827"/>
      <c r="AV1767" s="827"/>
      <c r="AW1767" s="827"/>
      <c r="AX1767" s="827"/>
      <c r="AY1767" s="827"/>
      <c r="AZ1767" s="827"/>
      <c r="BA1767" s="827"/>
      <c r="BB1767" s="827"/>
      <c r="BC1767" s="827"/>
      <c r="BD1767" s="827"/>
      <c r="BE1767" s="827"/>
      <c r="BF1767" s="827"/>
      <c r="BG1767" s="827"/>
      <c r="BH1767" s="827"/>
      <c r="BI1767" s="827"/>
      <c r="BJ1767" s="827"/>
      <c r="BK1767" s="827"/>
      <c r="BL1767" s="827"/>
      <c r="BM1767" s="827"/>
      <c r="BN1767" s="827"/>
      <c r="BO1767" s="827"/>
      <c r="BP1767" s="827"/>
      <c r="BQ1767" s="827"/>
      <c r="BR1767" s="827"/>
      <c r="BS1767" s="827"/>
      <c r="BT1767" s="827"/>
      <c r="BU1767" s="827"/>
      <c r="BV1767" s="827"/>
      <c r="BW1767" s="827"/>
      <c r="BX1767" s="827"/>
      <c r="BY1767" s="827"/>
      <c r="BZ1767" s="827"/>
      <c r="CA1767" s="827"/>
      <c r="CB1767" s="827"/>
      <c r="CC1767" s="827"/>
      <c r="CD1767" s="827"/>
      <c r="CE1767" s="827"/>
      <c r="CF1767" s="827"/>
      <c r="CG1767" s="827"/>
      <c r="CH1767" s="827"/>
      <c r="CI1767" s="827"/>
      <c r="CJ1767" s="827"/>
      <c r="CK1767" s="827"/>
      <c r="CL1767" s="827"/>
      <c r="CM1767" s="827"/>
      <c r="CN1767" s="827"/>
      <c r="CO1767" s="827"/>
      <c r="CP1767" s="827"/>
      <c r="CQ1767" s="827"/>
      <c r="CR1767" s="827"/>
      <c r="CS1767" s="827"/>
      <c r="CT1767" s="827"/>
      <c r="CU1767" s="827"/>
      <c r="CV1767" s="827"/>
      <c r="CW1767" s="827"/>
      <c r="CX1767" s="827"/>
      <c r="CY1767" s="827"/>
      <c r="CZ1767" s="827"/>
      <c r="DA1767" s="827"/>
      <c r="DB1767" s="827"/>
      <c r="DC1767" s="827"/>
      <c r="DD1767" s="827"/>
      <c r="DE1767" s="827"/>
      <c r="DF1767" s="827"/>
      <c r="DG1767" s="827"/>
      <c r="DH1767" s="827"/>
      <c r="DI1767" s="827"/>
      <c r="DJ1767" s="827"/>
      <c r="DK1767" s="827"/>
      <c r="DL1767" s="827"/>
      <c r="DM1767" s="827"/>
      <c r="DN1767" s="827"/>
      <c r="DO1767" s="827"/>
      <c r="DP1767" s="827"/>
      <c r="DQ1767" s="827"/>
      <c r="DR1767" s="827"/>
      <c r="DS1767" s="827"/>
      <c r="DT1767" s="827"/>
      <c r="DU1767" s="827"/>
      <c r="DV1767" s="827"/>
      <c r="DW1767" s="827"/>
      <c r="DX1767" s="827"/>
      <c r="DY1767" s="827"/>
      <c r="DZ1767" s="827"/>
      <c r="EA1767" s="827"/>
      <c r="EB1767" s="827"/>
      <c r="EC1767" s="827"/>
      <c r="ED1767" s="827"/>
      <c r="EE1767" s="827"/>
      <c r="EF1767" s="827"/>
      <c r="EG1767" s="827"/>
      <c r="EH1767" s="827"/>
      <c r="EI1767" s="827"/>
      <c r="EJ1767" s="827"/>
      <c r="EK1767" s="827"/>
      <c r="EL1767" s="827"/>
      <c r="EM1767" s="827"/>
      <c r="EN1767" s="827"/>
      <c r="EO1767" s="827"/>
      <c r="EP1767" s="827"/>
      <c r="EQ1767" s="827"/>
      <c r="ER1767" s="827"/>
      <c r="ES1767" s="827"/>
      <c r="ET1767" s="827"/>
      <c r="EU1767" s="827"/>
      <c r="EV1767" s="827"/>
      <c r="EW1767" s="827"/>
      <c r="EX1767" s="827"/>
      <c r="EY1767" s="827"/>
      <c r="EZ1767" s="827"/>
      <c r="FA1767" s="827"/>
      <c r="FB1767" s="827"/>
      <c r="FC1767" s="827"/>
      <c r="FD1767" s="827"/>
      <c r="FE1767" s="827"/>
      <c r="FF1767" s="827"/>
      <c r="FG1767" s="827"/>
      <c r="FH1767" s="827"/>
      <c r="FI1767" s="827"/>
      <c r="FJ1767" s="827"/>
      <c r="FK1767" s="827"/>
      <c r="FL1767" s="827"/>
      <c r="FM1767" s="827"/>
      <c r="FN1767" s="827"/>
      <c r="FO1767" s="827"/>
      <c r="FP1767" s="827"/>
      <c r="FQ1767" s="827"/>
      <c r="FR1767" s="827"/>
      <c r="FS1767" s="827"/>
      <c r="FT1767" s="827"/>
      <c r="FU1767" s="827"/>
      <c r="FV1767" s="827"/>
      <c r="FW1767" s="827"/>
      <c r="FX1767" s="827"/>
      <c r="FY1767" s="827"/>
      <c r="FZ1767" s="827"/>
      <c r="GA1767" s="827"/>
      <c r="GB1767" s="827"/>
      <c r="GC1767" s="827"/>
      <c r="GD1767" s="827"/>
      <c r="GE1767" s="827"/>
      <c r="GF1767" s="827"/>
      <c r="GG1767" s="827"/>
      <c r="GH1767" s="827"/>
      <c r="GI1767" s="827"/>
      <c r="GJ1767" s="827"/>
      <c r="GK1767" s="827"/>
      <c r="GL1767" s="827"/>
      <c r="GM1767" s="827"/>
      <c r="GN1767" s="827"/>
      <c r="GO1767" s="827"/>
      <c r="GP1767" s="827"/>
      <c r="GQ1767" s="827"/>
      <c r="GR1767" s="827"/>
      <c r="GS1767" s="827"/>
      <c r="GT1767" s="827"/>
      <c r="GU1767" s="827"/>
      <c r="GV1767" s="827"/>
      <c r="GW1767" s="827"/>
      <c r="GX1767" s="827"/>
      <c r="GY1767" s="827"/>
      <c r="GZ1767" s="827"/>
      <c r="HA1767" s="827"/>
      <c r="HB1767" s="827"/>
      <c r="HC1767" s="827"/>
      <c r="HD1767" s="827"/>
      <c r="HE1767" s="827"/>
      <c r="HF1767" s="827"/>
      <c r="HG1767" s="827"/>
      <c r="HH1767" s="827"/>
      <c r="HI1767" s="827"/>
      <c r="HJ1767" s="827"/>
      <c r="HK1767" s="827"/>
      <c r="HL1767" s="827"/>
      <c r="HM1767" s="827"/>
      <c r="HN1767" s="827"/>
      <c r="HO1767" s="827"/>
      <c r="HP1767" s="827"/>
      <c r="HQ1767" s="827"/>
      <c r="HR1767" s="827"/>
      <c r="HS1767" s="827"/>
      <c r="HT1767" s="827"/>
      <c r="HU1767" s="827"/>
      <c r="HV1767" s="827"/>
      <c r="HW1767" s="827"/>
      <c r="HX1767" s="827"/>
      <c r="HY1767" s="827"/>
      <c r="HZ1767" s="827"/>
      <c r="IA1767" s="827"/>
      <c r="IB1767" s="827"/>
      <c r="IC1767" s="827"/>
      <c r="ID1767" s="827"/>
      <c r="IE1767" s="827"/>
      <c r="IF1767" s="827"/>
      <c r="IG1767" s="827"/>
      <c r="IH1767" s="827"/>
      <c r="II1767" s="827"/>
      <c r="IJ1767" s="827"/>
      <c r="IK1767" s="827"/>
      <c r="IL1767" s="827"/>
      <c r="IM1767" s="827"/>
      <c r="IN1767" s="827"/>
      <c r="IO1767" s="827"/>
      <c r="IP1767" s="827"/>
      <c r="IQ1767" s="827"/>
      <c r="IR1767" s="827"/>
      <c r="IS1767" s="827"/>
      <c r="IT1767" s="827"/>
      <c r="IU1767" s="827"/>
    </row>
    <row r="1768" spans="1:255" s="831" customFormat="1" ht="13.5" hidden="1" customHeight="1">
      <c r="A1768" s="336"/>
      <c r="B1768" s="543"/>
      <c r="C1768" s="335" t="s">
        <v>210</v>
      </c>
      <c r="D1768" s="486"/>
      <c r="E1768" s="863"/>
      <c r="F1768" s="389"/>
      <c r="G1768" s="542"/>
      <c r="H1768" s="389"/>
      <c r="I1768" s="389"/>
      <c r="J1768" s="389"/>
      <c r="K1768" s="389"/>
      <c r="L1768" s="389"/>
      <c r="M1768" s="389"/>
      <c r="N1768" s="830"/>
      <c r="O1768" s="827"/>
      <c r="P1768" s="828"/>
      <c r="Q1768" s="828"/>
      <c r="R1768" s="828"/>
      <c r="S1768" s="828"/>
      <c r="T1768" s="828"/>
      <c r="U1768" s="828"/>
      <c r="V1768" s="828"/>
      <c r="W1768" s="828"/>
      <c r="X1768" s="828"/>
      <c r="Y1768" s="828"/>
      <c r="Z1768" s="828"/>
      <c r="AA1768" s="827"/>
      <c r="AB1768" s="827"/>
      <c r="AC1768" s="827"/>
      <c r="AD1768" s="827"/>
      <c r="AE1768" s="827"/>
      <c r="AF1768" s="827"/>
      <c r="AG1768" s="827"/>
      <c r="AH1768" s="827"/>
      <c r="AI1768" s="827"/>
      <c r="AJ1768" s="827"/>
      <c r="AK1768" s="827"/>
      <c r="AL1768" s="827"/>
      <c r="AM1768" s="827"/>
      <c r="AN1768" s="827"/>
      <c r="AO1768" s="827"/>
      <c r="AP1768" s="827"/>
      <c r="AQ1768" s="827"/>
      <c r="AR1768" s="827"/>
      <c r="AS1768" s="827"/>
      <c r="AT1768" s="827"/>
      <c r="AU1768" s="827"/>
      <c r="AV1768" s="827"/>
      <c r="AW1768" s="827"/>
      <c r="AX1768" s="827"/>
      <c r="AY1768" s="827"/>
      <c r="AZ1768" s="827"/>
      <c r="BA1768" s="827"/>
      <c r="BB1768" s="827"/>
      <c r="BC1768" s="827"/>
      <c r="BD1768" s="827"/>
      <c r="BE1768" s="827"/>
      <c r="BF1768" s="827"/>
      <c r="BG1768" s="827"/>
      <c r="BH1768" s="827"/>
      <c r="BI1768" s="827"/>
      <c r="BJ1768" s="827"/>
      <c r="BK1768" s="827"/>
      <c r="BL1768" s="827"/>
      <c r="BM1768" s="827"/>
      <c r="BN1768" s="827"/>
      <c r="BO1768" s="827"/>
      <c r="BP1768" s="827"/>
      <c r="BQ1768" s="827"/>
      <c r="BR1768" s="827"/>
      <c r="BS1768" s="827"/>
      <c r="BT1768" s="827"/>
      <c r="BU1768" s="827"/>
      <c r="BV1768" s="827"/>
      <c r="BW1768" s="827"/>
      <c r="BX1768" s="827"/>
      <c r="BY1768" s="827"/>
      <c r="BZ1768" s="827"/>
      <c r="CA1768" s="827"/>
      <c r="CB1768" s="827"/>
      <c r="CC1768" s="827"/>
      <c r="CD1768" s="827"/>
      <c r="CE1768" s="827"/>
      <c r="CF1768" s="827"/>
      <c r="CG1768" s="827"/>
      <c r="CH1768" s="827"/>
      <c r="CI1768" s="827"/>
      <c r="CJ1768" s="827"/>
      <c r="CK1768" s="827"/>
      <c r="CL1768" s="827"/>
      <c r="CM1768" s="827"/>
      <c r="CN1768" s="827"/>
      <c r="CO1768" s="827"/>
      <c r="CP1768" s="827"/>
      <c r="CQ1768" s="827"/>
      <c r="CR1768" s="827"/>
      <c r="CS1768" s="827"/>
      <c r="CT1768" s="827"/>
      <c r="CU1768" s="827"/>
      <c r="CV1768" s="827"/>
      <c r="CW1768" s="827"/>
      <c r="CX1768" s="827"/>
      <c r="CY1768" s="827"/>
      <c r="CZ1768" s="827"/>
      <c r="DA1768" s="827"/>
      <c r="DB1768" s="827"/>
      <c r="DC1768" s="827"/>
      <c r="DD1768" s="827"/>
      <c r="DE1768" s="827"/>
      <c r="DF1768" s="827"/>
      <c r="DG1768" s="827"/>
      <c r="DH1768" s="827"/>
      <c r="DI1768" s="827"/>
      <c r="DJ1768" s="827"/>
      <c r="DK1768" s="827"/>
      <c r="DL1768" s="827"/>
      <c r="DM1768" s="827"/>
      <c r="DN1768" s="827"/>
      <c r="DO1768" s="827"/>
      <c r="DP1768" s="827"/>
      <c r="DQ1768" s="827"/>
      <c r="DR1768" s="827"/>
      <c r="DS1768" s="827"/>
      <c r="DT1768" s="827"/>
      <c r="DU1768" s="827"/>
      <c r="DV1768" s="827"/>
      <c r="DW1768" s="827"/>
      <c r="DX1768" s="827"/>
      <c r="DY1768" s="827"/>
      <c r="DZ1768" s="827"/>
      <c r="EA1768" s="827"/>
      <c r="EB1768" s="827"/>
      <c r="EC1768" s="827"/>
      <c r="ED1768" s="827"/>
      <c r="EE1768" s="827"/>
      <c r="EF1768" s="827"/>
      <c r="EG1768" s="827"/>
      <c r="EH1768" s="827"/>
      <c r="EI1768" s="827"/>
      <c r="EJ1768" s="827"/>
      <c r="EK1768" s="827"/>
      <c r="EL1768" s="827"/>
      <c r="EM1768" s="827"/>
      <c r="EN1768" s="827"/>
      <c r="EO1768" s="827"/>
      <c r="EP1768" s="827"/>
      <c r="EQ1768" s="827"/>
      <c r="ER1768" s="827"/>
      <c r="ES1768" s="827"/>
      <c r="ET1768" s="827"/>
      <c r="EU1768" s="827"/>
      <c r="EV1768" s="827"/>
      <c r="EW1768" s="827"/>
      <c r="EX1768" s="827"/>
      <c r="EY1768" s="827"/>
      <c r="EZ1768" s="827"/>
      <c r="FA1768" s="827"/>
      <c r="FB1768" s="827"/>
      <c r="FC1768" s="827"/>
      <c r="FD1768" s="827"/>
      <c r="FE1768" s="827"/>
      <c r="FF1768" s="827"/>
      <c r="FG1768" s="827"/>
      <c r="FH1768" s="827"/>
      <c r="FI1768" s="827"/>
      <c r="FJ1768" s="827"/>
      <c r="FK1768" s="827"/>
      <c r="FL1768" s="827"/>
      <c r="FM1768" s="827"/>
      <c r="FN1768" s="827"/>
      <c r="FO1768" s="827"/>
      <c r="FP1768" s="827"/>
      <c r="FQ1768" s="827"/>
      <c r="FR1768" s="827"/>
      <c r="FS1768" s="827"/>
      <c r="FT1768" s="827"/>
      <c r="FU1768" s="827"/>
      <c r="FV1768" s="827"/>
      <c r="FW1768" s="827"/>
      <c r="FX1768" s="827"/>
      <c r="FY1768" s="827"/>
      <c r="FZ1768" s="827"/>
      <c r="GA1768" s="827"/>
      <c r="GB1768" s="827"/>
      <c r="GC1768" s="827"/>
      <c r="GD1768" s="827"/>
      <c r="GE1768" s="827"/>
      <c r="GF1768" s="827"/>
      <c r="GG1768" s="827"/>
      <c r="GH1768" s="827"/>
      <c r="GI1768" s="827"/>
      <c r="GJ1768" s="827"/>
      <c r="GK1768" s="827"/>
      <c r="GL1768" s="827"/>
      <c r="GM1768" s="827"/>
      <c r="GN1768" s="827"/>
      <c r="GO1768" s="827"/>
      <c r="GP1768" s="827"/>
      <c r="GQ1768" s="827"/>
      <c r="GR1768" s="827"/>
      <c r="GS1768" s="827"/>
      <c r="GT1768" s="827"/>
      <c r="GU1768" s="827"/>
      <c r="GV1768" s="827"/>
      <c r="GW1768" s="827"/>
      <c r="GX1768" s="827"/>
      <c r="GY1768" s="827"/>
      <c r="GZ1768" s="827"/>
      <c r="HA1768" s="827"/>
      <c r="HB1768" s="827"/>
      <c r="HC1768" s="827"/>
      <c r="HD1768" s="827"/>
      <c r="HE1768" s="827"/>
      <c r="HF1768" s="827"/>
      <c r="HG1768" s="827"/>
      <c r="HH1768" s="827"/>
      <c r="HI1768" s="827"/>
      <c r="HJ1768" s="827"/>
      <c r="HK1768" s="827"/>
      <c r="HL1768" s="827"/>
      <c r="HM1768" s="827"/>
      <c r="HN1768" s="827"/>
      <c r="HO1768" s="827"/>
      <c r="HP1768" s="827"/>
      <c r="HQ1768" s="827"/>
      <c r="HR1768" s="827"/>
      <c r="HS1768" s="827"/>
      <c r="HT1768" s="827"/>
      <c r="HU1768" s="827"/>
      <c r="HV1768" s="827"/>
      <c r="HW1768" s="827"/>
      <c r="HX1768" s="827"/>
      <c r="HY1768" s="827"/>
      <c r="HZ1768" s="827"/>
      <c r="IA1768" s="827"/>
      <c r="IB1768" s="827"/>
      <c r="IC1768" s="827"/>
      <c r="ID1768" s="827"/>
      <c r="IE1768" s="827"/>
      <c r="IF1768" s="827"/>
      <c r="IG1768" s="827"/>
      <c r="IH1768" s="827"/>
      <c r="II1768" s="827"/>
      <c r="IJ1768" s="827"/>
      <c r="IK1768" s="827"/>
      <c r="IL1768" s="827"/>
      <c r="IM1768" s="827"/>
      <c r="IN1768" s="827"/>
      <c r="IO1768" s="827"/>
      <c r="IP1768" s="827"/>
      <c r="IQ1768" s="827"/>
      <c r="IR1768" s="827"/>
      <c r="IS1768" s="827"/>
      <c r="IT1768" s="827"/>
      <c r="IU1768" s="827"/>
    </row>
    <row r="1769" spans="1:255" s="831" customFormat="1" ht="13.5" hidden="1" customHeight="1">
      <c r="A1769" s="336"/>
      <c r="B1769" s="543"/>
      <c r="C1769" s="335" t="s">
        <v>1373</v>
      </c>
      <c r="D1769" s="486" t="s">
        <v>113</v>
      </c>
      <c r="E1769" s="863">
        <v>1</v>
      </c>
      <c r="F1769" s="389">
        <f>F1765*E1769</f>
        <v>0</v>
      </c>
      <c r="G1769" s="511">
        <v>93.2</v>
      </c>
      <c r="H1769" s="389">
        <f>F1769*G1769</f>
        <v>0</v>
      </c>
      <c r="I1769" s="389"/>
      <c r="J1769" s="389"/>
      <c r="K1769" s="389"/>
      <c r="L1769" s="389"/>
      <c r="M1769" s="389">
        <f>H1769+J1769+L1769</f>
        <v>0</v>
      </c>
      <c r="N1769" s="830"/>
      <c r="O1769" s="827"/>
      <c r="P1769" s="828"/>
      <c r="Q1769" s="828"/>
      <c r="R1769" s="828"/>
      <c r="S1769" s="828"/>
      <c r="T1769" s="828"/>
      <c r="U1769" s="828"/>
      <c r="V1769" s="828"/>
      <c r="W1769" s="828"/>
      <c r="X1769" s="828"/>
      <c r="Y1769" s="828"/>
      <c r="Z1769" s="828"/>
      <c r="AA1769" s="827"/>
      <c r="AB1769" s="827"/>
      <c r="AC1769" s="827"/>
      <c r="AD1769" s="827"/>
      <c r="AE1769" s="827"/>
      <c r="AF1769" s="827"/>
      <c r="AG1769" s="827"/>
      <c r="AH1769" s="827"/>
      <c r="AI1769" s="827"/>
      <c r="AJ1769" s="827"/>
      <c r="AK1769" s="827"/>
      <c r="AL1769" s="827"/>
      <c r="AM1769" s="827"/>
      <c r="AN1769" s="827"/>
      <c r="AO1769" s="827"/>
      <c r="AP1769" s="827"/>
      <c r="AQ1769" s="827"/>
      <c r="AR1769" s="827"/>
      <c r="AS1769" s="827"/>
      <c r="AT1769" s="827"/>
      <c r="AU1769" s="827"/>
      <c r="AV1769" s="827"/>
      <c r="AW1769" s="827"/>
      <c r="AX1769" s="827"/>
      <c r="AY1769" s="827"/>
      <c r="AZ1769" s="827"/>
      <c r="BA1769" s="827"/>
      <c r="BB1769" s="827"/>
      <c r="BC1769" s="827"/>
      <c r="BD1769" s="827"/>
      <c r="BE1769" s="827"/>
      <c r="BF1769" s="827"/>
      <c r="BG1769" s="827"/>
      <c r="BH1769" s="827"/>
      <c r="BI1769" s="827"/>
      <c r="BJ1769" s="827"/>
      <c r="BK1769" s="827"/>
      <c r="BL1769" s="827"/>
      <c r="BM1769" s="827"/>
      <c r="BN1769" s="827"/>
      <c r="BO1769" s="827"/>
      <c r="BP1769" s="827"/>
      <c r="BQ1769" s="827"/>
      <c r="BR1769" s="827"/>
      <c r="BS1769" s="827"/>
      <c r="BT1769" s="827"/>
      <c r="BU1769" s="827"/>
      <c r="BV1769" s="827"/>
      <c r="BW1769" s="827"/>
      <c r="BX1769" s="827"/>
      <c r="BY1769" s="827"/>
      <c r="BZ1769" s="827"/>
      <c r="CA1769" s="827"/>
      <c r="CB1769" s="827"/>
      <c r="CC1769" s="827"/>
      <c r="CD1769" s="827"/>
      <c r="CE1769" s="827"/>
      <c r="CF1769" s="827"/>
      <c r="CG1769" s="827"/>
      <c r="CH1769" s="827"/>
      <c r="CI1769" s="827"/>
      <c r="CJ1769" s="827"/>
      <c r="CK1769" s="827"/>
      <c r="CL1769" s="827"/>
      <c r="CM1769" s="827"/>
      <c r="CN1769" s="827"/>
      <c r="CO1769" s="827"/>
      <c r="CP1769" s="827"/>
      <c r="CQ1769" s="827"/>
      <c r="CR1769" s="827"/>
      <c r="CS1769" s="827"/>
      <c r="CT1769" s="827"/>
      <c r="CU1769" s="827"/>
      <c r="CV1769" s="827"/>
      <c r="CW1769" s="827"/>
      <c r="CX1769" s="827"/>
      <c r="CY1769" s="827"/>
      <c r="CZ1769" s="827"/>
      <c r="DA1769" s="827"/>
      <c r="DB1769" s="827"/>
      <c r="DC1769" s="827"/>
      <c r="DD1769" s="827"/>
      <c r="DE1769" s="827"/>
      <c r="DF1769" s="827"/>
      <c r="DG1769" s="827"/>
      <c r="DH1769" s="827"/>
      <c r="DI1769" s="827"/>
      <c r="DJ1769" s="827"/>
      <c r="DK1769" s="827"/>
      <c r="DL1769" s="827"/>
      <c r="DM1769" s="827"/>
      <c r="DN1769" s="827"/>
      <c r="DO1769" s="827"/>
      <c r="DP1769" s="827"/>
      <c r="DQ1769" s="827"/>
      <c r="DR1769" s="827"/>
      <c r="DS1769" s="827"/>
      <c r="DT1769" s="827"/>
      <c r="DU1769" s="827"/>
      <c r="DV1769" s="827"/>
      <c r="DW1769" s="827"/>
      <c r="DX1769" s="827"/>
      <c r="DY1769" s="827"/>
      <c r="DZ1769" s="827"/>
      <c r="EA1769" s="827"/>
      <c r="EB1769" s="827"/>
      <c r="EC1769" s="827"/>
      <c r="ED1769" s="827"/>
      <c r="EE1769" s="827"/>
      <c r="EF1769" s="827"/>
      <c r="EG1769" s="827"/>
      <c r="EH1769" s="827"/>
      <c r="EI1769" s="827"/>
      <c r="EJ1769" s="827"/>
      <c r="EK1769" s="827"/>
      <c r="EL1769" s="827"/>
      <c r="EM1769" s="827"/>
      <c r="EN1769" s="827"/>
      <c r="EO1769" s="827"/>
      <c r="EP1769" s="827"/>
      <c r="EQ1769" s="827"/>
      <c r="ER1769" s="827"/>
      <c r="ES1769" s="827"/>
      <c r="ET1769" s="827"/>
      <c r="EU1769" s="827"/>
      <c r="EV1769" s="827"/>
      <c r="EW1769" s="827"/>
      <c r="EX1769" s="827"/>
      <c r="EY1769" s="827"/>
      <c r="EZ1769" s="827"/>
      <c r="FA1769" s="827"/>
      <c r="FB1769" s="827"/>
      <c r="FC1769" s="827"/>
      <c r="FD1769" s="827"/>
      <c r="FE1769" s="827"/>
      <c r="FF1769" s="827"/>
      <c r="FG1769" s="827"/>
      <c r="FH1769" s="827"/>
      <c r="FI1769" s="827"/>
      <c r="FJ1769" s="827"/>
      <c r="FK1769" s="827"/>
      <c r="FL1769" s="827"/>
      <c r="FM1769" s="827"/>
      <c r="FN1769" s="827"/>
      <c r="FO1769" s="827"/>
      <c r="FP1769" s="827"/>
      <c r="FQ1769" s="827"/>
      <c r="FR1769" s="827"/>
      <c r="FS1769" s="827"/>
      <c r="FT1769" s="827"/>
      <c r="FU1769" s="827"/>
      <c r="FV1769" s="827"/>
      <c r="FW1769" s="827"/>
      <c r="FX1769" s="827"/>
      <c r="FY1769" s="827"/>
      <c r="FZ1769" s="827"/>
      <c r="GA1769" s="827"/>
      <c r="GB1769" s="827"/>
      <c r="GC1769" s="827"/>
      <c r="GD1769" s="827"/>
      <c r="GE1769" s="827"/>
      <c r="GF1769" s="827"/>
      <c r="GG1769" s="827"/>
      <c r="GH1769" s="827"/>
      <c r="GI1769" s="827"/>
      <c r="GJ1769" s="827"/>
      <c r="GK1769" s="827"/>
      <c r="GL1769" s="827"/>
      <c r="GM1769" s="827"/>
      <c r="GN1769" s="827"/>
      <c r="GO1769" s="827"/>
      <c r="GP1769" s="827"/>
      <c r="GQ1769" s="827"/>
      <c r="GR1769" s="827"/>
      <c r="GS1769" s="827"/>
      <c r="GT1769" s="827"/>
      <c r="GU1769" s="827"/>
      <c r="GV1769" s="827"/>
      <c r="GW1769" s="827"/>
      <c r="GX1769" s="827"/>
      <c r="GY1769" s="827"/>
      <c r="GZ1769" s="827"/>
      <c r="HA1769" s="827"/>
      <c r="HB1769" s="827"/>
      <c r="HC1769" s="827"/>
      <c r="HD1769" s="827"/>
      <c r="HE1769" s="827"/>
      <c r="HF1769" s="827"/>
      <c r="HG1769" s="827"/>
      <c r="HH1769" s="827"/>
      <c r="HI1769" s="827"/>
      <c r="HJ1769" s="827"/>
      <c r="HK1769" s="827"/>
      <c r="HL1769" s="827"/>
      <c r="HM1769" s="827"/>
      <c r="HN1769" s="827"/>
      <c r="HO1769" s="827"/>
      <c r="HP1769" s="827"/>
      <c r="HQ1769" s="827"/>
      <c r="HR1769" s="827"/>
      <c r="HS1769" s="827"/>
      <c r="HT1769" s="827"/>
      <c r="HU1769" s="827"/>
      <c r="HV1769" s="827"/>
      <c r="HW1769" s="827"/>
      <c r="HX1769" s="827"/>
      <c r="HY1769" s="827"/>
      <c r="HZ1769" s="827"/>
      <c r="IA1769" s="827"/>
      <c r="IB1769" s="827"/>
      <c r="IC1769" s="827"/>
      <c r="ID1769" s="827"/>
      <c r="IE1769" s="827"/>
      <c r="IF1769" s="827"/>
      <c r="IG1769" s="827"/>
      <c r="IH1769" s="827"/>
      <c r="II1769" s="827"/>
      <c r="IJ1769" s="827"/>
      <c r="IK1769" s="827"/>
      <c r="IL1769" s="827"/>
      <c r="IM1769" s="827"/>
      <c r="IN1769" s="827"/>
      <c r="IO1769" s="827"/>
      <c r="IP1769" s="827"/>
      <c r="IQ1769" s="827"/>
      <c r="IR1769" s="827"/>
      <c r="IS1769" s="827"/>
      <c r="IT1769" s="827"/>
      <c r="IU1769" s="827"/>
    </row>
    <row r="1770" spans="1:255" s="831" customFormat="1" ht="13.5" hidden="1" customHeight="1">
      <c r="A1770" s="342"/>
      <c r="B1770" s="556"/>
      <c r="C1770" s="551" t="s">
        <v>214</v>
      </c>
      <c r="D1770" s="342" t="s">
        <v>57</v>
      </c>
      <c r="E1770" s="864">
        <v>0.88</v>
      </c>
      <c r="F1770" s="392">
        <f>F1765*E1770</f>
        <v>0</v>
      </c>
      <c r="G1770" s="392">
        <v>3.2</v>
      </c>
      <c r="H1770" s="392">
        <f>F1770*G1770</f>
        <v>0</v>
      </c>
      <c r="I1770" s="392"/>
      <c r="J1770" s="392"/>
      <c r="K1770" s="392"/>
      <c r="L1770" s="392"/>
      <c r="M1770" s="392">
        <f>H1770+J1770+L1770</f>
        <v>0</v>
      </c>
      <c r="N1770" s="830"/>
      <c r="O1770" s="827"/>
      <c r="P1770" s="828"/>
      <c r="Q1770" s="828"/>
      <c r="R1770" s="828"/>
      <c r="S1770" s="828"/>
      <c r="T1770" s="828"/>
      <c r="U1770" s="828"/>
      <c r="V1770" s="828"/>
      <c r="W1770" s="828"/>
      <c r="X1770" s="828"/>
      <c r="Y1770" s="828"/>
      <c r="Z1770" s="828"/>
      <c r="AA1770" s="827"/>
      <c r="AB1770" s="827"/>
      <c r="AC1770" s="827"/>
      <c r="AD1770" s="827"/>
      <c r="AE1770" s="827"/>
      <c r="AF1770" s="827"/>
      <c r="AG1770" s="827"/>
      <c r="AH1770" s="827"/>
      <c r="AI1770" s="827"/>
      <c r="AJ1770" s="827"/>
      <c r="AK1770" s="827"/>
      <c r="AL1770" s="827"/>
      <c r="AM1770" s="827"/>
      <c r="AN1770" s="827"/>
      <c r="AO1770" s="827"/>
      <c r="AP1770" s="827"/>
      <c r="AQ1770" s="827"/>
      <c r="AR1770" s="827"/>
      <c r="AS1770" s="827"/>
      <c r="AT1770" s="827"/>
      <c r="AU1770" s="827"/>
      <c r="AV1770" s="827"/>
      <c r="AW1770" s="827"/>
      <c r="AX1770" s="827"/>
      <c r="AY1770" s="827"/>
      <c r="AZ1770" s="827"/>
      <c r="BA1770" s="827"/>
      <c r="BB1770" s="827"/>
      <c r="BC1770" s="827"/>
      <c r="BD1770" s="827"/>
      <c r="BE1770" s="827"/>
      <c r="BF1770" s="827"/>
      <c r="BG1770" s="827"/>
      <c r="BH1770" s="827"/>
      <c r="BI1770" s="827"/>
      <c r="BJ1770" s="827"/>
      <c r="BK1770" s="827"/>
      <c r="BL1770" s="827"/>
      <c r="BM1770" s="827"/>
      <c r="BN1770" s="827"/>
      <c r="BO1770" s="827"/>
      <c r="BP1770" s="827"/>
      <c r="BQ1770" s="827"/>
      <c r="BR1770" s="827"/>
      <c r="BS1770" s="827"/>
      <c r="BT1770" s="827"/>
      <c r="BU1770" s="827"/>
      <c r="BV1770" s="827"/>
      <c r="BW1770" s="827"/>
      <c r="BX1770" s="827"/>
      <c r="BY1770" s="827"/>
      <c r="BZ1770" s="827"/>
      <c r="CA1770" s="827"/>
      <c r="CB1770" s="827"/>
      <c r="CC1770" s="827"/>
      <c r="CD1770" s="827"/>
      <c r="CE1770" s="827"/>
      <c r="CF1770" s="827"/>
      <c r="CG1770" s="827"/>
      <c r="CH1770" s="827"/>
      <c r="CI1770" s="827"/>
      <c r="CJ1770" s="827"/>
      <c r="CK1770" s="827"/>
      <c r="CL1770" s="827"/>
      <c r="CM1770" s="827"/>
      <c r="CN1770" s="827"/>
      <c r="CO1770" s="827"/>
      <c r="CP1770" s="827"/>
      <c r="CQ1770" s="827"/>
      <c r="CR1770" s="827"/>
      <c r="CS1770" s="827"/>
      <c r="CT1770" s="827"/>
      <c r="CU1770" s="827"/>
      <c r="CV1770" s="827"/>
      <c r="CW1770" s="827"/>
      <c r="CX1770" s="827"/>
      <c r="CY1770" s="827"/>
      <c r="CZ1770" s="827"/>
      <c r="DA1770" s="827"/>
      <c r="DB1770" s="827"/>
      <c r="DC1770" s="827"/>
      <c r="DD1770" s="827"/>
      <c r="DE1770" s="827"/>
      <c r="DF1770" s="827"/>
      <c r="DG1770" s="827"/>
      <c r="DH1770" s="827"/>
      <c r="DI1770" s="827"/>
      <c r="DJ1770" s="827"/>
      <c r="DK1770" s="827"/>
      <c r="DL1770" s="827"/>
      <c r="DM1770" s="827"/>
      <c r="DN1770" s="827"/>
      <c r="DO1770" s="827"/>
      <c r="DP1770" s="827"/>
      <c r="DQ1770" s="827"/>
      <c r="DR1770" s="827"/>
      <c r="DS1770" s="827"/>
      <c r="DT1770" s="827"/>
      <c r="DU1770" s="827"/>
      <c r="DV1770" s="827"/>
      <c r="DW1770" s="827"/>
      <c r="DX1770" s="827"/>
      <c r="DY1770" s="827"/>
      <c r="DZ1770" s="827"/>
      <c r="EA1770" s="827"/>
      <c r="EB1770" s="827"/>
      <c r="EC1770" s="827"/>
      <c r="ED1770" s="827"/>
      <c r="EE1770" s="827"/>
      <c r="EF1770" s="827"/>
      <c r="EG1770" s="827"/>
      <c r="EH1770" s="827"/>
      <c r="EI1770" s="827"/>
      <c r="EJ1770" s="827"/>
      <c r="EK1770" s="827"/>
      <c r="EL1770" s="827"/>
      <c r="EM1770" s="827"/>
      <c r="EN1770" s="827"/>
      <c r="EO1770" s="827"/>
      <c r="EP1770" s="827"/>
      <c r="EQ1770" s="827"/>
      <c r="ER1770" s="827"/>
      <c r="ES1770" s="827"/>
      <c r="ET1770" s="827"/>
      <c r="EU1770" s="827"/>
      <c r="EV1770" s="827"/>
      <c r="EW1770" s="827"/>
      <c r="EX1770" s="827"/>
      <c r="EY1770" s="827"/>
      <c r="EZ1770" s="827"/>
      <c r="FA1770" s="827"/>
      <c r="FB1770" s="827"/>
      <c r="FC1770" s="827"/>
      <c r="FD1770" s="827"/>
      <c r="FE1770" s="827"/>
      <c r="FF1770" s="827"/>
      <c r="FG1770" s="827"/>
      <c r="FH1770" s="827"/>
      <c r="FI1770" s="827"/>
      <c r="FJ1770" s="827"/>
      <c r="FK1770" s="827"/>
      <c r="FL1770" s="827"/>
      <c r="FM1770" s="827"/>
      <c r="FN1770" s="827"/>
      <c r="FO1770" s="827"/>
      <c r="FP1770" s="827"/>
      <c r="FQ1770" s="827"/>
      <c r="FR1770" s="827"/>
      <c r="FS1770" s="827"/>
      <c r="FT1770" s="827"/>
      <c r="FU1770" s="827"/>
      <c r="FV1770" s="827"/>
      <c r="FW1770" s="827"/>
      <c r="FX1770" s="827"/>
      <c r="FY1770" s="827"/>
      <c r="FZ1770" s="827"/>
      <c r="GA1770" s="827"/>
      <c r="GB1770" s="827"/>
      <c r="GC1770" s="827"/>
      <c r="GD1770" s="827"/>
      <c r="GE1770" s="827"/>
      <c r="GF1770" s="827"/>
      <c r="GG1770" s="827"/>
      <c r="GH1770" s="827"/>
      <c r="GI1770" s="827"/>
      <c r="GJ1770" s="827"/>
      <c r="GK1770" s="827"/>
      <c r="GL1770" s="827"/>
      <c r="GM1770" s="827"/>
      <c r="GN1770" s="827"/>
      <c r="GO1770" s="827"/>
      <c r="GP1770" s="827"/>
      <c r="GQ1770" s="827"/>
      <c r="GR1770" s="827"/>
      <c r="GS1770" s="827"/>
      <c r="GT1770" s="827"/>
      <c r="GU1770" s="827"/>
      <c r="GV1770" s="827"/>
      <c r="GW1770" s="827"/>
      <c r="GX1770" s="827"/>
      <c r="GY1770" s="827"/>
      <c r="GZ1770" s="827"/>
      <c r="HA1770" s="827"/>
      <c r="HB1770" s="827"/>
      <c r="HC1770" s="827"/>
      <c r="HD1770" s="827"/>
      <c r="HE1770" s="827"/>
      <c r="HF1770" s="827"/>
      <c r="HG1770" s="827"/>
      <c r="HH1770" s="827"/>
      <c r="HI1770" s="827"/>
      <c r="HJ1770" s="827"/>
      <c r="HK1770" s="827"/>
      <c r="HL1770" s="827"/>
      <c r="HM1770" s="827"/>
      <c r="HN1770" s="827"/>
      <c r="HO1770" s="827"/>
      <c r="HP1770" s="827"/>
      <c r="HQ1770" s="827"/>
      <c r="HR1770" s="827"/>
      <c r="HS1770" s="827"/>
      <c r="HT1770" s="827"/>
      <c r="HU1770" s="827"/>
      <c r="HV1770" s="827"/>
      <c r="HW1770" s="827"/>
      <c r="HX1770" s="827"/>
      <c r="HY1770" s="827"/>
      <c r="HZ1770" s="827"/>
      <c r="IA1770" s="827"/>
      <c r="IB1770" s="827"/>
      <c r="IC1770" s="827"/>
      <c r="ID1770" s="827"/>
      <c r="IE1770" s="827"/>
      <c r="IF1770" s="827"/>
      <c r="IG1770" s="827"/>
      <c r="IH1770" s="827"/>
      <c r="II1770" s="827"/>
      <c r="IJ1770" s="827"/>
      <c r="IK1770" s="827"/>
      <c r="IL1770" s="827"/>
      <c r="IM1770" s="827"/>
      <c r="IN1770" s="827"/>
      <c r="IO1770" s="827"/>
      <c r="IP1770" s="827"/>
      <c r="IQ1770" s="827"/>
      <c r="IR1770" s="827"/>
      <c r="IS1770" s="827"/>
      <c r="IT1770" s="827"/>
      <c r="IU1770" s="827"/>
    </row>
    <row r="1771" spans="1:255" s="831" customFormat="1" ht="27" hidden="1">
      <c r="A1771" s="336">
        <v>24</v>
      </c>
      <c r="B1771" s="540" t="s">
        <v>1386</v>
      </c>
      <c r="C1771" s="843" t="s">
        <v>1387</v>
      </c>
      <c r="D1771" s="844" t="s">
        <v>816</v>
      </c>
      <c r="E1771" s="863"/>
      <c r="F1771" s="867">
        <f>SUM(F1775:F1787)</f>
        <v>0</v>
      </c>
      <c r="G1771" s="542"/>
      <c r="H1771" s="389"/>
      <c r="I1771" s="389"/>
      <c r="J1771" s="389"/>
      <c r="K1771" s="389"/>
      <c r="L1771" s="389"/>
      <c r="M1771" s="389"/>
      <c r="N1771" s="829"/>
      <c r="O1771" s="832"/>
      <c r="P1771" s="828"/>
      <c r="Q1771" s="828"/>
      <c r="R1771" s="828"/>
      <c r="S1771" s="828"/>
      <c r="T1771" s="828"/>
      <c r="U1771" s="828"/>
      <c r="V1771" s="828"/>
      <c r="W1771" s="828"/>
      <c r="X1771" s="828"/>
      <c r="Y1771" s="828"/>
      <c r="Z1771" s="828"/>
      <c r="AA1771" s="827"/>
      <c r="AB1771" s="827"/>
      <c r="AC1771" s="827"/>
      <c r="AD1771" s="827"/>
      <c r="AE1771" s="827"/>
      <c r="AF1771" s="827"/>
      <c r="AG1771" s="827"/>
      <c r="AH1771" s="827"/>
      <c r="AI1771" s="827"/>
      <c r="AJ1771" s="827"/>
      <c r="AK1771" s="827"/>
      <c r="AL1771" s="827"/>
      <c r="AM1771" s="827"/>
      <c r="AN1771" s="827"/>
      <c r="AO1771" s="827"/>
      <c r="AP1771" s="827"/>
      <c r="AQ1771" s="827"/>
      <c r="AR1771" s="827"/>
      <c r="AS1771" s="827"/>
      <c r="AT1771" s="827"/>
      <c r="AU1771" s="827"/>
      <c r="AV1771" s="827"/>
      <c r="AW1771" s="827"/>
      <c r="AX1771" s="827"/>
      <c r="AY1771" s="827"/>
      <c r="AZ1771" s="827"/>
      <c r="BA1771" s="827"/>
      <c r="BB1771" s="827"/>
      <c r="BC1771" s="827"/>
      <c r="BD1771" s="827"/>
      <c r="BE1771" s="827"/>
      <c r="BF1771" s="827"/>
      <c r="BG1771" s="827"/>
      <c r="BH1771" s="827"/>
      <c r="BI1771" s="827"/>
      <c r="BJ1771" s="827"/>
      <c r="BK1771" s="827"/>
      <c r="BL1771" s="827"/>
      <c r="BM1771" s="827"/>
      <c r="BN1771" s="827"/>
      <c r="BO1771" s="827"/>
      <c r="BP1771" s="827"/>
      <c r="BQ1771" s="827"/>
      <c r="BR1771" s="827"/>
      <c r="BS1771" s="827"/>
      <c r="BT1771" s="827"/>
      <c r="BU1771" s="827"/>
      <c r="BV1771" s="827"/>
      <c r="BW1771" s="827"/>
      <c r="BX1771" s="827"/>
      <c r="BY1771" s="827"/>
      <c r="BZ1771" s="827"/>
      <c r="CA1771" s="827"/>
      <c r="CB1771" s="827"/>
      <c r="CC1771" s="827"/>
      <c r="CD1771" s="827"/>
      <c r="CE1771" s="827"/>
      <c r="CF1771" s="827"/>
      <c r="CG1771" s="827"/>
      <c r="CH1771" s="827"/>
      <c r="CI1771" s="827"/>
      <c r="CJ1771" s="827"/>
      <c r="CK1771" s="827"/>
      <c r="CL1771" s="827"/>
      <c r="CM1771" s="827"/>
      <c r="CN1771" s="827"/>
      <c r="CO1771" s="827"/>
      <c r="CP1771" s="827"/>
      <c r="CQ1771" s="827"/>
      <c r="CR1771" s="827"/>
      <c r="CS1771" s="827"/>
      <c r="CT1771" s="827"/>
      <c r="CU1771" s="827"/>
      <c r="CV1771" s="827"/>
      <c r="CW1771" s="827"/>
      <c r="CX1771" s="827"/>
      <c r="CY1771" s="827"/>
      <c r="CZ1771" s="827"/>
      <c r="DA1771" s="827"/>
      <c r="DB1771" s="827"/>
      <c r="DC1771" s="827"/>
      <c r="DD1771" s="827"/>
      <c r="DE1771" s="827"/>
      <c r="DF1771" s="827"/>
      <c r="DG1771" s="827"/>
      <c r="DH1771" s="827"/>
      <c r="DI1771" s="827"/>
      <c r="DJ1771" s="827"/>
      <c r="DK1771" s="827"/>
      <c r="DL1771" s="827"/>
      <c r="DM1771" s="827"/>
      <c r="DN1771" s="827"/>
      <c r="DO1771" s="827"/>
      <c r="DP1771" s="827"/>
      <c r="DQ1771" s="827"/>
      <c r="DR1771" s="827"/>
      <c r="DS1771" s="827"/>
      <c r="DT1771" s="827"/>
      <c r="DU1771" s="827"/>
      <c r="DV1771" s="827"/>
      <c r="DW1771" s="827"/>
      <c r="DX1771" s="827"/>
      <c r="DY1771" s="827"/>
      <c r="DZ1771" s="827"/>
      <c r="EA1771" s="827"/>
      <c r="EB1771" s="827"/>
      <c r="EC1771" s="827"/>
      <c r="ED1771" s="827"/>
      <c r="EE1771" s="827"/>
      <c r="EF1771" s="827"/>
      <c r="EG1771" s="827"/>
      <c r="EH1771" s="827"/>
      <c r="EI1771" s="827"/>
      <c r="EJ1771" s="827"/>
      <c r="EK1771" s="827"/>
      <c r="EL1771" s="827"/>
      <c r="EM1771" s="827"/>
      <c r="EN1771" s="827"/>
      <c r="EO1771" s="827"/>
      <c r="EP1771" s="827"/>
      <c r="EQ1771" s="827"/>
      <c r="ER1771" s="827"/>
      <c r="ES1771" s="827"/>
      <c r="ET1771" s="827"/>
      <c r="EU1771" s="827"/>
      <c r="EV1771" s="827"/>
      <c r="EW1771" s="827"/>
      <c r="EX1771" s="827"/>
      <c r="EY1771" s="827"/>
      <c r="EZ1771" s="827"/>
      <c r="FA1771" s="827"/>
      <c r="FB1771" s="827"/>
      <c r="FC1771" s="827"/>
      <c r="FD1771" s="827"/>
      <c r="FE1771" s="827"/>
      <c r="FF1771" s="827"/>
      <c r="FG1771" s="827"/>
      <c r="FH1771" s="827"/>
      <c r="FI1771" s="827"/>
      <c r="FJ1771" s="827"/>
      <c r="FK1771" s="827"/>
      <c r="FL1771" s="827"/>
      <c r="FM1771" s="827"/>
      <c r="FN1771" s="827"/>
      <c r="FO1771" s="827"/>
      <c r="FP1771" s="827"/>
      <c r="FQ1771" s="827"/>
      <c r="FR1771" s="827"/>
      <c r="FS1771" s="827"/>
      <c r="FT1771" s="827"/>
      <c r="FU1771" s="827"/>
      <c r="FV1771" s="827"/>
      <c r="FW1771" s="827"/>
      <c r="FX1771" s="827"/>
      <c r="FY1771" s="827"/>
      <c r="FZ1771" s="827"/>
      <c r="GA1771" s="827"/>
      <c r="GB1771" s="827"/>
      <c r="GC1771" s="827"/>
      <c r="GD1771" s="827"/>
      <c r="GE1771" s="827"/>
      <c r="GF1771" s="827"/>
      <c r="GG1771" s="827"/>
      <c r="GH1771" s="827"/>
      <c r="GI1771" s="827"/>
      <c r="GJ1771" s="827"/>
      <c r="GK1771" s="827"/>
      <c r="GL1771" s="827"/>
      <c r="GM1771" s="827"/>
      <c r="GN1771" s="827"/>
      <c r="GO1771" s="827"/>
      <c r="GP1771" s="827"/>
      <c r="GQ1771" s="827"/>
      <c r="GR1771" s="827"/>
      <c r="GS1771" s="827"/>
      <c r="GT1771" s="827"/>
      <c r="GU1771" s="827"/>
      <c r="GV1771" s="827"/>
      <c r="GW1771" s="827"/>
      <c r="GX1771" s="827"/>
      <c r="GY1771" s="827"/>
      <c r="GZ1771" s="827"/>
      <c r="HA1771" s="827"/>
      <c r="HB1771" s="827"/>
      <c r="HC1771" s="827"/>
      <c r="HD1771" s="827"/>
      <c r="HE1771" s="827"/>
      <c r="HF1771" s="827"/>
      <c r="HG1771" s="827"/>
      <c r="HH1771" s="827"/>
      <c r="HI1771" s="827"/>
      <c r="HJ1771" s="827"/>
      <c r="HK1771" s="827"/>
      <c r="HL1771" s="827"/>
      <c r="HM1771" s="827"/>
      <c r="HN1771" s="827"/>
      <c r="HO1771" s="827"/>
      <c r="HP1771" s="827"/>
      <c r="HQ1771" s="827"/>
      <c r="HR1771" s="827"/>
      <c r="HS1771" s="827"/>
      <c r="HT1771" s="827"/>
      <c r="HU1771" s="827"/>
      <c r="HV1771" s="827"/>
      <c r="HW1771" s="827"/>
      <c r="HX1771" s="827"/>
      <c r="HY1771" s="827"/>
      <c r="HZ1771" s="827"/>
      <c r="IA1771" s="827"/>
      <c r="IB1771" s="827"/>
      <c r="IC1771" s="827"/>
      <c r="ID1771" s="827"/>
      <c r="IE1771" s="827"/>
      <c r="IF1771" s="827"/>
      <c r="IG1771" s="827"/>
      <c r="IH1771" s="827"/>
      <c r="II1771" s="827"/>
      <c r="IJ1771" s="827"/>
      <c r="IK1771" s="827"/>
      <c r="IL1771" s="827"/>
      <c r="IM1771" s="827"/>
      <c r="IN1771" s="827"/>
      <c r="IO1771" s="827"/>
      <c r="IP1771" s="827"/>
      <c r="IQ1771" s="827"/>
      <c r="IR1771" s="827"/>
      <c r="IS1771" s="827"/>
      <c r="IT1771" s="827"/>
      <c r="IU1771" s="827"/>
    </row>
    <row r="1772" spans="1:255" s="831" customFormat="1" hidden="1">
      <c r="A1772" s="336"/>
      <c r="B1772" s="540"/>
      <c r="C1772" s="335" t="s">
        <v>128</v>
      </c>
      <c r="D1772" s="486" t="s">
        <v>80</v>
      </c>
      <c r="E1772" s="614">
        <v>0.38900000000000001</v>
      </c>
      <c r="F1772" s="389">
        <f>F1771*E1772</f>
        <v>0</v>
      </c>
      <c r="G1772" s="542"/>
      <c r="H1772" s="636"/>
      <c r="I1772" s="389">
        <v>4.5999999999999996</v>
      </c>
      <c r="J1772" s="389">
        <f>F1772*I1772</f>
        <v>0</v>
      </c>
      <c r="K1772" s="389"/>
      <c r="L1772" s="389"/>
      <c r="M1772" s="389">
        <f>H1772+J1772+L1772</f>
        <v>0</v>
      </c>
      <c r="N1772" s="830"/>
      <c r="O1772" s="828"/>
      <c r="P1772" s="828"/>
      <c r="Q1772" s="828"/>
      <c r="R1772" s="828"/>
      <c r="S1772" s="828"/>
      <c r="T1772" s="828"/>
      <c r="U1772" s="828"/>
      <c r="V1772" s="828"/>
      <c r="W1772" s="828"/>
      <c r="X1772" s="828"/>
      <c r="Y1772" s="828"/>
      <c r="Z1772" s="828"/>
      <c r="AA1772" s="827"/>
      <c r="AB1772" s="827"/>
      <c r="AC1772" s="827"/>
      <c r="AD1772" s="827"/>
      <c r="AE1772" s="827"/>
      <c r="AF1772" s="827"/>
      <c r="AG1772" s="827"/>
      <c r="AH1772" s="827"/>
      <c r="AI1772" s="827"/>
      <c r="AJ1772" s="827"/>
      <c r="AK1772" s="827"/>
      <c r="AL1772" s="827"/>
      <c r="AM1772" s="827"/>
      <c r="AN1772" s="827"/>
      <c r="AO1772" s="827"/>
      <c r="AP1772" s="827"/>
      <c r="AQ1772" s="827"/>
      <c r="AR1772" s="827"/>
      <c r="AS1772" s="827"/>
      <c r="AT1772" s="827"/>
      <c r="AU1772" s="827"/>
      <c r="AV1772" s="827"/>
      <c r="AW1772" s="827"/>
      <c r="AX1772" s="827"/>
      <c r="AY1772" s="827"/>
      <c r="AZ1772" s="827"/>
      <c r="BA1772" s="827"/>
      <c r="BB1772" s="827"/>
      <c r="BC1772" s="827"/>
      <c r="BD1772" s="827"/>
      <c r="BE1772" s="827"/>
      <c r="BF1772" s="827"/>
      <c r="BG1772" s="827"/>
      <c r="BH1772" s="827"/>
      <c r="BI1772" s="827"/>
      <c r="BJ1772" s="827"/>
      <c r="BK1772" s="827"/>
      <c r="BL1772" s="827"/>
      <c r="BM1772" s="827"/>
      <c r="BN1772" s="827"/>
      <c r="BO1772" s="827"/>
      <c r="BP1772" s="827"/>
      <c r="BQ1772" s="827"/>
      <c r="BR1772" s="827"/>
      <c r="BS1772" s="827"/>
      <c r="BT1772" s="827"/>
      <c r="BU1772" s="827"/>
      <c r="BV1772" s="827"/>
      <c r="BW1772" s="827"/>
      <c r="BX1772" s="827"/>
      <c r="BY1772" s="827"/>
      <c r="BZ1772" s="827"/>
      <c r="CA1772" s="827"/>
      <c r="CB1772" s="827"/>
      <c r="CC1772" s="827"/>
      <c r="CD1772" s="827"/>
      <c r="CE1772" s="827"/>
      <c r="CF1772" s="827"/>
      <c r="CG1772" s="827"/>
      <c r="CH1772" s="827"/>
      <c r="CI1772" s="827"/>
      <c r="CJ1772" s="827"/>
      <c r="CK1772" s="827"/>
      <c r="CL1772" s="827"/>
      <c r="CM1772" s="827"/>
      <c r="CN1772" s="827"/>
      <c r="CO1772" s="827"/>
      <c r="CP1772" s="827"/>
      <c r="CQ1772" s="827"/>
      <c r="CR1772" s="827"/>
      <c r="CS1772" s="827"/>
      <c r="CT1772" s="827"/>
      <c r="CU1772" s="827"/>
      <c r="CV1772" s="827"/>
      <c r="CW1772" s="827"/>
      <c r="CX1772" s="827"/>
      <c r="CY1772" s="827"/>
      <c r="CZ1772" s="827"/>
      <c r="DA1772" s="827"/>
      <c r="DB1772" s="827"/>
      <c r="DC1772" s="827"/>
      <c r="DD1772" s="827"/>
      <c r="DE1772" s="827"/>
      <c r="DF1772" s="827"/>
      <c r="DG1772" s="827"/>
      <c r="DH1772" s="827"/>
      <c r="DI1772" s="827"/>
      <c r="DJ1772" s="827"/>
      <c r="DK1772" s="827"/>
      <c r="DL1772" s="827"/>
      <c r="DM1772" s="827"/>
      <c r="DN1772" s="827"/>
      <c r="DO1772" s="827"/>
      <c r="DP1772" s="827"/>
      <c r="DQ1772" s="827"/>
      <c r="DR1772" s="827"/>
      <c r="DS1772" s="827"/>
      <c r="DT1772" s="827"/>
      <c r="DU1772" s="827"/>
      <c r="DV1772" s="827"/>
      <c r="DW1772" s="827"/>
      <c r="DX1772" s="827"/>
      <c r="DY1772" s="827"/>
      <c r="DZ1772" s="827"/>
      <c r="EA1772" s="827"/>
      <c r="EB1772" s="827"/>
      <c r="EC1772" s="827"/>
      <c r="ED1772" s="827"/>
      <c r="EE1772" s="827"/>
      <c r="EF1772" s="827"/>
      <c r="EG1772" s="827"/>
      <c r="EH1772" s="827"/>
      <c r="EI1772" s="827"/>
      <c r="EJ1772" s="827"/>
      <c r="EK1772" s="827"/>
      <c r="EL1772" s="827"/>
      <c r="EM1772" s="827"/>
      <c r="EN1772" s="827"/>
      <c r="EO1772" s="827"/>
      <c r="EP1772" s="827"/>
      <c r="EQ1772" s="827"/>
      <c r="ER1772" s="827"/>
      <c r="ES1772" s="827"/>
      <c r="ET1772" s="827"/>
      <c r="EU1772" s="827"/>
      <c r="EV1772" s="827"/>
      <c r="EW1772" s="827"/>
      <c r="EX1772" s="827"/>
      <c r="EY1772" s="827"/>
      <c r="EZ1772" s="827"/>
      <c r="FA1772" s="827"/>
      <c r="FB1772" s="827"/>
      <c r="FC1772" s="827"/>
      <c r="FD1772" s="827"/>
      <c r="FE1772" s="827"/>
      <c r="FF1772" s="827"/>
      <c r="FG1772" s="827"/>
      <c r="FH1772" s="827"/>
      <c r="FI1772" s="827"/>
      <c r="FJ1772" s="827"/>
      <c r="FK1772" s="827"/>
      <c r="FL1772" s="827"/>
      <c r="FM1772" s="827"/>
      <c r="FN1772" s="827"/>
      <c r="FO1772" s="827"/>
      <c r="FP1772" s="827"/>
      <c r="FQ1772" s="827"/>
      <c r="FR1772" s="827"/>
      <c r="FS1772" s="827"/>
      <c r="FT1772" s="827"/>
      <c r="FU1772" s="827"/>
      <c r="FV1772" s="827"/>
      <c r="FW1772" s="827"/>
      <c r="FX1772" s="827"/>
      <c r="FY1772" s="827"/>
      <c r="FZ1772" s="827"/>
      <c r="GA1772" s="827"/>
      <c r="GB1772" s="827"/>
      <c r="GC1772" s="827"/>
      <c r="GD1772" s="827"/>
      <c r="GE1772" s="827"/>
      <c r="GF1772" s="827"/>
      <c r="GG1772" s="827"/>
      <c r="GH1772" s="827"/>
      <c r="GI1772" s="827"/>
      <c r="GJ1772" s="827"/>
      <c r="GK1772" s="827"/>
      <c r="GL1772" s="827"/>
      <c r="GM1772" s="827"/>
      <c r="GN1772" s="827"/>
      <c r="GO1772" s="827"/>
      <c r="GP1772" s="827"/>
      <c r="GQ1772" s="827"/>
      <c r="GR1772" s="827"/>
      <c r="GS1772" s="827"/>
      <c r="GT1772" s="827"/>
      <c r="GU1772" s="827"/>
      <c r="GV1772" s="827"/>
      <c r="GW1772" s="827"/>
      <c r="GX1772" s="827"/>
      <c r="GY1772" s="827"/>
      <c r="GZ1772" s="827"/>
      <c r="HA1772" s="827"/>
      <c r="HB1772" s="827"/>
      <c r="HC1772" s="827"/>
      <c r="HD1772" s="827"/>
      <c r="HE1772" s="827"/>
      <c r="HF1772" s="827"/>
      <c r="HG1772" s="827"/>
      <c r="HH1772" s="827"/>
      <c r="HI1772" s="827"/>
      <c r="HJ1772" s="827"/>
      <c r="HK1772" s="827"/>
      <c r="HL1772" s="827"/>
      <c r="HM1772" s="827"/>
      <c r="HN1772" s="827"/>
      <c r="HO1772" s="827"/>
      <c r="HP1772" s="827"/>
      <c r="HQ1772" s="827"/>
      <c r="HR1772" s="827"/>
      <c r="HS1772" s="827"/>
      <c r="HT1772" s="827"/>
      <c r="HU1772" s="827"/>
      <c r="HV1772" s="827"/>
      <c r="HW1772" s="827"/>
      <c r="HX1772" s="827"/>
      <c r="HY1772" s="827"/>
      <c r="HZ1772" s="827"/>
      <c r="IA1772" s="827"/>
      <c r="IB1772" s="827"/>
      <c r="IC1772" s="827"/>
      <c r="ID1772" s="827"/>
      <c r="IE1772" s="827"/>
      <c r="IF1772" s="827"/>
      <c r="IG1772" s="827"/>
      <c r="IH1772" s="827"/>
      <c r="II1772" s="827"/>
      <c r="IJ1772" s="827"/>
      <c r="IK1772" s="827"/>
      <c r="IL1772" s="827"/>
      <c r="IM1772" s="827"/>
      <c r="IN1772" s="827"/>
      <c r="IO1772" s="827"/>
      <c r="IP1772" s="827"/>
      <c r="IQ1772" s="827"/>
      <c r="IR1772" s="827"/>
      <c r="IS1772" s="827"/>
      <c r="IT1772" s="827"/>
      <c r="IU1772" s="827"/>
    </row>
    <row r="1773" spans="1:255" s="831" customFormat="1" ht="15" hidden="1" customHeight="1">
      <c r="A1773" s="336"/>
      <c r="B1773" s="543"/>
      <c r="C1773" s="335" t="s">
        <v>133</v>
      </c>
      <c r="D1773" s="336" t="s">
        <v>57</v>
      </c>
      <c r="E1773" s="863">
        <v>0.151</v>
      </c>
      <c r="F1773" s="389">
        <f>F1771*E1773</f>
        <v>0</v>
      </c>
      <c r="G1773" s="542"/>
      <c r="H1773" s="389"/>
      <c r="I1773" s="389"/>
      <c r="J1773" s="389"/>
      <c r="K1773" s="389">
        <v>3.2</v>
      </c>
      <c r="L1773" s="389">
        <f>F1773*K1773</f>
        <v>0</v>
      </c>
      <c r="M1773" s="389">
        <f>H1773+J1773+L1773</f>
        <v>0</v>
      </c>
      <c r="N1773" s="830"/>
      <c r="O1773" s="828"/>
      <c r="P1773" s="828"/>
      <c r="Q1773" s="828"/>
      <c r="R1773" s="828"/>
      <c r="S1773" s="828"/>
      <c r="T1773" s="828"/>
      <c r="U1773" s="828"/>
      <c r="V1773" s="828"/>
      <c r="W1773" s="828"/>
      <c r="X1773" s="828"/>
      <c r="Y1773" s="828"/>
      <c r="Z1773" s="828"/>
      <c r="AA1773" s="827"/>
      <c r="AB1773" s="827"/>
      <c r="AC1773" s="827"/>
      <c r="AD1773" s="827"/>
      <c r="AE1773" s="827"/>
      <c r="AF1773" s="827"/>
      <c r="AG1773" s="827"/>
      <c r="AH1773" s="827"/>
      <c r="AI1773" s="827"/>
      <c r="AJ1773" s="827"/>
      <c r="AK1773" s="827"/>
      <c r="AL1773" s="827"/>
      <c r="AM1773" s="827"/>
      <c r="AN1773" s="827"/>
      <c r="AO1773" s="827"/>
      <c r="AP1773" s="827"/>
      <c r="AQ1773" s="827"/>
      <c r="AR1773" s="827"/>
      <c r="AS1773" s="827"/>
      <c r="AT1773" s="827"/>
      <c r="AU1773" s="827"/>
      <c r="AV1773" s="827"/>
      <c r="AW1773" s="827"/>
      <c r="AX1773" s="827"/>
      <c r="AY1773" s="827"/>
      <c r="AZ1773" s="827"/>
      <c r="BA1773" s="827"/>
      <c r="BB1773" s="827"/>
      <c r="BC1773" s="827"/>
      <c r="BD1773" s="827"/>
      <c r="BE1773" s="827"/>
      <c r="BF1773" s="827"/>
      <c r="BG1773" s="827"/>
      <c r="BH1773" s="827"/>
      <c r="BI1773" s="827"/>
      <c r="BJ1773" s="827"/>
      <c r="BK1773" s="827"/>
      <c r="BL1773" s="827"/>
      <c r="BM1773" s="827"/>
      <c r="BN1773" s="827"/>
      <c r="BO1773" s="827"/>
      <c r="BP1773" s="827"/>
      <c r="BQ1773" s="827"/>
      <c r="BR1773" s="827"/>
      <c r="BS1773" s="827"/>
      <c r="BT1773" s="827"/>
      <c r="BU1773" s="827"/>
      <c r="BV1773" s="827"/>
      <c r="BW1773" s="827"/>
      <c r="BX1773" s="827"/>
      <c r="BY1773" s="827"/>
      <c r="BZ1773" s="827"/>
      <c r="CA1773" s="827"/>
      <c r="CB1773" s="827"/>
      <c r="CC1773" s="827"/>
      <c r="CD1773" s="827"/>
      <c r="CE1773" s="827"/>
      <c r="CF1773" s="827"/>
      <c r="CG1773" s="827"/>
      <c r="CH1773" s="827"/>
      <c r="CI1773" s="827"/>
      <c r="CJ1773" s="827"/>
      <c r="CK1773" s="827"/>
      <c r="CL1773" s="827"/>
      <c r="CM1773" s="827"/>
      <c r="CN1773" s="827"/>
      <c r="CO1773" s="827"/>
      <c r="CP1773" s="827"/>
      <c r="CQ1773" s="827"/>
      <c r="CR1773" s="827"/>
      <c r="CS1773" s="827"/>
      <c r="CT1773" s="827"/>
      <c r="CU1773" s="827"/>
      <c r="CV1773" s="827"/>
      <c r="CW1773" s="827"/>
      <c r="CX1773" s="827"/>
      <c r="CY1773" s="827"/>
      <c r="CZ1773" s="827"/>
      <c r="DA1773" s="827"/>
      <c r="DB1773" s="827"/>
      <c r="DC1773" s="827"/>
      <c r="DD1773" s="827"/>
      <c r="DE1773" s="827"/>
      <c r="DF1773" s="827"/>
      <c r="DG1773" s="827"/>
      <c r="DH1773" s="827"/>
      <c r="DI1773" s="827"/>
      <c r="DJ1773" s="827"/>
      <c r="DK1773" s="827"/>
      <c r="DL1773" s="827"/>
      <c r="DM1773" s="827"/>
      <c r="DN1773" s="827"/>
      <c r="DO1773" s="827"/>
      <c r="DP1773" s="827"/>
      <c r="DQ1773" s="827"/>
      <c r="DR1773" s="827"/>
      <c r="DS1773" s="827"/>
      <c r="DT1773" s="827"/>
      <c r="DU1773" s="827"/>
      <c r="DV1773" s="827"/>
      <c r="DW1773" s="827"/>
      <c r="DX1773" s="827"/>
      <c r="DY1773" s="827"/>
      <c r="DZ1773" s="827"/>
      <c r="EA1773" s="827"/>
      <c r="EB1773" s="827"/>
      <c r="EC1773" s="827"/>
      <c r="ED1773" s="827"/>
      <c r="EE1773" s="827"/>
      <c r="EF1773" s="827"/>
      <c r="EG1773" s="827"/>
      <c r="EH1773" s="827"/>
      <c r="EI1773" s="827"/>
      <c r="EJ1773" s="827"/>
      <c r="EK1773" s="827"/>
      <c r="EL1773" s="827"/>
      <c r="EM1773" s="827"/>
      <c r="EN1773" s="827"/>
      <c r="EO1773" s="827"/>
      <c r="EP1773" s="827"/>
      <c r="EQ1773" s="827"/>
      <c r="ER1773" s="827"/>
      <c r="ES1773" s="827"/>
      <c r="ET1773" s="827"/>
      <c r="EU1773" s="827"/>
      <c r="EV1773" s="827"/>
      <c r="EW1773" s="827"/>
      <c r="EX1773" s="827"/>
      <c r="EY1773" s="827"/>
      <c r="EZ1773" s="827"/>
      <c r="FA1773" s="827"/>
      <c r="FB1773" s="827"/>
      <c r="FC1773" s="827"/>
      <c r="FD1773" s="827"/>
      <c r="FE1773" s="827"/>
      <c r="FF1773" s="827"/>
      <c r="FG1773" s="827"/>
      <c r="FH1773" s="827"/>
      <c r="FI1773" s="827"/>
      <c r="FJ1773" s="827"/>
      <c r="FK1773" s="827"/>
      <c r="FL1773" s="827"/>
      <c r="FM1773" s="827"/>
      <c r="FN1773" s="827"/>
      <c r="FO1773" s="827"/>
      <c r="FP1773" s="827"/>
      <c r="FQ1773" s="827"/>
      <c r="FR1773" s="827"/>
      <c r="FS1773" s="827"/>
      <c r="FT1773" s="827"/>
      <c r="FU1773" s="827"/>
      <c r="FV1773" s="827"/>
      <c r="FW1773" s="827"/>
      <c r="FX1773" s="827"/>
      <c r="FY1773" s="827"/>
      <c r="FZ1773" s="827"/>
      <c r="GA1773" s="827"/>
      <c r="GB1773" s="827"/>
      <c r="GC1773" s="827"/>
      <c r="GD1773" s="827"/>
      <c r="GE1773" s="827"/>
      <c r="GF1773" s="827"/>
      <c r="GG1773" s="827"/>
      <c r="GH1773" s="827"/>
      <c r="GI1773" s="827"/>
      <c r="GJ1773" s="827"/>
      <c r="GK1773" s="827"/>
      <c r="GL1773" s="827"/>
      <c r="GM1773" s="827"/>
      <c r="GN1773" s="827"/>
      <c r="GO1773" s="827"/>
      <c r="GP1773" s="827"/>
      <c r="GQ1773" s="827"/>
      <c r="GR1773" s="827"/>
      <c r="GS1773" s="827"/>
      <c r="GT1773" s="827"/>
      <c r="GU1773" s="827"/>
      <c r="GV1773" s="827"/>
      <c r="GW1773" s="827"/>
      <c r="GX1773" s="827"/>
      <c r="GY1773" s="827"/>
      <c r="GZ1773" s="827"/>
      <c r="HA1773" s="827"/>
      <c r="HB1773" s="827"/>
      <c r="HC1773" s="827"/>
      <c r="HD1773" s="827"/>
      <c r="HE1773" s="827"/>
      <c r="HF1773" s="827"/>
      <c r="HG1773" s="827"/>
      <c r="HH1773" s="827"/>
      <c r="HI1773" s="827"/>
      <c r="HJ1773" s="827"/>
      <c r="HK1773" s="827"/>
      <c r="HL1773" s="827"/>
      <c r="HM1773" s="827"/>
      <c r="HN1773" s="827"/>
      <c r="HO1773" s="827"/>
      <c r="HP1773" s="827"/>
      <c r="HQ1773" s="827"/>
      <c r="HR1773" s="827"/>
      <c r="HS1773" s="827"/>
      <c r="HT1773" s="827"/>
      <c r="HU1773" s="827"/>
      <c r="HV1773" s="827"/>
      <c r="HW1773" s="827"/>
      <c r="HX1773" s="827"/>
      <c r="HY1773" s="827"/>
      <c r="HZ1773" s="827"/>
      <c r="IA1773" s="827"/>
      <c r="IB1773" s="827"/>
      <c r="IC1773" s="827"/>
      <c r="ID1773" s="827"/>
      <c r="IE1773" s="827"/>
      <c r="IF1773" s="827"/>
      <c r="IG1773" s="827"/>
      <c r="IH1773" s="827"/>
      <c r="II1773" s="827"/>
      <c r="IJ1773" s="827"/>
      <c r="IK1773" s="827"/>
      <c r="IL1773" s="827"/>
      <c r="IM1773" s="827"/>
      <c r="IN1773" s="827"/>
      <c r="IO1773" s="827"/>
      <c r="IP1773" s="827"/>
      <c r="IQ1773" s="827"/>
      <c r="IR1773" s="827"/>
      <c r="IS1773" s="827"/>
      <c r="IT1773" s="827"/>
      <c r="IU1773" s="827"/>
    </row>
    <row r="1774" spans="1:255" s="831" customFormat="1" ht="15" hidden="1" customHeight="1">
      <c r="A1774" s="336"/>
      <c r="B1774" s="543"/>
      <c r="C1774" s="335" t="s">
        <v>210</v>
      </c>
      <c r="D1774" s="486"/>
      <c r="E1774" s="863"/>
      <c r="F1774" s="389"/>
      <c r="G1774" s="542"/>
      <c r="H1774" s="389"/>
      <c r="I1774" s="389"/>
      <c r="J1774" s="389"/>
      <c r="K1774" s="389"/>
      <c r="L1774" s="389"/>
      <c r="M1774" s="389"/>
      <c r="N1774" s="830"/>
      <c r="O1774" s="828"/>
      <c r="P1774" s="828"/>
      <c r="Q1774" s="828"/>
      <c r="R1774" s="828"/>
      <c r="S1774" s="828"/>
      <c r="T1774" s="828"/>
      <c r="U1774" s="828"/>
      <c r="V1774" s="828"/>
      <c r="W1774" s="828"/>
      <c r="X1774" s="828"/>
      <c r="Y1774" s="828"/>
      <c r="Z1774" s="828"/>
      <c r="AA1774" s="827"/>
      <c r="AB1774" s="827"/>
      <c r="AC1774" s="827"/>
      <c r="AD1774" s="827"/>
      <c r="AE1774" s="827"/>
      <c r="AF1774" s="827"/>
      <c r="AG1774" s="827"/>
      <c r="AH1774" s="827"/>
      <c r="AI1774" s="827"/>
      <c r="AJ1774" s="827"/>
      <c r="AK1774" s="827"/>
      <c r="AL1774" s="827"/>
      <c r="AM1774" s="827"/>
      <c r="AN1774" s="827"/>
      <c r="AO1774" s="827"/>
      <c r="AP1774" s="827"/>
      <c r="AQ1774" s="827"/>
      <c r="AR1774" s="827"/>
      <c r="AS1774" s="827"/>
      <c r="AT1774" s="827"/>
      <c r="AU1774" s="827"/>
      <c r="AV1774" s="827"/>
      <c r="AW1774" s="827"/>
      <c r="AX1774" s="827"/>
      <c r="AY1774" s="827"/>
      <c r="AZ1774" s="827"/>
      <c r="BA1774" s="827"/>
      <c r="BB1774" s="827"/>
      <c r="BC1774" s="827"/>
      <c r="BD1774" s="827"/>
      <c r="BE1774" s="827"/>
      <c r="BF1774" s="827"/>
      <c r="BG1774" s="827"/>
      <c r="BH1774" s="827"/>
      <c r="BI1774" s="827"/>
      <c r="BJ1774" s="827"/>
      <c r="BK1774" s="827"/>
      <c r="BL1774" s="827"/>
      <c r="BM1774" s="827"/>
      <c r="BN1774" s="827"/>
      <c r="BO1774" s="827"/>
      <c r="BP1774" s="827"/>
      <c r="BQ1774" s="827"/>
      <c r="BR1774" s="827"/>
      <c r="BS1774" s="827"/>
      <c r="BT1774" s="827"/>
      <c r="BU1774" s="827"/>
      <c r="BV1774" s="827"/>
      <c r="BW1774" s="827"/>
      <c r="BX1774" s="827"/>
      <c r="BY1774" s="827"/>
      <c r="BZ1774" s="827"/>
      <c r="CA1774" s="827"/>
      <c r="CB1774" s="827"/>
      <c r="CC1774" s="827"/>
      <c r="CD1774" s="827"/>
      <c r="CE1774" s="827"/>
      <c r="CF1774" s="827"/>
      <c r="CG1774" s="827"/>
      <c r="CH1774" s="827"/>
      <c r="CI1774" s="827"/>
      <c r="CJ1774" s="827"/>
      <c r="CK1774" s="827"/>
      <c r="CL1774" s="827"/>
      <c r="CM1774" s="827"/>
      <c r="CN1774" s="827"/>
      <c r="CO1774" s="827"/>
      <c r="CP1774" s="827"/>
      <c r="CQ1774" s="827"/>
      <c r="CR1774" s="827"/>
      <c r="CS1774" s="827"/>
      <c r="CT1774" s="827"/>
      <c r="CU1774" s="827"/>
      <c r="CV1774" s="827"/>
      <c r="CW1774" s="827"/>
      <c r="CX1774" s="827"/>
      <c r="CY1774" s="827"/>
      <c r="CZ1774" s="827"/>
      <c r="DA1774" s="827"/>
      <c r="DB1774" s="827"/>
      <c r="DC1774" s="827"/>
      <c r="DD1774" s="827"/>
      <c r="DE1774" s="827"/>
      <c r="DF1774" s="827"/>
      <c r="DG1774" s="827"/>
      <c r="DH1774" s="827"/>
      <c r="DI1774" s="827"/>
      <c r="DJ1774" s="827"/>
      <c r="DK1774" s="827"/>
      <c r="DL1774" s="827"/>
      <c r="DM1774" s="827"/>
      <c r="DN1774" s="827"/>
      <c r="DO1774" s="827"/>
      <c r="DP1774" s="827"/>
      <c r="DQ1774" s="827"/>
      <c r="DR1774" s="827"/>
      <c r="DS1774" s="827"/>
      <c r="DT1774" s="827"/>
      <c r="DU1774" s="827"/>
      <c r="DV1774" s="827"/>
      <c r="DW1774" s="827"/>
      <c r="DX1774" s="827"/>
      <c r="DY1774" s="827"/>
      <c r="DZ1774" s="827"/>
      <c r="EA1774" s="827"/>
      <c r="EB1774" s="827"/>
      <c r="EC1774" s="827"/>
      <c r="ED1774" s="827"/>
      <c r="EE1774" s="827"/>
      <c r="EF1774" s="827"/>
      <c r="EG1774" s="827"/>
      <c r="EH1774" s="827"/>
      <c r="EI1774" s="827"/>
      <c r="EJ1774" s="827"/>
      <c r="EK1774" s="827"/>
      <c r="EL1774" s="827"/>
      <c r="EM1774" s="827"/>
      <c r="EN1774" s="827"/>
      <c r="EO1774" s="827"/>
      <c r="EP1774" s="827"/>
      <c r="EQ1774" s="827"/>
      <c r="ER1774" s="827"/>
      <c r="ES1774" s="827"/>
      <c r="ET1774" s="827"/>
      <c r="EU1774" s="827"/>
      <c r="EV1774" s="827"/>
      <c r="EW1774" s="827"/>
      <c r="EX1774" s="827"/>
      <c r="EY1774" s="827"/>
      <c r="EZ1774" s="827"/>
      <c r="FA1774" s="827"/>
      <c r="FB1774" s="827"/>
      <c r="FC1774" s="827"/>
      <c r="FD1774" s="827"/>
      <c r="FE1774" s="827"/>
      <c r="FF1774" s="827"/>
      <c r="FG1774" s="827"/>
      <c r="FH1774" s="827"/>
      <c r="FI1774" s="827"/>
      <c r="FJ1774" s="827"/>
      <c r="FK1774" s="827"/>
      <c r="FL1774" s="827"/>
      <c r="FM1774" s="827"/>
      <c r="FN1774" s="827"/>
      <c r="FO1774" s="827"/>
      <c r="FP1774" s="827"/>
      <c r="FQ1774" s="827"/>
      <c r="FR1774" s="827"/>
      <c r="FS1774" s="827"/>
      <c r="FT1774" s="827"/>
      <c r="FU1774" s="827"/>
      <c r="FV1774" s="827"/>
      <c r="FW1774" s="827"/>
      <c r="FX1774" s="827"/>
      <c r="FY1774" s="827"/>
      <c r="FZ1774" s="827"/>
      <c r="GA1774" s="827"/>
      <c r="GB1774" s="827"/>
      <c r="GC1774" s="827"/>
      <c r="GD1774" s="827"/>
      <c r="GE1774" s="827"/>
      <c r="GF1774" s="827"/>
      <c r="GG1774" s="827"/>
      <c r="GH1774" s="827"/>
      <c r="GI1774" s="827"/>
      <c r="GJ1774" s="827"/>
      <c r="GK1774" s="827"/>
      <c r="GL1774" s="827"/>
      <c r="GM1774" s="827"/>
      <c r="GN1774" s="827"/>
      <c r="GO1774" s="827"/>
      <c r="GP1774" s="827"/>
      <c r="GQ1774" s="827"/>
      <c r="GR1774" s="827"/>
      <c r="GS1774" s="827"/>
      <c r="GT1774" s="827"/>
      <c r="GU1774" s="827"/>
      <c r="GV1774" s="827"/>
      <c r="GW1774" s="827"/>
      <c r="GX1774" s="827"/>
      <c r="GY1774" s="827"/>
      <c r="GZ1774" s="827"/>
      <c r="HA1774" s="827"/>
      <c r="HB1774" s="827"/>
      <c r="HC1774" s="827"/>
      <c r="HD1774" s="827"/>
      <c r="HE1774" s="827"/>
      <c r="HF1774" s="827"/>
      <c r="HG1774" s="827"/>
      <c r="HH1774" s="827"/>
      <c r="HI1774" s="827"/>
      <c r="HJ1774" s="827"/>
      <c r="HK1774" s="827"/>
      <c r="HL1774" s="827"/>
      <c r="HM1774" s="827"/>
      <c r="HN1774" s="827"/>
      <c r="HO1774" s="827"/>
      <c r="HP1774" s="827"/>
      <c r="HQ1774" s="827"/>
      <c r="HR1774" s="827"/>
      <c r="HS1774" s="827"/>
      <c r="HT1774" s="827"/>
      <c r="HU1774" s="827"/>
      <c r="HV1774" s="827"/>
      <c r="HW1774" s="827"/>
      <c r="HX1774" s="827"/>
      <c r="HY1774" s="827"/>
      <c r="HZ1774" s="827"/>
      <c r="IA1774" s="827"/>
      <c r="IB1774" s="827"/>
      <c r="IC1774" s="827"/>
      <c r="ID1774" s="827"/>
      <c r="IE1774" s="827"/>
      <c r="IF1774" s="827"/>
      <c r="IG1774" s="827"/>
      <c r="IH1774" s="827"/>
      <c r="II1774" s="827"/>
      <c r="IJ1774" s="827"/>
      <c r="IK1774" s="827"/>
      <c r="IL1774" s="827"/>
      <c r="IM1774" s="827"/>
      <c r="IN1774" s="827"/>
      <c r="IO1774" s="827"/>
      <c r="IP1774" s="827"/>
      <c r="IQ1774" s="827"/>
      <c r="IR1774" s="827"/>
      <c r="IS1774" s="827"/>
      <c r="IT1774" s="827"/>
      <c r="IU1774" s="827"/>
    </row>
    <row r="1775" spans="1:255" s="831" customFormat="1" ht="15" hidden="1" customHeight="1">
      <c r="A1775" s="336"/>
      <c r="B1775" s="543"/>
      <c r="C1775" s="335" t="s">
        <v>1388</v>
      </c>
      <c r="D1775" s="486" t="s">
        <v>113</v>
      </c>
      <c r="E1775" s="863"/>
      <c r="F1775" s="868">
        <f>'დეფექტური აქტი'!E407</f>
        <v>0</v>
      </c>
      <c r="G1775" s="1078">
        <v>14.4</v>
      </c>
      <c r="H1775" s="389">
        <f>F1775*G1775</f>
        <v>0</v>
      </c>
      <c r="I1775" s="389"/>
      <c r="J1775" s="389"/>
      <c r="K1775" s="389"/>
      <c r="L1775" s="389"/>
      <c r="M1775" s="389">
        <f>H1775+J1775+L1775</f>
        <v>0</v>
      </c>
      <c r="N1775" s="830"/>
      <c r="O1775" s="828"/>
      <c r="P1775" s="828"/>
      <c r="Q1775" s="828"/>
      <c r="R1775" s="828"/>
      <c r="S1775" s="828"/>
      <c r="T1775" s="828"/>
      <c r="U1775" s="828"/>
      <c r="V1775" s="828"/>
      <c r="W1775" s="828"/>
      <c r="X1775" s="828"/>
      <c r="Y1775" s="828"/>
      <c r="Z1775" s="828"/>
      <c r="AA1775" s="827"/>
      <c r="AB1775" s="827"/>
      <c r="AC1775" s="827"/>
      <c r="AD1775" s="827"/>
      <c r="AE1775" s="827"/>
      <c r="AF1775" s="827"/>
      <c r="AG1775" s="827"/>
      <c r="AH1775" s="827"/>
      <c r="AI1775" s="827"/>
      <c r="AJ1775" s="827"/>
      <c r="AK1775" s="827"/>
      <c r="AL1775" s="827"/>
      <c r="AM1775" s="827"/>
      <c r="AN1775" s="827"/>
      <c r="AO1775" s="827"/>
      <c r="AP1775" s="827"/>
      <c r="AQ1775" s="827"/>
      <c r="AR1775" s="827"/>
      <c r="AS1775" s="827"/>
      <c r="AT1775" s="827"/>
      <c r="AU1775" s="827"/>
      <c r="AV1775" s="827"/>
      <c r="AW1775" s="827"/>
      <c r="AX1775" s="827"/>
      <c r="AY1775" s="827"/>
      <c r="AZ1775" s="827"/>
      <c r="BA1775" s="827"/>
      <c r="BB1775" s="827"/>
      <c r="BC1775" s="827"/>
      <c r="BD1775" s="827"/>
      <c r="BE1775" s="827"/>
      <c r="BF1775" s="827"/>
      <c r="BG1775" s="827"/>
      <c r="BH1775" s="827"/>
      <c r="BI1775" s="827"/>
      <c r="BJ1775" s="827"/>
      <c r="BK1775" s="827"/>
      <c r="BL1775" s="827"/>
      <c r="BM1775" s="827"/>
      <c r="BN1775" s="827"/>
      <c r="BO1775" s="827"/>
      <c r="BP1775" s="827"/>
      <c r="BQ1775" s="827"/>
      <c r="BR1775" s="827"/>
      <c r="BS1775" s="827"/>
      <c r="BT1775" s="827"/>
      <c r="BU1775" s="827"/>
      <c r="BV1775" s="827"/>
      <c r="BW1775" s="827"/>
      <c r="BX1775" s="827"/>
      <c r="BY1775" s="827"/>
      <c r="BZ1775" s="827"/>
      <c r="CA1775" s="827"/>
      <c r="CB1775" s="827"/>
      <c r="CC1775" s="827"/>
      <c r="CD1775" s="827"/>
      <c r="CE1775" s="827"/>
      <c r="CF1775" s="827"/>
      <c r="CG1775" s="827"/>
      <c r="CH1775" s="827"/>
      <c r="CI1775" s="827"/>
      <c r="CJ1775" s="827"/>
      <c r="CK1775" s="827"/>
      <c r="CL1775" s="827"/>
      <c r="CM1775" s="827"/>
      <c r="CN1775" s="827"/>
      <c r="CO1775" s="827"/>
      <c r="CP1775" s="827"/>
      <c r="CQ1775" s="827"/>
      <c r="CR1775" s="827"/>
      <c r="CS1775" s="827"/>
      <c r="CT1775" s="827"/>
      <c r="CU1775" s="827"/>
      <c r="CV1775" s="827"/>
      <c r="CW1775" s="827"/>
      <c r="CX1775" s="827"/>
      <c r="CY1775" s="827"/>
      <c r="CZ1775" s="827"/>
      <c r="DA1775" s="827"/>
      <c r="DB1775" s="827"/>
      <c r="DC1775" s="827"/>
      <c r="DD1775" s="827"/>
      <c r="DE1775" s="827"/>
      <c r="DF1775" s="827"/>
      <c r="DG1775" s="827"/>
      <c r="DH1775" s="827"/>
      <c r="DI1775" s="827"/>
      <c r="DJ1775" s="827"/>
      <c r="DK1775" s="827"/>
      <c r="DL1775" s="827"/>
      <c r="DM1775" s="827"/>
      <c r="DN1775" s="827"/>
      <c r="DO1775" s="827"/>
      <c r="DP1775" s="827"/>
      <c r="DQ1775" s="827"/>
      <c r="DR1775" s="827"/>
      <c r="DS1775" s="827"/>
      <c r="DT1775" s="827"/>
      <c r="DU1775" s="827"/>
      <c r="DV1775" s="827"/>
      <c r="DW1775" s="827"/>
      <c r="DX1775" s="827"/>
      <c r="DY1775" s="827"/>
      <c r="DZ1775" s="827"/>
      <c r="EA1775" s="827"/>
      <c r="EB1775" s="827"/>
      <c r="EC1775" s="827"/>
      <c r="ED1775" s="827"/>
      <c r="EE1775" s="827"/>
      <c r="EF1775" s="827"/>
      <c r="EG1775" s="827"/>
      <c r="EH1775" s="827"/>
      <c r="EI1775" s="827"/>
      <c r="EJ1775" s="827"/>
      <c r="EK1775" s="827"/>
      <c r="EL1775" s="827"/>
      <c r="EM1775" s="827"/>
      <c r="EN1775" s="827"/>
      <c r="EO1775" s="827"/>
      <c r="EP1775" s="827"/>
      <c r="EQ1775" s="827"/>
      <c r="ER1775" s="827"/>
      <c r="ES1775" s="827"/>
      <c r="ET1775" s="827"/>
      <c r="EU1775" s="827"/>
      <c r="EV1775" s="827"/>
      <c r="EW1775" s="827"/>
      <c r="EX1775" s="827"/>
      <c r="EY1775" s="827"/>
      <c r="EZ1775" s="827"/>
      <c r="FA1775" s="827"/>
      <c r="FB1775" s="827"/>
      <c r="FC1775" s="827"/>
      <c r="FD1775" s="827"/>
      <c r="FE1775" s="827"/>
      <c r="FF1775" s="827"/>
      <c r="FG1775" s="827"/>
      <c r="FH1775" s="827"/>
      <c r="FI1775" s="827"/>
      <c r="FJ1775" s="827"/>
      <c r="FK1775" s="827"/>
      <c r="FL1775" s="827"/>
      <c r="FM1775" s="827"/>
      <c r="FN1775" s="827"/>
      <c r="FO1775" s="827"/>
      <c r="FP1775" s="827"/>
      <c r="FQ1775" s="827"/>
      <c r="FR1775" s="827"/>
      <c r="FS1775" s="827"/>
      <c r="FT1775" s="827"/>
      <c r="FU1775" s="827"/>
      <c r="FV1775" s="827"/>
      <c r="FW1775" s="827"/>
      <c r="FX1775" s="827"/>
      <c r="FY1775" s="827"/>
      <c r="FZ1775" s="827"/>
      <c r="GA1775" s="827"/>
      <c r="GB1775" s="827"/>
      <c r="GC1775" s="827"/>
      <c r="GD1775" s="827"/>
      <c r="GE1775" s="827"/>
      <c r="GF1775" s="827"/>
      <c r="GG1775" s="827"/>
      <c r="GH1775" s="827"/>
      <c r="GI1775" s="827"/>
      <c r="GJ1775" s="827"/>
      <c r="GK1775" s="827"/>
      <c r="GL1775" s="827"/>
      <c r="GM1775" s="827"/>
      <c r="GN1775" s="827"/>
      <c r="GO1775" s="827"/>
      <c r="GP1775" s="827"/>
      <c r="GQ1775" s="827"/>
      <c r="GR1775" s="827"/>
      <c r="GS1775" s="827"/>
      <c r="GT1775" s="827"/>
      <c r="GU1775" s="827"/>
      <c r="GV1775" s="827"/>
      <c r="GW1775" s="827"/>
      <c r="GX1775" s="827"/>
      <c r="GY1775" s="827"/>
      <c r="GZ1775" s="827"/>
      <c r="HA1775" s="827"/>
      <c r="HB1775" s="827"/>
      <c r="HC1775" s="827"/>
      <c r="HD1775" s="827"/>
      <c r="HE1775" s="827"/>
      <c r="HF1775" s="827"/>
      <c r="HG1775" s="827"/>
      <c r="HH1775" s="827"/>
      <c r="HI1775" s="827"/>
      <c r="HJ1775" s="827"/>
      <c r="HK1775" s="827"/>
      <c r="HL1775" s="827"/>
      <c r="HM1775" s="827"/>
      <c r="HN1775" s="827"/>
      <c r="HO1775" s="827"/>
      <c r="HP1775" s="827"/>
      <c r="HQ1775" s="827"/>
      <c r="HR1775" s="827"/>
      <c r="HS1775" s="827"/>
      <c r="HT1775" s="827"/>
      <c r="HU1775" s="827"/>
      <c r="HV1775" s="827"/>
      <c r="HW1775" s="827"/>
      <c r="HX1775" s="827"/>
      <c r="HY1775" s="827"/>
      <c r="HZ1775" s="827"/>
      <c r="IA1775" s="827"/>
      <c r="IB1775" s="827"/>
      <c r="IC1775" s="827"/>
      <c r="ID1775" s="827"/>
      <c r="IE1775" s="827"/>
      <c r="IF1775" s="827"/>
      <c r="IG1775" s="827"/>
      <c r="IH1775" s="827"/>
      <c r="II1775" s="827"/>
      <c r="IJ1775" s="827"/>
      <c r="IK1775" s="827"/>
      <c r="IL1775" s="827"/>
      <c r="IM1775" s="827"/>
      <c r="IN1775" s="827"/>
      <c r="IO1775" s="827"/>
      <c r="IP1775" s="827"/>
      <c r="IQ1775" s="827"/>
      <c r="IR1775" s="827"/>
      <c r="IS1775" s="827"/>
      <c r="IT1775" s="827"/>
      <c r="IU1775" s="827"/>
    </row>
    <row r="1776" spans="1:255" s="831" customFormat="1" hidden="1">
      <c r="A1776" s="336"/>
      <c r="B1776" s="543"/>
      <c r="C1776" s="335" t="s">
        <v>1389</v>
      </c>
      <c r="D1776" s="486" t="s">
        <v>113</v>
      </c>
      <c r="E1776" s="863"/>
      <c r="F1776" s="868">
        <f>'დეფექტური აქტი'!E408</f>
        <v>0</v>
      </c>
      <c r="G1776" s="542">
        <v>9.3000000000000007</v>
      </c>
      <c r="H1776" s="389">
        <f t="shared" ref="H1776:H1787" si="35">F1776*G1776</f>
        <v>0</v>
      </c>
      <c r="I1776" s="389"/>
      <c r="J1776" s="389"/>
      <c r="K1776" s="389"/>
      <c r="L1776" s="389"/>
      <c r="M1776" s="389">
        <f t="shared" ref="M1776:M1787" si="36">H1776+J1776+L1776</f>
        <v>0</v>
      </c>
      <c r="N1776" s="830"/>
      <c r="O1776" s="828"/>
      <c r="P1776" s="828"/>
      <c r="Q1776" s="828"/>
      <c r="R1776" s="828"/>
      <c r="S1776" s="828"/>
      <c r="T1776" s="828"/>
      <c r="U1776" s="828"/>
      <c r="V1776" s="828"/>
      <c r="W1776" s="828"/>
      <c r="X1776" s="828"/>
      <c r="Y1776" s="828"/>
      <c r="Z1776" s="828"/>
      <c r="AA1776" s="827"/>
      <c r="AB1776" s="827"/>
      <c r="AC1776" s="827"/>
      <c r="AD1776" s="827"/>
      <c r="AE1776" s="827"/>
      <c r="AF1776" s="827"/>
      <c r="AG1776" s="827"/>
      <c r="AH1776" s="827"/>
      <c r="AI1776" s="827"/>
      <c r="AJ1776" s="827"/>
      <c r="AK1776" s="827"/>
      <c r="AL1776" s="827"/>
      <c r="AM1776" s="827"/>
      <c r="AN1776" s="827"/>
      <c r="AO1776" s="827"/>
      <c r="AP1776" s="827"/>
      <c r="AQ1776" s="827"/>
      <c r="AR1776" s="827"/>
      <c r="AS1776" s="827"/>
      <c r="AT1776" s="827"/>
      <c r="AU1776" s="827"/>
      <c r="AV1776" s="827"/>
      <c r="AW1776" s="827"/>
      <c r="AX1776" s="827"/>
      <c r="AY1776" s="827"/>
      <c r="AZ1776" s="827"/>
      <c r="BA1776" s="827"/>
      <c r="BB1776" s="827"/>
      <c r="BC1776" s="827"/>
      <c r="BD1776" s="827"/>
      <c r="BE1776" s="827"/>
      <c r="BF1776" s="827"/>
      <c r="BG1776" s="827"/>
      <c r="BH1776" s="827"/>
      <c r="BI1776" s="827"/>
      <c r="BJ1776" s="827"/>
      <c r="BK1776" s="827"/>
      <c r="BL1776" s="827"/>
      <c r="BM1776" s="827"/>
      <c r="BN1776" s="827"/>
      <c r="BO1776" s="827"/>
      <c r="BP1776" s="827"/>
      <c r="BQ1776" s="827"/>
      <c r="BR1776" s="827"/>
      <c r="BS1776" s="827"/>
      <c r="BT1776" s="827"/>
      <c r="BU1776" s="827"/>
      <c r="BV1776" s="827"/>
      <c r="BW1776" s="827"/>
      <c r="BX1776" s="827"/>
      <c r="BY1776" s="827"/>
      <c r="BZ1776" s="827"/>
      <c r="CA1776" s="827"/>
      <c r="CB1776" s="827"/>
      <c r="CC1776" s="827"/>
      <c r="CD1776" s="827"/>
      <c r="CE1776" s="827"/>
      <c r="CF1776" s="827"/>
      <c r="CG1776" s="827"/>
      <c r="CH1776" s="827"/>
      <c r="CI1776" s="827"/>
      <c r="CJ1776" s="827"/>
      <c r="CK1776" s="827"/>
      <c r="CL1776" s="827"/>
      <c r="CM1776" s="827"/>
      <c r="CN1776" s="827"/>
      <c r="CO1776" s="827"/>
      <c r="CP1776" s="827"/>
      <c r="CQ1776" s="827"/>
      <c r="CR1776" s="827"/>
      <c r="CS1776" s="827"/>
      <c r="CT1776" s="827"/>
      <c r="CU1776" s="827"/>
      <c r="CV1776" s="827"/>
      <c r="CW1776" s="827"/>
      <c r="CX1776" s="827"/>
      <c r="CY1776" s="827"/>
      <c r="CZ1776" s="827"/>
      <c r="DA1776" s="827"/>
      <c r="DB1776" s="827"/>
      <c r="DC1776" s="827"/>
      <c r="DD1776" s="827"/>
      <c r="DE1776" s="827"/>
      <c r="DF1776" s="827"/>
      <c r="DG1776" s="827"/>
      <c r="DH1776" s="827"/>
      <c r="DI1776" s="827"/>
      <c r="DJ1776" s="827"/>
      <c r="DK1776" s="827"/>
      <c r="DL1776" s="827"/>
      <c r="DM1776" s="827"/>
      <c r="DN1776" s="827"/>
      <c r="DO1776" s="827"/>
      <c r="DP1776" s="827"/>
      <c r="DQ1776" s="827"/>
      <c r="DR1776" s="827"/>
      <c r="DS1776" s="827"/>
      <c r="DT1776" s="827"/>
      <c r="DU1776" s="827"/>
      <c r="DV1776" s="827"/>
      <c r="DW1776" s="827"/>
      <c r="DX1776" s="827"/>
      <c r="DY1776" s="827"/>
      <c r="DZ1776" s="827"/>
      <c r="EA1776" s="827"/>
      <c r="EB1776" s="827"/>
      <c r="EC1776" s="827"/>
      <c r="ED1776" s="827"/>
      <c r="EE1776" s="827"/>
      <c r="EF1776" s="827"/>
      <c r="EG1776" s="827"/>
      <c r="EH1776" s="827"/>
      <c r="EI1776" s="827"/>
      <c r="EJ1776" s="827"/>
      <c r="EK1776" s="827"/>
      <c r="EL1776" s="827"/>
      <c r="EM1776" s="827"/>
      <c r="EN1776" s="827"/>
      <c r="EO1776" s="827"/>
      <c r="EP1776" s="827"/>
      <c r="EQ1776" s="827"/>
      <c r="ER1776" s="827"/>
      <c r="ES1776" s="827"/>
      <c r="ET1776" s="827"/>
      <c r="EU1776" s="827"/>
      <c r="EV1776" s="827"/>
      <c r="EW1776" s="827"/>
      <c r="EX1776" s="827"/>
      <c r="EY1776" s="827"/>
      <c r="EZ1776" s="827"/>
      <c r="FA1776" s="827"/>
      <c r="FB1776" s="827"/>
      <c r="FC1776" s="827"/>
      <c r="FD1776" s="827"/>
      <c r="FE1776" s="827"/>
      <c r="FF1776" s="827"/>
      <c r="FG1776" s="827"/>
      <c r="FH1776" s="827"/>
      <c r="FI1776" s="827"/>
      <c r="FJ1776" s="827"/>
      <c r="FK1776" s="827"/>
      <c r="FL1776" s="827"/>
      <c r="FM1776" s="827"/>
      <c r="FN1776" s="827"/>
      <c r="FO1776" s="827"/>
      <c r="FP1776" s="827"/>
      <c r="FQ1776" s="827"/>
      <c r="FR1776" s="827"/>
      <c r="FS1776" s="827"/>
      <c r="FT1776" s="827"/>
      <c r="FU1776" s="827"/>
      <c r="FV1776" s="827"/>
      <c r="FW1776" s="827"/>
      <c r="FX1776" s="827"/>
      <c r="FY1776" s="827"/>
      <c r="FZ1776" s="827"/>
      <c r="GA1776" s="827"/>
      <c r="GB1776" s="827"/>
      <c r="GC1776" s="827"/>
      <c r="GD1776" s="827"/>
      <c r="GE1776" s="827"/>
      <c r="GF1776" s="827"/>
      <c r="GG1776" s="827"/>
      <c r="GH1776" s="827"/>
      <c r="GI1776" s="827"/>
      <c r="GJ1776" s="827"/>
      <c r="GK1776" s="827"/>
      <c r="GL1776" s="827"/>
      <c r="GM1776" s="827"/>
      <c r="GN1776" s="827"/>
      <c r="GO1776" s="827"/>
      <c r="GP1776" s="827"/>
      <c r="GQ1776" s="827"/>
      <c r="GR1776" s="827"/>
      <c r="GS1776" s="827"/>
      <c r="GT1776" s="827"/>
      <c r="GU1776" s="827"/>
      <c r="GV1776" s="827"/>
      <c r="GW1776" s="827"/>
      <c r="GX1776" s="827"/>
      <c r="GY1776" s="827"/>
      <c r="GZ1776" s="827"/>
      <c r="HA1776" s="827"/>
      <c r="HB1776" s="827"/>
      <c r="HC1776" s="827"/>
      <c r="HD1776" s="827"/>
      <c r="HE1776" s="827"/>
      <c r="HF1776" s="827"/>
      <c r="HG1776" s="827"/>
      <c r="HH1776" s="827"/>
      <c r="HI1776" s="827"/>
      <c r="HJ1776" s="827"/>
      <c r="HK1776" s="827"/>
      <c r="HL1776" s="827"/>
      <c r="HM1776" s="827"/>
      <c r="HN1776" s="827"/>
      <c r="HO1776" s="827"/>
      <c r="HP1776" s="827"/>
      <c r="HQ1776" s="827"/>
      <c r="HR1776" s="827"/>
      <c r="HS1776" s="827"/>
      <c r="HT1776" s="827"/>
      <c r="HU1776" s="827"/>
      <c r="HV1776" s="827"/>
      <c r="HW1776" s="827"/>
      <c r="HX1776" s="827"/>
      <c r="HY1776" s="827"/>
      <c r="HZ1776" s="827"/>
      <c r="IA1776" s="827"/>
      <c r="IB1776" s="827"/>
      <c r="IC1776" s="827"/>
      <c r="ID1776" s="827"/>
      <c r="IE1776" s="827"/>
      <c r="IF1776" s="827"/>
      <c r="IG1776" s="827"/>
      <c r="IH1776" s="827"/>
      <c r="II1776" s="827"/>
      <c r="IJ1776" s="827"/>
      <c r="IK1776" s="827"/>
      <c r="IL1776" s="827"/>
      <c r="IM1776" s="827"/>
      <c r="IN1776" s="827"/>
      <c r="IO1776" s="827"/>
      <c r="IP1776" s="827"/>
      <c r="IQ1776" s="827"/>
      <c r="IR1776" s="827"/>
      <c r="IS1776" s="827"/>
      <c r="IT1776" s="827"/>
      <c r="IU1776" s="827"/>
    </row>
    <row r="1777" spans="1:255" s="831" customFormat="1" ht="15" hidden="1" customHeight="1">
      <c r="A1777" s="336"/>
      <c r="B1777" s="543"/>
      <c r="C1777" s="335" t="s">
        <v>1390</v>
      </c>
      <c r="D1777" s="486" t="s">
        <v>113</v>
      </c>
      <c r="E1777" s="863"/>
      <c r="F1777" s="868">
        <f>'დეფექტური აქტი'!E409</f>
        <v>0</v>
      </c>
      <c r="G1777" s="542">
        <v>9.3000000000000007</v>
      </c>
      <c r="H1777" s="389">
        <f t="shared" si="35"/>
        <v>0</v>
      </c>
      <c r="I1777" s="389"/>
      <c r="J1777" s="389"/>
      <c r="K1777" s="389"/>
      <c r="L1777" s="389"/>
      <c r="M1777" s="389">
        <f t="shared" si="36"/>
        <v>0</v>
      </c>
      <c r="N1777" s="830"/>
      <c r="O1777" s="828"/>
      <c r="P1777" s="828"/>
      <c r="Q1777" s="828"/>
      <c r="R1777" s="828"/>
      <c r="S1777" s="828"/>
      <c r="T1777" s="828"/>
      <c r="U1777" s="828"/>
      <c r="V1777" s="828"/>
      <c r="W1777" s="828"/>
      <c r="X1777" s="828"/>
      <c r="Y1777" s="828"/>
      <c r="Z1777" s="828"/>
      <c r="AA1777" s="827"/>
      <c r="AB1777" s="827"/>
      <c r="AC1777" s="827"/>
      <c r="AD1777" s="827"/>
      <c r="AE1777" s="827"/>
      <c r="AF1777" s="827"/>
      <c r="AG1777" s="827"/>
      <c r="AH1777" s="827"/>
      <c r="AI1777" s="827"/>
      <c r="AJ1777" s="827"/>
      <c r="AK1777" s="827"/>
      <c r="AL1777" s="827"/>
      <c r="AM1777" s="827"/>
      <c r="AN1777" s="827"/>
      <c r="AO1777" s="827"/>
      <c r="AP1777" s="827"/>
      <c r="AQ1777" s="827"/>
      <c r="AR1777" s="827"/>
      <c r="AS1777" s="827"/>
      <c r="AT1777" s="827"/>
      <c r="AU1777" s="827"/>
      <c r="AV1777" s="827"/>
      <c r="AW1777" s="827"/>
      <c r="AX1777" s="827"/>
      <c r="AY1777" s="827"/>
      <c r="AZ1777" s="827"/>
      <c r="BA1777" s="827"/>
      <c r="BB1777" s="827"/>
      <c r="BC1777" s="827"/>
      <c r="BD1777" s="827"/>
      <c r="BE1777" s="827"/>
      <c r="BF1777" s="827"/>
      <c r="BG1777" s="827"/>
      <c r="BH1777" s="827"/>
      <c r="BI1777" s="827"/>
      <c r="BJ1777" s="827"/>
      <c r="BK1777" s="827"/>
      <c r="BL1777" s="827"/>
      <c r="BM1777" s="827"/>
      <c r="BN1777" s="827"/>
      <c r="BO1777" s="827"/>
      <c r="BP1777" s="827"/>
      <c r="BQ1777" s="827"/>
      <c r="BR1777" s="827"/>
      <c r="BS1777" s="827"/>
      <c r="BT1777" s="827"/>
      <c r="BU1777" s="827"/>
      <c r="BV1777" s="827"/>
      <c r="BW1777" s="827"/>
      <c r="BX1777" s="827"/>
      <c r="BY1777" s="827"/>
      <c r="BZ1777" s="827"/>
      <c r="CA1777" s="827"/>
      <c r="CB1777" s="827"/>
      <c r="CC1777" s="827"/>
      <c r="CD1777" s="827"/>
      <c r="CE1777" s="827"/>
      <c r="CF1777" s="827"/>
      <c r="CG1777" s="827"/>
      <c r="CH1777" s="827"/>
      <c r="CI1777" s="827"/>
      <c r="CJ1777" s="827"/>
      <c r="CK1777" s="827"/>
      <c r="CL1777" s="827"/>
      <c r="CM1777" s="827"/>
      <c r="CN1777" s="827"/>
      <c r="CO1777" s="827"/>
      <c r="CP1777" s="827"/>
      <c r="CQ1777" s="827"/>
      <c r="CR1777" s="827"/>
      <c r="CS1777" s="827"/>
      <c r="CT1777" s="827"/>
      <c r="CU1777" s="827"/>
      <c r="CV1777" s="827"/>
      <c r="CW1777" s="827"/>
      <c r="CX1777" s="827"/>
      <c r="CY1777" s="827"/>
      <c r="CZ1777" s="827"/>
      <c r="DA1777" s="827"/>
      <c r="DB1777" s="827"/>
      <c r="DC1777" s="827"/>
      <c r="DD1777" s="827"/>
      <c r="DE1777" s="827"/>
      <c r="DF1777" s="827"/>
      <c r="DG1777" s="827"/>
      <c r="DH1777" s="827"/>
      <c r="DI1777" s="827"/>
      <c r="DJ1777" s="827"/>
      <c r="DK1777" s="827"/>
      <c r="DL1777" s="827"/>
      <c r="DM1777" s="827"/>
      <c r="DN1777" s="827"/>
      <c r="DO1777" s="827"/>
      <c r="DP1777" s="827"/>
      <c r="DQ1777" s="827"/>
      <c r="DR1777" s="827"/>
      <c r="DS1777" s="827"/>
      <c r="DT1777" s="827"/>
      <c r="DU1777" s="827"/>
      <c r="DV1777" s="827"/>
      <c r="DW1777" s="827"/>
      <c r="DX1777" s="827"/>
      <c r="DY1777" s="827"/>
      <c r="DZ1777" s="827"/>
      <c r="EA1777" s="827"/>
      <c r="EB1777" s="827"/>
      <c r="EC1777" s="827"/>
      <c r="ED1777" s="827"/>
      <c r="EE1777" s="827"/>
      <c r="EF1777" s="827"/>
      <c r="EG1777" s="827"/>
      <c r="EH1777" s="827"/>
      <c r="EI1777" s="827"/>
      <c r="EJ1777" s="827"/>
      <c r="EK1777" s="827"/>
      <c r="EL1777" s="827"/>
      <c r="EM1777" s="827"/>
      <c r="EN1777" s="827"/>
      <c r="EO1777" s="827"/>
      <c r="EP1777" s="827"/>
      <c r="EQ1777" s="827"/>
      <c r="ER1777" s="827"/>
      <c r="ES1777" s="827"/>
      <c r="ET1777" s="827"/>
      <c r="EU1777" s="827"/>
      <c r="EV1777" s="827"/>
      <c r="EW1777" s="827"/>
      <c r="EX1777" s="827"/>
      <c r="EY1777" s="827"/>
      <c r="EZ1777" s="827"/>
      <c r="FA1777" s="827"/>
      <c r="FB1777" s="827"/>
      <c r="FC1777" s="827"/>
      <c r="FD1777" s="827"/>
      <c r="FE1777" s="827"/>
      <c r="FF1777" s="827"/>
      <c r="FG1777" s="827"/>
      <c r="FH1777" s="827"/>
      <c r="FI1777" s="827"/>
      <c r="FJ1777" s="827"/>
      <c r="FK1777" s="827"/>
      <c r="FL1777" s="827"/>
      <c r="FM1777" s="827"/>
      <c r="FN1777" s="827"/>
      <c r="FO1777" s="827"/>
      <c r="FP1777" s="827"/>
      <c r="FQ1777" s="827"/>
      <c r="FR1777" s="827"/>
      <c r="FS1777" s="827"/>
      <c r="FT1777" s="827"/>
      <c r="FU1777" s="827"/>
      <c r="FV1777" s="827"/>
      <c r="FW1777" s="827"/>
      <c r="FX1777" s="827"/>
      <c r="FY1777" s="827"/>
      <c r="FZ1777" s="827"/>
      <c r="GA1777" s="827"/>
      <c r="GB1777" s="827"/>
      <c r="GC1777" s="827"/>
      <c r="GD1777" s="827"/>
      <c r="GE1777" s="827"/>
      <c r="GF1777" s="827"/>
      <c r="GG1777" s="827"/>
      <c r="GH1777" s="827"/>
      <c r="GI1777" s="827"/>
      <c r="GJ1777" s="827"/>
      <c r="GK1777" s="827"/>
      <c r="GL1777" s="827"/>
      <c r="GM1777" s="827"/>
      <c r="GN1777" s="827"/>
      <c r="GO1777" s="827"/>
      <c r="GP1777" s="827"/>
      <c r="GQ1777" s="827"/>
      <c r="GR1777" s="827"/>
      <c r="GS1777" s="827"/>
      <c r="GT1777" s="827"/>
      <c r="GU1777" s="827"/>
      <c r="GV1777" s="827"/>
      <c r="GW1777" s="827"/>
      <c r="GX1777" s="827"/>
      <c r="GY1777" s="827"/>
      <c r="GZ1777" s="827"/>
      <c r="HA1777" s="827"/>
      <c r="HB1777" s="827"/>
      <c r="HC1777" s="827"/>
      <c r="HD1777" s="827"/>
      <c r="HE1777" s="827"/>
      <c r="HF1777" s="827"/>
      <c r="HG1777" s="827"/>
      <c r="HH1777" s="827"/>
      <c r="HI1777" s="827"/>
      <c r="HJ1777" s="827"/>
      <c r="HK1777" s="827"/>
      <c r="HL1777" s="827"/>
      <c r="HM1777" s="827"/>
      <c r="HN1777" s="827"/>
      <c r="HO1777" s="827"/>
      <c r="HP1777" s="827"/>
      <c r="HQ1777" s="827"/>
      <c r="HR1777" s="827"/>
      <c r="HS1777" s="827"/>
      <c r="HT1777" s="827"/>
      <c r="HU1777" s="827"/>
      <c r="HV1777" s="827"/>
      <c r="HW1777" s="827"/>
      <c r="HX1777" s="827"/>
      <c r="HY1777" s="827"/>
      <c r="HZ1777" s="827"/>
      <c r="IA1777" s="827"/>
      <c r="IB1777" s="827"/>
      <c r="IC1777" s="827"/>
      <c r="ID1777" s="827"/>
      <c r="IE1777" s="827"/>
      <c r="IF1777" s="827"/>
      <c r="IG1777" s="827"/>
      <c r="IH1777" s="827"/>
      <c r="II1777" s="827"/>
      <c r="IJ1777" s="827"/>
      <c r="IK1777" s="827"/>
      <c r="IL1777" s="827"/>
      <c r="IM1777" s="827"/>
      <c r="IN1777" s="827"/>
      <c r="IO1777" s="827"/>
      <c r="IP1777" s="827"/>
      <c r="IQ1777" s="827"/>
      <c r="IR1777" s="827"/>
      <c r="IS1777" s="827"/>
      <c r="IT1777" s="827"/>
      <c r="IU1777" s="827"/>
    </row>
    <row r="1778" spans="1:255" s="831" customFormat="1" ht="13.5" hidden="1" customHeight="1">
      <c r="A1778" s="336"/>
      <c r="B1778" s="543"/>
      <c r="C1778" s="335" t="s">
        <v>1391</v>
      </c>
      <c r="D1778" s="486" t="s">
        <v>113</v>
      </c>
      <c r="E1778" s="863"/>
      <c r="F1778" s="868">
        <f>'დეფექტური აქტი'!E410</f>
        <v>0</v>
      </c>
      <c r="G1778" s="542">
        <v>9.3000000000000007</v>
      </c>
      <c r="H1778" s="389">
        <f t="shared" si="35"/>
        <v>0</v>
      </c>
      <c r="I1778" s="389"/>
      <c r="J1778" s="389"/>
      <c r="K1778" s="389"/>
      <c r="L1778" s="389"/>
      <c r="M1778" s="389">
        <f t="shared" si="36"/>
        <v>0</v>
      </c>
      <c r="N1778" s="830"/>
      <c r="O1778" s="828"/>
      <c r="P1778" s="828"/>
      <c r="Q1778" s="828"/>
      <c r="R1778" s="828"/>
      <c r="S1778" s="828"/>
      <c r="T1778" s="828"/>
      <c r="U1778" s="828"/>
      <c r="V1778" s="828"/>
      <c r="W1778" s="828"/>
      <c r="X1778" s="828"/>
      <c r="Y1778" s="828"/>
      <c r="Z1778" s="828"/>
      <c r="AA1778" s="827"/>
      <c r="AB1778" s="827"/>
      <c r="AC1778" s="827"/>
      <c r="AD1778" s="827"/>
      <c r="AE1778" s="827"/>
      <c r="AF1778" s="827"/>
      <c r="AG1778" s="827"/>
      <c r="AH1778" s="827"/>
      <c r="AI1778" s="827"/>
      <c r="AJ1778" s="827"/>
      <c r="AK1778" s="827"/>
      <c r="AL1778" s="827"/>
      <c r="AM1778" s="827"/>
      <c r="AN1778" s="827"/>
      <c r="AO1778" s="827"/>
      <c r="AP1778" s="827"/>
      <c r="AQ1778" s="827"/>
      <c r="AR1778" s="827"/>
      <c r="AS1778" s="827"/>
      <c r="AT1778" s="827"/>
      <c r="AU1778" s="827"/>
      <c r="AV1778" s="827"/>
      <c r="AW1778" s="827"/>
      <c r="AX1778" s="827"/>
      <c r="AY1778" s="827"/>
      <c r="AZ1778" s="827"/>
      <c r="BA1778" s="827"/>
      <c r="BB1778" s="827"/>
      <c r="BC1778" s="827"/>
      <c r="BD1778" s="827"/>
      <c r="BE1778" s="827"/>
      <c r="BF1778" s="827"/>
      <c r="BG1778" s="827"/>
      <c r="BH1778" s="827"/>
      <c r="BI1778" s="827"/>
      <c r="BJ1778" s="827"/>
      <c r="BK1778" s="827"/>
      <c r="BL1778" s="827"/>
      <c r="BM1778" s="827"/>
      <c r="BN1778" s="827"/>
      <c r="BO1778" s="827"/>
      <c r="BP1778" s="827"/>
      <c r="BQ1778" s="827"/>
      <c r="BR1778" s="827"/>
      <c r="BS1778" s="827"/>
      <c r="BT1778" s="827"/>
      <c r="BU1778" s="827"/>
      <c r="BV1778" s="827"/>
      <c r="BW1778" s="827"/>
      <c r="BX1778" s="827"/>
      <c r="BY1778" s="827"/>
      <c r="BZ1778" s="827"/>
      <c r="CA1778" s="827"/>
      <c r="CB1778" s="827"/>
      <c r="CC1778" s="827"/>
      <c r="CD1778" s="827"/>
      <c r="CE1778" s="827"/>
      <c r="CF1778" s="827"/>
      <c r="CG1778" s="827"/>
      <c r="CH1778" s="827"/>
      <c r="CI1778" s="827"/>
      <c r="CJ1778" s="827"/>
      <c r="CK1778" s="827"/>
      <c r="CL1778" s="827"/>
      <c r="CM1778" s="827"/>
      <c r="CN1778" s="827"/>
      <c r="CO1778" s="827"/>
      <c r="CP1778" s="827"/>
      <c r="CQ1778" s="827"/>
      <c r="CR1778" s="827"/>
      <c r="CS1778" s="827"/>
      <c r="CT1778" s="827"/>
      <c r="CU1778" s="827"/>
      <c r="CV1778" s="827"/>
      <c r="CW1778" s="827"/>
      <c r="CX1778" s="827"/>
      <c r="CY1778" s="827"/>
      <c r="CZ1778" s="827"/>
      <c r="DA1778" s="827"/>
      <c r="DB1778" s="827"/>
      <c r="DC1778" s="827"/>
      <c r="DD1778" s="827"/>
      <c r="DE1778" s="827"/>
      <c r="DF1778" s="827"/>
      <c r="DG1778" s="827"/>
      <c r="DH1778" s="827"/>
      <c r="DI1778" s="827"/>
      <c r="DJ1778" s="827"/>
      <c r="DK1778" s="827"/>
      <c r="DL1778" s="827"/>
      <c r="DM1778" s="827"/>
      <c r="DN1778" s="827"/>
      <c r="DO1778" s="827"/>
      <c r="DP1778" s="827"/>
      <c r="DQ1778" s="827"/>
      <c r="DR1778" s="827"/>
      <c r="DS1778" s="827"/>
      <c r="DT1778" s="827"/>
      <c r="DU1778" s="827"/>
      <c r="DV1778" s="827"/>
      <c r="DW1778" s="827"/>
      <c r="DX1778" s="827"/>
      <c r="DY1778" s="827"/>
      <c r="DZ1778" s="827"/>
      <c r="EA1778" s="827"/>
      <c r="EB1778" s="827"/>
      <c r="EC1778" s="827"/>
      <c r="ED1778" s="827"/>
      <c r="EE1778" s="827"/>
      <c r="EF1778" s="827"/>
      <c r="EG1778" s="827"/>
      <c r="EH1778" s="827"/>
      <c r="EI1778" s="827"/>
      <c r="EJ1778" s="827"/>
      <c r="EK1778" s="827"/>
      <c r="EL1778" s="827"/>
      <c r="EM1778" s="827"/>
      <c r="EN1778" s="827"/>
      <c r="EO1778" s="827"/>
      <c r="EP1778" s="827"/>
      <c r="EQ1778" s="827"/>
      <c r="ER1778" s="827"/>
      <c r="ES1778" s="827"/>
      <c r="ET1778" s="827"/>
      <c r="EU1778" s="827"/>
      <c r="EV1778" s="827"/>
      <c r="EW1778" s="827"/>
      <c r="EX1778" s="827"/>
      <c r="EY1778" s="827"/>
      <c r="EZ1778" s="827"/>
      <c r="FA1778" s="827"/>
      <c r="FB1778" s="827"/>
      <c r="FC1778" s="827"/>
      <c r="FD1778" s="827"/>
      <c r="FE1778" s="827"/>
      <c r="FF1778" s="827"/>
      <c r="FG1778" s="827"/>
      <c r="FH1778" s="827"/>
      <c r="FI1778" s="827"/>
      <c r="FJ1778" s="827"/>
      <c r="FK1778" s="827"/>
      <c r="FL1778" s="827"/>
      <c r="FM1778" s="827"/>
      <c r="FN1778" s="827"/>
      <c r="FO1778" s="827"/>
      <c r="FP1778" s="827"/>
      <c r="FQ1778" s="827"/>
      <c r="FR1778" s="827"/>
      <c r="FS1778" s="827"/>
      <c r="FT1778" s="827"/>
      <c r="FU1778" s="827"/>
      <c r="FV1778" s="827"/>
      <c r="FW1778" s="827"/>
      <c r="FX1778" s="827"/>
      <c r="FY1778" s="827"/>
      <c r="FZ1778" s="827"/>
      <c r="GA1778" s="827"/>
      <c r="GB1778" s="827"/>
      <c r="GC1778" s="827"/>
      <c r="GD1778" s="827"/>
      <c r="GE1778" s="827"/>
      <c r="GF1778" s="827"/>
      <c r="GG1778" s="827"/>
      <c r="GH1778" s="827"/>
      <c r="GI1778" s="827"/>
      <c r="GJ1778" s="827"/>
      <c r="GK1778" s="827"/>
      <c r="GL1778" s="827"/>
      <c r="GM1778" s="827"/>
      <c r="GN1778" s="827"/>
      <c r="GO1778" s="827"/>
      <c r="GP1778" s="827"/>
      <c r="GQ1778" s="827"/>
      <c r="GR1778" s="827"/>
      <c r="GS1778" s="827"/>
      <c r="GT1778" s="827"/>
      <c r="GU1778" s="827"/>
      <c r="GV1778" s="827"/>
      <c r="GW1778" s="827"/>
      <c r="GX1778" s="827"/>
      <c r="GY1778" s="827"/>
      <c r="GZ1778" s="827"/>
      <c r="HA1778" s="827"/>
      <c r="HB1778" s="827"/>
      <c r="HC1778" s="827"/>
      <c r="HD1778" s="827"/>
      <c r="HE1778" s="827"/>
      <c r="HF1778" s="827"/>
      <c r="HG1778" s="827"/>
      <c r="HH1778" s="827"/>
      <c r="HI1778" s="827"/>
      <c r="HJ1778" s="827"/>
      <c r="HK1778" s="827"/>
      <c r="HL1778" s="827"/>
      <c r="HM1778" s="827"/>
      <c r="HN1778" s="827"/>
      <c r="HO1778" s="827"/>
      <c r="HP1778" s="827"/>
      <c r="HQ1778" s="827"/>
      <c r="HR1778" s="827"/>
      <c r="HS1778" s="827"/>
      <c r="HT1778" s="827"/>
      <c r="HU1778" s="827"/>
      <c r="HV1778" s="827"/>
      <c r="HW1778" s="827"/>
      <c r="HX1778" s="827"/>
      <c r="HY1778" s="827"/>
      <c r="HZ1778" s="827"/>
      <c r="IA1778" s="827"/>
      <c r="IB1778" s="827"/>
      <c r="IC1778" s="827"/>
      <c r="ID1778" s="827"/>
      <c r="IE1778" s="827"/>
      <c r="IF1778" s="827"/>
      <c r="IG1778" s="827"/>
      <c r="IH1778" s="827"/>
      <c r="II1778" s="827"/>
      <c r="IJ1778" s="827"/>
      <c r="IK1778" s="827"/>
      <c r="IL1778" s="827"/>
      <c r="IM1778" s="827"/>
      <c r="IN1778" s="827"/>
      <c r="IO1778" s="827"/>
      <c r="IP1778" s="827"/>
      <c r="IQ1778" s="827"/>
      <c r="IR1778" s="827"/>
      <c r="IS1778" s="827"/>
      <c r="IT1778" s="827"/>
      <c r="IU1778" s="827"/>
    </row>
    <row r="1779" spans="1:255" s="831" customFormat="1" hidden="1">
      <c r="A1779" s="336"/>
      <c r="B1779" s="543"/>
      <c r="C1779" s="335" t="s">
        <v>1392</v>
      </c>
      <c r="D1779" s="486" t="s">
        <v>113</v>
      </c>
      <c r="E1779" s="863"/>
      <c r="F1779" s="868">
        <f>'დეფექტური აქტი'!E411</f>
        <v>0</v>
      </c>
      <c r="G1779" s="542">
        <v>9.3000000000000007</v>
      </c>
      <c r="H1779" s="389">
        <f t="shared" si="35"/>
        <v>0</v>
      </c>
      <c r="I1779" s="389"/>
      <c r="J1779" s="389"/>
      <c r="K1779" s="389"/>
      <c r="L1779" s="389"/>
      <c r="M1779" s="389">
        <f t="shared" si="36"/>
        <v>0</v>
      </c>
      <c r="N1779" s="830"/>
      <c r="O1779" s="828"/>
      <c r="P1779" s="828"/>
      <c r="Q1779" s="828"/>
      <c r="R1779" s="828"/>
      <c r="S1779" s="828"/>
      <c r="T1779" s="828"/>
      <c r="U1779" s="828"/>
      <c r="V1779" s="828"/>
      <c r="W1779" s="828"/>
      <c r="X1779" s="828"/>
      <c r="Y1779" s="828"/>
      <c r="Z1779" s="828"/>
      <c r="AA1779" s="827"/>
      <c r="AB1779" s="827"/>
      <c r="AC1779" s="827"/>
      <c r="AD1779" s="827"/>
      <c r="AE1779" s="827"/>
      <c r="AF1779" s="827"/>
      <c r="AG1779" s="827"/>
      <c r="AH1779" s="827"/>
      <c r="AI1779" s="827"/>
      <c r="AJ1779" s="827"/>
      <c r="AK1779" s="827"/>
      <c r="AL1779" s="827"/>
      <c r="AM1779" s="827"/>
      <c r="AN1779" s="827"/>
      <c r="AO1779" s="827"/>
      <c r="AP1779" s="827"/>
      <c r="AQ1779" s="827"/>
      <c r="AR1779" s="827"/>
      <c r="AS1779" s="827"/>
      <c r="AT1779" s="827"/>
      <c r="AU1779" s="827"/>
      <c r="AV1779" s="827"/>
      <c r="AW1779" s="827"/>
      <c r="AX1779" s="827"/>
      <c r="AY1779" s="827"/>
      <c r="AZ1779" s="827"/>
      <c r="BA1779" s="827"/>
      <c r="BB1779" s="827"/>
      <c r="BC1779" s="827"/>
      <c r="BD1779" s="827"/>
      <c r="BE1779" s="827"/>
      <c r="BF1779" s="827"/>
      <c r="BG1779" s="827"/>
      <c r="BH1779" s="827"/>
      <c r="BI1779" s="827"/>
      <c r="BJ1779" s="827"/>
      <c r="BK1779" s="827"/>
      <c r="BL1779" s="827"/>
      <c r="BM1779" s="827"/>
      <c r="BN1779" s="827"/>
      <c r="BO1779" s="827"/>
      <c r="BP1779" s="827"/>
      <c r="BQ1779" s="827"/>
      <c r="BR1779" s="827"/>
      <c r="BS1779" s="827"/>
      <c r="BT1779" s="827"/>
      <c r="BU1779" s="827"/>
      <c r="BV1779" s="827"/>
      <c r="BW1779" s="827"/>
      <c r="BX1779" s="827"/>
      <c r="BY1779" s="827"/>
      <c r="BZ1779" s="827"/>
      <c r="CA1779" s="827"/>
      <c r="CB1779" s="827"/>
      <c r="CC1779" s="827"/>
      <c r="CD1779" s="827"/>
      <c r="CE1779" s="827"/>
      <c r="CF1779" s="827"/>
      <c r="CG1779" s="827"/>
      <c r="CH1779" s="827"/>
      <c r="CI1779" s="827"/>
      <c r="CJ1779" s="827"/>
      <c r="CK1779" s="827"/>
      <c r="CL1779" s="827"/>
      <c r="CM1779" s="827"/>
      <c r="CN1779" s="827"/>
      <c r="CO1779" s="827"/>
      <c r="CP1779" s="827"/>
      <c r="CQ1779" s="827"/>
      <c r="CR1779" s="827"/>
      <c r="CS1779" s="827"/>
      <c r="CT1779" s="827"/>
      <c r="CU1779" s="827"/>
      <c r="CV1779" s="827"/>
      <c r="CW1779" s="827"/>
      <c r="CX1779" s="827"/>
      <c r="CY1779" s="827"/>
      <c r="CZ1779" s="827"/>
      <c r="DA1779" s="827"/>
      <c r="DB1779" s="827"/>
      <c r="DC1779" s="827"/>
      <c r="DD1779" s="827"/>
      <c r="DE1779" s="827"/>
      <c r="DF1779" s="827"/>
      <c r="DG1779" s="827"/>
      <c r="DH1779" s="827"/>
      <c r="DI1779" s="827"/>
      <c r="DJ1779" s="827"/>
      <c r="DK1779" s="827"/>
      <c r="DL1779" s="827"/>
      <c r="DM1779" s="827"/>
      <c r="DN1779" s="827"/>
      <c r="DO1779" s="827"/>
      <c r="DP1779" s="827"/>
      <c r="DQ1779" s="827"/>
      <c r="DR1779" s="827"/>
      <c r="DS1779" s="827"/>
      <c r="DT1779" s="827"/>
      <c r="DU1779" s="827"/>
      <c r="DV1779" s="827"/>
      <c r="DW1779" s="827"/>
      <c r="DX1779" s="827"/>
      <c r="DY1779" s="827"/>
      <c r="DZ1779" s="827"/>
      <c r="EA1779" s="827"/>
      <c r="EB1779" s="827"/>
      <c r="EC1779" s="827"/>
      <c r="ED1779" s="827"/>
      <c r="EE1779" s="827"/>
      <c r="EF1779" s="827"/>
      <c r="EG1779" s="827"/>
      <c r="EH1779" s="827"/>
      <c r="EI1779" s="827"/>
      <c r="EJ1779" s="827"/>
      <c r="EK1779" s="827"/>
      <c r="EL1779" s="827"/>
      <c r="EM1779" s="827"/>
      <c r="EN1779" s="827"/>
      <c r="EO1779" s="827"/>
      <c r="EP1779" s="827"/>
      <c r="EQ1779" s="827"/>
      <c r="ER1779" s="827"/>
      <c r="ES1779" s="827"/>
      <c r="ET1779" s="827"/>
      <c r="EU1779" s="827"/>
      <c r="EV1779" s="827"/>
      <c r="EW1779" s="827"/>
      <c r="EX1779" s="827"/>
      <c r="EY1779" s="827"/>
      <c r="EZ1779" s="827"/>
      <c r="FA1779" s="827"/>
      <c r="FB1779" s="827"/>
      <c r="FC1779" s="827"/>
      <c r="FD1779" s="827"/>
      <c r="FE1779" s="827"/>
      <c r="FF1779" s="827"/>
      <c r="FG1779" s="827"/>
      <c r="FH1779" s="827"/>
      <c r="FI1779" s="827"/>
      <c r="FJ1779" s="827"/>
      <c r="FK1779" s="827"/>
      <c r="FL1779" s="827"/>
      <c r="FM1779" s="827"/>
      <c r="FN1779" s="827"/>
      <c r="FO1779" s="827"/>
      <c r="FP1779" s="827"/>
      <c r="FQ1779" s="827"/>
      <c r="FR1779" s="827"/>
      <c r="FS1779" s="827"/>
      <c r="FT1779" s="827"/>
      <c r="FU1779" s="827"/>
      <c r="FV1779" s="827"/>
      <c r="FW1779" s="827"/>
      <c r="FX1779" s="827"/>
      <c r="FY1779" s="827"/>
      <c r="FZ1779" s="827"/>
      <c r="GA1779" s="827"/>
      <c r="GB1779" s="827"/>
      <c r="GC1779" s="827"/>
      <c r="GD1779" s="827"/>
      <c r="GE1779" s="827"/>
      <c r="GF1779" s="827"/>
      <c r="GG1779" s="827"/>
      <c r="GH1779" s="827"/>
      <c r="GI1779" s="827"/>
      <c r="GJ1779" s="827"/>
      <c r="GK1779" s="827"/>
      <c r="GL1779" s="827"/>
      <c r="GM1779" s="827"/>
      <c r="GN1779" s="827"/>
      <c r="GO1779" s="827"/>
      <c r="GP1779" s="827"/>
      <c r="GQ1779" s="827"/>
      <c r="GR1779" s="827"/>
      <c r="GS1779" s="827"/>
      <c r="GT1779" s="827"/>
      <c r="GU1779" s="827"/>
      <c r="GV1779" s="827"/>
      <c r="GW1779" s="827"/>
      <c r="GX1779" s="827"/>
      <c r="GY1779" s="827"/>
      <c r="GZ1779" s="827"/>
      <c r="HA1779" s="827"/>
      <c r="HB1779" s="827"/>
      <c r="HC1779" s="827"/>
      <c r="HD1779" s="827"/>
      <c r="HE1779" s="827"/>
      <c r="HF1779" s="827"/>
      <c r="HG1779" s="827"/>
      <c r="HH1779" s="827"/>
      <c r="HI1779" s="827"/>
      <c r="HJ1779" s="827"/>
      <c r="HK1779" s="827"/>
      <c r="HL1779" s="827"/>
      <c r="HM1779" s="827"/>
      <c r="HN1779" s="827"/>
      <c r="HO1779" s="827"/>
      <c r="HP1779" s="827"/>
      <c r="HQ1779" s="827"/>
      <c r="HR1779" s="827"/>
      <c r="HS1779" s="827"/>
      <c r="HT1779" s="827"/>
      <c r="HU1779" s="827"/>
      <c r="HV1779" s="827"/>
      <c r="HW1779" s="827"/>
      <c r="HX1779" s="827"/>
      <c r="HY1779" s="827"/>
      <c r="HZ1779" s="827"/>
      <c r="IA1779" s="827"/>
      <c r="IB1779" s="827"/>
      <c r="IC1779" s="827"/>
      <c r="ID1779" s="827"/>
      <c r="IE1779" s="827"/>
      <c r="IF1779" s="827"/>
      <c r="IG1779" s="827"/>
      <c r="IH1779" s="827"/>
      <c r="II1779" s="827"/>
      <c r="IJ1779" s="827"/>
      <c r="IK1779" s="827"/>
      <c r="IL1779" s="827"/>
      <c r="IM1779" s="827"/>
      <c r="IN1779" s="827"/>
      <c r="IO1779" s="827"/>
      <c r="IP1779" s="827"/>
      <c r="IQ1779" s="827"/>
      <c r="IR1779" s="827"/>
      <c r="IS1779" s="827"/>
      <c r="IT1779" s="827"/>
      <c r="IU1779" s="827"/>
    </row>
    <row r="1780" spans="1:255" s="831" customFormat="1" ht="15" hidden="1" customHeight="1">
      <c r="A1780" s="336"/>
      <c r="B1780" s="543"/>
      <c r="C1780" s="335" t="s">
        <v>1393</v>
      </c>
      <c r="D1780" s="486" t="s">
        <v>113</v>
      </c>
      <c r="E1780" s="863"/>
      <c r="F1780" s="868">
        <f>'დეფექტური აქტი'!E412</f>
        <v>0</v>
      </c>
      <c r="G1780" s="542">
        <v>27</v>
      </c>
      <c r="H1780" s="389">
        <f t="shared" si="35"/>
        <v>0</v>
      </c>
      <c r="I1780" s="389"/>
      <c r="J1780" s="389"/>
      <c r="K1780" s="389"/>
      <c r="L1780" s="389"/>
      <c r="M1780" s="389">
        <f t="shared" si="36"/>
        <v>0</v>
      </c>
      <c r="N1780" s="830"/>
      <c r="O1780" s="828"/>
      <c r="P1780" s="828"/>
      <c r="Q1780" s="828"/>
      <c r="R1780" s="828"/>
      <c r="S1780" s="828"/>
      <c r="T1780" s="828"/>
      <c r="U1780" s="828"/>
      <c r="V1780" s="828"/>
      <c r="W1780" s="828"/>
      <c r="X1780" s="828"/>
      <c r="Y1780" s="828"/>
      <c r="Z1780" s="828"/>
      <c r="AA1780" s="827"/>
      <c r="AB1780" s="827"/>
      <c r="AC1780" s="827"/>
      <c r="AD1780" s="827"/>
      <c r="AE1780" s="827"/>
      <c r="AF1780" s="827"/>
      <c r="AG1780" s="827"/>
      <c r="AH1780" s="827"/>
      <c r="AI1780" s="827"/>
      <c r="AJ1780" s="827"/>
      <c r="AK1780" s="827"/>
      <c r="AL1780" s="827"/>
      <c r="AM1780" s="827"/>
      <c r="AN1780" s="827"/>
      <c r="AO1780" s="827"/>
      <c r="AP1780" s="827"/>
      <c r="AQ1780" s="827"/>
      <c r="AR1780" s="827"/>
      <c r="AS1780" s="827"/>
      <c r="AT1780" s="827"/>
      <c r="AU1780" s="827"/>
      <c r="AV1780" s="827"/>
      <c r="AW1780" s="827"/>
      <c r="AX1780" s="827"/>
      <c r="AY1780" s="827"/>
      <c r="AZ1780" s="827"/>
      <c r="BA1780" s="827"/>
      <c r="BB1780" s="827"/>
      <c r="BC1780" s="827"/>
      <c r="BD1780" s="827"/>
      <c r="BE1780" s="827"/>
      <c r="BF1780" s="827"/>
      <c r="BG1780" s="827"/>
      <c r="BH1780" s="827"/>
      <c r="BI1780" s="827"/>
      <c r="BJ1780" s="827"/>
      <c r="BK1780" s="827"/>
      <c r="BL1780" s="827"/>
      <c r="BM1780" s="827"/>
      <c r="BN1780" s="827"/>
      <c r="BO1780" s="827"/>
      <c r="BP1780" s="827"/>
      <c r="BQ1780" s="827"/>
      <c r="BR1780" s="827"/>
      <c r="BS1780" s="827"/>
      <c r="BT1780" s="827"/>
      <c r="BU1780" s="827"/>
      <c r="BV1780" s="827"/>
      <c r="BW1780" s="827"/>
      <c r="BX1780" s="827"/>
      <c r="BY1780" s="827"/>
      <c r="BZ1780" s="827"/>
      <c r="CA1780" s="827"/>
      <c r="CB1780" s="827"/>
      <c r="CC1780" s="827"/>
      <c r="CD1780" s="827"/>
      <c r="CE1780" s="827"/>
      <c r="CF1780" s="827"/>
      <c r="CG1780" s="827"/>
      <c r="CH1780" s="827"/>
      <c r="CI1780" s="827"/>
      <c r="CJ1780" s="827"/>
      <c r="CK1780" s="827"/>
      <c r="CL1780" s="827"/>
      <c r="CM1780" s="827"/>
      <c r="CN1780" s="827"/>
      <c r="CO1780" s="827"/>
      <c r="CP1780" s="827"/>
      <c r="CQ1780" s="827"/>
      <c r="CR1780" s="827"/>
      <c r="CS1780" s="827"/>
      <c r="CT1780" s="827"/>
      <c r="CU1780" s="827"/>
      <c r="CV1780" s="827"/>
      <c r="CW1780" s="827"/>
      <c r="CX1780" s="827"/>
      <c r="CY1780" s="827"/>
      <c r="CZ1780" s="827"/>
      <c r="DA1780" s="827"/>
      <c r="DB1780" s="827"/>
      <c r="DC1780" s="827"/>
      <c r="DD1780" s="827"/>
      <c r="DE1780" s="827"/>
      <c r="DF1780" s="827"/>
      <c r="DG1780" s="827"/>
      <c r="DH1780" s="827"/>
      <c r="DI1780" s="827"/>
      <c r="DJ1780" s="827"/>
      <c r="DK1780" s="827"/>
      <c r="DL1780" s="827"/>
      <c r="DM1780" s="827"/>
      <c r="DN1780" s="827"/>
      <c r="DO1780" s="827"/>
      <c r="DP1780" s="827"/>
      <c r="DQ1780" s="827"/>
      <c r="DR1780" s="827"/>
      <c r="DS1780" s="827"/>
      <c r="DT1780" s="827"/>
      <c r="DU1780" s="827"/>
      <c r="DV1780" s="827"/>
      <c r="DW1780" s="827"/>
      <c r="DX1780" s="827"/>
      <c r="DY1780" s="827"/>
      <c r="DZ1780" s="827"/>
      <c r="EA1780" s="827"/>
      <c r="EB1780" s="827"/>
      <c r="EC1780" s="827"/>
      <c r="ED1780" s="827"/>
      <c r="EE1780" s="827"/>
      <c r="EF1780" s="827"/>
      <c r="EG1780" s="827"/>
      <c r="EH1780" s="827"/>
      <c r="EI1780" s="827"/>
      <c r="EJ1780" s="827"/>
      <c r="EK1780" s="827"/>
      <c r="EL1780" s="827"/>
      <c r="EM1780" s="827"/>
      <c r="EN1780" s="827"/>
      <c r="EO1780" s="827"/>
      <c r="EP1780" s="827"/>
      <c r="EQ1780" s="827"/>
      <c r="ER1780" s="827"/>
      <c r="ES1780" s="827"/>
      <c r="ET1780" s="827"/>
      <c r="EU1780" s="827"/>
      <c r="EV1780" s="827"/>
      <c r="EW1780" s="827"/>
      <c r="EX1780" s="827"/>
      <c r="EY1780" s="827"/>
      <c r="EZ1780" s="827"/>
      <c r="FA1780" s="827"/>
      <c r="FB1780" s="827"/>
      <c r="FC1780" s="827"/>
      <c r="FD1780" s="827"/>
      <c r="FE1780" s="827"/>
      <c r="FF1780" s="827"/>
      <c r="FG1780" s="827"/>
      <c r="FH1780" s="827"/>
      <c r="FI1780" s="827"/>
      <c r="FJ1780" s="827"/>
      <c r="FK1780" s="827"/>
      <c r="FL1780" s="827"/>
      <c r="FM1780" s="827"/>
      <c r="FN1780" s="827"/>
      <c r="FO1780" s="827"/>
      <c r="FP1780" s="827"/>
      <c r="FQ1780" s="827"/>
      <c r="FR1780" s="827"/>
      <c r="FS1780" s="827"/>
      <c r="FT1780" s="827"/>
      <c r="FU1780" s="827"/>
      <c r="FV1780" s="827"/>
      <c r="FW1780" s="827"/>
      <c r="FX1780" s="827"/>
      <c r="FY1780" s="827"/>
      <c r="FZ1780" s="827"/>
      <c r="GA1780" s="827"/>
      <c r="GB1780" s="827"/>
      <c r="GC1780" s="827"/>
      <c r="GD1780" s="827"/>
      <c r="GE1780" s="827"/>
      <c r="GF1780" s="827"/>
      <c r="GG1780" s="827"/>
      <c r="GH1780" s="827"/>
      <c r="GI1780" s="827"/>
      <c r="GJ1780" s="827"/>
      <c r="GK1780" s="827"/>
      <c r="GL1780" s="827"/>
      <c r="GM1780" s="827"/>
      <c r="GN1780" s="827"/>
      <c r="GO1780" s="827"/>
      <c r="GP1780" s="827"/>
      <c r="GQ1780" s="827"/>
      <c r="GR1780" s="827"/>
      <c r="GS1780" s="827"/>
      <c r="GT1780" s="827"/>
      <c r="GU1780" s="827"/>
      <c r="GV1780" s="827"/>
      <c r="GW1780" s="827"/>
      <c r="GX1780" s="827"/>
      <c r="GY1780" s="827"/>
      <c r="GZ1780" s="827"/>
      <c r="HA1780" s="827"/>
      <c r="HB1780" s="827"/>
      <c r="HC1780" s="827"/>
      <c r="HD1780" s="827"/>
      <c r="HE1780" s="827"/>
      <c r="HF1780" s="827"/>
      <c r="HG1780" s="827"/>
      <c r="HH1780" s="827"/>
      <c r="HI1780" s="827"/>
      <c r="HJ1780" s="827"/>
      <c r="HK1780" s="827"/>
      <c r="HL1780" s="827"/>
      <c r="HM1780" s="827"/>
      <c r="HN1780" s="827"/>
      <c r="HO1780" s="827"/>
      <c r="HP1780" s="827"/>
      <c r="HQ1780" s="827"/>
      <c r="HR1780" s="827"/>
      <c r="HS1780" s="827"/>
      <c r="HT1780" s="827"/>
      <c r="HU1780" s="827"/>
      <c r="HV1780" s="827"/>
      <c r="HW1780" s="827"/>
      <c r="HX1780" s="827"/>
      <c r="HY1780" s="827"/>
      <c r="HZ1780" s="827"/>
      <c r="IA1780" s="827"/>
      <c r="IB1780" s="827"/>
      <c r="IC1780" s="827"/>
      <c r="ID1780" s="827"/>
      <c r="IE1780" s="827"/>
      <c r="IF1780" s="827"/>
      <c r="IG1780" s="827"/>
      <c r="IH1780" s="827"/>
      <c r="II1780" s="827"/>
      <c r="IJ1780" s="827"/>
      <c r="IK1780" s="827"/>
      <c r="IL1780" s="827"/>
      <c r="IM1780" s="827"/>
      <c r="IN1780" s="827"/>
      <c r="IO1780" s="827"/>
      <c r="IP1780" s="827"/>
      <c r="IQ1780" s="827"/>
      <c r="IR1780" s="827"/>
      <c r="IS1780" s="827"/>
      <c r="IT1780" s="827"/>
      <c r="IU1780" s="827"/>
    </row>
    <row r="1781" spans="1:255" s="831" customFormat="1" ht="15" hidden="1" customHeight="1">
      <c r="A1781" s="336"/>
      <c r="B1781" s="543"/>
      <c r="C1781" s="335" t="s">
        <v>1394</v>
      </c>
      <c r="D1781" s="486" t="s">
        <v>113</v>
      </c>
      <c r="E1781" s="863"/>
      <c r="F1781" s="868">
        <f>'დეფექტური აქტი'!E413</f>
        <v>0</v>
      </c>
      <c r="G1781" s="542">
        <v>28</v>
      </c>
      <c r="H1781" s="389">
        <f t="shared" si="35"/>
        <v>0</v>
      </c>
      <c r="I1781" s="389"/>
      <c r="J1781" s="389"/>
      <c r="K1781" s="389"/>
      <c r="L1781" s="389"/>
      <c r="M1781" s="389">
        <f t="shared" si="36"/>
        <v>0</v>
      </c>
      <c r="N1781" s="830"/>
      <c r="O1781" s="828"/>
      <c r="P1781" s="828"/>
      <c r="Q1781" s="828"/>
      <c r="R1781" s="828"/>
      <c r="S1781" s="828"/>
      <c r="T1781" s="828"/>
      <c r="U1781" s="828"/>
      <c r="V1781" s="828"/>
      <c r="W1781" s="828"/>
      <c r="X1781" s="828"/>
      <c r="Y1781" s="828"/>
      <c r="Z1781" s="828"/>
      <c r="AA1781" s="827"/>
      <c r="AB1781" s="827"/>
      <c r="AC1781" s="827"/>
      <c r="AD1781" s="827"/>
      <c r="AE1781" s="827"/>
      <c r="AF1781" s="827"/>
      <c r="AG1781" s="827"/>
      <c r="AH1781" s="827"/>
      <c r="AI1781" s="827"/>
      <c r="AJ1781" s="827"/>
      <c r="AK1781" s="827"/>
      <c r="AL1781" s="827"/>
      <c r="AM1781" s="827"/>
      <c r="AN1781" s="827"/>
      <c r="AO1781" s="827"/>
      <c r="AP1781" s="827"/>
      <c r="AQ1781" s="827"/>
      <c r="AR1781" s="827"/>
      <c r="AS1781" s="827"/>
      <c r="AT1781" s="827"/>
      <c r="AU1781" s="827"/>
      <c r="AV1781" s="827"/>
      <c r="AW1781" s="827"/>
      <c r="AX1781" s="827"/>
      <c r="AY1781" s="827"/>
      <c r="AZ1781" s="827"/>
      <c r="BA1781" s="827"/>
      <c r="BB1781" s="827"/>
      <c r="BC1781" s="827"/>
      <c r="BD1781" s="827"/>
      <c r="BE1781" s="827"/>
      <c r="BF1781" s="827"/>
      <c r="BG1781" s="827"/>
      <c r="BH1781" s="827"/>
      <c r="BI1781" s="827"/>
      <c r="BJ1781" s="827"/>
      <c r="BK1781" s="827"/>
      <c r="BL1781" s="827"/>
      <c r="BM1781" s="827"/>
      <c r="BN1781" s="827"/>
      <c r="BO1781" s="827"/>
      <c r="BP1781" s="827"/>
      <c r="BQ1781" s="827"/>
      <c r="BR1781" s="827"/>
      <c r="BS1781" s="827"/>
      <c r="BT1781" s="827"/>
      <c r="BU1781" s="827"/>
      <c r="BV1781" s="827"/>
      <c r="BW1781" s="827"/>
      <c r="BX1781" s="827"/>
      <c r="BY1781" s="827"/>
      <c r="BZ1781" s="827"/>
      <c r="CA1781" s="827"/>
      <c r="CB1781" s="827"/>
      <c r="CC1781" s="827"/>
      <c r="CD1781" s="827"/>
      <c r="CE1781" s="827"/>
      <c r="CF1781" s="827"/>
      <c r="CG1781" s="827"/>
      <c r="CH1781" s="827"/>
      <c r="CI1781" s="827"/>
      <c r="CJ1781" s="827"/>
      <c r="CK1781" s="827"/>
      <c r="CL1781" s="827"/>
      <c r="CM1781" s="827"/>
      <c r="CN1781" s="827"/>
      <c r="CO1781" s="827"/>
      <c r="CP1781" s="827"/>
      <c r="CQ1781" s="827"/>
      <c r="CR1781" s="827"/>
      <c r="CS1781" s="827"/>
      <c r="CT1781" s="827"/>
      <c r="CU1781" s="827"/>
      <c r="CV1781" s="827"/>
      <c r="CW1781" s="827"/>
      <c r="CX1781" s="827"/>
      <c r="CY1781" s="827"/>
      <c r="CZ1781" s="827"/>
      <c r="DA1781" s="827"/>
      <c r="DB1781" s="827"/>
      <c r="DC1781" s="827"/>
      <c r="DD1781" s="827"/>
      <c r="DE1781" s="827"/>
      <c r="DF1781" s="827"/>
      <c r="DG1781" s="827"/>
      <c r="DH1781" s="827"/>
      <c r="DI1781" s="827"/>
      <c r="DJ1781" s="827"/>
      <c r="DK1781" s="827"/>
      <c r="DL1781" s="827"/>
      <c r="DM1781" s="827"/>
      <c r="DN1781" s="827"/>
      <c r="DO1781" s="827"/>
      <c r="DP1781" s="827"/>
      <c r="DQ1781" s="827"/>
      <c r="DR1781" s="827"/>
      <c r="DS1781" s="827"/>
      <c r="DT1781" s="827"/>
      <c r="DU1781" s="827"/>
      <c r="DV1781" s="827"/>
      <c r="DW1781" s="827"/>
      <c r="DX1781" s="827"/>
      <c r="DY1781" s="827"/>
      <c r="DZ1781" s="827"/>
      <c r="EA1781" s="827"/>
      <c r="EB1781" s="827"/>
      <c r="EC1781" s="827"/>
      <c r="ED1781" s="827"/>
      <c r="EE1781" s="827"/>
      <c r="EF1781" s="827"/>
      <c r="EG1781" s="827"/>
      <c r="EH1781" s="827"/>
      <c r="EI1781" s="827"/>
      <c r="EJ1781" s="827"/>
      <c r="EK1781" s="827"/>
      <c r="EL1781" s="827"/>
      <c r="EM1781" s="827"/>
      <c r="EN1781" s="827"/>
      <c r="EO1781" s="827"/>
      <c r="EP1781" s="827"/>
      <c r="EQ1781" s="827"/>
      <c r="ER1781" s="827"/>
      <c r="ES1781" s="827"/>
      <c r="ET1781" s="827"/>
      <c r="EU1781" s="827"/>
      <c r="EV1781" s="827"/>
      <c r="EW1781" s="827"/>
      <c r="EX1781" s="827"/>
      <c r="EY1781" s="827"/>
      <c r="EZ1781" s="827"/>
      <c r="FA1781" s="827"/>
      <c r="FB1781" s="827"/>
      <c r="FC1781" s="827"/>
      <c r="FD1781" s="827"/>
      <c r="FE1781" s="827"/>
      <c r="FF1781" s="827"/>
      <c r="FG1781" s="827"/>
      <c r="FH1781" s="827"/>
      <c r="FI1781" s="827"/>
      <c r="FJ1781" s="827"/>
      <c r="FK1781" s="827"/>
      <c r="FL1781" s="827"/>
      <c r="FM1781" s="827"/>
      <c r="FN1781" s="827"/>
      <c r="FO1781" s="827"/>
      <c r="FP1781" s="827"/>
      <c r="FQ1781" s="827"/>
      <c r="FR1781" s="827"/>
      <c r="FS1781" s="827"/>
      <c r="FT1781" s="827"/>
      <c r="FU1781" s="827"/>
      <c r="FV1781" s="827"/>
      <c r="FW1781" s="827"/>
      <c r="FX1781" s="827"/>
      <c r="FY1781" s="827"/>
      <c r="FZ1781" s="827"/>
      <c r="GA1781" s="827"/>
      <c r="GB1781" s="827"/>
      <c r="GC1781" s="827"/>
      <c r="GD1781" s="827"/>
      <c r="GE1781" s="827"/>
      <c r="GF1781" s="827"/>
      <c r="GG1781" s="827"/>
      <c r="GH1781" s="827"/>
      <c r="GI1781" s="827"/>
      <c r="GJ1781" s="827"/>
      <c r="GK1781" s="827"/>
      <c r="GL1781" s="827"/>
      <c r="GM1781" s="827"/>
      <c r="GN1781" s="827"/>
      <c r="GO1781" s="827"/>
      <c r="GP1781" s="827"/>
      <c r="GQ1781" s="827"/>
      <c r="GR1781" s="827"/>
      <c r="GS1781" s="827"/>
      <c r="GT1781" s="827"/>
      <c r="GU1781" s="827"/>
      <c r="GV1781" s="827"/>
      <c r="GW1781" s="827"/>
      <c r="GX1781" s="827"/>
      <c r="GY1781" s="827"/>
      <c r="GZ1781" s="827"/>
      <c r="HA1781" s="827"/>
      <c r="HB1781" s="827"/>
      <c r="HC1781" s="827"/>
      <c r="HD1781" s="827"/>
      <c r="HE1781" s="827"/>
      <c r="HF1781" s="827"/>
      <c r="HG1781" s="827"/>
      <c r="HH1781" s="827"/>
      <c r="HI1781" s="827"/>
      <c r="HJ1781" s="827"/>
      <c r="HK1781" s="827"/>
      <c r="HL1781" s="827"/>
      <c r="HM1781" s="827"/>
      <c r="HN1781" s="827"/>
      <c r="HO1781" s="827"/>
      <c r="HP1781" s="827"/>
      <c r="HQ1781" s="827"/>
      <c r="HR1781" s="827"/>
      <c r="HS1781" s="827"/>
      <c r="HT1781" s="827"/>
      <c r="HU1781" s="827"/>
      <c r="HV1781" s="827"/>
      <c r="HW1781" s="827"/>
      <c r="HX1781" s="827"/>
      <c r="HY1781" s="827"/>
      <c r="HZ1781" s="827"/>
      <c r="IA1781" s="827"/>
      <c r="IB1781" s="827"/>
      <c r="IC1781" s="827"/>
      <c r="ID1781" s="827"/>
      <c r="IE1781" s="827"/>
      <c r="IF1781" s="827"/>
      <c r="IG1781" s="827"/>
      <c r="IH1781" s="827"/>
      <c r="II1781" s="827"/>
      <c r="IJ1781" s="827"/>
      <c r="IK1781" s="827"/>
      <c r="IL1781" s="827"/>
      <c r="IM1781" s="827"/>
      <c r="IN1781" s="827"/>
      <c r="IO1781" s="827"/>
      <c r="IP1781" s="827"/>
      <c r="IQ1781" s="827"/>
      <c r="IR1781" s="827"/>
      <c r="IS1781" s="827"/>
      <c r="IT1781" s="827"/>
      <c r="IU1781" s="827"/>
    </row>
    <row r="1782" spans="1:255" s="831" customFormat="1" ht="15" hidden="1" customHeight="1">
      <c r="A1782" s="336"/>
      <c r="B1782" s="543"/>
      <c r="C1782" s="335" t="s">
        <v>1395</v>
      </c>
      <c r="D1782" s="486" t="s">
        <v>113</v>
      </c>
      <c r="E1782" s="863"/>
      <c r="F1782" s="868">
        <f>'დეფექტური აქტი'!E414</f>
        <v>0</v>
      </c>
      <c r="G1782" s="542">
        <v>15</v>
      </c>
      <c r="H1782" s="389">
        <f t="shared" si="35"/>
        <v>0</v>
      </c>
      <c r="I1782" s="389"/>
      <c r="J1782" s="389"/>
      <c r="K1782" s="389"/>
      <c r="L1782" s="389"/>
      <c r="M1782" s="389">
        <f t="shared" si="36"/>
        <v>0</v>
      </c>
      <c r="N1782" s="830"/>
      <c r="O1782" s="828"/>
      <c r="P1782" s="828"/>
      <c r="Q1782" s="828"/>
      <c r="R1782" s="828"/>
      <c r="S1782" s="828"/>
      <c r="T1782" s="828"/>
      <c r="U1782" s="828"/>
      <c r="V1782" s="828"/>
      <c r="W1782" s="828"/>
      <c r="X1782" s="828"/>
      <c r="Y1782" s="828"/>
      <c r="Z1782" s="828"/>
      <c r="AA1782" s="827"/>
      <c r="AB1782" s="827"/>
      <c r="AC1782" s="827"/>
      <c r="AD1782" s="827"/>
      <c r="AE1782" s="827"/>
      <c r="AF1782" s="827"/>
      <c r="AG1782" s="827"/>
      <c r="AH1782" s="827"/>
      <c r="AI1782" s="827"/>
      <c r="AJ1782" s="827"/>
      <c r="AK1782" s="827"/>
      <c r="AL1782" s="827"/>
      <c r="AM1782" s="827"/>
      <c r="AN1782" s="827"/>
      <c r="AO1782" s="827"/>
      <c r="AP1782" s="827"/>
      <c r="AQ1782" s="827"/>
      <c r="AR1782" s="827"/>
      <c r="AS1782" s="827"/>
      <c r="AT1782" s="827"/>
      <c r="AU1782" s="827"/>
      <c r="AV1782" s="827"/>
      <c r="AW1782" s="827"/>
      <c r="AX1782" s="827"/>
      <c r="AY1782" s="827"/>
      <c r="AZ1782" s="827"/>
      <c r="BA1782" s="827"/>
      <c r="BB1782" s="827"/>
      <c r="BC1782" s="827"/>
      <c r="BD1782" s="827"/>
      <c r="BE1782" s="827"/>
      <c r="BF1782" s="827"/>
      <c r="BG1782" s="827"/>
      <c r="BH1782" s="827"/>
      <c r="BI1782" s="827"/>
      <c r="BJ1782" s="827"/>
      <c r="BK1782" s="827"/>
      <c r="BL1782" s="827"/>
      <c r="BM1782" s="827"/>
      <c r="BN1782" s="827"/>
      <c r="BO1782" s="827"/>
      <c r="BP1782" s="827"/>
      <c r="BQ1782" s="827"/>
      <c r="BR1782" s="827"/>
      <c r="BS1782" s="827"/>
      <c r="BT1782" s="827"/>
      <c r="BU1782" s="827"/>
      <c r="BV1782" s="827"/>
      <c r="BW1782" s="827"/>
      <c r="BX1782" s="827"/>
      <c r="BY1782" s="827"/>
      <c r="BZ1782" s="827"/>
      <c r="CA1782" s="827"/>
      <c r="CB1782" s="827"/>
      <c r="CC1782" s="827"/>
      <c r="CD1782" s="827"/>
      <c r="CE1782" s="827"/>
      <c r="CF1782" s="827"/>
      <c r="CG1782" s="827"/>
      <c r="CH1782" s="827"/>
      <c r="CI1782" s="827"/>
      <c r="CJ1782" s="827"/>
      <c r="CK1782" s="827"/>
      <c r="CL1782" s="827"/>
      <c r="CM1782" s="827"/>
      <c r="CN1782" s="827"/>
      <c r="CO1782" s="827"/>
      <c r="CP1782" s="827"/>
      <c r="CQ1782" s="827"/>
      <c r="CR1782" s="827"/>
      <c r="CS1782" s="827"/>
      <c r="CT1782" s="827"/>
      <c r="CU1782" s="827"/>
      <c r="CV1782" s="827"/>
      <c r="CW1782" s="827"/>
      <c r="CX1782" s="827"/>
      <c r="CY1782" s="827"/>
      <c r="CZ1782" s="827"/>
      <c r="DA1782" s="827"/>
      <c r="DB1782" s="827"/>
      <c r="DC1782" s="827"/>
      <c r="DD1782" s="827"/>
      <c r="DE1782" s="827"/>
      <c r="DF1782" s="827"/>
      <c r="DG1782" s="827"/>
      <c r="DH1782" s="827"/>
      <c r="DI1782" s="827"/>
      <c r="DJ1782" s="827"/>
      <c r="DK1782" s="827"/>
      <c r="DL1782" s="827"/>
      <c r="DM1782" s="827"/>
      <c r="DN1782" s="827"/>
      <c r="DO1782" s="827"/>
      <c r="DP1782" s="827"/>
      <c r="DQ1782" s="827"/>
      <c r="DR1782" s="827"/>
      <c r="DS1782" s="827"/>
      <c r="DT1782" s="827"/>
      <c r="DU1782" s="827"/>
      <c r="DV1782" s="827"/>
      <c r="DW1782" s="827"/>
      <c r="DX1782" s="827"/>
      <c r="DY1782" s="827"/>
      <c r="DZ1782" s="827"/>
      <c r="EA1782" s="827"/>
      <c r="EB1782" s="827"/>
      <c r="EC1782" s="827"/>
      <c r="ED1782" s="827"/>
      <c r="EE1782" s="827"/>
      <c r="EF1782" s="827"/>
      <c r="EG1782" s="827"/>
      <c r="EH1782" s="827"/>
      <c r="EI1782" s="827"/>
      <c r="EJ1782" s="827"/>
      <c r="EK1782" s="827"/>
      <c r="EL1782" s="827"/>
      <c r="EM1782" s="827"/>
      <c r="EN1782" s="827"/>
      <c r="EO1782" s="827"/>
      <c r="EP1782" s="827"/>
      <c r="EQ1782" s="827"/>
      <c r="ER1782" s="827"/>
      <c r="ES1782" s="827"/>
      <c r="ET1782" s="827"/>
      <c r="EU1782" s="827"/>
      <c r="EV1782" s="827"/>
      <c r="EW1782" s="827"/>
      <c r="EX1782" s="827"/>
      <c r="EY1782" s="827"/>
      <c r="EZ1782" s="827"/>
      <c r="FA1782" s="827"/>
      <c r="FB1782" s="827"/>
      <c r="FC1782" s="827"/>
      <c r="FD1782" s="827"/>
      <c r="FE1782" s="827"/>
      <c r="FF1782" s="827"/>
      <c r="FG1782" s="827"/>
      <c r="FH1782" s="827"/>
      <c r="FI1782" s="827"/>
      <c r="FJ1782" s="827"/>
      <c r="FK1782" s="827"/>
      <c r="FL1782" s="827"/>
      <c r="FM1782" s="827"/>
      <c r="FN1782" s="827"/>
      <c r="FO1782" s="827"/>
      <c r="FP1782" s="827"/>
      <c r="FQ1782" s="827"/>
      <c r="FR1782" s="827"/>
      <c r="FS1782" s="827"/>
      <c r="FT1782" s="827"/>
      <c r="FU1782" s="827"/>
      <c r="FV1782" s="827"/>
      <c r="FW1782" s="827"/>
      <c r="FX1782" s="827"/>
      <c r="FY1782" s="827"/>
      <c r="FZ1782" s="827"/>
      <c r="GA1782" s="827"/>
      <c r="GB1782" s="827"/>
      <c r="GC1782" s="827"/>
      <c r="GD1782" s="827"/>
      <c r="GE1782" s="827"/>
      <c r="GF1782" s="827"/>
      <c r="GG1782" s="827"/>
      <c r="GH1782" s="827"/>
      <c r="GI1782" s="827"/>
      <c r="GJ1782" s="827"/>
      <c r="GK1782" s="827"/>
      <c r="GL1782" s="827"/>
      <c r="GM1782" s="827"/>
      <c r="GN1782" s="827"/>
      <c r="GO1782" s="827"/>
      <c r="GP1782" s="827"/>
      <c r="GQ1782" s="827"/>
      <c r="GR1782" s="827"/>
      <c r="GS1782" s="827"/>
      <c r="GT1782" s="827"/>
      <c r="GU1782" s="827"/>
      <c r="GV1782" s="827"/>
      <c r="GW1782" s="827"/>
      <c r="GX1782" s="827"/>
      <c r="GY1782" s="827"/>
      <c r="GZ1782" s="827"/>
      <c r="HA1782" s="827"/>
      <c r="HB1782" s="827"/>
      <c r="HC1782" s="827"/>
      <c r="HD1782" s="827"/>
      <c r="HE1782" s="827"/>
      <c r="HF1782" s="827"/>
      <c r="HG1782" s="827"/>
      <c r="HH1782" s="827"/>
      <c r="HI1782" s="827"/>
      <c r="HJ1782" s="827"/>
      <c r="HK1782" s="827"/>
      <c r="HL1782" s="827"/>
      <c r="HM1782" s="827"/>
      <c r="HN1782" s="827"/>
      <c r="HO1782" s="827"/>
      <c r="HP1782" s="827"/>
      <c r="HQ1782" s="827"/>
      <c r="HR1782" s="827"/>
      <c r="HS1782" s="827"/>
      <c r="HT1782" s="827"/>
      <c r="HU1782" s="827"/>
      <c r="HV1782" s="827"/>
      <c r="HW1782" s="827"/>
      <c r="HX1782" s="827"/>
      <c r="HY1782" s="827"/>
      <c r="HZ1782" s="827"/>
      <c r="IA1782" s="827"/>
      <c r="IB1782" s="827"/>
      <c r="IC1782" s="827"/>
      <c r="ID1782" s="827"/>
      <c r="IE1782" s="827"/>
      <c r="IF1782" s="827"/>
      <c r="IG1782" s="827"/>
      <c r="IH1782" s="827"/>
      <c r="II1782" s="827"/>
      <c r="IJ1782" s="827"/>
      <c r="IK1782" s="827"/>
      <c r="IL1782" s="827"/>
      <c r="IM1782" s="827"/>
      <c r="IN1782" s="827"/>
      <c r="IO1782" s="827"/>
      <c r="IP1782" s="827"/>
      <c r="IQ1782" s="827"/>
      <c r="IR1782" s="827"/>
      <c r="IS1782" s="827"/>
      <c r="IT1782" s="827"/>
      <c r="IU1782" s="827"/>
    </row>
    <row r="1783" spans="1:255" s="831" customFormat="1" hidden="1">
      <c r="A1783" s="336"/>
      <c r="B1783" s="543"/>
      <c r="C1783" s="335" t="s">
        <v>1396</v>
      </c>
      <c r="D1783" s="486" t="s">
        <v>113</v>
      </c>
      <c r="E1783" s="863"/>
      <c r="F1783" s="868">
        <f>'დეფექტური აქტი'!E415</f>
        <v>0</v>
      </c>
      <c r="G1783" s="542">
        <v>3.5</v>
      </c>
      <c r="H1783" s="389">
        <f t="shared" si="35"/>
        <v>0</v>
      </c>
      <c r="I1783" s="389"/>
      <c r="J1783" s="389"/>
      <c r="K1783" s="389"/>
      <c r="L1783" s="389"/>
      <c r="M1783" s="389">
        <f t="shared" si="36"/>
        <v>0</v>
      </c>
      <c r="N1783" s="830"/>
      <c r="O1783" s="828"/>
      <c r="P1783" s="828"/>
      <c r="Q1783" s="828"/>
      <c r="R1783" s="828"/>
      <c r="S1783" s="828"/>
      <c r="T1783" s="828"/>
      <c r="U1783" s="828"/>
      <c r="V1783" s="828"/>
      <c r="W1783" s="828"/>
      <c r="X1783" s="828"/>
      <c r="Y1783" s="828"/>
      <c r="Z1783" s="828"/>
      <c r="AA1783" s="827"/>
      <c r="AB1783" s="827"/>
      <c r="AC1783" s="827"/>
      <c r="AD1783" s="827"/>
      <c r="AE1783" s="827"/>
      <c r="AF1783" s="827"/>
      <c r="AG1783" s="827"/>
      <c r="AH1783" s="827"/>
      <c r="AI1783" s="827"/>
      <c r="AJ1783" s="827"/>
      <c r="AK1783" s="827"/>
      <c r="AL1783" s="827"/>
      <c r="AM1783" s="827"/>
      <c r="AN1783" s="827"/>
      <c r="AO1783" s="827"/>
      <c r="AP1783" s="827"/>
      <c r="AQ1783" s="827"/>
      <c r="AR1783" s="827"/>
      <c r="AS1783" s="827"/>
      <c r="AT1783" s="827"/>
      <c r="AU1783" s="827"/>
      <c r="AV1783" s="827"/>
      <c r="AW1783" s="827"/>
      <c r="AX1783" s="827"/>
      <c r="AY1783" s="827"/>
      <c r="AZ1783" s="827"/>
      <c r="BA1783" s="827"/>
      <c r="BB1783" s="827"/>
      <c r="BC1783" s="827"/>
      <c r="BD1783" s="827"/>
      <c r="BE1783" s="827"/>
      <c r="BF1783" s="827"/>
      <c r="BG1783" s="827"/>
      <c r="BH1783" s="827"/>
      <c r="BI1783" s="827"/>
      <c r="BJ1783" s="827"/>
      <c r="BK1783" s="827"/>
      <c r="BL1783" s="827"/>
      <c r="BM1783" s="827"/>
      <c r="BN1783" s="827"/>
      <c r="BO1783" s="827"/>
      <c r="BP1783" s="827"/>
      <c r="BQ1783" s="827"/>
      <c r="BR1783" s="827"/>
      <c r="BS1783" s="827"/>
      <c r="BT1783" s="827"/>
      <c r="BU1783" s="827"/>
      <c r="BV1783" s="827"/>
      <c r="BW1783" s="827"/>
      <c r="BX1783" s="827"/>
      <c r="BY1783" s="827"/>
      <c r="BZ1783" s="827"/>
      <c r="CA1783" s="827"/>
      <c r="CB1783" s="827"/>
      <c r="CC1783" s="827"/>
      <c r="CD1783" s="827"/>
      <c r="CE1783" s="827"/>
      <c r="CF1783" s="827"/>
      <c r="CG1783" s="827"/>
      <c r="CH1783" s="827"/>
      <c r="CI1783" s="827"/>
      <c r="CJ1783" s="827"/>
      <c r="CK1783" s="827"/>
      <c r="CL1783" s="827"/>
      <c r="CM1783" s="827"/>
      <c r="CN1783" s="827"/>
      <c r="CO1783" s="827"/>
      <c r="CP1783" s="827"/>
      <c r="CQ1783" s="827"/>
      <c r="CR1783" s="827"/>
      <c r="CS1783" s="827"/>
      <c r="CT1783" s="827"/>
      <c r="CU1783" s="827"/>
      <c r="CV1783" s="827"/>
      <c r="CW1783" s="827"/>
      <c r="CX1783" s="827"/>
      <c r="CY1783" s="827"/>
      <c r="CZ1783" s="827"/>
      <c r="DA1783" s="827"/>
      <c r="DB1783" s="827"/>
      <c r="DC1783" s="827"/>
      <c r="DD1783" s="827"/>
      <c r="DE1783" s="827"/>
      <c r="DF1783" s="827"/>
      <c r="DG1783" s="827"/>
      <c r="DH1783" s="827"/>
      <c r="DI1783" s="827"/>
      <c r="DJ1783" s="827"/>
      <c r="DK1783" s="827"/>
      <c r="DL1783" s="827"/>
      <c r="DM1783" s="827"/>
      <c r="DN1783" s="827"/>
      <c r="DO1783" s="827"/>
      <c r="DP1783" s="827"/>
      <c r="DQ1783" s="827"/>
      <c r="DR1783" s="827"/>
      <c r="DS1783" s="827"/>
      <c r="DT1783" s="827"/>
      <c r="DU1783" s="827"/>
      <c r="DV1783" s="827"/>
      <c r="DW1783" s="827"/>
      <c r="DX1783" s="827"/>
      <c r="DY1783" s="827"/>
      <c r="DZ1783" s="827"/>
      <c r="EA1783" s="827"/>
      <c r="EB1783" s="827"/>
      <c r="EC1783" s="827"/>
      <c r="ED1783" s="827"/>
      <c r="EE1783" s="827"/>
      <c r="EF1783" s="827"/>
      <c r="EG1783" s="827"/>
      <c r="EH1783" s="827"/>
      <c r="EI1783" s="827"/>
      <c r="EJ1783" s="827"/>
      <c r="EK1783" s="827"/>
      <c r="EL1783" s="827"/>
      <c r="EM1783" s="827"/>
      <c r="EN1783" s="827"/>
      <c r="EO1783" s="827"/>
      <c r="EP1783" s="827"/>
      <c r="EQ1783" s="827"/>
      <c r="ER1783" s="827"/>
      <c r="ES1783" s="827"/>
      <c r="ET1783" s="827"/>
      <c r="EU1783" s="827"/>
      <c r="EV1783" s="827"/>
      <c r="EW1783" s="827"/>
      <c r="EX1783" s="827"/>
      <c r="EY1783" s="827"/>
      <c r="EZ1783" s="827"/>
      <c r="FA1783" s="827"/>
      <c r="FB1783" s="827"/>
      <c r="FC1783" s="827"/>
      <c r="FD1783" s="827"/>
      <c r="FE1783" s="827"/>
      <c r="FF1783" s="827"/>
      <c r="FG1783" s="827"/>
      <c r="FH1783" s="827"/>
      <c r="FI1783" s="827"/>
      <c r="FJ1783" s="827"/>
      <c r="FK1783" s="827"/>
      <c r="FL1783" s="827"/>
      <c r="FM1783" s="827"/>
      <c r="FN1783" s="827"/>
      <c r="FO1783" s="827"/>
      <c r="FP1783" s="827"/>
      <c r="FQ1783" s="827"/>
      <c r="FR1783" s="827"/>
      <c r="FS1783" s="827"/>
      <c r="FT1783" s="827"/>
      <c r="FU1783" s="827"/>
      <c r="FV1783" s="827"/>
      <c r="FW1783" s="827"/>
      <c r="FX1783" s="827"/>
      <c r="FY1783" s="827"/>
      <c r="FZ1783" s="827"/>
      <c r="GA1783" s="827"/>
      <c r="GB1783" s="827"/>
      <c r="GC1783" s="827"/>
      <c r="GD1783" s="827"/>
      <c r="GE1783" s="827"/>
      <c r="GF1783" s="827"/>
      <c r="GG1783" s="827"/>
      <c r="GH1783" s="827"/>
      <c r="GI1783" s="827"/>
      <c r="GJ1783" s="827"/>
      <c r="GK1783" s="827"/>
      <c r="GL1783" s="827"/>
      <c r="GM1783" s="827"/>
      <c r="GN1783" s="827"/>
      <c r="GO1783" s="827"/>
      <c r="GP1783" s="827"/>
      <c r="GQ1783" s="827"/>
      <c r="GR1783" s="827"/>
      <c r="GS1783" s="827"/>
      <c r="GT1783" s="827"/>
      <c r="GU1783" s="827"/>
      <c r="GV1783" s="827"/>
      <c r="GW1783" s="827"/>
      <c r="GX1783" s="827"/>
      <c r="GY1783" s="827"/>
      <c r="GZ1783" s="827"/>
      <c r="HA1783" s="827"/>
      <c r="HB1783" s="827"/>
      <c r="HC1783" s="827"/>
      <c r="HD1783" s="827"/>
      <c r="HE1783" s="827"/>
      <c r="HF1783" s="827"/>
      <c r="HG1783" s="827"/>
      <c r="HH1783" s="827"/>
      <c r="HI1783" s="827"/>
      <c r="HJ1783" s="827"/>
      <c r="HK1783" s="827"/>
      <c r="HL1783" s="827"/>
      <c r="HM1783" s="827"/>
      <c r="HN1783" s="827"/>
      <c r="HO1783" s="827"/>
      <c r="HP1783" s="827"/>
      <c r="HQ1783" s="827"/>
      <c r="HR1783" s="827"/>
      <c r="HS1783" s="827"/>
      <c r="HT1783" s="827"/>
      <c r="HU1783" s="827"/>
      <c r="HV1783" s="827"/>
      <c r="HW1783" s="827"/>
      <c r="HX1783" s="827"/>
      <c r="HY1783" s="827"/>
      <c r="HZ1783" s="827"/>
      <c r="IA1783" s="827"/>
      <c r="IB1783" s="827"/>
      <c r="IC1783" s="827"/>
      <c r="ID1783" s="827"/>
      <c r="IE1783" s="827"/>
      <c r="IF1783" s="827"/>
      <c r="IG1783" s="827"/>
      <c r="IH1783" s="827"/>
      <c r="II1783" s="827"/>
      <c r="IJ1783" s="827"/>
      <c r="IK1783" s="827"/>
      <c r="IL1783" s="827"/>
      <c r="IM1783" s="827"/>
      <c r="IN1783" s="827"/>
      <c r="IO1783" s="827"/>
      <c r="IP1783" s="827"/>
      <c r="IQ1783" s="827"/>
      <c r="IR1783" s="827"/>
      <c r="IS1783" s="827"/>
      <c r="IT1783" s="827"/>
      <c r="IU1783" s="827"/>
    </row>
    <row r="1784" spans="1:255" s="831" customFormat="1" ht="15" hidden="1" customHeight="1">
      <c r="A1784" s="336"/>
      <c r="B1784" s="543"/>
      <c r="C1784" s="335" t="s">
        <v>1397</v>
      </c>
      <c r="D1784" s="486" t="s">
        <v>113</v>
      </c>
      <c r="E1784" s="863"/>
      <c r="F1784" s="868">
        <f>'დეფექტური აქტი'!E416</f>
        <v>0</v>
      </c>
      <c r="G1784" s="542">
        <v>21.4</v>
      </c>
      <c r="H1784" s="389">
        <f t="shared" si="35"/>
        <v>0</v>
      </c>
      <c r="I1784" s="389"/>
      <c r="J1784" s="389"/>
      <c r="K1784" s="389"/>
      <c r="L1784" s="389"/>
      <c r="M1784" s="389">
        <f t="shared" si="36"/>
        <v>0</v>
      </c>
      <c r="N1784" s="830"/>
      <c r="O1784" s="828"/>
      <c r="P1784" s="828"/>
      <c r="Q1784" s="828"/>
      <c r="R1784" s="828"/>
      <c r="S1784" s="828"/>
      <c r="T1784" s="828"/>
      <c r="U1784" s="828"/>
      <c r="V1784" s="828"/>
      <c r="W1784" s="828"/>
      <c r="X1784" s="828"/>
      <c r="Y1784" s="828"/>
      <c r="Z1784" s="828"/>
      <c r="AA1784" s="827"/>
      <c r="AB1784" s="827"/>
      <c r="AC1784" s="827"/>
      <c r="AD1784" s="827"/>
      <c r="AE1784" s="827"/>
      <c r="AF1784" s="827"/>
      <c r="AG1784" s="827"/>
      <c r="AH1784" s="827"/>
      <c r="AI1784" s="827"/>
      <c r="AJ1784" s="827"/>
      <c r="AK1784" s="827"/>
      <c r="AL1784" s="827"/>
      <c r="AM1784" s="827"/>
      <c r="AN1784" s="827"/>
      <c r="AO1784" s="827"/>
      <c r="AP1784" s="827"/>
      <c r="AQ1784" s="827"/>
      <c r="AR1784" s="827"/>
      <c r="AS1784" s="827"/>
      <c r="AT1784" s="827"/>
      <c r="AU1784" s="827"/>
      <c r="AV1784" s="827"/>
      <c r="AW1784" s="827"/>
      <c r="AX1784" s="827"/>
      <c r="AY1784" s="827"/>
      <c r="AZ1784" s="827"/>
      <c r="BA1784" s="827"/>
      <c r="BB1784" s="827"/>
      <c r="BC1784" s="827"/>
      <c r="BD1784" s="827"/>
      <c r="BE1784" s="827"/>
      <c r="BF1784" s="827"/>
      <c r="BG1784" s="827"/>
      <c r="BH1784" s="827"/>
      <c r="BI1784" s="827"/>
      <c r="BJ1784" s="827"/>
      <c r="BK1784" s="827"/>
      <c r="BL1784" s="827"/>
      <c r="BM1784" s="827"/>
      <c r="BN1784" s="827"/>
      <c r="BO1784" s="827"/>
      <c r="BP1784" s="827"/>
      <c r="BQ1784" s="827"/>
      <c r="BR1784" s="827"/>
      <c r="BS1784" s="827"/>
      <c r="BT1784" s="827"/>
      <c r="BU1784" s="827"/>
      <c r="BV1784" s="827"/>
      <c r="BW1784" s="827"/>
      <c r="BX1784" s="827"/>
      <c r="BY1784" s="827"/>
      <c r="BZ1784" s="827"/>
      <c r="CA1784" s="827"/>
      <c r="CB1784" s="827"/>
      <c r="CC1784" s="827"/>
      <c r="CD1784" s="827"/>
      <c r="CE1784" s="827"/>
      <c r="CF1784" s="827"/>
      <c r="CG1784" s="827"/>
      <c r="CH1784" s="827"/>
      <c r="CI1784" s="827"/>
      <c r="CJ1784" s="827"/>
      <c r="CK1784" s="827"/>
      <c r="CL1784" s="827"/>
      <c r="CM1784" s="827"/>
      <c r="CN1784" s="827"/>
      <c r="CO1784" s="827"/>
      <c r="CP1784" s="827"/>
      <c r="CQ1784" s="827"/>
      <c r="CR1784" s="827"/>
      <c r="CS1784" s="827"/>
      <c r="CT1784" s="827"/>
      <c r="CU1784" s="827"/>
      <c r="CV1784" s="827"/>
      <c r="CW1784" s="827"/>
      <c r="CX1784" s="827"/>
      <c r="CY1784" s="827"/>
      <c r="CZ1784" s="827"/>
      <c r="DA1784" s="827"/>
      <c r="DB1784" s="827"/>
      <c r="DC1784" s="827"/>
      <c r="DD1784" s="827"/>
      <c r="DE1784" s="827"/>
      <c r="DF1784" s="827"/>
      <c r="DG1784" s="827"/>
      <c r="DH1784" s="827"/>
      <c r="DI1784" s="827"/>
      <c r="DJ1784" s="827"/>
      <c r="DK1784" s="827"/>
      <c r="DL1784" s="827"/>
      <c r="DM1784" s="827"/>
      <c r="DN1784" s="827"/>
      <c r="DO1784" s="827"/>
      <c r="DP1784" s="827"/>
      <c r="DQ1784" s="827"/>
      <c r="DR1784" s="827"/>
      <c r="DS1784" s="827"/>
      <c r="DT1784" s="827"/>
      <c r="DU1784" s="827"/>
      <c r="DV1784" s="827"/>
      <c r="DW1784" s="827"/>
      <c r="DX1784" s="827"/>
      <c r="DY1784" s="827"/>
      <c r="DZ1784" s="827"/>
      <c r="EA1784" s="827"/>
      <c r="EB1784" s="827"/>
      <c r="EC1784" s="827"/>
      <c r="ED1784" s="827"/>
      <c r="EE1784" s="827"/>
      <c r="EF1784" s="827"/>
      <c r="EG1784" s="827"/>
      <c r="EH1784" s="827"/>
      <c r="EI1784" s="827"/>
      <c r="EJ1784" s="827"/>
      <c r="EK1784" s="827"/>
      <c r="EL1784" s="827"/>
      <c r="EM1784" s="827"/>
      <c r="EN1784" s="827"/>
      <c r="EO1784" s="827"/>
      <c r="EP1784" s="827"/>
      <c r="EQ1784" s="827"/>
      <c r="ER1784" s="827"/>
      <c r="ES1784" s="827"/>
      <c r="ET1784" s="827"/>
      <c r="EU1784" s="827"/>
      <c r="EV1784" s="827"/>
      <c r="EW1784" s="827"/>
      <c r="EX1784" s="827"/>
      <c r="EY1784" s="827"/>
      <c r="EZ1784" s="827"/>
      <c r="FA1784" s="827"/>
      <c r="FB1784" s="827"/>
      <c r="FC1784" s="827"/>
      <c r="FD1784" s="827"/>
      <c r="FE1784" s="827"/>
      <c r="FF1784" s="827"/>
      <c r="FG1784" s="827"/>
      <c r="FH1784" s="827"/>
      <c r="FI1784" s="827"/>
      <c r="FJ1784" s="827"/>
      <c r="FK1784" s="827"/>
      <c r="FL1784" s="827"/>
      <c r="FM1784" s="827"/>
      <c r="FN1784" s="827"/>
      <c r="FO1784" s="827"/>
      <c r="FP1784" s="827"/>
      <c r="FQ1784" s="827"/>
      <c r="FR1784" s="827"/>
      <c r="FS1784" s="827"/>
      <c r="FT1784" s="827"/>
      <c r="FU1784" s="827"/>
      <c r="FV1784" s="827"/>
      <c r="FW1784" s="827"/>
      <c r="FX1784" s="827"/>
      <c r="FY1784" s="827"/>
      <c r="FZ1784" s="827"/>
      <c r="GA1784" s="827"/>
      <c r="GB1784" s="827"/>
      <c r="GC1784" s="827"/>
      <c r="GD1784" s="827"/>
      <c r="GE1784" s="827"/>
      <c r="GF1784" s="827"/>
      <c r="GG1784" s="827"/>
      <c r="GH1784" s="827"/>
      <c r="GI1784" s="827"/>
      <c r="GJ1784" s="827"/>
      <c r="GK1784" s="827"/>
      <c r="GL1784" s="827"/>
      <c r="GM1784" s="827"/>
      <c r="GN1784" s="827"/>
      <c r="GO1784" s="827"/>
      <c r="GP1784" s="827"/>
      <c r="GQ1784" s="827"/>
      <c r="GR1784" s="827"/>
      <c r="GS1784" s="827"/>
      <c r="GT1784" s="827"/>
      <c r="GU1784" s="827"/>
      <c r="GV1784" s="827"/>
      <c r="GW1784" s="827"/>
      <c r="GX1784" s="827"/>
      <c r="GY1784" s="827"/>
      <c r="GZ1784" s="827"/>
      <c r="HA1784" s="827"/>
      <c r="HB1784" s="827"/>
      <c r="HC1784" s="827"/>
      <c r="HD1784" s="827"/>
      <c r="HE1784" s="827"/>
      <c r="HF1784" s="827"/>
      <c r="HG1784" s="827"/>
      <c r="HH1784" s="827"/>
      <c r="HI1784" s="827"/>
      <c r="HJ1784" s="827"/>
      <c r="HK1784" s="827"/>
      <c r="HL1784" s="827"/>
      <c r="HM1784" s="827"/>
      <c r="HN1784" s="827"/>
      <c r="HO1784" s="827"/>
      <c r="HP1784" s="827"/>
      <c r="HQ1784" s="827"/>
      <c r="HR1784" s="827"/>
      <c r="HS1784" s="827"/>
      <c r="HT1784" s="827"/>
      <c r="HU1784" s="827"/>
      <c r="HV1784" s="827"/>
      <c r="HW1784" s="827"/>
      <c r="HX1784" s="827"/>
      <c r="HY1784" s="827"/>
      <c r="HZ1784" s="827"/>
      <c r="IA1784" s="827"/>
      <c r="IB1784" s="827"/>
      <c r="IC1784" s="827"/>
      <c r="ID1784" s="827"/>
      <c r="IE1784" s="827"/>
      <c r="IF1784" s="827"/>
      <c r="IG1784" s="827"/>
      <c r="IH1784" s="827"/>
      <c r="II1784" s="827"/>
      <c r="IJ1784" s="827"/>
      <c r="IK1784" s="827"/>
      <c r="IL1784" s="827"/>
      <c r="IM1784" s="827"/>
      <c r="IN1784" s="827"/>
      <c r="IO1784" s="827"/>
      <c r="IP1784" s="827"/>
      <c r="IQ1784" s="827"/>
      <c r="IR1784" s="827"/>
      <c r="IS1784" s="827"/>
      <c r="IT1784" s="827"/>
      <c r="IU1784" s="827"/>
    </row>
    <row r="1785" spans="1:255" s="831" customFormat="1" hidden="1">
      <c r="A1785" s="336"/>
      <c r="B1785" s="543"/>
      <c r="C1785" s="335" t="s">
        <v>1398</v>
      </c>
      <c r="D1785" s="486" t="s">
        <v>113</v>
      </c>
      <c r="E1785" s="863"/>
      <c r="F1785" s="868">
        <f>'დეფექტური აქტი'!E417</f>
        <v>0</v>
      </c>
      <c r="G1785" s="542">
        <v>12.7</v>
      </c>
      <c r="H1785" s="389">
        <f t="shared" si="35"/>
        <v>0</v>
      </c>
      <c r="I1785" s="389"/>
      <c r="J1785" s="389"/>
      <c r="K1785" s="389"/>
      <c r="L1785" s="389"/>
      <c r="M1785" s="389">
        <f t="shared" si="36"/>
        <v>0</v>
      </c>
      <c r="N1785" s="830"/>
      <c r="O1785" s="828"/>
      <c r="P1785" s="828"/>
      <c r="Q1785" s="828"/>
      <c r="R1785" s="828"/>
      <c r="S1785" s="828"/>
      <c r="T1785" s="828"/>
      <c r="U1785" s="828"/>
      <c r="V1785" s="828"/>
      <c r="W1785" s="828"/>
      <c r="X1785" s="828"/>
      <c r="Y1785" s="828"/>
      <c r="Z1785" s="828"/>
      <c r="AA1785" s="827"/>
      <c r="AB1785" s="827"/>
      <c r="AC1785" s="827"/>
      <c r="AD1785" s="827"/>
      <c r="AE1785" s="827"/>
      <c r="AF1785" s="827"/>
      <c r="AG1785" s="827"/>
      <c r="AH1785" s="827"/>
      <c r="AI1785" s="827"/>
      <c r="AJ1785" s="827"/>
      <c r="AK1785" s="827"/>
      <c r="AL1785" s="827"/>
      <c r="AM1785" s="827"/>
      <c r="AN1785" s="827"/>
      <c r="AO1785" s="827"/>
      <c r="AP1785" s="827"/>
      <c r="AQ1785" s="827"/>
      <c r="AR1785" s="827"/>
      <c r="AS1785" s="827"/>
      <c r="AT1785" s="827"/>
      <c r="AU1785" s="827"/>
      <c r="AV1785" s="827"/>
      <c r="AW1785" s="827"/>
      <c r="AX1785" s="827"/>
      <c r="AY1785" s="827"/>
      <c r="AZ1785" s="827"/>
      <c r="BA1785" s="827"/>
      <c r="BB1785" s="827"/>
      <c r="BC1785" s="827"/>
      <c r="BD1785" s="827"/>
      <c r="BE1785" s="827"/>
      <c r="BF1785" s="827"/>
      <c r="BG1785" s="827"/>
      <c r="BH1785" s="827"/>
      <c r="BI1785" s="827"/>
      <c r="BJ1785" s="827"/>
      <c r="BK1785" s="827"/>
      <c r="BL1785" s="827"/>
      <c r="BM1785" s="827"/>
      <c r="BN1785" s="827"/>
      <c r="BO1785" s="827"/>
      <c r="BP1785" s="827"/>
      <c r="BQ1785" s="827"/>
      <c r="BR1785" s="827"/>
      <c r="BS1785" s="827"/>
      <c r="BT1785" s="827"/>
      <c r="BU1785" s="827"/>
      <c r="BV1785" s="827"/>
      <c r="BW1785" s="827"/>
      <c r="BX1785" s="827"/>
      <c r="BY1785" s="827"/>
      <c r="BZ1785" s="827"/>
      <c r="CA1785" s="827"/>
      <c r="CB1785" s="827"/>
      <c r="CC1785" s="827"/>
      <c r="CD1785" s="827"/>
      <c r="CE1785" s="827"/>
      <c r="CF1785" s="827"/>
      <c r="CG1785" s="827"/>
      <c r="CH1785" s="827"/>
      <c r="CI1785" s="827"/>
      <c r="CJ1785" s="827"/>
      <c r="CK1785" s="827"/>
      <c r="CL1785" s="827"/>
      <c r="CM1785" s="827"/>
      <c r="CN1785" s="827"/>
      <c r="CO1785" s="827"/>
      <c r="CP1785" s="827"/>
      <c r="CQ1785" s="827"/>
      <c r="CR1785" s="827"/>
      <c r="CS1785" s="827"/>
      <c r="CT1785" s="827"/>
      <c r="CU1785" s="827"/>
      <c r="CV1785" s="827"/>
      <c r="CW1785" s="827"/>
      <c r="CX1785" s="827"/>
      <c r="CY1785" s="827"/>
      <c r="CZ1785" s="827"/>
      <c r="DA1785" s="827"/>
      <c r="DB1785" s="827"/>
      <c r="DC1785" s="827"/>
      <c r="DD1785" s="827"/>
      <c r="DE1785" s="827"/>
      <c r="DF1785" s="827"/>
      <c r="DG1785" s="827"/>
      <c r="DH1785" s="827"/>
      <c r="DI1785" s="827"/>
      <c r="DJ1785" s="827"/>
      <c r="DK1785" s="827"/>
      <c r="DL1785" s="827"/>
      <c r="DM1785" s="827"/>
      <c r="DN1785" s="827"/>
      <c r="DO1785" s="827"/>
      <c r="DP1785" s="827"/>
      <c r="DQ1785" s="827"/>
      <c r="DR1785" s="827"/>
      <c r="DS1785" s="827"/>
      <c r="DT1785" s="827"/>
      <c r="DU1785" s="827"/>
      <c r="DV1785" s="827"/>
      <c r="DW1785" s="827"/>
      <c r="DX1785" s="827"/>
      <c r="DY1785" s="827"/>
      <c r="DZ1785" s="827"/>
      <c r="EA1785" s="827"/>
      <c r="EB1785" s="827"/>
      <c r="EC1785" s="827"/>
      <c r="ED1785" s="827"/>
      <c r="EE1785" s="827"/>
      <c r="EF1785" s="827"/>
      <c r="EG1785" s="827"/>
      <c r="EH1785" s="827"/>
      <c r="EI1785" s="827"/>
      <c r="EJ1785" s="827"/>
      <c r="EK1785" s="827"/>
      <c r="EL1785" s="827"/>
      <c r="EM1785" s="827"/>
      <c r="EN1785" s="827"/>
      <c r="EO1785" s="827"/>
      <c r="EP1785" s="827"/>
      <c r="EQ1785" s="827"/>
      <c r="ER1785" s="827"/>
      <c r="ES1785" s="827"/>
      <c r="ET1785" s="827"/>
      <c r="EU1785" s="827"/>
      <c r="EV1785" s="827"/>
      <c r="EW1785" s="827"/>
      <c r="EX1785" s="827"/>
      <c r="EY1785" s="827"/>
      <c r="EZ1785" s="827"/>
      <c r="FA1785" s="827"/>
      <c r="FB1785" s="827"/>
      <c r="FC1785" s="827"/>
      <c r="FD1785" s="827"/>
      <c r="FE1785" s="827"/>
      <c r="FF1785" s="827"/>
      <c r="FG1785" s="827"/>
      <c r="FH1785" s="827"/>
      <c r="FI1785" s="827"/>
      <c r="FJ1785" s="827"/>
      <c r="FK1785" s="827"/>
      <c r="FL1785" s="827"/>
      <c r="FM1785" s="827"/>
      <c r="FN1785" s="827"/>
      <c r="FO1785" s="827"/>
      <c r="FP1785" s="827"/>
      <c r="FQ1785" s="827"/>
      <c r="FR1785" s="827"/>
      <c r="FS1785" s="827"/>
      <c r="FT1785" s="827"/>
      <c r="FU1785" s="827"/>
      <c r="FV1785" s="827"/>
      <c r="FW1785" s="827"/>
      <c r="FX1785" s="827"/>
      <c r="FY1785" s="827"/>
      <c r="FZ1785" s="827"/>
      <c r="GA1785" s="827"/>
      <c r="GB1785" s="827"/>
      <c r="GC1785" s="827"/>
      <c r="GD1785" s="827"/>
      <c r="GE1785" s="827"/>
      <c r="GF1785" s="827"/>
      <c r="GG1785" s="827"/>
      <c r="GH1785" s="827"/>
      <c r="GI1785" s="827"/>
      <c r="GJ1785" s="827"/>
      <c r="GK1785" s="827"/>
      <c r="GL1785" s="827"/>
      <c r="GM1785" s="827"/>
      <c r="GN1785" s="827"/>
      <c r="GO1785" s="827"/>
      <c r="GP1785" s="827"/>
      <c r="GQ1785" s="827"/>
      <c r="GR1785" s="827"/>
      <c r="GS1785" s="827"/>
      <c r="GT1785" s="827"/>
      <c r="GU1785" s="827"/>
      <c r="GV1785" s="827"/>
      <c r="GW1785" s="827"/>
      <c r="GX1785" s="827"/>
      <c r="GY1785" s="827"/>
      <c r="GZ1785" s="827"/>
      <c r="HA1785" s="827"/>
      <c r="HB1785" s="827"/>
      <c r="HC1785" s="827"/>
      <c r="HD1785" s="827"/>
      <c r="HE1785" s="827"/>
      <c r="HF1785" s="827"/>
      <c r="HG1785" s="827"/>
      <c r="HH1785" s="827"/>
      <c r="HI1785" s="827"/>
      <c r="HJ1785" s="827"/>
      <c r="HK1785" s="827"/>
      <c r="HL1785" s="827"/>
      <c r="HM1785" s="827"/>
      <c r="HN1785" s="827"/>
      <c r="HO1785" s="827"/>
      <c r="HP1785" s="827"/>
      <c r="HQ1785" s="827"/>
      <c r="HR1785" s="827"/>
      <c r="HS1785" s="827"/>
      <c r="HT1785" s="827"/>
      <c r="HU1785" s="827"/>
      <c r="HV1785" s="827"/>
      <c r="HW1785" s="827"/>
      <c r="HX1785" s="827"/>
      <c r="HY1785" s="827"/>
      <c r="HZ1785" s="827"/>
      <c r="IA1785" s="827"/>
      <c r="IB1785" s="827"/>
      <c r="IC1785" s="827"/>
      <c r="ID1785" s="827"/>
      <c r="IE1785" s="827"/>
      <c r="IF1785" s="827"/>
      <c r="IG1785" s="827"/>
      <c r="IH1785" s="827"/>
      <c r="II1785" s="827"/>
      <c r="IJ1785" s="827"/>
      <c r="IK1785" s="827"/>
      <c r="IL1785" s="827"/>
      <c r="IM1785" s="827"/>
      <c r="IN1785" s="827"/>
      <c r="IO1785" s="827"/>
      <c r="IP1785" s="827"/>
      <c r="IQ1785" s="827"/>
      <c r="IR1785" s="827"/>
      <c r="IS1785" s="827"/>
      <c r="IT1785" s="827"/>
      <c r="IU1785" s="827"/>
    </row>
    <row r="1786" spans="1:255" s="831" customFormat="1" ht="13.5" hidden="1" customHeight="1">
      <c r="A1786" s="336"/>
      <c r="B1786" s="543"/>
      <c r="C1786" s="335" t="s">
        <v>1399</v>
      </c>
      <c r="D1786" s="486" t="s">
        <v>113</v>
      </c>
      <c r="E1786" s="863"/>
      <c r="F1786" s="868">
        <f>'დეფექტური აქტი'!E418</f>
        <v>0</v>
      </c>
      <c r="G1786" s="542">
        <v>8</v>
      </c>
      <c r="H1786" s="389">
        <f t="shared" si="35"/>
        <v>0</v>
      </c>
      <c r="I1786" s="389"/>
      <c r="J1786" s="389"/>
      <c r="K1786" s="389"/>
      <c r="L1786" s="389"/>
      <c r="M1786" s="389">
        <f t="shared" si="36"/>
        <v>0</v>
      </c>
      <c r="N1786" s="830"/>
      <c r="O1786" s="828"/>
      <c r="P1786" s="828"/>
      <c r="Q1786" s="828"/>
      <c r="R1786" s="828"/>
      <c r="S1786" s="828"/>
      <c r="T1786" s="828"/>
      <c r="U1786" s="828"/>
      <c r="V1786" s="828"/>
      <c r="W1786" s="828"/>
      <c r="X1786" s="828"/>
      <c r="Y1786" s="828"/>
      <c r="Z1786" s="828"/>
      <c r="AA1786" s="827"/>
      <c r="AB1786" s="827"/>
      <c r="AC1786" s="827"/>
      <c r="AD1786" s="827"/>
      <c r="AE1786" s="827"/>
      <c r="AF1786" s="827"/>
      <c r="AG1786" s="827"/>
      <c r="AH1786" s="827"/>
      <c r="AI1786" s="827"/>
      <c r="AJ1786" s="827"/>
      <c r="AK1786" s="827"/>
      <c r="AL1786" s="827"/>
      <c r="AM1786" s="827"/>
      <c r="AN1786" s="827"/>
      <c r="AO1786" s="827"/>
      <c r="AP1786" s="827"/>
      <c r="AQ1786" s="827"/>
      <c r="AR1786" s="827"/>
      <c r="AS1786" s="827"/>
      <c r="AT1786" s="827"/>
      <c r="AU1786" s="827"/>
      <c r="AV1786" s="827"/>
      <c r="AW1786" s="827"/>
      <c r="AX1786" s="827"/>
      <c r="AY1786" s="827"/>
      <c r="AZ1786" s="827"/>
      <c r="BA1786" s="827"/>
      <c r="BB1786" s="827"/>
      <c r="BC1786" s="827"/>
      <c r="BD1786" s="827"/>
      <c r="BE1786" s="827"/>
      <c r="BF1786" s="827"/>
      <c r="BG1786" s="827"/>
      <c r="BH1786" s="827"/>
      <c r="BI1786" s="827"/>
      <c r="BJ1786" s="827"/>
      <c r="BK1786" s="827"/>
      <c r="BL1786" s="827"/>
      <c r="BM1786" s="827"/>
      <c r="BN1786" s="827"/>
      <c r="BO1786" s="827"/>
      <c r="BP1786" s="827"/>
      <c r="BQ1786" s="827"/>
      <c r="BR1786" s="827"/>
      <c r="BS1786" s="827"/>
      <c r="BT1786" s="827"/>
      <c r="BU1786" s="827"/>
      <c r="BV1786" s="827"/>
      <c r="BW1786" s="827"/>
      <c r="BX1786" s="827"/>
      <c r="BY1786" s="827"/>
      <c r="BZ1786" s="827"/>
      <c r="CA1786" s="827"/>
      <c r="CB1786" s="827"/>
      <c r="CC1786" s="827"/>
      <c r="CD1786" s="827"/>
      <c r="CE1786" s="827"/>
      <c r="CF1786" s="827"/>
      <c r="CG1786" s="827"/>
      <c r="CH1786" s="827"/>
      <c r="CI1786" s="827"/>
      <c r="CJ1786" s="827"/>
      <c r="CK1786" s="827"/>
      <c r="CL1786" s="827"/>
      <c r="CM1786" s="827"/>
      <c r="CN1786" s="827"/>
      <c r="CO1786" s="827"/>
      <c r="CP1786" s="827"/>
      <c r="CQ1786" s="827"/>
      <c r="CR1786" s="827"/>
      <c r="CS1786" s="827"/>
      <c r="CT1786" s="827"/>
      <c r="CU1786" s="827"/>
      <c r="CV1786" s="827"/>
      <c r="CW1786" s="827"/>
      <c r="CX1786" s="827"/>
      <c r="CY1786" s="827"/>
      <c r="CZ1786" s="827"/>
      <c r="DA1786" s="827"/>
      <c r="DB1786" s="827"/>
      <c r="DC1786" s="827"/>
      <c r="DD1786" s="827"/>
      <c r="DE1786" s="827"/>
      <c r="DF1786" s="827"/>
      <c r="DG1786" s="827"/>
      <c r="DH1786" s="827"/>
      <c r="DI1786" s="827"/>
      <c r="DJ1786" s="827"/>
      <c r="DK1786" s="827"/>
      <c r="DL1786" s="827"/>
      <c r="DM1786" s="827"/>
      <c r="DN1786" s="827"/>
      <c r="DO1786" s="827"/>
      <c r="DP1786" s="827"/>
      <c r="DQ1786" s="827"/>
      <c r="DR1786" s="827"/>
      <c r="DS1786" s="827"/>
      <c r="DT1786" s="827"/>
      <c r="DU1786" s="827"/>
      <c r="DV1786" s="827"/>
      <c r="DW1786" s="827"/>
      <c r="DX1786" s="827"/>
      <c r="DY1786" s="827"/>
      <c r="DZ1786" s="827"/>
      <c r="EA1786" s="827"/>
      <c r="EB1786" s="827"/>
      <c r="EC1786" s="827"/>
      <c r="ED1786" s="827"/>
      <c r="EE1786" s="827"/>
      <c r="EF1786" s="827"/>
      <c r="EG1786" s="827"/>
      <c r="EH1786" s="827"/>
      <c r="EI1786" s="827"/>
      <c r="EJ1786" s="827"/>
      <c r="EK1786" s="827"/>
      <c r="EL1786" s="827"/>
      <c r="EM1786" s="827"/>
      <c r="EN1786" s="827"/>
      <c r="EO1786" s="827"/>
      <c r="EP1786" s="827"/>
      <c r="EQ1786" s="827"/>
      <c r="ER1786" s="827"/>
      <c r="ES1786" s="827"/>
      <c r="ET1786" s="827"/>
      <c r="EU1786" s="827"/>
      <c r="EV1786" s="827"/>
      <c r="EW1786" s="827"/>
      <c r="EX1786" s="827"/>
      <c r="EY1786" s="827"/>
      <c r="EZ1786" s="827"/>
      <c r="FA1786" s="827"/>
      <c r="FB1786" s="827"/>
      <c r="FC1786" s="827"/>
      <c r="FD1786" s="827"/>
      <c r="FE1786" s="827"/>
      <c r="FF1786" s="827"/>
      <c r="FG1786" s="827"/>
      <c r="FH1786" s="827"/>
      <c r="FI1786" s="827"/>
      <c r="FJ1786" s="827"/>
      <c r="FK1786" s="827"/>
      <c r="FL1786" s="827"/>
      <c r="FM1786" s="827"/>
      <c r="FN1786" s="827"/>
      <c r="FO1786" s="827"/>
      <c r="FP1786" s="827"/>
      <c r="FQ1786" s="827"/>
      <c r="FR1786" s="827"/>
      <c r="FS1786" s="827"/>
      <c r="FT1786" s="827"/>
      <c r="FU1786" s="827"/>
      <c r="FV1786" s="827"/>
      <c r="FW1786" s="827"/>
      <c r="FX1786" s="827"/>
      <c r="FY1786" s="827"/>
      <c r="FZ1786" s="827"/>
      <c r="GA1786" s="827"/>
      <c r="GB1786" s="827"/>
      <c r="GC1786" s="827"/>
      <c r="GD1786" s="827"/>
      <c r="GE1786" s="827"/>
      <c r="GF1786" s="827"/>
      <c r="GG1786" s="827"/>
      <c r="GH1786" s="827"/>
      <c r="GI1786" s="827"/>
      <c r="GJ1786" s="827"/>
      <c r="GK1786" s="827"/>
      <c r="GL1786" s="827"/>
      <c r="GM1786" s="827"/>
      <c r="GN1786" s="827"/>
      <c r="GO1786" s="827"/>
      <c r="GP1786" s="827"/>
      <c r="GQ1786" s="827"/>
      <c r="GR1786" s="827"/>
      <c r="GS1786" s="827"/>
      <c r="GT1786" s="827"/>
      <c r="GU1786" s="827"/>
      <c r="GV1786" s="827"/>
      <c r="GW1786" s="827"/>
      <c r="GX1786" s="827"/>
      <c r="GY1786" s="827"/>
      <c r="GZ1786" s="827"/>
      <c r="HA1786" s="827"/>
      <c r="HB1786" s="827"/>
      <c r="HC1786" s="827"/>
      <c r="HD1786" s="827"/>
      <c r="HE1786" s="827"/>
      <c r="HF1786" s="827"/>
      <c r="HG1786" s="827"/>
      <c r="HH1786" s="827"/>
      <c r="HI1786" s="827"/>
      <c r="HJ1786" s="827"/>
      <c r="HK1786" s="827"/>
      <c r="HL1786" s="827"/>
      <c r="HM1786" s="827"/>
      <c r="HN1786" s="827"/>
      <c r="HO1786" s="827"/>
      <c r="HP1786" s="827"/>
      <c r="HQ1786" s="827"/>
      <c r="HR1786" s="827"/>
      <c r="HS1786" s="827"/>
      <c r="HT1786" s="827"/>
      <c r="HU1786" s="827"/>
      <c r="HV1786" s="827"/>
      <c r="HW1786" s="827"/>
      <c r="HX1786" s="827"/>
      <c r="HY1786" s="827"/>
      <c r="HZ1786" s="827"/>
      <c r="IA1786" s="827"/>
      <c r="IB1786" s="827"/>
      <c r="IC1786" s="827"/>
      <c r="ID1786" s="827"/>
      <c r="IE1786" s="827"/>
      <c r="IF1786" s="827"/>
      <c r="IG1786" s="827"/>
      <c r="IH1786" s="827"/>
      <c r="II1786" s="827"/>
      <c r="IJ1786" s="827"/>
      <c r="IK1786" s="827"/>
      <c r="IL1786" s="827"/>
      <c r="IM1786" s="827"/>
      <c r="IN1786" s="827"/>
      <c r="IO1786" s="827"/>
      <c r="IP1786" s="827"/>
      <c r="IQ1786" s="827"/>
      <c r="IR1786" s="827"/>
      <c r="IS1786" s="827"/>
      <c r="IT1786" s="827"/>
      <c r="IU1786" s="827"/>
    </row>
    <row r="1787" spans="1:255" s="831" customFormat="1" ht="15.75" hidden="1" customHeight="1">
      <c r="A1787" s="336"/>
      <c r="B1787" s="543"/>
      <c r="C1787" s="335" t="s">
        <v>1400</v>
      </c>
      <c r="D1787" s="486" t="s">
        <v>113</v>
      </c>
      <c r="E1787" s="863"/>
      <c r="F1787" s="868">
        <f>'დეფექტური აქტი'!E419</f>
        <v>0</v>
      </c>
      <c r="G1787" s="542">
        <v>7.8</v>
      </c>
      <c r="H1787" s="389">
        <f t="shared" si="35"/>
        <v>0</v>
      </c>
      <c r="I1787" s="389"/>
      <c r="J1787" s="389"/>
      <c r="K1787" s="389"/>
      <c r="L1787" s="389"/>
      <c r="M1787" s="389">
        <f t="shared" si="36"/>
        <v>0</v>
      </c>
      <c r="N1787" s="830"/>
      <c r="O1787" s="828"/>
      <c r="P1787" s="828"/>
      <c r="Q1787" s="828"/>
      <c r="R1787" s="828"/>
      <c r="S1787" s="828"/>
      <c r="T1787" s="828"/>
      <c r="U1787" s="828"/>
      <c r="V1787" s="828"/>
      <c r="W1787" s="828"/>
      <c r="X1787" s="828"/>
      <c r="Y1787" s="828"/>
      <c r="Z1787" s="828"/>
      <c r="AA1787" s="827"/>
      <c r="AB1787" s="827"/>
      <c r="AC1787" s="827"/>
      <c r="AD1787" s="827"/>
      <c r="AE1787" s="827"/>
      <c r="AF1787" s="827"/>
      <c r="AG1787" s="827"/>
      <c r="AH1787" s="827"/>
      <c r="AI1787" s="827"/>
      <c r="AJ1787" s="827"/>
      <c r="AK1787" s="827"/>
      <c r="AL1787" s="827"/>
      <c r="AM1787" s="827"/>
      <c r="AN1787" s="827"/>
      <c r="AO1787" s="827"/>
      <c r="AP1787" s="827"/>
      <c r="AQ1787" s="827"/>
      <c r="AR1787" s="827"/>
      <c r="AS1787" s="827"/>
      <c r="AT1787" s="827"/>
      <c r="AU1787" s="827"/>
      <c r="AV1787" s="827"/>
      <c r="AW1787" s="827"/>
      <c r="AX1787" s="827"/>
      <c r="AY1787" s="827"/>
      <c r="AZ1787" s="827"/>
      <c r="BA1787" s="827"/>
      <c r="BB1787" s="827"/>
      <c r="BC1787" s="827"/>
      <c r="BD1787" s="827"/>
      <c r="BE1787" s="827"/>
      <c r="BF1787" s="827"/>
      <c r="BG1787" s="827"/>
      <c r="BH1787" s="827"/>
      <c r="BI1787" s="827"/>
      <c r="BJ1787" s="827"/>
      <c r="BK1787" s="827"/>
      <c r="BL1787" s="827"/>
      <c r="BM1787" s="827"/>
      <c r="BN1787" s="827"/>
      <c r="BO1787" s="827"/>
      <c r="BP1787" s="827"/>
      <c r="BQ1787" s="827"/>
      <c r="BR1787" s="827"/>
      <c r="BS1787" s="827"/>
      <c r="BT1787" s="827"/>
      <c r="BU1787" s="827"/>
      <c r="BV1787" s="827"/>
      <c r="BW1787" s="827"/>
      <c r="BX1787" s="827"/>
      <c r="BY1787" s="827"/>
      <c r="BZ1787" s="827"/>
      <c r="CA1787" s="827"/>
      <c r="CB1787" s="827"/>
      <c r="CC1787" s="827"/>
      <c r="CD1787" s="827"/>
      <c r="CE1787" s="827"/>
      <c r="CF1787" s="827"/>
      <c r="CG1787" s="827"/>
      <c r="CH1787" s="827"/>
      <c r="CI1787" s="827"/>
      <c r="CJ1787" s="827"/>
      <c r="CK1787" s="827"/>
      <c r="CL1787" s="827"/>
      <c r="CM1787" s="827"/>
      <c r="CN1787" s="827"/>
      <c r="CO1787" s="827"/>
      <c r="CP1787" s="827"/>
      <c r="CQ1787" s="827"/>
      <c r="CR1787" s="827"/>
      <c r="CS1787" s="827"/>
      <c r="CT1787" s="827"/>
      <c r="CU1787" s="827"/>
      <c r="CV1787" s="827"/>
      <c r="CW1787" s="827"/>
      <c r="CX1787" s="827"/>
      <c r="CY1787" s="827"/>
      <c r="CZ1787" s="827"/>
      <c r="DA1787" s="827"/>
      <c r="DB1787" s="827"/>
      <c r="DC1787" s="827"/>
      <c r="DD1787" s="827"/>
      <c r="DE1787" s="827"/>
      <c r="DF1787" s="827"/>
      <c r="DG1787" s="827"/>
      <c r="DH1787" s="827"/>
      <c r="DI1787" s="827"/>
      <c r="DJ1787" s="827"/>
      <c r="DK1787" s="827"/>
      <c r="DL1787" s="827"/>
      <c r="DM1787" s="827"/>
      <c r="DN1787" s="827"/>
      <c r="DO1787" s="827"/>
      <c r="DP1787" s="827"/>
      <c r="DQ1787" s="827"/>
      <c r="DR1787" s="827"/>
      <c r="DS1787" s="827"/>
      <c r="DT1787" s="827"/>
      <c r="DU1787" s="827"/>
      <c r="DV1787" s="827"/>
      <c r="DW1787" s="827"/>
      <c r="DX1787" s="827"/>
      <c r="DY1787" s="827"/>
      <c r="DZ1787" s="827"/>
      <c r="EA1787" s="827"/>
      <c r="EB1787" s="827"/>
      <c r="EC1787" s="827"/>
      <c r="ED1787" s="827"/>
      <c r="EE1787" s="827"/>
      <c r="EF1787" s="827"/>
      <c r="EG1787" s="827"/>
      <c r="EH1787" s="827"/>
      <c r="EI1787" s="827"/>
      <c r="EJ1787" s="827"/>
      <c r="EK1787" s="827"/>
      <c r="EL1787" s="827"/>
      <c r="EM1787" s="827"/>
      <c r="EN1787" s="827"/>
      <c r="EO1787" s="827"/>
      <c r="EP1787" s="827"/>
      <c r="EQ1787" s="827"/>
      <c r="ER1787" s="827"/>
      <c r="ES1787" s="827"/>
      <c r="ET1787" s="827"/>
      <c r="EU1787" s="827"/>
      <c r="EV1787" s="827"/>
      <c r="EW1787" s="827"/>
      <c r="EX1787" s="827"/>
      <c r="EY1787" s="827"/>
      <c r="EZ1787" s="827"/>
      <c r="FA1787" s="827"/>
      <c r="FB1787" s="827"/>
      <c r="FC1787" s="827"/>
      <c r="FD1787" s="827"/>
      <c r="FE1787" s="827"/>
      <c r="FF1787" s="827"/>
      <c r="FG1787" s="827"/>
      <c r="FH1787" s="827"/>
      <c r="FI1787" s="827"/>
      <c r="FJ1787" s="827"/>
      <c r="FK1787" s="827"/>
      <c r="FL1787" s="827"/>
      <c r="FM1787" s="827"/>
      <c r="FN1787" s="827"/>
      <c r="FO1787" s="827"/>
      <c r="FP1787" s="827"/>
      <c r="FQ1787" s="827"/>
      <c r="FR1787" s="827"/>
      <c r="FS1787" s="827"/>
      <c r="FT1787" s="827"/>
      <c r="FU1787" s="827"/>
      <c r="FV1787" s="827"/>
      <c r="FW1787" s="827"/>
      <c r="FX1787" s="827"/>
      <c r="FY1787" s="827"/>
      <c r="FZ1787" s="827"/>
      <c r="GA1787" s="827"/>
      <c r="GB1787" s="827"/>
      <c r="GC1787" s="827"/>
      <c r="GD1787" s="827"/>
      <c r="GE1787" s="827"/>
      <c r="GF1787" s="827"/>
      <c r="GG1787" s="827"/>
      <c r="GH1787" s="827"/>
      <c r="GI1787" s="827"/>
      <c r="GJ1787" s="827"/>
      <c r="GK1787" s="827"/>
      <c r="GL1787" s="827"/>
      <c r="GM1787" s="827"/>
      <c r="GN1787" s="827"/>
      <c r="GO1787" s="827"/>
      <c r="GP1787" s="827"/>
      <c r="GQ1787" s="827"/>
      <c r="GR1787" s="827"/>
      <c r="GS1787" s="827"/>
      <c r="GT1787" s="827"/>
      <c r="GU1787" s="827"/>
      <c r="GV1787" s="827"/>
      <c r="GW1787" s="827"/>
      <c r="GX1787" s="827"/>
      <c r="GY1787" s="827"/>
      <c r="GZ1787" s="827"/>
      <c r="HA1787" s="827"/>
      <c r="HB1787" s="827"/>
      <c r="HC1787" s="827"/>
      <c r="HD1787" s="827"/>
      <c r="HE1787" s="827"/>
      <c r="HF1787" s="827"/>
      <c r="HG1787" s="827"/>
      <c r="HH1787" s="827"/>
      <c r="HI1787" s="827"/>
      <c r="HJ1787" s="827"/>
      <c r="HK1787" s="827"/>
      <c r="HL1787" s="827"/>
      <c r="HM1787" s="827"/>
      <c r="HN1787" s="827"/>
      <c r="HO1787" s="827"/>
      <c r="HP1787" s="827"/>
      <c r="HQ1787" s="827"/>
      <c r="HR1787" s="827"/>
      <c r="HS1787" s="827"/>
      <c r="HT1787" s="827"/>
      <c r="HU1787" s="827"/>
      <c r="HV1787" s="827"/>
      <c r="HW1787" s="827"/>
      <c r="HX1787" s="827"/>
      <c r="HY1787" s="827"/>
      <c r="HZ1787" s="827"/>
      <c r="IA1787" s="827"/>
      <c r="IB1787" s="827"/>
      <c r="IC1787" s="827"/>
      <c r="ID1787" s="827"/>
      <c r="IE1787" s="827"/>
      <c r="IF1787" s="827"/>
      <c r="IG1787" s="827"/>
      <c r="IH1787" s="827"/>
      <c r="II1787" s="827"/>
      <c r="IJ1787" s="827"/>
      <c r="IK1787" s="827"/>
      <c r="IL1787" s="827"/>
      <c r="IM1787" s="827"/>
      <c r="IN1787" s="827"/>
      <c r="IO1787" s="827"/>
      <c r="IP1787" s="827"/>
      <c r="IQ1787" s="827"/>
      <c r="IR1787" s="827"/>
      <c r="IS1787" s="827"/>
      <c r="IT1787" s="827"/>
      <c r="IU1787" s="827"/>
    </row>
    <row r="1788" spans="1:255" s="831" customFormat="1" ht="13.5" hidden="1" customHeight="1">
      <c r="A1788" s="342"/>
      <c r="B1788" s="556"/>
      <c r="C1788" s="551" t="s">
        <v>214</v>
      </c>
      <c r="D1788" s="342" t="s">
        <v>57</v>
      </c>
      <c r="E1788" s="864">
        <v>2.4E-2</v>
      </c>
      <c r="F1788" s="392">
        <f>F1771*E1788</f>
        <v>0</v>
      </c>
      <c r="G1788" s="392">
        <v>3.2</v>
      </c>
      <c r="H1788" s="392">
        <f>F1788*G1788</f>
        <v>0</v>
      </c>
      <c r="I1788" s="392"/>
      <c r="J1788" s="392"/>
      <c r="K1788" s="392"/>
      <c r="L1788" s="392"/>
      <c r="M1788" s="392">
        <f>H1788+J1788+L1788</f>
        <v>0</v>
      </c>
      <c r="N1788" s="830"/>
      <c r="O1788" s="828"/>
      <c r="P1788" s="828"/>
      <c r="Q1788" s="828"/>
      <c r="R1788" s="828"/>
      <c r="S1788" s="828"/>
      <c r="T1788" s="828"/>
      <c r="U1788" s="828"/>
      <c r="V1788" s="828"/>
      <c r="W1788" s="828"/>
      <c r="X1788" s="828"/>
      <c r="Y1788" s="828"/>
      <c r="Z1788" s="828"/>
      <c r="AA1788" s="827"/>
      <c r="AB1788" s="827"/>
      <c r="AC1788" s="827"/>
      <c r="AD1788" s="827"/>
      <c r="AE1788" s="827"/>
      <c r="AF1788" s="827"/>
      <c r="AG1788" s="827"/>
      <c r="AH1788" s="827"/>
      <c r="AI1788" s="827"/>
      <c r="AJ1788" s="827"/>
      <c r="AK1788" s="827"/>
      <c r="AL1788" s="827"/>
      <c r="AM1788" s="827"/>
      <c r="AN1788" s="827"/>
      <c r="AO1788" s="827"/>
      <c r="AP1788" s="827"/>
      <c r="AQ1788" s="827"/>
      <c r="AR1788" s="827"/>
      <c r="AS1788" s="827"/>
      <c r="AT1788" s="827"/>
      <c r="AU1788" s="827"/>
      <c r="AV1788" s="827"/>
      <c r="AW1788" s="827"/>
      <c r="AX1788" s="827"/>
      <c r="AY1788" s="827"/>
      <c r="AZ1788" s="827"/>
      <c r="BA1788" s="827"/>
      <c r="BB1788" s="827"/>
      <c r="BC1788" s="827"/>
      <c r="BD1788" s="827"/>
      <c r="BE1788" s="827"/>
      <c r="BF1788" s="827"/>
      <c r="BG1788" s="827"/>
      <c r="BH1788" s="827"/>
      <c r="BI1788" s="827"/>
      <c r="BJ1788" s="827"/>
      <c r="BK1788" s="827"/>
      <c r="BL1788" s="827"/>
      <c r="BM1788" s="827"/>
      <c r="BN1788" s="827"/>
      <c r="BO1788" s="827"/>
      <c r="BP1788" s="827"/>
      <c r="BQ1788" s="827"/>
      <c r="BR1788" s="827"/>
      <c r="BS1788" s="827"/>
      <c r="BT1788" s="827"/>
      <c r="BU1788" s="827"/>
      <c r="BV1788" s="827"/>
      <c r="BW1788" s="827"/>
      <c r="BX1788" s="827"/>
      <c r="BY1788" s="827"/>
      <c r="BZ1788" s="827"/>
      <c r="CA1788" s="827"/>
      <c r="CB1788" s="827"/>
      <c r="CC1788" s="827"/>
      <c r="CD1788" s="827"/>
      <c r="CE1788" s="827"/>
      <c r="CF1788" s="827"/>
      <c r="CG1788" s="827"/>
      <c r="CH1788" s="827"/>
      <c r="CI1788" s="827"/>
      <c r="CJ1788" s="827"/>
      <c r="CK1788" s="827"/>
      <c r="CL1788" s="827"/>
      <c r="CM1788" s="827"/>
      <c r="CN1788" s="827"/>
      <c r="CO1788" s="827"/>
      <c r="CP1788" s="827"/>
      <c r="CQ1788" s="827"/>
      <c r="CR1788" s="827"/>
      <c r="CS1788" s="827"/>
      <c r="CT1788" s="827"/>
      <c r="CU1788" s="827"/>
      <c r="CV1788" s="827"/>
      <c r="CW1788" s="827"/>
      <c r="CX1788" s="827"/>
      <c r="CY1788" s="827"/>
      <c r="CZ1788" s="827"/>
      <c r="DA1788" s="827"/>
      <c r="DB1788" s="827"/>
      <c r="DC1788" s="827"/>
      <c r="DD1788" s="827"/>
      <c r="DE1788" s="827"/>
      <c r="DF1788" s="827"/>
      <c r="DG1788" s="827"/>
      <c r="DH1788" s="827"/>
      <c r="DI1788" s="827"/>
      <c r="DJ1788" s="827"/>
      <c r="DK1788" s="827"/>
      <c r="DL1788" s="827"/>
      <c r="DM1788" s="827"/>
      <c r="DN1788" s="827"/>
      <c r="DO1788" s="827"/>
      <c r="DP1788" s="827"/>
      <c r="DQ1788" s="827"/>
      <c r="DR1788" s="827"/>
      <c r="DS1788" s="827"/>
      <c r="DT1788" s="827"/>
      <c r="DU1788" s="827"/>
      <c r="DV1788" s="827"/>
      <c r="DW1788" s="827"/>
      <c r="DX1788" s="827"/>
      <c r="DY1788" s="827"/>
      <c r="DZ1788" s="827"/>
      <c r="EA1788" s="827"/>
      <c r="EB1788" s="827"/>
      <c r="EC1788" s="827"/>
      <c r="ED1788" s="827"/>
      <c r="EE1788" s="827"/>
      <c r="EF1788" s="827"/>
      <c r="EG1788" s="827"/>
      <c r="EH1788" s="827"/>
      <c r="EI1788" s="827"/>
      <c r="EJ1788" s="827"/>
      <c r="EK1788" s="827"/>
      <c r="EL1788" s="827"/>
      <c r="EM1788" s="827"/>
      <c r="EN1788" s="827"/>
      <c r="EO1788" s="827"/>
      <c r="EP1788" s="827"/>
      <c r="EQ1788" s="827"/>
      <c r="ER1788" s="827"/>
      <c r="ES1788" s="827"/>
      <c r="ET1788" s="827"/>
      <c r="EU1788" s="827"/>
      <c r="EV1788" s="827"/>
      <c r="EW1788" s="827"/>
      <c r="EX1788" s="827"/>
      <c r="EY1788" s="827"/>
      <c r="EZ1788" s="827"/>
      <c r="FA1788" s="827"/>
      <c r="FB1788" s="827"/>
      <c r="FC1788" s="827"/>
      <c r="FD1788" s="827"/>
      <c r="FE1788" s="827"/>
      <c r="FF1788" s="827"/>
      <c r="FG1788" s="827"/>
      <c r="FH1788" s="827"/>
      <c r="FI1788" s="827"/>
      <c r="FJ1788" s="827"/>
      <c r="FK1788" s="827"/>
      <c r="FL1788" s="827"/>
      <c r="FM1788" s="827"/>
      <c r="FN1788" s="827"/>
      <c r="FO1788" s="827"/>
      <c r="FP1788" s="827"/>
      <c r="FQ1788" s="827"/>
      <c r="FR1788" s="827"/>
      <c r="FS1788" s="827"/>
      <c r="FT1788" s="827"/>
      <c r="FU1788" s="827"/>
      <c r="FV1788" s="827"/>
      <c r="FW1788" s="827"/>
      <c r="FX1788" s="827"/>
      <c r="FY1788" s="827"/>
      <c r="FZ1788" s="827"/>
      <c r="GA1788" s="827"/>
      <c r="GB1788" s="827"/>
      <c r="GC1788" s="827"/>
      <c r="GD1788" s="827"/>
      <c r="GE1788" s="827"/>
      <c r="GF1788" s="827"/>
      <c r="GG1788" s="827"/>
      <c r="GH1788" s="827"/>
      <c r="GI1788" s="827"/>
      <c r="GJ1788" s="827"/>
      <c r="GK1788" s="827"/>
      <c r="GL1788" s="827"/>
      <c r="GM1788" s="827"/>
      <c r="GN1788" s="827"/>
      <c r="GO1788" s="827"/>
      <c r="GP1788" s="827"/>
      <c r="GQ1788" s="827"/>
      <c r="GR1788" s="827"/>
      <c r="GS1788" s="827"/>
      <c r="GT1788" s="827"/>
      <c r="GU1788" s="827"/>
      <c r="GV1788" s="827"/>
      <c r="GW1788" s="827"/>
      <c r="GX1788" s="827"/>
      <c r="GY1788" s="827"/>
      <c r="GZ1788" s="827"/>
      <c r="HA1788" s="827"/>
      <c r="HB1788" s="827"/>
      <c r="HC1788" s="827"/>
      <c r="HD1788" s="827"/>
      <c r="HE1788" s="827"/>
      <c r="HF1788" s="827"/>
      <c r="HG1788" s="827"/>
      <c r="HH1788" s="827"/>
      <c r="HI1788" s="827"/>
      <c r="HJ1788" s="827"/>
      <c r="HK1788" s="827"/>
      <c r="HL1788" s="827"/>
      <c r="HM1788" s="827"/>
      <c r="HN1788" s="827"/>
      <c r="HO1788" s="827"/>
      <c r="HP1788" s="827"/>
      <c r="HQ1788" s="827"/>
      <c r="HR1788" s="827"/>
      <c r="HS1788" s="827"/>
      <c r="HT1788" s="827"/>
      <c r="HU1788" s="827"/>
      <c r="HV1788" s="827"/>
      <c r="HW1788" s="827"/>
      <c r="HX1788" s="827"/>
      <c r="HY1788" s="827"/>
      <c r="HZ1788" s="827"/>
      <c r="IA1788" s="827"/>
      <c r="IB1788" s="827"/>
      <c r="IC1788" s="827"/>
      <c r="ID1788" s="827"/>
      <c r="IE1788" s="827"/>
      <c r="IF1788" s="827"/>
      <c r="IG1788" s="827"/>
      <c r="IH1788" s="827"/>
      <c r="II1788" s="827"/>
      <c r="IJ1788" s="827"/>
      <c r="IK1788" s="827"/>
      <c r="IL1788" s="827"/>
      <c r="IM1788" s="827"/>
      <c r="IN1788" s="827"/>
      <c r="IO1788" s="827"/>
      <c r="IP1788" s="827"/>
      <c r="IQ1788" s="827"/>
      <c r="IR1788" s="827"/>
      <c r="IS1788" s="827"/>
      <c r="IT1788" s="827"/>
      <c r="IU1788" s="827"/>
    </row>
    <row r="1789" spans="1:255" s="831" customFormat="1" ht="13.5" hidden="1" customHeight="1">
      <c r="A1789" s="336">
        <v>25</v>
      </c>
      <c r="B1789" s="540" t="s">
        <v>1401</v>
      </c>
      <c r="C1789" s="843" t="s">
        <v>1402</v>
      </c>
      <c r="D1789" s="844" t="s">
        <v>816</v>
      </c>
      <c r="E1789" s="863"/>
      <c r="F1789" s="869">
        <f>SUM(F1793:F1798)</f>
        <v>0</v>
      </c>
      <c r="G1789" s="542"/>
      <c r="H1789" s="389"/>
      <c r="I1789" s="389"/>
      <c r="J1789" s="389"/>
      <c r="K1789" s="389"/>
      <c r="L1789" s="389"/>
      <c r="M1789" s="389"/>
      <c r="N1789" s="829"/>
      <c r="O1789" s="832"/>
      <c r="P1789" s="828"/>
      <c r="Q1789" s="828"/>
      <c r="R1789" s="828"/>
      <c r="S1789" s="828"/>
      <c r="T1789" s="828"/>
      <c r="U1789" s="828"/>
      <c r="V1789" s="828"/>
      <c r="W1789" s="828"/>
      <c r="X1789" s="828"/>
      <c r="Y1789" s="828"/>
      <c r="Z1789" s="828"/>
      <c r="AA1789" s="827"/>
      <c r="AB1789" s="827"/>
      <c r="AC1789" s="827"/>
      <c r="AD1789" s="827"/>
      <c r="AE1789" s="827"/>
      <c r="AF1789" s="827"/>
      <c r="AG1789" s="827"/>
      <c r="AH1789" s="827"/>
      <c r="AI1789" s="827"/>
      <c r="AJ1789" s="827"/>
      <c r="AK1789" s="827"/>
      <c r="AL1789" s="827"/>
      <c r="AM1789" s="827"/>
      <c r="AN1789" s="827"/>
      <c r="AO1789" s="827"/>
      <c r="AP1789" s="827"/>
      <c r="AQ1789" s="827"/>
      <c r="AR1789" s="827"/>
      <c r="AS1789" s="827"/>
      <c r="AT1789" s="827"/>
      <c r="AU1789" s="827"/>
      <c r="AV1789" s="827"/>
      <c r="AW1789" s="827"/>
      <c r="AX1789" s="827"/>
      <c r="AY1789" s="827"/>
      <c r="AZ1789" s="827"/>
      <c r="BA1789" s="827"/>
      <c r="BB1789" s="827"/>
      <c r="BC1789" s="827"/>
      <c r="BD1789" s="827"/>
      <c r="BE1789" s="827"/>
      <c r="BF1789" s="827"/>
      <c r="BG1789" s="827"/>
      <c r="BH1789" s="827"/>
      <c r="BI1789" s="827"/>
      <c r="BJ1789" s="827"/>
      <c r="BK1789" s="827"/>
      <c r="BL1789" s="827"/>
      <c r="BM1789" s="827"/>
      <c r="BN1789" s="827"/>
      <c r="BO1789" s="827"/>
      <c r="BP1789" s="827"/>
      <c r="BQ1789" s="827"/>
      <c r="BR1789" s="827"/>
      <c r="BS1789" s="827"/>
      <c r="BT1789" s="827"/>
      <c r="BU1789" s="827"/>
      <c r="BV1789" s="827"/>
      <c r="BW1789" s="827"/>
      <c r="BX1789" s="827"/>
      <c r="BY1789" s="827"/>
      <c r="BZ1789" s="827"/>
      <c r="CA1789" s="827"/>
      <c r="CB1789" s="827"/>
      <c r="CC1789" s="827"/>
      <c r="CD1789" s="827"/>
      <c r="CE1789" s="827"/>
      <c r="CF1789" s="827"/>
      <c r="CG1789" s="827"/>
      <c r="CH1789" s="827"/>
      <c r="CI1789" s="827"/>
      <c r="CJ1789" s="827"/>
      <c r="CK1789" s="827"/>
      <c r="CL1789" s="827"/>
      <c r="CM1789" s="827"/>
      <c r="CN1789" s="827"/>
      <c r="CO1789" s="827"/>
      <c r="CP1789" s="827"/>
      <c r="CQ1789" s="827"/>
      <c r="CR1789" s="827"/>
      <c r="CS1789" s="827"/>
      <c r="CT1789" s="827"/>
      <c r="CU1789" s="827"/>
      <c r="CV1789" s="827"/>
      <c r="CW1789" s="827"/>
      <c r="CX1789" s="827"/>
      <c r="CY1789" s="827"/>
      <c r="CZ1789" s="827"/>
      <c r="DA1789" s="827"/>
      <c r="DB1789" s="827"/>
      <c r="DC1789" s="827"/>
      <c r="DD1789" s="827"/>
      <c r="DE1789" s="827"/>
      <c r="DF1789" s="827"/>
      <c r="DG1789" s="827"/>
      <c r="DH1789" s="827"/>
      <c r="DI1789" s="827"/>
      <c r="DJ1789" s="827"/>
      <c r="DK1789" s="827"/>
      <c r="DL1789" s="827"/>
      <c r="DM1789" s="827"/>
      <c r="DN1789" s="827"/>
      <c r="DO1789" s="827"/>
      <c r="DP1789" s="827"/>
      <c r="DQ1789" s="827"/>
      <c r="DR1789" s="827"/>
      <c r="DS1789" s="827"/>
      <c r="DT1789" s="827"/>
      <c r="DU1789" s="827"/>
      <c r="DV1789" s="827"/>
      <c r="DW1789" s="827"/>
      <c r="DX1789" s="827"/>
      <c r="DY1789" s="827"/>
      <c r="DZ1789" s="827"/>
      <c r="EA1789" s="827"/>
      <c r="EB1789" s="827"/>
      <c r="EC1789" s="827"/>
      <c r="ED1789" s="827"/>
      <c r="EE1789" s="827"/>
      <c r="EF1789" s="827"/>
      <c r="EG1789" s="827"/>
      <c r="EH1789" s="827"/>
      <c r="EI1789" s="827"/>
      <c r="EJ1789" s="827"/>
      <c r="EK1789" s="827"/>
      <c r="EL1789" s="827"/>
      <c r="EM1789" s="827"/>
      <c r="EN1789" s="827"/>
      <c r="EO1789" s="827"/>
      <c r="EP1789" s="827"/>
      <c r="EQ1789" s="827"/>
      <c r="ER1789" s="827"/>
      <c r="ES1789" s="827"/>
      <c r="ET1789" s="827"/>
      <c r="EU1789" s="827"/>
      <c r="EV1789" s="827"/>
      <c r="EW1789" s="827"/>
      <c r="EX1789" s="827"/>
      <c r="EY1789" s="827"/>
      <c r="EZ1789" s="827"/>
      <c r="FA1789" s="827"/>
      <c r="FB1789" s="827"/>
      <c r="FC1789" s="827"/>
      <c r="FD1789" s="827"/>
      <c r="FE1789" s="827"/>
      <c r="FF1789" s="827"/>
      <c r="FG1789" s="827"/>
      <c r="FH1789" s="827"/>
      <c r="FI1789" s="827"/>
      <c r="FJ1789" s="827"/>
      <c r="FK1789" s="827"/>
      <c r="FL1789" s="827"/>
      <c r="FM1789" s="827"/>
      <c r="FN1789" s="827"/>
      <c r="FO1789" s="827"/>
      <c r="FP1789" s="827"/>
      <c r="FQ1789" s="827"/>
      <c r="FR1789" s="827"/>
      <c r="FS1789" s="827"/>
      <c r="FT1789" s="827"/>
      <c r="FU1789" s="827"/>
      <c r="FV1789" s="827"/>
      <c r="FW1789" s="827"/>
      <c r="FX1789" s="827"/>
      <c r="FY1789" s="827"/>
      <c r="FZ1789" s="827"/>
      <c r="GA1789" s="827"/>
      <c r="GB1789" s="827"/>
      <c r="GC1789" s="827"/>
      <c r="GD1789" s="827"/>
      <c r="GE1789" s="827"/>
      <c r="GF1789" s="827"/>
      <c r="GG1789" s="827"/>
      <c r="GH1789" s="827"/>
      <c r="GI1789" s="827"/>
      <c r="GJ1789" s="827"/>
      <c r="GK1789" s="827"/>
      <c r="GL1789" s="827"/>
      <c r="GM1789" s="827"/>
      <c r="GN1789" s="827"/>
      <c r="GO1789" s="827"/>
      <c r="GP1789" s="827"/>
      <c r="GQ1789" s="827"/>
      <c r="GR1789" s="827"/>
      <c r="GS1789" s="827"/>
      <c r="GT1789" s="827"/>
      <c r="GU1789" s="827"/>
      <c r="GV1789" s="827"/>
      <c r="GW1789" s="827"/>
      <c r="GX1789" s="827"/>
      <c r="GY1789" s="827"/>
      <c r="GZ1789" s="827"/>
      <c r="HA1789" s="827"/>
      <c r="HB1789" s="827"/>
      <c r="HC1789" s="827"/>
      <c r="HD1789" s="827"/>
      <c r="HE1789" s="827"/>
      <c r="HF1789" s="827"/>
      <c r="HG1789" s="827"/>
      <c r="HH1789" s="827"/>
      <c r="HI1789" s="827"/>
      <c r="HJ1789" s="827"/>
      <c r="HK1789" s="827"/>
      <c r="HL1789" s="827"/>
      <c r="HM1789" s="827"/>
      <c r="HN1789" s="827"/>
      <c r="HO1789" s="827"/>
      <c r="HP1789" s="827"/>
      <c r="HQ1789" s="827"/>
      <c r="HR1789" s="827"/>
      <c r="HS1789" s="827"/>
      <c r="HT1789" s="827"/>
      <c r="HU1789" s="827"/>
      <c r="HV1789" s="827"/>
      <c r="HW1789" s="827"/>
      <c r="HX1789" s="827"/>
      <c r="HY1789" s="827"/>
      <c r="HZ1789" s="827"/>
      <c r="IA1789" s="827"/>
      <c r="IB1789" s="827"/>
      <c r="IC1789" s="827"/>
      <c r="ID1789" s="827"/>
      <c r="IE1789" s="827"/>
      <c r="IF1789" s="827"/>
      <c r="IG1789" s="827"/>
      <c r="IH1789" s="827"/>
      <c r="II1789" s="827"/>
      <c r="IJ1789" s="827"/>
      <c r="IK1789" s="827"/>
      <c r="IL1789" s="827"/>
      <c r="IM1789" s="827"/>
      <c r="IN1789" s="827"/>
      <c r="IO1789" s="827"/>
      <c r="IP1789" s="827"/>
      <c r="IQ1789" s="827"/>
      <c r="IR1789" s="827"/>
      <c r="IS1789" s="827"/>
      <c r="IT1789" s="827"/>
      <c r="IU1789" s="827"/>
    </row>
    <row r="1790" spans="1:255" s="831" customFormat="1" ht="13.5" hidden="1" customHeight="1">
      <c r="A1790" s="336"/>
      <c r="B1790" s="540"/>
      <c r="C1790" s="335" t="s">
        <v>128</v>
      </c>
      <c r="D1790" s="486" t="s">
        <v>80</v>
      </c>
      <c r="E1790" s="614">
        <v>0.58399999999999996</v>
      </c>
      <c r="F1790" s="389">
        <f>F1789*E1790</f>
        <v>0</v>
      </c>
      <c r="G1790" s="542"/>
      <c r="H1790" s="636"/>
      <c r="I1790" s="389">
        <v>4.5999999999999996</v>
      </c>
      <c r="J1790" s="389">
        <f>F1790*I1790</f>
        <v>0</v>
      </c>
      <c r="K1790" s="389"/>
      <c r="L1790" s="389"/>
      <c r="M1790" s="389">
        <f>H1790+J1790+L1790</f>
        <v>0</v>
      </c>
      <c r="N1790" s="830"/>
      <c r="O1790" s="828"/>
      <c r="P1790" s="828"/>
      <c r="Q1790" s="828"/>
      <c r="R1790" s="828"/>
      <c r="S1790" s="828"/>
      <c r="T1790" s="828"/>
      <c r="U1790" s="828"/>
      <c r="V1790" s="828"/>
      <c r="W1790" s="828"/>
      <c r="X1790" s="828"/>
      <c r="Y1790" s="828"/>
      <c r="Z1790" s="828"/>
      <c r="AA1790" s="827"/>
      <c r="AB1790" s="827"/>
      <c r="AC1790" s="827"/>
      <c r="AD1790" s="827"/>
      <c r="AE1790" s="827"/>
      <c r="AF1790" s="827"/>
      <c r="AG1790" s="827"/>
      <c r="AH1790" s="827"/>
      <c r="AI1790" s="827"/>
      <c r="AJ1790" s="827"/>
      <c r="AK1790" s="827"/>
      <c r="AL1790" s="827"/>
      <c r="AM1790" s="827"/>
      <c r="AN1790" s="827"/>
      <c r="AO1790" s="827"/>
      <c r="AP1790" s="827"/>
      <c r="AQ1790" s="827"/>
      <c r="AR1790" s="827"/>
      <c r="AS1790" s="827"/>
      <c r="AT1790" s="827"/>
      <c r="AU1790" s="827"/>
      <c r="AV1790" s="827"/>
      <c r="AW1790" s="827"/>
      <c r="AX1790" s="827"/>
      <c r="AY1790" s="827"/>
      <c r="AZ1790" s="827"/>
      <c r="BA1790" s="827"/>
      <c r="BB1790" s="827"/>
      <c r="BC1790" s="827"/>
      <c r="BD1790" s="827"/>
      <c r="BE1790" s="827"/>
      <c r="BF1790" s="827"/>
      <c r="BG1790" s="827"/>
      <c r="BH1790" s="827"/>
      <c r="BI1790" s="827"/>
      <c r="BJ1790" s="827"/>
      <c r="BK1790" s="827"/>
      <c r="BL1790" s="827"/>
      <c r="BM1790" s="827"/>
      <c r="BN1790" s="827"/>
      <c r="BO1790" s="827"/>
      <c r="BP1790" s="827"/>
      <c r="BQ1790" s="827"/>
      <c r="BR1790" s="827"/>
      <c r="BS1790" s="827"/>
      <c r="BT1790" s="827"/>
      <c r="BU1790" s="827"/>
      <c r="BV1790" s="827"/>
      <c r="BW1790" s="827"/>
      <c r="BX1790" s="827"/>
      <c r="BY1790" s="827"/>
      <c r="BZ1790" s="827"/>
      <c r="CA1790" s="827"/>
      <c r="CB1790" s="827"/>
      <c r="CC1790" s="827"/>
      <c r="CD1790" s="827"/>
      <c r="CE1790" s="827"/>
      <c r="CF1790" s="827"/>
      <c r="CG1790" s="827"/>
      <c r="CH1790" s="827"/>
      <c r="CI1790" s="827"/>
      <c r="CJ1790" s="827"/>
      <c r="CK1790" s="827"/>
      <c r="CL1790" s="827"/>
      <c r="CM1790" s="827"/>
      <c r="CN1790" s="827"/>
      <c r="CO1790" s="827"/>
      <c r="CP1790" s="827"/>
      <c r="CQ1790" s="827"/>
      <c r="CR1790" s="827"/>
      <c r="CS1790" s="827"/>
      <c r="CT1790" s="827"/>
      <c r="CU1790" s="827"/>
      <c r="CV1790" s="827"/>
      <c r="CW1790" s="827"/>
      <c r="CX1790" s="827"/>
      <c r="CY1790" s="827"/>
      <c r="CZ1790" s="827"/>
      <c r="DA1790" s="827"/>
      <c r="DB1790" s="827"/>
      <c r="DC1790" s="827"/>
      <c r="DD1790" s="827"/>
      <c r="DE1790" s="827"/>
      <c r="DF1790" s="827"/>
      <c r="DG1790" s="827"/>
      <c r="DH1790" s="827"/>
      <c r="DI1790" s="827"/>
      <c r="DJ1790" s="827"/>
      <c r="DK1790" s="827"/>
      <c r="DL1790" s="827"/>
      <c r="DM1790" s="827"/>
      <c r="DN1790" s="827"/>
      <c r="DO1790" s="827"/>
      <c r="DP1790" s="827"/>
      <c r="DQ1790" s="827"/>
      <c r="DR1790" s="827"/>
      <c r="DS1790" s="827"/>
      <c r="DT1790" s="827"/>
      <c r="DU1790" s="827"/>
      <c r="DV1790" s="827"/>
      <c r="DW1790" s="827"/>
      <c r="DX1790" s="827"/>
      <c r="DY1790" s="827"/>
      <c r="DZ1790" s="827"/>
      <c r="EA1790" s="827"/>
      <c r="EB1790" s="827"/>
      <c r="EC1790" s="827"/>
      <c r="ED1790" s="827"/>
      <c r="EE1790" s="827"/>
      <c r="EF1790" s="827"/>
      <c r="EG1790" s="827"/>
      <c r="EH1790" s="827"/>
      <c r="EI1790" s="827"/>
      <c r="EJ1790" s="827"/>
      <c r="EK1790" s="827"/>
      <c r="EL1790" s="827"/>
      <c r="EM1790" s="827"/>
      <c r="EN1790" s="827"/>
      <c r="EO1790" s="827"/>
      <c r="EP1790" s="827"/>
      <c r="EQ1790" s="827"/>
      <c r="ER1790" s="827"/>
      <c r="ES1790" s="827"/>
      <c r="ET1790" s="827"/>
      <c r="EU1790" s="827"/>
      <c r="EV1790" s="827"/>
      <c r="EW1790" s="827"/>
      <c r="EX1790" s="827"/>
      <c r="EY1790" s="827"/>
      <c r="EZ1790" s="827"/>
      <c r="FA1790" s="827"/>
      <c r="FB1790" s="827"/>
      <c r="FC1790" s="827"/>
      <c r="FD1790" s="827"/>
      <c r="FE1790" s="827"/>
      <c r="FF1790" s="827"/>
      <c r="FG1790" s="827"/>
      <c r="FH1790" s="827"/>
      <c r="FI1790" s="827"/>
      <c r="FJ1790" s="827"/>
      <c r="FK1790" s="827"/>
      <c r="FL1790" s="827"/>
      <c r="FM1790" s="827"/>
      <c r="FN1790" s="827"/>
      <c r="FO1790" s="827"/>
      <c r="FP1790" s="827"/>
      <c r="FQ1790" s="827"/>
      <c r="FR1790" s="827"/>
      <c r="FS1790" s="827"/>
      <c r="FT1790" s="827"/>
      <c r="FU1790" s="827"/>
      <c r="FV1790" s="827"/>
      <c r="FW1790" s="827"/>
      <c r="FX1790" s="827"/>
      <c r="FY1790" s="827"/>
      <c r="FZ1790" s="827"/>
      <c r="GA1790" s="827"/>
      <c r="GB1790" s="827"/>
      <c r="GC1790" s="827"/>
      <c r="GD1790" s="827"/>
      <c r="GE1790" s="827"/>
      <c r="GF1790" s="827"/>
      <c r="GG1790" s="827"/>
      <c r="GH1790" s="827"/>
      <c r="GI1790" s="827"/>
      <c r="GJ1790" s="827"/>
      <c r="GK1790" s="827"/>
      <c r="GL1790" s="827"/>
      <c r="GM1790" s="827"/>
      <c r="GN1790" s="827"/>
      <c r="GO1790" s="827"/>
      <c r="GP1790" s="827"/>
      <c r="GQ1790" s="827"/>
      <c r="GR1790" s="827"/>
      <c r="GS1790" s="827"/>
      <c r="GT1790" s="827"/>
      <c r="GU1790" s="827"/>
      <c r="GV1790" s="827"/>
      <c r="GW1790" s="827"/>
      <c r="GX1790" s="827"/>
      <c r="GY1790" s="827"/>
      <c r="GZ1790" s="827"/>
      <c r="HA1790" s="827"/>
      <c r="HB1790" s="827"/>
      <c r="HC1790" s="827"/>
      <c r="HD1790" s="827"/>
      <c r="HE1790" s="827"/>
      <c r="HF1790" s="827"/>
      <c r="HG1790" s="827"/>
      <c r="HH1790" s="827"/>
      <c r="HI1790" s="827"/>
      <c r="HJ1790" s="827"/>
      <c r="HK1790" s="827"/>
      <c r="HL1790" s="827"/>
      <c r="HM1790" s="827"/>
      <c r="HN1790" s="827"/>
      <c r="HO1790" s="827"/>
      <c r="HP1790" s="827"/>
      <c r="HQ1790" s="827"/>
      <c r="HR1790" s="827"/>
      <c r="HS1790" s="827"/>
      <c r="HT1790" s="827"/>
      <c r="HU1790" s="827"/>
      <c r="HV1790" s="827"/>
      <c r="HW1790" s="827"/>
      <c r="HX1790" s="827"/>
      <c r="HY1790" s="827"/>
      <c r="HZ1790" s="827"/>
      <c r="IA1790" s="827"/>
      <c r="IB1790" s="827"/>
      <c r="IC1790" s="827"/>
      <c r="ID1790" s="827"/>
      <c r="IE1790" s="827"/>
      <c r="IF1790" s="827"/>
      <c r="IG1790" s="827"/>
      <c r="IH1790" s="827"/>
      <c r="II1790" s="827"/>
      <c r="IJ1790" s="827"/>
      <c r="IK1790" s="827"/>
      <c r="IL1790" s="827"/>
      <c r="IM1790" s="827"/>
      <c r="IN1790" s="827"/>
      <c r="IO1790" s="827"/>
      <c r="IP1790" s="827"/>
      <c r="IQ1790" s="827"/>
      <c r="IR1790" s="827"/>
      <c r="IS1790" s="827"/>
      <c r="IT1790" s="827"/>
      <c r="IU1790" s="827"/>
    </row>
    <row r="1791" spans="1:255" s="831" customFormat="1" ht="13.5" hidden="1" customHeight="1">
      <c r="A1791" s="336"/>
      <c r="B1791" s="543"/>
      <c r="C1791" s="335" t="s">
        <v>133</v>
      </c>
      <c r="D1791" s="336" t="s">
        <v>57</v>
      </c>
      <c r="E1791" s="863">
        <v>0.22700000000000001</v>
      </c>
      <c r="F1791" s="389">
        <f>F1789*E1791</f>
        <v>0</v>
      </c>
      <c r="G1791" s="542"/>
      <c r="H1791" s="389"/>
      <c r="I1791" s="389"/>
      <c r="J1791" s="389"/>
      <c r="K1791" s="389">
        <v>3.2</v>
      </c>
      <c r="L1791" s="389">
        <f>F1791*K1791</f>
        <v>0</v>
      </c>
      <c r="M1791" s="389">
        <f>H1791+J1791+L1791</f>
        <v>0</v>
      </c>
      <c r="N1791" s="830"/>
      <c r="O1791" s="828"/>
      <c r="P1791" s="828"/>
      <c r="Q1791" s="828"/>
      <c r="R1791" s="828"/>
      <c r="S1791" s="828"/>
      <c r="T1791" s="828"/>
      <c r="U1791" s="828"/>
      <c r="V1791" s="828"/>
      <c r="W1791" s="828"/>
      <c r="X1791" s="828"/>
      <c r="Y1791" s="828"/>
      <c r="Z1791" s="828"/>
      <c r="AA1791" s="827"/>
      <c r="AB1791" s="827"/>
      <c r="AC1791" s="827"/>
      <c r="AD1791" s="827"/>
      <c r="AE1791" s="827"/>
      <c r="AF1791" s="827"/>
      <c r="AG1791" s="827"/>
      <c r="AH1791" s="827"/>
      <c r="AI1791" s="827"/>
      <c r="AJ1791" s="827"/>
      <c r="AK1791" s="827"/>
      <c r="AL1791" s="827"/>
      <c r="AM1791" s="827"/>
      <c r="AN1791" s="827"/>
      <c r="AO1791" s="827"/>
      <c r="AP1791" s="827"/>
      <c r="AQ1791" s="827"/>
      <c r="AR1791" s="827"/>
      <c r="AS1791" s="827"/>
      <c r="AT1791" s="827"/>
      <c r="AU1791" s="827"/>
      <c r="AV1791" s="827"/>
      <c r="AW1791" s="827"/>
      <c r="AX1791" s="827"/>
      <c r="AY1791" s="827"/>
      <c r="AZ1791" s="827"/>
      <c r="BA1791" s="827"/>
      <c r="BB1791" s="827"/>
      <c r="BC1791" s="827"/>
      <c r="BD1791" s="827"/>
      <c r="BE1791" s="827"/>
      <c r="BF1791" s="827"/>
      <c r="BG1791" s="827"/>
      <c r="BH1791" s="827"/>
      <c r="BI1791" s="827"/>
      <c r="BJ1791" s="827"/>
      <c r="BK1791" s="827"/>
      <c r="BL1791" s="827"/>
      <c r="BM1791" s="827"/>
      <c r="BN1791" s="827"/>
      <c r="BO1791" s="827"/>
      <c r="BP1791" s="827"/>
      <c r="BQ1791" s="827"/>
      <c r="BR1791" s="827"/>
      <c r="BS1791" s="827"/>
      <c r="BT1791" s="827"/>
      <c r="BU1791" s="827"/>
      <c r="BV1791" s="827"/>
      <c r="BW1791" s="827"/>
      <c r="BX1791" s="827"/>
      <c r="BY1791" s="827"/>
      <c r="BZ1791" s="827"/>
      <c r="CA1791" s="827"/>
      <c r="CB1791" s="827"/>
      <c r="CC1791" s="827"/>
      <c r="CD1791" s="827"/>
      <c r="CE1791" s="827"/>
      <c r="CF1791" s="827"/>
      <c r="CG1791" s="827"/>
      <c r="CH1791" s="827"/>
      <c r="CI1791" s="827"/>
      <c r="CJ1791" s="827"/>
      <c r="CK1791" s="827"/>
      <c r="CL1791" s="827"/>
      <c r="CM1791" s="827"/>
      <c r="CN1791" s="827"/>
      <c r="CO1791" s="827"/>
      <c r="CP1791" s="827"/>
      <c r="CQ1791" s="827"/>
      <c r="CR1791" s="827"/>
      <c r="CS1791" s="827"/>
      <c r="CT1791" s="827"/>
      <c r="CU1791" s="827"/>
      <c r="CV1791" s="827"/>
      <c r="CW1791" s="827"/>
      <c r="CX1791" s="827"/>
      <c r="CY1791" s="827"/>
      <c r="CZ1791" s="827"/>
      <c r="DA1791" s="827"/>
      <c r="DB1791" s="827"/>
      <c r="DC1791" s="827"/>
      <c r="DD1791" s="827"/>
      <c r="DE1791" s="827"/>
      <c r="DF1791" s="827"/>
      <c r="DG1791" s="827"/>
      <c r="DH1791" s="827"/>
      <c r="DI1791" s="827"/>
      <c r="DJ1791" s="827"/>
      <c r="DK1791" s="827"/>
      <c r="DL1791" s="827"/>
      <c r="DM1791" s="827"/>
      <c r="DN1791" s="827"/>
      <c r="DO1791" s="827"/>
      <c r="DP1791" s="827"/>
      <c r="DQ1791" s="827"/>
      <c r="DR1791" s="827"/>
      <c r="DS1791" s="827"/>
      <c r="DT1791" s="827"/>
      <c r="DU1791" s="827"/>
      <c r="DV1791" s="827"/>
      <c r="DW1791" s="827"/>
      <c r="DX1791" s="827"/>
      <c r="DY1791" s="827"/>
      <c r="DZ1791" s="827"/>
      <c r="EA1791" s="827"/>
      <c r="EB1791" s="827"/>
      <c r="EC1791" s="827"/>
      <c r="ED1791" s="827"/>
      <c r="EE1791" s="827"/>
      <c r="EF1791" s="827"/>
      <c r="EG1791" s="827"/>
      <c r="EH1791" s="827"/>
      <c r="EI1791" s="827"/>
      <c r="EJ1791" s="827"/>
      <c r="EK1791" s="827"/>
      <c r="EL1791" s="827"/>
      <c r="EM1791" s="827"/>
      <c r="EN1791" s="827"/>
      <c r="EO1791" s="827"/>
      <c r="EP1791" s="827"/>
      <c r="EQ1791" s="827"/>
      <c r="ER1791" s="827"/>
      <c r="ES1791" s="827"/>
      <c r="ET1791" s="827"/>
      <c r="EU1791" s="827"/>
      <c r="EV1791" s="827"/>
      <c r="EW1791" s="827"/>
      <c r="EX1791" s="827"/>
      <c r="EY1791" s="827"/>
      <c r="EZ1791" s="827"/>
      <c r="FA1791" s="827"/>
      <c r="FB1791" s="827"/>
      <c r="FC1791" s="827"/>
      <c r="FD1791" s="827"/>
      <c r="FE1791" s="827"/>
      <c r="FF1791" s="827"/>
      <c r="FG1791" s="827"/>
      <c r="FH1791" s="827"/>
      <c r="FI1791" s="827"/>
      <c r="FJ1791" s="827"/>
      <c r="FK1791" s="827"/>
      <c r="FL1791" s="827"/>
      <c r="FM1791" s="827"/>
      <c r="FN1791" s="827"/>
      <c r="FO1791" s="827"/>
      <c r="FP1791" s="827"/>
      <c r="FQ1791" s="827"/>
      <c r="FR1791" s="827"/>
      <c r="FS1791" s="827"/>
      <c r="FT1791" s="827"/>
      <c r="FU1791" s="827"/>
      <c r="FV1791" s="827"/>
      <c r="FW1791" s="827"/>
      <c r="FX1791" s="827"/>
      <c r="FY1791" s="827"/>
      <c r="FZ1791" s="827"/>
      <c r="GA1791" s="827"/>
      <c r="GB1791" s="827"/>
      <c r="GC1791" s="827"/>
      <c r="GD1791" s="827"/>
      <c r="GE1791" s="827"/>
      <c r="GF1791" s="827"/>
      <c r="GG1791" s="827"/>
      <c r="GH1791" s="827"/>
      <c r="GI1791" s="827"/>
      <c r="GJ1791" s="827"/>
      <c r="GK1791" s="827"/>
      <c r="GL1791" s="827"/>
      <c r="GM1791" s="827"/>
      <c r="GN1791" s="827"/>
      <c r="GO1791" s="827"/>
      <c r="GP1791" s="827"/>
      <c r="GQ1791" s="827"/>
      <c r="GR1791" s="827"/>
      <c r="GS1791" s="827"/>
      <c r="GT1791" s="827"/>
      <c r="GU1791" s="827"/>
      <c r="GV1791" s="827"/>
      <c r="GW1791" s="827"/>
      <c r="GX1791" s="827"/>
      <c r="GY1791" s="827"/>
      <c r="GZ1791" s="827"/>
      <c r="HA1791" s="827"/>
      <c r="HB1791" s="827"/>
      <c r="HC1791" s="827"/>
      <c r="HD1791" s="827"/>
      <c r="HE1791" s="827"/>
      <c r="HF1791" s="827"/>
      <c r="HG1791" s="827"/>
      <c r="HH1791" s="827"/>
      <c r="HI1791" s="827"/>
      <c r="HJ1791" s="827"/>
      <c r="HK1791" s="827"/>
      <c r="HL1791" s="827"/>
      <c r="HM1791" s="827"/>
      <c r="HN1791" s="827"/>
      <c r="HO1791" s="827"/>
      <c r="HP1791" s="827"/>
      <c r="HQ1791" s="827"/>
      <c r="HR1791" s="827"/>
      <c r="HS1791" s="827"/>
      <c r="HT1791" s="827"/>
      <c r="HU1791" s="827"/>
      <c r="HV1791" s="827"/>
      <c r="HW1791" s="827"/>
      <c r="HX1791" s="827"/>
      <c r="HY1791" s="827"/>
      <c r="HZ1791" s="827"/>
      <c r="IA1791" s="827"/>
      <c r="IB1791" s="827"/>
      <c r="IC1791" s="827"/>
      <c r="ID1791" s="827"/>
      <c r="IE1791" s="827"/>
      <c r="IF1791" s="827"/>
      <c r="IG1791" s="827"/>
      <c r="IH1791" s="827"/>
      <c r="II1791" s="827"/>
      <c r="IJ1791" s="827"/>
      <c r="IK1791" s="827"/>
      <c r="IL1791" s="827"/>
      <c r="IM1791" s="827"/>
      <c r="IN1791" s="827"/>
      <c r="IO1791" s="827"/>
      <c r="IP1791" s="827"/>
      <c r="IQ1791" s="827"/>
      <c r="IR1791" s="827"/>
      <c r="IS1791" s="827"/>
      <c r="IT1791" s="827"/>
      <c r="IU1791" s="827"/>
    </row>
    <row r="1792" spans="1:255" s="831" customFormat="1" ht="13.5" hidden="1" customHeight="1">
      <c r="A1792" s="336"/>
      <c r="B1792" s="543"/>
      <c r="C1792" s="335" t="s">
        <v>210</v>
      </c>
      <c r="D1792" s="486"/>
      <c r="E1792" s="863"/>
      <c r="F1792" s="389"/>
      <c r="G1792" s="542"/>
      <c r="H1792" s="389"/>
      <c r="I1792" s="389"/>
      <c r="J1792" s="389"/>
      <c r="K1792" s="389"/>
      <c r="L1792" s="389"/>
      <c r="M1792" s="389"/>
      <c r="N1792" s="830"/>
      <c r="O1792" s="828"/>
      <c r="P1792" s="828"/>
      <c r="Q1792" s="828"/>
      <c r="R1792" s="828"/>
      <c r="S1792" s="828"/>
      <c r="T1792" s="828"/>
      <c r="U1792" s="828"/>
      <c r="V1792" s="828"/>
      <c r="W1792" s="828"/>
      <c r="X1792" s="828"/>
      <c r="Y1792" s="828"/>
      <c r="Z1792" s="828"/>
      <c r="AA1792" s="827"/>
      <c r="AB1792" s="827"/>
      <c r="AC1792" s="827"/>
      <c r="AD1792" s="827"/>
      <c r="AE1792" s="827"/>
      <c r="AF1792" s="827"/>
      <c r="AG1792" s="827"/>
      <c r="AH1792" s="827"/>
      <c r="AI1792" s="827"/>
      <c r="AJ1792" s="827"/>
      <c r="AK1792" s="827"/>
      <c r="AL1792" s="827"/>
      <c r="AM1792" s="827"/>
      <c r="AN1792" s="827"/>
      <c r="AO1792" s="827"/>
      <c r="AP1792" s="827"/>
      <c r="AQ1792" s="827"/>
      <c r="AR1792" s="827"/>
      <c r="AS1792" s="827"/>
      <c r="AT1792" s="827"/>
      <c r="AU1792" s="827"/>
      <c r="AV1792" s="827"/>
      <c r="AW1792" s="827"/>
      <c r="AX1792" s="827"/>
      <c r="AY1792" s="827"/>
      <c r="AZ1792" s="827"/>
      <c r="BA1792" s="827"/>
      <c r="BB1792" s="827"/>
      <c r="BC1792" s="827"/>
      <c r="BD1792" s="827"/>
      <c r="BE1792" s="827"/>
      <c r="BF1792" s="827"/>
      <c r="BG1792" s="827"/>
      <c r="BH1792" s="827"/>
      <c r="BI1792" s="827"/>
      <c r="BJ1792" s="827"/>
      <c r="BK1792" s="827"/>
      <c r="BL1792" s="827"/>
      <c r="BM1792" s="827"/>
      <c r="BN1792" s="827"/>
      <c r="BO1792" s="827"/>
      <c r="BP1792" s="827"/>
      <c r="BQ1792" s="827"/>
      <c r="BR1792" s="827"/>
      <c r="BS1792" s="827"/>
      <c r="BT1792" s="827"/>
      <c r="BU1792" s="827"/>
      <c r="BV1792" s="827"/>
      <c r="BW1792" s="827"/>
      <c r="BX1792" s="827"/>
      <c r="BY1792" s="827"/>
      <c r="BZ1792" s="827"/>
      <c r="CA1792" s="827"/>
      <c r="CB1792" s="827"/>
      <c r="CC1792" s="827"/>
      <c r="CD1792" s="827"/>
      <c r="CE1792" s="827"/>
      <c r="CF1792" s="827"/>
      <c r="CG1792" s="827"/>
      <c r="CH1792" s="827"/>
      <c r="CI1792" s="827"/>
      <c r="CJ1792" s="827"/>
      <c r="CK1792" s="827"/>
      <c r="CL1792" s="827"/>
      <c r="CM1792" s="827"/>
      <c r="CN1792" s="827"/>
      <c r="CO1792" s="827"/>
      <c r="CP1792" s="827"/>
      <c r="CQ1792" s="827"/>
      <c r="CR1792" s="827"/>
      <c r="CS1792" s="827"/>
      <c r="CT1792" s="827"/>
      <c r="CU1792" s="827"/>
      <c r="CV1792" s="827"/>
      <c r="CW1792" s="827"/>
      <c r="CX1792" s="827"/>
      <c r="CY1792" s="827"/>
      <c r="CZ1792" s="827"/>
      <c r="DA1792" s="827"/>
      <c r="DB1792" s="827"/>
      <c r="DC1792" s="827"/>
      <c r="DD1792" s="827"/>
      <c r="DE1792" s="827"/>
      <c r="DF1792" s="827"/>
      <c r="DG1792" s="827"/>
      <c r="DH1792" s="827"/>
      <c r="DI1792" s="827"/>
      <c r="DJ1792" s="827"/>
      <c r="DK1792" s="827"/>
      <c r="DL1792" s="827"/>
      <c r="DM1792" s="827"/>
      <c r="DN1792" s="827"/>
      <c r="DO1792" s="827"/>
      <c r="DP1792" s="827"/>
      <c r="DQ1792" s="827"/>
      <c r="DR1792" s="827"/>
      <c r="DS1792" s="827"/>
      <c r="DT1792" s="827"/>
      <c r="DU1792" s="827"/>
      <c r="DV1792" s="827"/>
      <c r="DW1792" s="827"/>
      <c r="DX1792" s="827"/>
      <c r="DY1792" s="827"/>
      <c r="DZ1792" s="827"/>
      <c r="EA1792" s="827"/>
      <c r="EB1792" s="827"/>
      <c r="EC1792" s="827"/>
      <c r="ED1792" s="827"/>
      <c r="EE1792" s="827"/>
      <c r="EF1792" s="827"/>
      <c r="EG1792" s="827"/>
      <c r="EH1792" s="827"/>
      <c r="EI1792" s="827"/>
      <c r="EJ1792" s="827"/>
      <c r="EK1792" s="827"/>
      <c r="EL1792" s="827"/>
      <c r="EM1792" s="827"/>
      <c r="EN1792" s="827"/>
      <c r="EO1792" s="827"/>
      <c r="EP1792" s="827"/>
      <c r="EQ1792" s="827"/>
      <c r="ER1792" s="827"/>
      <c r="ES1792" s="827"/>
      <c r="ET1792" s="827"/>
      <c r="EU1792" s="827"/>
      <c r="EV1792" s="827"/>
      <c r="EW1792" s="827"/>
      <c r="EX1792" s="827"/>
      <c r="EY1792" s="827"/>
      <c r="EZ1792" s="827"/>
      <c r="FA1792" s="827"/>
      <c r="FB1792" s="827"/>
      <c r="FC1792" s="827"/>
      <c r="FD1792" s="827"/>
      <c r="FE1792" s="827"/>
      <c r="FF1792" s="827"/>
      <c r="FG1792" s="827"/>
      <c r="FH1792" s="827"/>
      <c r="FI1792" s="827"/>
      <c r="FJ1792" s="827"/>
      <c r="FK1792" s="827"/>
      <c r="FL1792" s="827"/>
      <c r="FM1792" s="827"/>
      <c r="FN1792" s="827"/>
      <c r="FO1792" s="827"/>
      <c r="FP1792" s="827"/>
      <c r="FQ1792" s="827"/>
      <c r="FR1792" s="827"/>
      <c r="FS1792" s="827"/>
      <c r="FT1792" s="827"/>
      <c r="FU1792" s="827"/>
      <c r="FV1792" s="827"/>
      <c r="FW1792" s="827"/>
      <c r="FX1792" s="827"/>
      <c r="FY1792" s="827"/>
      <c r="FZ1792" s="827"/>
      <c r="GA1792" s="827"/>
      <c r="GB1792" s="827"/>
      <c r="GC1792" s="827"/>
      <c r="GD1792" s="827"/>
      <c r="GE1792" s="827"/>
      <c r="GF1792" s="827"/>
      <c r="GG1792" s="827"/>
      <c r="GH1792" s="827"/>
      <c r="GI1792" s="827"/>
      <c r="GJ1792" s="827"/>
      <c r="GK1792" s="827"/>
      <c r="GL1792" s="827"/>
      <c r="GM1792" s="827"/>
      <c r="GN1792" s="827"/>
      <c r="GO1792" s="827"/>
      <c r="GP1792" s="827"/>
      <c r="GQ1792" s="827"/>
      <c r="GR1792" s="827"/>
      <c r="GS1792" s="827"/>
      <c r="GT1792" s="827"/>
      <c r="GU1792" s="827"/>
      <c r="GV1792" s="827"/>
      <c r="GW1792" s="827"/>
      <c r="GX1792" s="827"/>
      <c r="GY1792" s="827"/>
      <c r="GZ1792" s="827"/>
      <c r="HA1792" s="827"/>
      <c r="HB1792" s="827"/>
      <c r="HC1792" s="827"/>
      <c r="HD1792" s="827"/>
      <c r="HE1792" s="827"/>
      <c r="HF1792" s="827"/>
      <c r="HG1792" s="827"/>
      <c r="HH1792" s="827"/>
      <c r="HI1792" s="827"/>
      <c r="HJ1792" s="827"/>
      <c r="HK1792" s="827"/>
      <c r="HL1792" s="827"/>
      <c r="HM1792" s="827"/>
      <c r="HN1792" s="827"/>
      <c r="HO1792" s="827"/>
      <c r="HP1792" s="827"/>
      <c r="HQ1792" s="827"/>
      <c r="HR1792" s="827"/>
      <c r="HS1792" s="827"/>
      <c r="HT1792" s="827"/>
      <c r="HU1792" s="827"/>
      <c r="HV1792" s="827"/>
      <c r="HW1792" s="827"/>
      <c r="HX1792" s="827"/>
      <c r="HY1792" s="827"/>
      <c r="HZ1792" s="827"/>
      <c r="IA1792" s="827"/>
      <c r="IB1792" s="827"/>
      <c r="IC1792" s="827"/>
      <c r="ID1792" s="827"/>
      <c r="IE1792" s="827"/>
      <c r="IF1792" s="827"/>
      <c r="IG1792" s="827"/>
      <c r="IH1792" s="827"/>
      <c r="II1792" s="827"/>
      <c r="IJ1792" s="827"/>
      <c r="IK1792" s="827"/>
      <c r="IL1792" s="827"/>
      <c r="IM1792" s="827"/>
      <c r="IN1792" s="827"/>
      <c r="IO1792" s="827"/>
      <c r="IP1792" s="827"/>
      <c r="IQ1792" s="827"/>
      <c r="IR1792" s="827"/>
      <c r="IS1792" s="827"/>
      <c r="IT1792" s="827"/>
      <c r="IU1792" s="827"/>
    </row>
    <row r="1793" spans="1:255" s="831" customFormat="1" ht="13.5" hidden="1" customHeight="1">
      <c r="A1793" s="336"/>
      <c r="B1793" s="543"/>
      <c r="C1793" s="335" t="s">
        <v>1403</v>
      </c>
      <c r="D1793" s="486" t="s">
        <v>113</v>
      </c>
      <c r="E1793" s="863"/>
      <c r="F1793" s="868">
        <f>'დეფექტური აქტი'!E421</f>
        <v>0</v>
      </c>
      <c r="G1793" s="389">
        <v>70</v>
      </c>
      <c r="H1793" s="389">
        <f>F1793*G1793</f>
        <v>0</v>
      </c>
      <c r="I1793" s="389"/>
      <c r="J1793" s="389"/>
      <c r="K1793" s="389"/>
      <c r="L1793" s="389"/>
      <c r="M1793" s="389">
        <f>H1793+J1793+L1793</f>
        <v>0</v>
      </c>
      <c r="N1793" s="830"/>
      <c r="O1793" s="828"/>
      <c r="P1793" s="828"/>
      <c r="Q1793" s="828"/>
      <c r="R1793" s="828"/>
      <c r="S1793" s="828"/>
      <c r="T1793" s="828"/>
      <c r="U1793" s="828"/>
      <c r="V1793" s="828"/>
      <c r="W1793" s="828"/>
      <c r="X1793" s="828"/>
      <c r="Y1793" s="828"/>
      <c r="Z1793" s="828"/>
      <c r="AA1793" s="827"/>
      <c r="AB1793" s="827"/>
      <c r="AC1793" s="827"/>
      <c r="AD1793" s="827"/>
      <c r="AE1793" s="827"/>
      <c r="AF1793" s="827"/>
      <c r="AG1793" s="827"/>
      <c r="AH1793" s="827"/>
      <c r="AI1793" s="827"/>
      <c r="AJ1793" s="827"/>
      <c r="AK1793" s="827"/>
      <c r="AL1793" s="827"/>
      <c r="AM1793" s="827"/>
      <c r="AN1793" s="827"/>
      <c r="AO1793" s="827"/>
      <c r="AP1793" s="827"/>
      <c r="AQ1793" s="827"/>
      <c r="AR1793" s="827"/>
      <c r="AS1793" s="827"/>
      <c r="AT1793" s="827"/>
      <c r="AU1793" s="827"/>
      <c r="AV1793" s="827"/>
      <c r="AW1793" s="827"/>
      <c r="AX1793" s="827"/>
      <c r="AY1793" s="827"/>
      <c r="AZ1793" s="827"/>
      <c r="BA1793" s="827"/>
      <c r="BB1793" s="827"/>
      <c r="BC1793" s="827"/>
      <c r="BD1793" s="827"/>
      <c r="BE1793" s="827"/>
      <c r="BF1793" s="827"/>
      <c r="BG1793" s="827"/>
      <c r="BH1793" s="827"/>
      <c r="BI1793" s="827"/>
      <c r="BJ1793" s="827"/>
      <c r="BK1793" s="827"/>
      <c r="BL1793" s="827"/>
      <c r="BM1793" s="827"/>
      <c r="BN1793" s="827"/>
      <c r="BO1793" s="827"/>
      <c r="BP1793" s="827"/>
      <c r="BQ1793" s="827"/>
      <c r="BR1793" s="827"/>
      <c r="BS1793" s="827"/>
      <c r="BT1793" s="827"/>
      <c r="BU1793" s="827"/>
      <c r="BV1793" s="827"/>
      <c r="BW1793" s="827"/>
      <c r="BX1793" s="827"/>
      <c r="BY1793" s="827"/>
      <c r="BZ1793" s="827"/>
      <c r="CA1793" s="827"/>
      <c r="CB1793" s="827"/>
      <c r="CC1793" s="827"/>
      <c r="CD1793" s="827"/>
      <c r="CE1793" s="827"/>
      <c r="CF1793" s="827"/>
      <c r="CG1793" s="827"/>
      <c r="CH1793" s="827"/>
      <c r="CI1793" s="827"/>
      <c r="CJ1793" s="827"/>
      <c r="CK1793" s="827"/>
      <c r="CL1793" s="827"/>
      <c r="CM1793" s="827"/>
      <c r="CN1793" s="827"/>
      <c r="CO1793" s="827"/>
      <c r="CP1793" s="827"/>
      <c r="CQ1793" s="827"/>
      <c r="CR1793" s="827"/>
      <c r="CS1793" s="827"/>
      <c r="CT1793" s="827"/>
      <c r="CU1793" s="827"/>
      <c r="CV1793" s="827"/>
      <c r="CW1793" s="827"/>
      <c r="CX1793" s="827"/>
      <c r="CY1793" s="827"/>
      <c r="CZ1793" s="827"/>
      <c r="DA1793" s="827"/>
      <c r="DB1793" s="827"/>
      <c r="DC1793" s="827"/>
      <c r="DD1793" s="827"/>
      <c r="DE1793" s="827"/>
      <c r="DF1793" s="827"/>
      <c r="DG1793" s="827"/>
      <c r="DH1793" s="827"/>
      <c r="DI1793" s="827"/>
      <c r="DJ1793" s="827"/>
      <c r="DK1793" s="827"/>
      <c r="DL1793" s="827"/>
      <c r="DM1793" s="827"/>
      <c r="DN1793" s="827"/>
      <c r="DO1793" s="827"/>
      <c r="DP1793" s="827"/>
      <c r="DQ1793" s="827"/>
      <c r="DR1793" s="827"/>
      <c r="DS1793" s="827"/>
      <c r="DT1793" s="827"/>
      <c r="DU1793" s="827"/>
      <c r="DV1793" s="827"/>
      <c r="DW1793" s="827"/>
      <c r="DX1793" s="827"/>
      <c r="DY1793" s="827"/>
      <c r="DZ1793" s="827"/>
      <c r="EA1793" s="827"/>
      <c r="EB1793" s="827"/>
      <c r="EC1793" s="827"/>
      <c r="ED1793" s="827"/>
      <c r="EE1793" s="827"/>
      <c r="EF1793" s="827"/>
      <c r="EG1793" s="827"/>
      <c r="EH1793" s="827"/>
      <c r="EI1793" s="827"/>
      <c r="EJ1793" s="827"/>
      <c r="EK1793" s="827"/>
      <c r="EL1793" s="827"/>
      <c r="EM1793" s="827"/>
      <c r="EN1793" s="827"/>
      <c r="EO1793" s="827"/>
      <c r="EP1793" s="827"/>
      <c r="EQ1793" s="827"/>
      <c r="ER1793" s="827"/>
      <c r="ES1793" s="827"/>
      <c r="ET1793" s="827"/>
      <c r="EU1793" s="827"/>
      <c r="EV1793" s="827"/>
      <c r="EW1793" s="827"/>
      <c r="EX1793" s="827"/>
      <c r="EY1793" s="827"/>
      <c r="EZ1793" s="827"/>
      <c r="FA1793" s="827"/>
      <c r="FB1793" s="827"/>
      <c r="FC1793" s="827"/>
      <c r="FD1793" s="827"/>
      <c r="FE1793" s="827"/>
      <c r="FF1793" s="827"/>
      <c r="FG1793" s="827"/>
      <c r="FH1793" s="827"/>
      <c r="FI1793" s="827"/>
      <c r="FJ1793" s="827"/>
      <c r="FK1793" s="827"/>
      <c r="FL1793" s="827"/>
      <c r="FM1793" s="827"/>
      <c r="FN1793" s="827"/>
      <c r="FO1793" s="827"/>
      <c r="FP1793" s="827"/>
      <c r="FQ1793" s="827"/>
      <c r="FR1793" s="827"/>
      <c r="FS1793" s="827"/>
      <c r="FT1793" s="827"/>
      <c r="FU1793" s="827"/>
      <c r="FV1793" s="827"/>
      <c r="FW1793" s="827"/>
      <c r="FX1793" s="827"/>
      <c r="FY1793" s="827"/>
      <c r="FZ1793" s="827"/>
      <c r="GA1793" s="827"/>
      <c r="GB1793" s="827"/>
      <c r="GC1793" s="827"/>
      <c r="GD1793" s="827"/>
      <c r="GE1793" s="827"/>
      <c r="GF1793" s="827"/>
      <c r="GG1793" s="827"/>
      <c r="GH1793" s="827"/>
      <c r="GI1793" s="827"/>
      <c r="GJ1793" s="827"/>
      <c r="GK1793" s="827"/>
      <c r="GL1793" s="827"/>
      <c r="GM1793" s="827"/>
      <c r="GN1793" s="827"/>
      <c r="GO1793" s="827"/>
      <c r="GP1793" s="827"/>
      <c r="GQ1793" s="827"/>
      <c r="GR1793" s="827"/>
      <c r="GS1793" s="827"/>
      <c r="GT1793" s="827"/>
      <c r="GU1793" s="827"/>
      <c r="GV1793" s="827"/>
      <c r="GW1793" s="827"/>
      <c r="GX1793" s="827"/>
      <c r="GY1793" s="827"/>
      <c r="GZ1793" s="827"/>
      <c r="HA1793" s="827"/>
      <c r="HB1793" s="827"/>
      <c r="HC1793" s="827"/>
      <c r="HD1793" s="827"/>
      <c r="HE1793" s="827"/>
      <c r="HF1793" s="827"/>
      <c r="HG1793" s="827"/>
      <c r="HH1793" s="827"/>
      <c r="HI1793" s="827"/>
      <c r="HJ1793" s="827"/>
      <c r="HK1793" s="827"/>
      <c r="HL1793" s="827"/>
      <c r="HM1793" s="827"/>
      <c r="HN1793" s="827"/>
      <c r="HO1793" s="827"/>
      <c r="HP1793" s="827"/>
      <c r="HQ1793" s="827"/>
      <c r="HR1793" s="827"/>
      <c r="HS1793" s="827"/>
      <c r="HT1793" s="827"/>
      <c r="HU1793" s="827"/>
      <c r="HV1793" s="827"/>
      <c r="HW1793" s="827"/>
      <c r="HX1793" s="827"/>
      <c r="HY1793" s="827"/>
      <c r="HZ1793" s="827"/>
      <c r="IA1793" s="827"/>
      <c r="IB1793" s="827"/>
      <c r="IC1793" s="827"/>
      <c r="ID1793" s="827"/>
      <c r="IE1793" s="827"/>
      <c r="IF1793" s="827"/>
      <c r="IG1793" s="827"/>
      <c r="IH1793" s="827"/>
      <c r="II1793" s="827"/>
      <c r="IJ1793" s="827"/>
      <c r="IK1793" s="827"/>
      <c r="IL1793" s="827"/>
      <c r="IM1793" s="827"/>
      <c r="IN1793" s="827"/>
      <c r="IO1793" s="827"/>
      <c r="IP1793" s="827"/>
      <c r="IQ1793" s="827"/>
      <c r="IR1793" s="827"/>
      <c r="IS1793" s="827"/>
      <c r="IT1793" s="827"/>
      <c r="IU1793" s="827"/>
    </row>
    <row r="1794" spans="1:255" s="831" customFormat="1" ht="13.5" hidden="1" customHeight="1">
      <c r="A1794" s="336"/>
      <c r="B1794" s="543"/>
      <c r="C1794" s="335" t="s">
        <v>1404</v>
      </c>
      <c r="D1794" s="486" t="s">
        <v>113</v>
      </c>
      <c r="E1794" s="863"/>
      <c r="F1794" s="868">
        <f>'დეფექტური აქტი'!E422</f>
        <v>0</v>
      </c>
      <c r="G1794" s="389">
        <v>65</v>
      </c>
      <c r="H1794" s="389"/>
      <c r="I1794" s="389"/>
      <c r="J1794" s="389"/>
      <c r="K1794" s="389"/>
      <c r="L1794" s="389"/>
      <c r="M1794" s="389"/>
      <c r="N1794" s="830"/>
      <c r="O1794" s="828"/>
      <c r="P1794" s="828"/>
      <c r="Q1794" s="828"/>
      <c r="R1794" s="828"/>
      <c r="S1794" s="828"/>
      <c r="T1794" s="828"/>
      <c r="U1794" s="828"/>
      <c r="V1794" s="828"/>
      <c r="W1794" s="828"/>
      <c r="X1794" s="828"/>
      <c r="Y1794" s="828"/>
      <c r="Z1794" s="828"/>
      <c r="AA1794" s="827"/>
      <c r="AB1794" s="827"/>
      <c r="AC1794" s="827"/>
      <c r="AD1794" s="827"/>
      <c r="AE1794" s="827"/>
      <c r="AF1794" s="827"/>
      <c r="AG1794" s="827"/>
      <c r="AH1794" s="827"/>
      <c r="AI1794" s="827"/>
      <c r="AJ1794" s="827"/>
      <c r="AK1794" s="827"/>
      <c r="AL1794" s="827"/>
      <c r="AM1794" s="827"/>
      <c r="AN1794" s="827"/>
      <c r="AO1794" s="827"/>
      <c r="AP1794" s="827"/>
      <c r="AQ1794" s="827"/>
      <c r="AR1794" s="827"/>
      <c r="AS1794" s="827"/>
      <c r="AT1794" s="827"/>
      <c r="AU1794" s="827"/>
      <c r="AV1794" s="827"/>
      <c r="AW1794" s="827"/>
      <c r="AX1794" s="827"/>
      <c r="AY1794" s="827"/>
      <c r="AZ1794" s="827"/>
      <c r="BA1794" s="827"/>
      <c r="BB1794" s="827"/>
      <c r="BC1794" s="827"/>
      <c r="BD1794" s="827"/>
      <c r="BE1794" s="827"/>
      <c r="BF1794" s="827"/>
      <c r="BG1794" s="827"/>
      <c r="BH1794" s="827"/>
      <c r="BI1794" s="827"/>
      <c r="BJ1794" s="827"/>
      <c r="BK1794" s="827"/>
      <c r="BL1794" s="827"/>
      <c r="BM1794" s="827"/>
      <c r="BN1794" s="827"/>
      <c r="BO1794" s="827"/>
      <c r="BP1794" s="827"/>
      <c r="BQ1794" s="827"/>
      <c r="BR1794" s="827"/>
      <c r="BS1794" s="827"/>
      <c r="BT1794" s="827"/>
      <c r="BU1794" s="827"/>
      <c r="BV1794" s="827"/>
      <c r="BW1794" s="827"/>
      <c r="BX1794" s="827"/>
      <c r="BY1794" s="827"/>
      <c r="BZ1794" s="827"/>
      <c r="CA1794" s="827"/>
      <c r="CB1794" s="827"/>
      <c r="CC1794" s="827"/>
      <c r="CD1794" s="827"/>
      <c r="CE1794" s="827"/>
      <c r="CF1794" s="827"/>
      <c r="CG1794" s="827"/>
      <c r="CH1794" s="827"/>
      <c r="CI1794" s="827"/>
      <c r="CJ1794" s="827"/>
      <c r="CK1794" s="827"/>
      <c r="CL1794" s="827"/>
      <c r="CM1794" s="827"/>
      <c r="CN1794" s="827"/>
      <c r="CO1794" s="827"/>
      <c r="CP1794" s="827"/>
      <c r="CQ1794" s="827"/>
      <c r="CR1794" s="827"/>
      <c r="CS1794" s="827"/>
      <c r="CT1794" s="827"/>
      <c r="CU1794" s="827"/>
      <c r="CV1794" s="827"/>
      <c r="CW1794" s="827"/>
      <c r="CX1794" s="827"/>
      <c r="CY1794" s="827"/>
      <c r="CZ1794" s="827"/>
      <c r="DA1794" s="827"/>
      <c r="DB1794" s="827"/>
      <c r="DC1794" s="827"/>
      <c r="DD1794" s="827"/>
      <c r="DE1794" s="827"/>
      <c r="DF1794" s="827"/>
      <c r="DG1794" s="827"/>
      <c r="DH1794" s="827"/>
      <c r="DI1794" s="827"/>
      <c r="DJ1794" s="827"/>
      <c r="DK1794" s="827"/>
      <c r="DL1794" s="827"/>
      <c r="DM1794" s="827"/>
      <c r="DN1794" s="827"/>
      <c r="DO1794" s="827"/>
      <c r="DP1794" s="827"/>
      <c r="DQ1794" s="827"/>
      <c r="DR1794" s="827"/>
      <c r="DS1794" s="827"/>
      <c r="DT1794" s="827"/>
      <c r="DU1794" s="827"/>
      <c r="DV1794" s="827"/>
      <c r="DW1794" s="827"/>
      <c r="DX1794" s="827"/>
      <c r="DY1794" s="827"/>
      <c r="DZ1794" s="827"/>
      <c r="EA1794" s="827"/>
      <c r="EB1794" s="827"/>
      <c r="EC1794" s="827"/>
      <c r="ED1794" s="827"/>
      <c r="EE1794" s="827"/>
      <c r="EF1794" s="827"/>
      <c r="EG1794" s="827"/>
      <c r="EH1794" s="827"/>
      <c r="EI1794" s="827"/>
      <c r="EJ1794" s="827"/>
      <c r="EK1794" s="827"/>
      <c r="EL1794" s="827"/>
      <c r="EM1794" s="827"/>
      <c r="EN1794" s="827"/>
      <c r="EO1794" s="827"/>
      <c r="EP1794" s="827"/>
      <c r="EQ1794" s="827"/>
      <c r="ER1794" s="827"/>
      <c r="ES1794" s="827"/>
      <c r="ET1794" s="827"/>
      <c r="EU1794" s="827"/>
      <c r="EV1794" s="827"/>
      <c r="EW1794" s="827"/>
      <c r="EX1794" s="827"/>
      <c r="EY1794" s="827"/>
      <c r="EZ1794" s="827"/>
      <c r="FA1794" s="827"/>
      <c r="FB1794" s="827"/>
      <c r="FC1794" s="827"/>
      <c r="FD1794" s="827"/>
      <c r="FE1794" s="827"/>
      <c r="FF1794" s="827"/>
      <c r="FG1794" s="827"/>
      <c r="FH1794" s="827"/>
      <c r="FI1794" s="827"/>
      <c r="FJ1794" s="827"/>
      <c r="FK1794" s="827"/>
      <c r="FL1794" s="827"/>
      <c r="FM1794" s="827"/>
      <c r="FN1794" s="827"/>
      <c r="FO1794" s="827"/>
      <c r="FP1794" s="827"/>
      <c r="FQ1794" s="827"/>
      <c r="FR1794" s="827"/>
      <c r="FS1794" s="827"/>
      <c r="FT1794" s="827"/>
      <c r="FU1794" s="827"/>
      <c r="FV1794" s="827"/>
      <c r="FW1794" s="827"/>
      <c r="FX1794" s="827"/>
      <c r="FY1794" s="827"/>
      <c r="FZ1794" s="827"/>
      <c r="GA1794" s="827"/>
      <c r="GB1794" s="827"/>
      <c r="GC1794" s="827"/>
      <c r="GD1794" s="827"/>
      <c r="GE1794" s="827"/>
      <c r="GF1794" s="827"/>
      <c r="GG1794" s="827"/>
      <c r="GH1794" s="827"/>
      <c r="GI1794" s="827"/>
      <c r="GJ1794" s="827"/>
      <c r="GK1794" s="827"/>
      <c r="GL1794" s="827"/>
      <c r="GM1794" s="827"/>
      <c r="GN1794" s="827"/>
      <c r="GO1794" s="827"/>
      <c r="GP1794" s="827"/>
      <c r="GQ1794" s="827"/>
      <c r="GR1794" s="827"/>
      <c r="GS1794" s="827"/>
      <c r="GT1794" s="827"/>
      <c r="GU1794" s="827"/>
      <c r="GV1794" s="827"/>
      <c r="GW1794" s="827"/>
      <c r="GX1794" s="827"/>
      <c r="GY1794" s="827"/>
      <c r="GZ1794" s="827"/>
      <c r="HA1794" s="827"/>
      <c r="HB1794" s="827"/>
      <c r="HC1794" s="827"/>
      <c r="HD1794" s="827"/>
      <c r="HE1794" s="827"/>
      <c r="HF1794" s="827"/>
      <c r="HG1794" s="827"/>
      <c r="HH1794" s="827"/>
      <c r="HI1794" s="827"/>
      <c r="HJ1794" s="827"/>
      <c r="HK1794" s="827"/>
      <c r="HL1794" s="827"/>
      <c r="HM1794" s="827"/>
      <c r="HN1794" s="827"/>
      <c r="HO1794" s="827"/>
      <c r="HP1794" s="827"/>
      <c r="HQ1794" s="827"/>
      <c r="HR1794" s="827"/>
      <c r="HS1794" s="827"/>
      <c r="HT1794" s="827"/>
      <c r="HU1794" s="827"/>
      <c r="HV1794" s="827"/>
      <c r="HW1794" s="827"/>
      <c r="HX1794" s="827"/>
      <c r="HY1794" s="827"/>
      <c r="HZ1794" s="827"/>
      <c r="IA1794" s="827"/>
      <c r="IB1794" s="827"/>
      <c r="IC1794" s="827"/>
      <c r="ID1794" s="827"/>
      <c r="IE1794" s="827"/>
      <c r="IF1794" s="827"/>
      <c r="IG1794" s="827"/>
      <c r="IH1794" s="827"/>
      <c r="II1794" s="827"/>
      <c r="IJ1794" s="827"/>
      <c r="IK1794" s="827"/>
      <c r="IL1794" s="827"/>
      <c r="IM1794" s="827"/>
      <c r="IN1794" s="827"/>
      <c r="IO1794" s="827"/>
      <c r="IP1794" s="827"/>
      <c r="IQ1794" s="827"/>
      <c r="IR1794" s="827"/>
      <c r="IS1794" s="827"/>
      <c r="IT1794" s="827"/>
      <c r="IU1794" s="827"/>
    </row>
    <row r="1795" spans="1:255" s="831" customFormat="1" ht="13.5" hidden="1" customHeight="1">
      <c r="A1795" s="336"/>
      <c r="B1795" s="543"/>
      <c r="C1795" s="335" t="s">
        <v>1405</v>
      </c>
      <c r="D1795" s="486" t="s">
        <v>113</v>
      </c>
      <c r="E1795" s="863"/>
      <c r="F1795" s="868">
        <f>'დეფექტური აქტი'!E423</f>
        <v>0</v>
      </c>
      <c r="G1795" s="542">
        <v>60</v>
      </c>
      <c r="H1795" s="389"/>
      <c r="I1795" s="389"/>
      <c r="J1795" s="389"/>
      <c r="K1795" s="389"/>
      <c r="L1795" s="389"/>
      <c r="M1795" s="389"/>
      <c r="N1795" s="830"/>
      <c r="O1795" s="828"/>
      <c r="P1795" s="828"/>
      <c r="Q1795" s="828"/>
      <c r="R1795" s="828"/>
      <c r="S1795" s="828"/>
      <c r="T1795" s="828"/>
      <c r="U1795" s="828"/>
      <c r="V1795" s="828"/>
      <c r="W1795" s="828"/>
      <c r="X1795" s="828"/>
      <c r="Y1795" s="828"/>
      <c r="Z1795" s="828"/>
      <c r="AA1795" s="827"/>
      <c r="AB1795" s="827"/>
      <c r="AC1795" s="827"/>
      <c r="AD1795" s="827"/>
      <c r="AE1795" s="827"/>
      <c r="AF1795" s="827"/>
      <c r="AG1795" s="827"/>
      <c r="AH1795" s="827"/>
      <c r="AI1795" s="827"/>
      <c r="AJ1795" s="827"/>
      <c r="AK1795" s="827"/>
      <c r="AL1795" s="827"/>
      <c r="AM1795" s="827"/>
      <c r="AN1795" s="827"/>
      <c r="AO1795" s="827"/>
      <c r="AP1795" s="827"/>
      <c r="AQ1795" s="827"/>
      <c r="AR1795" s="827"/>
      <c r="AS1795" s="827"/>
      <c r="AT1795" s="827"/>
      <c r="AU1795" s="827"/>
      <c r="AV1795" s="827"/>
      <c r="AW1795" s="827"/>
      <c r="AX1795" s="827"/>
      <c r="AY1795" s="827"/>
      <c r="AZ1795" s="827"/>
      <c r="BA1795" s="827"/>
      <c r="BB1795" s="827"/>
      <c r="BC1795" s="827"/>
      <c r="BD1795" s="827"/>
      <c r="BE1795" s="827"/>
      <c r="BF1795" s="827"/>
      <c r="BG1795" s="827"/>
      <c r="BH1795" s="827"/>
      <c r="BI1795" s="827"/>
      <c r="BJ1795" s="827"/>
      <c r="BK1795" s="827"/>
      <c r="BL1795" s="827"/>
      <c r="BM1795" s="827"/>
      <c r="BN1795" s="827"/>
      <c r="BO1795" s="827"/>
      <c r="BP1795" s="827"/>
      <c r="BQ1795" s="827"/>
      <c r="BR1795" s="827"/>
      <c r="BS1795" s="827"/>
      <c r="BT1795" s="827"/>
      <c r="BU1795" s="827"/>
      <c r="BV1795" s="827"/>
      <c r="BW1795" s="827"/>
      <c r="BX1795" s="827"/>
      <c r="BY1795" s="827"/>
      <c r="BZ1795" s="827"/>
      <c r="CA1795" s="827"/>
      <c r="CB1795" s="827"/>
      <c r="CC1795" s="827"/>
      <c r="CD1795" s="827"/>
      <c r="CE1795" s="827"/>
      <c r="CF1795" s="827"/>
      <c r="CG1795" s="827"/>
      <c r="CH1795" s="827"/>
      <c r="CI1795" s="827"/>
      <c r="CJ1795" s="827"/>
      <c r="CK1795" s="827"/>
      <c r="CL1795" s="827"/>
      <c r="CM1795" s="827"/>
      <c r="CN1795" s="827"/>
      <c r="CO1795" s="827"/>
      <c r="CP1795" s="827"/>
      <c r="CQ1795" s="827"/>
      <c r="CR1795" s="827"/>
      <c r="CS1795" s="827"/>
      <c r="CT1795" s="827"/>
      <c r="CU1795" s="827"/>
      <c r="CV1795" s="827"/>
      <c r="CW1795" s="827"/>
      <c r="CX1795" s="827"/>
      <c r="CY1795" s="827"/>
      <c r="CZ1795" s="827"/>
      <c r="DA1795" s="827"/>
      <c r="DB1795" s="827"/>
      <c r="DC1795" s="827"/>
      <c r="DD1795" s="827"/>
      <c r="DE1795" s="827"/>
      <c r="DF1795" s="827"/>
      <c r="DG1795" s="827"/>
      <c r="DH1795" s="827"/>
      <c r="DI1795" s="827"/>
      <c r="DJ1795" s="827"/>
      <c r="DK1795" s="827"/>
      <c r="DL1795" s="827"/>
      <c r="DM1795" s="827"/>
      <c r="DN1795" s="827"/>
      <c r="DO1795" s="827"/>
      <c r="DP1795" s="827"/>
      <c r="DQ1795" s="827"/>
      <c r="DR1795" s="827"/>
      <c r="DS1795" s="827"/>
      <c r="DT1795" s="827"/>
      <c r="DU1795" s="827"/>
      <c r="DV1795" s="827"/>
      <c r="DW1795" s="827"/>
      <c r="DX1795" s="827"/>
      <c r="DY1795" s="827"/>
      <c r="DZ1795" s="827"/>
      <c r="EA1795" s="827"/>
      <c r="EB1795" s="827"/>
      <c r="EC1795" s="827"/>
      <c r="ED1795" s="827"/>
      <c r="EE1795" s="827"/>
      <c r="EF1795" s="827"/>
      <c r="EG1795" s="827"/>
      <c r="EH1795" s="827"/>
      <c r="EI1795" s="827"/>
      <c r="EJ1795" s="827"/>
      <c r="EK1795" s="827"/>
      <c r="EL1795" s="827"/>
      <c r="EM1795" s="827"/>
      <c r="EN1795" s="827"/>
      <c r="EO1795" s="827"/>
      <c r="EP1795" s="827"/>
      <c r="EQ1795" s="827"/>
      <c r="ER1795" s="827"/>
      <c r="ES1795" s="827"/>
      <c r="ET1795" s="827"/>
      <c r="EU1795" s="827"/>
      <c r="EV1795" s="827"/>
      <c r="EW1795" s="827"/>
      <c r="EX1795" s="827"/>
      <c r="EY1795" s="827"/>
      <c r="EZ1795" s="827"/>
      <c r="FA1795" s="827"/>
      <c r="FB1795" s="827"/>
      <c r="FC1795" s="827"/>
      <c r="FD1795" s="827"/>
      <c r="FE1795" s="827"/>
      <c r="FF1795" s="827"/>
      <c r="FG1795" s="827"/>
      <c r="FH1795" s="827"/>
      <c r="FI1795" s="827"/>
      <c r="FJ1795" s="827"/>
      <c r="FK1795" s="827"/>
      <c r="FL1795" s="827"/>
      <c r="FM1795" s="827"/>
      <c r="FN1795" s="827"/>
      <c r="FO1795" s="827"/>
      <c r="FP1795" s="827"/>
      <c r="FQ1795" s="827"/>
      <c r="FR1795" s="827"/>
      <c r="FS1795" s="827"/>
      <c r="FT1795" s="827"/>
      <c r="FU1795" s="827"/>
      <c r="FV1795" s="827"/>
      <c r="FW1795" s="827"/>
      <c r="FX1795" s="827"/>
      <c r="FY1795" s="827"/>
      <c r="FZ1795" s="827"/>
      <c r="GA1795" s="827"/>
      <c r="GB1795" s="827"/>
      <c r="GC1795" s="827"/>
      <c r="GD1795" s="827"/>
      <c r="GE1795" s="827"/>
      <c r="GF1795" s="827"/>
      <c r="GG1795" s="827"/>
      <c r="GH1795" s="827"/>
      <c r="GI1795" s="827"/>
      <c r="GJ1795" s="827"/>
      <c r="GK1795" s="827"/>
      <c r="GL1795" s="827"/>
      <c r="GM1795" s="827"/>
      <c r="GN1795" s="827"/>
      <c r="GO1795" s="827"/>
      <c r="GP1795" s="827"/>
      <c r="GQ1795" s="827"/>
      <c r="GR1795" s="827"/>
      <c r="GS1795" s="827"/>
      <c r="GT1795" s="827"/>
      <c r="GU1795" s="827"/>
      <c r="GV1795" s="827"/>
      <c r="GW1795" s="827"/>
      <c r="GX1795" s="827"/>
      <c r="GY1795" s="827"/>
      <c r="GZ1795" s="827"/>
      <c r="HA1795" s="827"/>
      <c r="HB1795" s="827"/>
      <c r="HC1795" s="827"/>
      <c r="HD1795" s="827"/>
      <c r="HE1795" s="827"/>
      <c r="HF1795" s="827"/>
      <c r="HG1795" s="827"/>
      <c r="HH1795" s="827"/>
      <c r="HI1795" s="827"/>
      <c r="HJ1795" s="827"/>
      <c r="HK1795" s="827"/>
      <c r="HL1795" s="827"/>
      <c r="HM1795" s="827"/>
      <c r="HN1795" s="827"/>
      <c r="HO1795" s="827"/>
      <c r="HP1795" s="827"/>
      <c r="HQ1795" s="827"/>
      <c r="HR1795" s="827"/>
      <c r="HS1795" s="827"/>
      <c r="HT1795" s="827"/>
      <c r="HU1795" s="827"/>
      <c r="HV1795" s="827"/>
      <c r="HW1795" s="827"/>
      <c r="HX1795" s="827"/>
      <c r="HY1795" s="827"/>
      <c r="HZ1795" s="827"/>
      <c r="IA1795" s="827"/>
      <c r="IB1795" s="827"/>
      <c r="IC1795" s="827"/>
      <c r="ID1795" s="827"/>
      <c r="IE1795" s="827"/>
      <c r="IF1795" s="827"/>
      <c r="IG1795" s="827"/>
      <c r="IH1795" s="827"/>
      <c r="II1795" s="827"/>
      <c r="IJ1795" s="827"/>
      <c r="IK1795" s="827"/>
      <c r="IL1795" s="827"/>
      <c r="IM1795" s="827"/>
      <c r="IN1795" s="827"/>
      <c r="IO1795" s="827"/>
      <c r="IP1795" s="827"/>
      <c r="IQ1795" s="827"/>
      <c r="IR1795" s="827"/>
      <c r="IS1795" s="827"/>
      <c r="IT1795" s="827"/>
      <c r="IU1795" s="827"/>
    </row>
    <row r="1796" spans="1:255" s="831" customFormat="1" ht="13.5" hidden="1" customHeight="1">
      <c r="A1796" s="336"/>
      <c r="B1796" s="543"/>
      <c r="C1796" s="335" t="s">
        <v>1406</v>
      </c>
      <c r="D1796" s="486" t="s">
        <v>113</v>
      </c>
      <c r="E1796" s="863"/>
      <c r="F1796" s="868">
        <f>'დეფექტური აქტი'!E424</f>
        <v>0</v>
      </c>
      <c r="G1796" s="542">
        <v>55</v>
      </c>
      <c r="H1796" s="389"/>
      <c r="I1796" s="389"/>
      <c r="J1796" s="389"/>
      <c r="K1796" s="389"/>
      <c r="L1796" s="389"/>
      <c r="M1796" s="389"/>
      <c r="N1796" s="830"/>
      <c r="O1796" s="828"/>
      <c r="P1796" s="828"/>
      <c r="Q1796" s="828"/>
      <c r="R1796" s="828"/>
      <c r="S1796" s="828"/>
      <c r="T1796" s="828"/>
      <c r="U1796" s="828"/>
      <c r="V1796" s="828"/>
      <c r="W1796" s="828"/>
      <c r="X1796" s="828"/>
      <c r="Y1796" s="828"/>
      <c r="Z1796" s="828"/>
      <c r="AA1796" s="827"/>
      <c r="AB1796" s="827"/>
      <c r="AC1796" s="827"/>
      <c r="AD1796" s="827"/>
      <c r="AE1796" s="827"/>
      <c r="AF1796" s="827"/>
      <c r="AG1796" s="827"/>
      <c r="AH1796" s="827"/>
      <c r="AI1796" s="827"/>
      <c r="AJ1796" s="827"/>
      <c r="AK1796" s="827"/>
      <c r="AL1796" s="827"/>
      <c r="AM1796" s="827"/>
      <c r="AN1796" s="827"/>
      <c r="AO1796" s="827"/>
      <c r="AP1796" s="827"/>
      <c r="AQ1796" s="827"/>
      <c r="AR1796" s="827"/>
      <c r="AS1796" s="827"/>
      <c r="AT1796" s="827"/>
      <c r="AU1796" s="827"/>
      <c r="AV1796" s="827"/>
      <c r="AW1796" s="827"/>
      <c r="AX1796" s="827"/>
      <c r="AY1796" s="827"/>
      <c r="AZ1796" s="827"/>
      <c r="BA1796" s="827"/>
      <c r="BB1796" s="827"/>
      <c r="BC1796" s="827"/>
      <c r="BD1796" s="827"/>
      <c r="BE1796" s="827"/>
      <c r="BF1796" s="827"/>
      <c r="BG1796" s="827"/>
      <c r="BH1796" s="827"/>
      <c r="BI1796" s="827"/>
      <c r="BJ1796" s="827"/>
      <c r="BK1796" s="827"/>
      <c r="BL1796" s="827"/>
      <c r="BM1796" s="827"/>
      <c r="BN1796" s="827"/>
      <c r="BO1796" s="827"/>
      <c r="BP1796" s="827"/>
      <c r="BQ1796" s="827"/>
      <c r="BR1796" s="827"/>
      <c r="BS1796" s="827"/>
      <c r="BT1796" s="827"/>
      <c r="BU1796" s="827"/>
      <c r="BV1796" s="827"/>
      <c r="BW1796" s="827"/>
      <c r="BX1796" s="827"/>
      <c r="BY1796" s="827"/>
      <c r="BZ1796" s="827"/>
      <c r="CA1796" s="827"/>
      <c r="CB1796" s="827"/>
      <c r="CC1796" s="827"/>
      <c r="CD1796" s="827"/>
      <c r="CE1796" s="827"/>
      <c r="CF1796" s="827"/>
      <c r="CG1796" s="827"/>
      <c r="CH1796" s="827"/>
      <c r="CI1796" s="827"/>
      <c r="CJ1796" s="827"/>
      <c r="CK1796" s="827"/>
      <c r="CL1796" s="827"/>
      <c r="CM1796" s="827"/>
      <c r="CN1796" s="827"/>
      <c r="CO1796" s="827"/>
      <c r="CP1796" s="827"/>
      <c r="CQ1796" s="827"/>
      <c r="CR1796" s="827"/>
      <c r="CS1796" s="827"/>
      <c r="CT1796" s="827"/>
      <c r="CU1796" s="827"/>
      <c r="CV1796" s="827"/>
      <c r="CW1796" s="827"/>
      <c r="CX1796" s="827"/>
      <c r="CY1796" s="827"/>
      <c r="CZ1796" s="827"/>
      <c r="DA1796" s="827"/>
      <c r="DB1796" s="827"/>
      <c r="DC1796" s="827"/>
      <c r="DD1796" s="827"/>
      <c r="DE1796" s="827"/>
      <c r="DF1796" s="827"/>
      <c r="DG1796" s="827"/>
      <c r="DH1796" s="827"/>
      <c r="DI1796" s="827"/>
      <c r="DJ1796" s="827"/>
      <c r="DK1796" s="827"/>
      <c r="DL1796" s="827"/>
      <c r="DM1796" s="827"/>
      <c r="DN1796" s="827"/>
      <c r="DO1796" s="827"/>
      <c r="DP1796" s="827"/>
      <c r="DQ1796" s="827"/>
      <c r="DR1796" s="827"/>
      <c r="DS1796" s="827"/>
      <c r="DT1796" s="827"/>
      <c r="DU1796" s="827"/>
      <c r="DV1796" s="827"/>
      <c r="DW1796" s="827"/>
      <c r="DX1796" s="827"/>
      <c r="DY1796" s="827"/>
      <c r="DZ1796" s="827"/>
      <c r="EA1796" s="827"/>
      <c r="EB1796" s="827"/>
      <c r="EC1796" s="827"/>
      <c r="ED1796" s="827"/>
      <c r="EE1796" s="827"/>
      <c r="EF1796" s="827"/>
      <c r="EG1796" s="827"/>
      <c r="EH1796" s="827"/>
      <c r="EI1796" s="827"/>
      <c r="EJ1796" s="827"/>
      <c r="EK1796" s="827"/>
      <c r="EL1796" s="827"/>
      <c r="EM1796" s="827"/>
      <c r="EN1796" s="827"/>
      <c r="EO1796" s="827"/>
      <c r="EP1796" s="827"/>
      <c r="EQ1796" s="827"/>
      <c r="ER1796" s="827"/>
      <c r="ES1796" s="827"/>
      <c r="ET1796" s="827"/>
      <c r="EU1796" s="827"/>
      <c r="EV1796" s="827"/>
      <c r="EW1796" s="827"/>
      <c r="EX1796" s="827"/>
      <c r="EY1796" s="827"/>
      <c r="EZ1796" s="827"/>
      <c r="FA1796" s="827"/>
      <c r="FB1796" s="827"/>
      <c r="FC1796" s="827"/>
      <c r="FD1796" s="827"/>
      <c r="FE1796" s="827"/>
      <c r="FF1796" s="827"/>
      <c r="FG1796" s="827"/>
      <c r="FH1796" s="827"/>
      <c r="FI1796" s="827"/>
      <c r="FJ1796" s="827"/>
      <c r="FK1796" s="827"/>
      <c r="FL1796" s="827"/>
      <c r="FM1796" s="827"/>
      <c r="FN1796" s="827"/>
      <c r="FO1796" s="827"/>
      <c r="FP1796" s="827"/>
      <c r="FQ1796" s="827"/>
      <c r="FR1796" s="827"/>
      <c r="FS1796" s="827"/>
      <c r="FT1796" s="827"/>
      <c r="FU1796" s="827"/>
      <c r="FV1796" s="827"/>
      <c r="FW1796" s="827"/>
      <c r="FX1796" s="827"/>
      <c r="FY1796" s="827"/>
      <c r="FZ1796" s="827"/>
      <c r="GA1796" s="827"/>
      <c r="GB1796" s="827"/>
      <c r="GC1796" s="827"/>
      <c r="GD1796" s="827"/>
      <c r="GE1796" s="827"/>
      <c r="GF1796" s="827"/>
      <c r="GG1796" s="827"/>
      <c r="GH1796" s="827"/>
      <c r="GI1796" s="827"/>
      <c r="GJ1796" s="827"/>
      <c r="GK1796" s="827"/>
      <c r="GL1796" s="827"/>
      <c r="GM1796" s="827"/>
      <c r="GN1796" s="827"/>
      <c r="GO1796" s="827"/>
      <c r="GP1796" s="827"/>
      <c r="GQ1796" s="827"/>
      <c r="GR1796" s="827"/>
      <c r="GS1796" s="827"/>
      <c r="GT1796" s="827"/>
      <c r="GU1796" s="827"/>
      <c r="GV1796" s="827"/>
      <c r="GW1796" s="827"/>
      <c r="GX1796" s="827"/>
      <c r="GY1796" s="827"/>
      <c r="GZ1796" s="827"/>
      <c r="HA1796" s="827"/>
      <c r="HB1796" s="827"/>
      <c r="HC1796" s="827"/>
      <c r="HD1796" s="827"/>
      <c r="HE1796" s="827"/>
      <c r="HF1796" s="827"/>
      <c r="HG1796" s="827"/>
      <c r="HH1796" s="827"/>
      <c r="HI1796" s="827"/>
      <c r="HJ1796" s="827"/>
      <c r="HK1796" s="827"/>
      <c r="HL1796" s="827"/>
      <c r="HM1796" s="827"/>
      <c r="HN1796" s="827"/>
      <c r="HO1796" s="827"/>
      <c r="HP1796" s="827"/>
      <c r="HQ1796" s="827"/>
      <c r="HR1796" s="827"/>
      <c r="HS1796" s="827"/>
      <c r="HT1796" s="827"/>
      <c r="HU1796" s="827"/>
      <c r="HV1796" s="827"/>
      <c r="HW1796" s="827"/>
      <c r="HX1796" s="827"/>
      <c r="HY1796" s="827"/>
      <c r="HZ1796" s="827"/>
      <c r="IA1796" s="827"/>
      <c r="IB1796" s="827"/>
      <c r="IC1796" s="827"/>
      <c r="ID1796" s="827"/>
      <c r="IE1796" s="827"/>
      <c r="IF1796" s="827"/>
      <c r="IG1796" s="827"/>
      <c r="IH1796" s="827"/>
      <c r="II1796" s="827"/>
      <c r="IJ1796" s="827"/>
      <c r="IK1796" s="827"/>
      <c r="IL1796" s="827"/>
      <c r="IM1796" s="827"/>
      <c r="IN1796" s="827"/>
      <c r="IO1796" s="827"/>
      <c r="IP1796" s="827"/>
      <c r="IQ1796" s="827"/>
      <c r="IR1796" s="827"/>
      <c r="IS1796" s="827"/>
      <c r="IT1796" s="827"/>
      <c r="IU1796" s="827"/>
    </row>
    <row r="1797" spans="1:255" s="831" customFormat="1" ht="13.5" hidden="1" customHeight="1">
      <c r="A1797" s="336"/>
      <c r="B1797" s="543"/>
      <c r="C1797" s="335" t="s">
        <v>1407</v>
      </c>
      <c r="D1797" s="486" t="s">
        <v>113</v>
      </c>
      <c r="E1797" s="863"/>
      <c r="F1797" s="868">
        <f>'დეფექტური აქტი'!E425</f>
        <v>0</v>
      </c>
      <c r="G1797" s="542">
        <v>50</v>
      </c>
      <c r="H1797" s="389"/>
      <c r="I1797" s="389"/>
      <c r="J1797" s="389"/>
      <c r="K1797" s="389"/>
      <c r="L1797" s="389"/>
      <c r="M1797" s="389"/>
      <c r="N1797" s="830"/>
      <c r="O1797" s="828"/>
      <c r="P1797" s="828"/>
      <c r="Q1797" s="828"/>
      <c r="R1797" s="828"/>
      <c r="S1797" s="828"/>
      <c r="T1797" s="828"/>
      <c r="U1797" s="828"/>
      <c r="V1797" s="828"/>
      <c r="W1797" s="828"/>
      <c r="X1797" s="828"/>
      <c r="Y1797" s="828"/>
      <c r="Z1797" s="828"/>
      <c r="AA1797" s="827"/>
      <c r="AB1797" s="827"/>
      <c r="AC1797" s="827"/>
      <c r="AD1797" s="827"/>
      <c r="AE1797" s="827"/>
      <c r="AF1797" s="827"/>
      <c r="AG1797" s="827"/>
      <c r="AH1797" s="827"/>
      <c r="AI1797" s="827"/>
      <c r="AJ1797" s="827"/>
      <c r="AK1797" s="827"/>
      <c r="AL1797" s="827"/>
      <c r="AM1797" s="827"/>
      <c r="AN1797" s="827"/>
      <c r="AO1797" s="827"/>
      <c r="AP1797" s="827"/>
      <c r="AQ1797" s="827"/>
      <c r="AR1797" s="827"/>
      <c r="AS1797" s="827"/>
      <c r="AT1797" s="827"/>
      <c r="AU1797" s="827"/>
      <c r="AV1797" s="827"/>
      <c r="AW1797" s="827"/>
      <c r="AX1797" s="827"/>
      <c r="AY1797" s="827"/>
      <c r="AZ1797" s="827"/>
      <c r="BA1797" s="827"/>
      <c r="BB1797" s="827"/>
      <c r="BC1797" s="827"/>
      <c r="BD1797" s="827"/>
      <c r="BE1797" s="827"/>
      <c r="BF1797" s="827"/>
      <c r="BG1797" s="827"/>
      <c r="BH1797" s="827"/>
      <c r="BI1797" s="827"/>
      <c r="BJ1797" s="827"/>
      <c r="BK1797" s="827"/>
      <c r="BL1797" s="827"/>
      <c r="BM1797" s="827"/>
      <c r="BN1797" s="827"/>
      <c r="BO1797" s="827"/>
      <c r="BP1797" s="827"/>
      <c r="BQ1797" s="827"/>
      <c r="BR1797" s="827"/>
      <c r="BS1797" s="827"/>
      <c r="BT1797" s="827"/>
      <c r="BU1797" s="827"/>
      <c r="BV1797" s="827"/>
      <c r="BW1797" s="827"/>
      <c r="BX1797" s="827"/>
      <c r="BY1797" s="827"/>
      <c r="BZ1797" s="827"/>
      <c r="CA1797" s="827"/>
      <c r="CB1797" s="827"/>
      <c r="CC1797" s="827"/>
      <c r="CD1797" s="827"/>
      <c r="CE1797" s="827"/>
      <c r="CF1797" s="827"/>
      <c r="CG1797" s="827"/>
      <c r="CH1797" s="827"/>
      <c r="CI1797" s="827"/>
      <c r="CJ1797" s="827"/>
      <c r="CK1797" s="827"/>
      <c r="CL1797" s="827"/>
      <c r="CM1797" s="827"/>
      <c r="CN1797" s="827"/>
      <c r="CO1797" s="827"/>
      <c r="CP1797" s="827"/>
      <c r="CQ1797" s="827"/>
      <c r="CR1797" s="827"/>
      <c r="CS1797" s="827"/>
      <c r="CT1797" s="827"/>
      <c r="CU1797" s="827"/>
      <c r="CV1797" s="827"/>
      <c r="CW1797" s="827"/>
      <c r="CX1797" s="827"/>
      <c r="CY1797" s="827"/>
      <c r="CZ1797" s="827"/>
      <c r="DA1797" s="827"/>
      <c r="DB1797" s="827"/>
      <c r="DC1797" s="827"/>
      <c r="DD1797" s="827"/>
      <c r="DE1797" s="827"/>
      <c r="DF1797" s="827"/>
      <c r="DG1797" s="827"/>
      <c r="DH1797" s="827"/>
      <c r="DI1797" s="827"/>
      <c r="DJ1797" s="827"/>
      <c r="DK1797" s="827"/>
      <c r="DL1797" s="827"/>
      <c r="DM1797" s="827"/>
      <c r="DN1797" s="827"/>
      <c r="DO1797" s="827"/>
      <c r="DP1797" s="827"/>
      <c r="DQ1797" s="827"/>
      <c r="DR1797" s="827"/>
      <c r="DS1797" s="827"/>
      <c r="DT1797" s="827"/>
      <c r="DU1797" s="827"/>
      <c r="DV1797" s="827"/>
      <c r="DW1797" s="827"/>
      <c r="DX1797" s="827"/>
      <c r="DY1797" s="827"/>
      <c r="DZ1797" s="827"/>
      <c r="EA1797" s="827"/>
      <c r="EB1797" s="827"/>
      <c r="EC1797" s="827"/>
      <c r="ED1797" s="827"/>
      <c r="EE1797" s="827"/>
      <c r="EF1797" s="827"/>
      <c r="EG1797" s="827"/>
      <c r="EH1797" s="827"/>
      <c r="EI1797" s="827"/>
      <c r="EJ1797" s="827"/>
      <c r="EK1797" s="827"/>
      <c r="EL1797" s="827"/>
      <c r="EM1797" s="827"/>
      <c r="EN1797" s="827"/>
      <c r="EO1797" s="827"/>
      <c r="EP1797" s="827"/>
      <c r="EQ1797" s="827"/>
      <c r="ER1797" s="827"/>
      <c r="ES1797" s="827"/>
      <c r="ET1797" s="827"/>
      <c r="EU1797" s="827"/>
      <c r="EV1797" s="827"/>
      <c r="EW1797" s="827"/>
      <c r="EX1797" s="827"/>
      <c r="EY1797" s="827"/>
      <c r="EZ1797" s="827"/>
      <c r="FA1797" s="827"/>
      <c r="FB1797" s="827"/>
      <c r="FC1797" s="827"/>
      <c r="FD1797" s="827"/>
      <c r="FE1797" s="827"/>
      <c r="FF1797" s="827"/>
      <c r="FG1797" s="827"/>
      <c r="FH1797" s="827"/>
      <c r="FI1797" s="827"/>
      <c r="FJ1797" s="827"/>
      <c r="FK1797" s="827"/>
      <c r="FL1797" s="827"/>
      <c r="FM1797" s="827"/>
      <c r="FN1797" s="827"/>
      <c r="FO1797" s="827"/>
      <c r="FP1797" s="827"/>
      <c r="FQ1797" s="827"/>
      <c r="FR1797" s="827"/>
      <c r="FS1797" s="827"/>
      <c r="FT1797" s="827"/>
      <c r="FU1797" s="827"/>
      <c r="FV1797" s="827"/>
      <c r="FW1797" s="827"/>
      <c r="FX1797" s="827"/>
      <c r="FY1797" s="827"/>
      <c r="FZ1797" s="827"/>
      <c r="GA1797" s="827"/>
      <c r="GB1797" s="827"/>
      <c r="GC1797" s="827"/>
      <c r="GD1797" s="827"/>
      <c r="GE1797" s="827"/>
      <c r="GF1797" s="827"/>
      <c r="GG1797" s="827"/>
      <c r="GH1797" s="827"/>
      <c r="GI1797" s="827"/>
      <c r="GJ1797" s="827"/>
      <c r="GK1797" s="827"/>
      <c r="GL1797" s="827"/>
      <c r="GM1797" s="827"/>
      <c r="GN1797" s="827"/>
      <c r="GO1797" s="827"/>
      <c r="GP1797" s="827"/>
      <c r="GQ1797" s="827"/>
      <c r="GR1797" s="827"/>
      <c r="GS1797" s="827"/>
      <c r="GT1797" s="827"/>
      <c r="GU1797" s="827"/>
      <c r="GV1797" s="827"/>
      <c r="GW1797" s="827"/>
      <c r="GX1797" s="827"/>
      <c r="GY1797" s="827"/>
      <c r="GZ1797" s="827"/>
      <c r="HA1797" s="827"/>
      <c r="HB1797" s="827"/>
      <c r="HC1797" s="827"/>
      <c r="HD1797" s="827"/>
      <c r="HE1797" s="827"/>
      <c r="HF1797" s="827"/>
      <c r="HG1797" s="827"/>
      <c r="HH1797" s="827"/>
      <c r="HI1797" s="827"/>
      <c r="HJ1797" s="827"/>
      <c r="HK1797" s="827"/>
      <c r="HL1797" s="827"/>
      <c r="HM1797" s="827"/>
      <c r="HN1797" s="827"/>
      <c r="HO1797" s="827"/>
      <c r="HP1797" s="827"/>
      <c r="HQ1797" s="827"/>
      <c r="HR1797" s="827"/>
      <c r="HS1797" s="827"/>
      <c r="HT1797" s="827"/>
      <c r="HU1797" s="827"/>
      <c r="HV1797" s="827"/>
      <c r="HW1797" s="827"/>
      <c r="HX1797" s="827"/>
      <c r="HY1797" s="827"/>
      <c r="HZ1797" s="827"/>
      <c r="IA1797" s="827"/>
      <c r="IB1797" s="827"/>
      <c r="IC1797" s="827"/>
      <c r="ID1797" s="827"/>
      <c r="IE1797" s="827"/>
      <c r="IF1797" s="827"/>
      <c r="IG1797" s="827"/>
      <c r="IH1797" s="827"/>
      <c r="II1797" s="827"/>
      <c r="IJ1797" s="827"/>
      <c r="IK1797" s="827"/>
      <c r="IL1797" s="827"/>
      <c r="IM1797" s="827"/>
      <c r="IN1797" s="827"/>
      <c r="IO1797" s="827"/>
      <c r="IP1797" s="827"/>
      <c r="IQ1797" s="827"/>
      <c r="IR1797" s="827"/>
      <c r="IS1797" s="827"/>
      <c r="IT1797" s="827"/>
      <c r="IU1797" s="827"/>
    </row>
    <row r="1798" spans="1:255" s="831" customFormat="1" ht="13.5" hidden="1" customHeight="1">
      <c r="A1798" s="336"/>
      <c r="B1798" s="543"/>
      <c r="C1798" s="335" t="s">
        <v>1408</v>
      </c>
      <c r="D1798" s="486" t="s">
        <v>113</v>
      </c>
      <c r="E1798" s="863"/>
      <c r="F1798" s="868">
        <f>'დეფექტური აქტი'!E426</f>
        <v>0</v>
      </c>
      <c r="G1798" s="542">
        <v>40</v>
      </c>
      <c r="H1798" s="389"/>
      <c r="I1798" s="389"/>
      <c r="J1798" s="389"/>
      <c r="K1798" s="389"/>
      <c r="L1798" s="389"/>
      <c r="M1798" s="389"/>
      <c r="N1798" s="830"/>
      <c r="O1798" s="828"/>
      <c r="P1798" s="828"/>
      <c r="Q1798" s="828"/>
      <c r="R1798" s="828"/>
      <c r="S1798" s="828"/>
      <c r="T1798" s="828"/>
      <c r="U1798" s="828"/>
      <c r="V1798" s="828"/>
      <c r="W1798" s="828"/>
      <c r="X1798" s="828"/>
      <c r="Y1798" s="828"/>
      <c r="Z1798" s="828"/>
      <c r="AA1798" s="827"/>
      <c r="AB1798" s="827"/>
      <c r="AC1798" s="827"/>
      <c r="AD1798" s="827"/>
      <c r="AE1798" s="827"/>
      <c r="AF1798" s="827"/>
      <c r="AG1798" s="827"/>
      <c r="AH1798" s="827"/>
      <c r="AI1798" s="827"/>
      <c r="AJ1798" s="827"/>
      <c r="AK1798" s="827"/>
      <c r="AL1798" s="827"/>
      <c r="AM1798" s="827"/>
      <c r="AN1798" s="827"/>
      <c r="AO1798" s="827"/>
      <c r="AP1798" s="827"/>
      <c r="AQ1798" s="827"/>
      <c r="AR1798" s="827"/>
      <c r="AS1798" s="827"/>
      <c r="AT1798" s="827"/>
      <c r="AU1798" s="827"/>
      <c r="AV1798" s="827"/>
      <c r="AW1798" s="827"/>
      <c r="AX1798" s="827"/>
      <c r="AY1798" s="827"/>
      <c r="AZ1798" s="827"/>
      <c r="BA1798" s="827"/>
      <c r="BB1798" s="827"/>
      <c r="BC1798" s="827"/>
      <c r="BD1798" s="827"/>
      <c r="BE1798" s="827"/>
      <c r="BF1798" s="827"/>
      <c r="BG1798" s="827"/>
      <c r="BH1798" s="827"/>
      <c r="BI1798" s="827"/>
      <c r="BJ1798" s="827"/>
      <c r="BK1798" s="827"/>
      <c r="BL1798" s="827"/>
      <c r="BM1798" s="827"/>
      <c r="BN1798" s="827"/>
      <c r="BO1798" s="827"/>
      <c r="BP1798" s="827"/>
      <c r="BQ1798" s="827"/>
      <c r="BR1798" s="827"/>
      <c r="BS1798" s="827"/>
      <c r="BT1798" s="827"/>
      <c r="BU1798" s="827"/>
      <c r="BV1798" s="827"/>
      <c r="BW1798" s="827"/>
      <c r="BX1798" s="827"/>
      <c r="BY1798" s="827"/>
      <c r="BZ1798" s="827"/>
      <c r="CA1798" s="827"/>
      <c r="CB1798" s="827"/>
      <c r="CC1798" s="827"/>
      <c r="CD1798" s="827"/>
      <c r="CE1798" s="827"/>
      <c r="CF1798" s="827"/>
      <c r="CG1798" s="827"/>
      <c r="CH1798" s="827"/>
      <c r="CI1798" s="827"/>
      <c r="CJ1798" s="827"/>
      <c r="CK1798" s="827"/>
      <c r="CL1798" s="827"/>
      <c r="CM1798" s="827"/>
      <c r="CN1798" s="827"/>
      <c r="CO1798" s="827"/>
      <c r="CP1798" s="827"/>
      <c r="CQ1798" s="827"/>
      <c r="CR1798" s="827"/>
      <c r="CS1798" s="827"/>
      <c r="CT1798" s="827"/>
      <c r="CU1798" s="827"/>
      <c r="CV1798" s="827"/>
      <c r="CW1798" s="827"/>
      <c r="CX1798" s="827"/>
      <c r="CY1798" s="827"/>
      <c r="CZ1798" s="827"/>
      <c r="DA1798" s="827"/>
      <c r="DB1798" s="827"/>
      <c r="DC1798" s="827"/>
      <c r="DD1798" s="827"/>
      <c r="DE1798" s="827"/>
      <c r="DF1798" s="827"/>
      <c r="DG1798" s="827"/>
      <c r="DH1798" s="827"/>
      <c r="DI1798" s="827"/>
      <c r="DJ1798" s="827"/>
      <c r="DK1798" s="827"/>
      <c r="DL1798" s="827"/>
      <c r="DM1798" s="827"/>
      <c r="DN1798" s="827"/>
      <c r="DO1798" s="827"/>
      <c r="DP1798" s="827"/>
      <c r="DQ1798" s="827"/>
      <c r="DR1798" s="827"/>
      <c r="DS1798" s="827"/>
      <c r="DT1798" s="827"/>
      <c r="DU1798" s="827"/>
      <c r="DV1798" s="827"/>
      <c r="DW1798" s="827"/>
      <c r="DX1798" s="827"/>
      <c r="DY1798" s="827"/>
      <c r="DZ1798" s="827"/>
      <c r="EA1798" s="827"/>
      <c r="EB1798" s="827"/>
      <c r="EC1798" s="827"/>
      <c r="ED1798" s="827"/>
      <c r="EE1798" s="827"/>
      <c r="EF1798" s="827"/>
      <c r="EG1798" s="827"/>
      <c r="EH1798" s="827"/>
      <c r="EI1798" s="827"/>
      <c r="EJ1798" s="827"/>
      <c r="EK1798" s="827"/>
      <c r="EL1798" s="827"/>
      <c r="EM1798" s="827"/>
      <c r="EN1798" s="827"/>
      <c r="EO1798" s="827"/>
      <c r="EP1798" s="827"/>
      <c r="EQ1798" s="827"/>
      <c r="ER1798" s="827"/>
      <c r="ES1798" s="827"/>
      <c r="ET1798" s="827"/>
      <c r="EU1798" s="827"/>
      <c r="EV1798" s="827"/>
      <c r="EW1798" s="827"/>
      <c r="EX1798" s="827"/>
      <c r="EY1798" s="827"/>
      <c r="EZ1798" s="827"/>
      <c r="FA1798" s="827"/>
      <c r="FB1798" s="827"/>
      <c r="FC1798" s="827"/>
      <c r="FD1798" s="827"/>
      <c r="FE1798" s="827"/>
      <c r="FF1798" s="827"/>
      <c r="FG1798" s="827"/>
      <c r="FH1798" s="827"/>
      <c r="FI1798" s="827"/>
      <c r="FJ1798" s="827"/>
      <c r="FK1798" s="827"/>
      <c r="FL1798" s="827"/>
      <c r="FM1798" s="827"/>
      <c r="FN1798" s="827"/>
      <c r="FO1798" s="827"/>
      <c r="FP1798" s="827"/>
      <c r="FQ1798" s="827"/>
      <c r="FR1798" s="827"/>
      <c r="FS1798" s="827"/>
      <c r="FT1798" s="827"/>
      <c r="FU1798" s="827"/>
      <c r="FV1798" s="827"/>
      <c r="FW1798" s="827"/>
      <c r="FX1798" s="827"/>
      <c r="FY1798" s="827"/>
      <c r="FZ1798" s="827"/>
      <c r="GA1798" s="827"/>
      <c r="GB1798" s="827"/>
      <c r="GC1798" s="827"/>
      <c r="GD1798" s="827"/>
      <c r="GE1798" s="827"/>
      <c r="GF1798" s="827"/>
      <c r="GG1798" s="827"/>
      <c r="GH1798" s="827"/>
      <c r="GI1798" s="827"/>
      <c r="GJ1798" s="827"/>
      <c r="GK1798" s="827"/>
      <c r="GL1798" s="827"/>
      <c r="GM1798" s="827"/>
      <c r="GN1798" s="827"/>
      <c r="GO1798" s="827"/>
      <c r="GP1798" s="827"/>
      <c r="GQ1798" s="827"/>
      <c r="GR1798" s="827"/>
      <c r="GS1798" s="827"/>
      <c r="GT1798" s="827"/>
      <c r="GU1798" s="827"/>
      <c r="GV1798" s="827"/>
      <c r="GW1798" s="827"/>
      <c r="GX1798" s="827"/>
      <c r="GY1798" s="827"/>
      <c r="GZ1798" s="827"/>
      <c r="HA1798" s="827"/>
      <c r="HB1798" s="827"/>
      <c r="HC1798" s="827"/>
      <c r="HD1798" s="827"/>
      <c r="HE1798" s="827"/>
      <c r="HF1798" s="827"/>
      <c r="HG1798" s="827"/>
      <c r="HH1798" s="827"/>
      <c r="HI1798" s="827"/>
      <c r="HJ1798" s="827"/>
      <c r="HK1798" s="827"/>
      <c r="HL1798" s="827"/>
      <c r="HM1798" s="827"/>
      <c r="HN1798" s="827"/>
      <c r="HO1798" s="827"/>
      <c r="HP1798" s="827"/>
      <c r="HQ1798" s="827"/>
      <c r="HR1798" s="827"/>
      <c r="HS1798" s="827"/>
      <c r="HT1798" s="827"/>
      <c r="HU1798" s="827"/>
      <c r="HV1798" s="827"/>
      <c r="HW1798" s="827"/>
      <c r="HX1798" s="827"/>
      <c r="HY1798" s="827"/>
      <c r="HZ1798" s="827"/>
      <c r="IA1798" s="827"/>
      <c r="IB1798" s="827"/>
      <c r="IC1798" s="827"/>
      <c r="ID1798" s="827"/>
      <c r="IE1798" s="827"/>
      <c r="IF1798" s="827"/>
      <c r="IG1798" s="827"/>
      <c r="IH1798" s="827"/>
      <c r="II1798" s="827"/>
      <c r="IJ1798" s="827"/>
      <c r="IK1798" s="827"/>
      <c r="IL1798" s="827"/>
      <c r="IM1798" s="827"/>
      <c r="IN1798" s="827"/>
      <c r="IO1798" s="827"/>
      <c r="IP1798" s="827"/>
      <c r="IQ1798" s="827"/>
      <c r="IR1798" s="827"/>
      <c r="IS1798" s="827"/>
      <c r="IT1798" s="827"/>
      <c r="IU1798" s="827"/>
    </row>
    <row r="1799" spans="1:255" s="831" customFormat="1" ht="13.5" hidden="1" customHeight="1">
      <c r="A1799" s="342"/>
      <c r="B1799" s="556"/>
      <c r="C1799" s="551" t="s">
        <v>214</v>
      </c>
      <c r="D1799" s="342" t="s">
        <v>57</v>
      </c>
      <c r="E1799" s="864">
        <v>2.4E-2</v>
      </c>
      <c r="F1799" s="392">
        <f>F1789*E1799</f>
        <v>0</v>
      </c>
      <c r="G1799" s="392">
        <v>3.2</v>
      </c>
      <c r="H1799" s="392">
        <f>F1799*G1799</f>
        <v>0</v>
      </c>
      <c r="I1799" s="392"/>
      <c r="J1799" s="392"/>
      <c r="K1799" s="392"/>
      <c r="L1799" s="392"/>
      <c r="M1799" s="392">
        <f>H1799+J1799+L1799</f>
        <v>0</v>
      </c>
      <c r="N1799" s="830"/>
      <c r="O1799" s="828"/>
      <c r="P1799" s="828"/>
      <c r="Q1799" s="828"/>
      <c r="R1799" s="828"/>
      <c r="S1799" s="828"/>
      <c r="T1799" s="828"/>
      <c r="U1799" s="828"/>
      <c r="V1799" s="828"/>
      <c r="W1799" s="828"/>
      <c r="X1799" s="828"/>
      <c r="Y1799" s="828"/>
      <c r="Z1799" s="828"/>
      <c r="AA1799" s="827"/>
      <c r="AB1799" s="827"/>
      <c r="AC1799" s="827"/>
      <c r="AD1799" s="827"/>
      <c r="AE1799" s="827"/>
      <c r="AF1799" s="827"/>
      <c r="AG1799" s="827"/>
      <c r="AH1799" s="827"/>
      <c r="AI1799" s="827"/>
      <c r="AJ1799" s="827"/>
      <c r="AK1799" s="827"/>
      <c r="AL1799" s="827"/>
      <c r="AM1799" s="827"/>
      <c r="AN1799" s="827"/>
      <c r="AO1799" s="827"/>
      <c r="AP1799" s="827"/>
      <c r="AQ1799" s="827"/>
      <c r="AR1799" s="827"/>
      <c r="AS1799" s="827"/>
      <c r="AT1799" s="827"/>
      <c r="AU1799" s="827"/>
      <c r="AV1799" s="827"/>
      <c r="AW1799" s="827"/>
      <c r="AX1799" s="827"/>
      <c r="AY1799" s="827"/>
      <c r="AZ1799" s="827"/>
      <c r="BA1799" s="827"/>
      <c r="BB1799" s="827"/>
      <c r="BC1799" s="827"/>
      <c r="BD1799" s="827"/>
      <c r="BE1799" s="827"/>
      <c r="BF1799" s="827"/>
      <c r="BG1799" s="827"/>
      <c r="BH1799" s="827"/>
      <c r="BI1799" s="827"/>
      <c r="BJ1799" s="827"/>
      <c r="BK1799" s="827"/>
      <c r="BL1799" s="827"/>
      <c r="BM1799" s="827"/>
      <c r="BN1799" s="827"/>
      <c r="BO1799" s="827"/>
      <c r="BP1799" s="827"/>
      <c r="BQ1799" s="827"/>
      <c r="BR1799" s="827"/>
      <c r="BS1799" s="827"/>
      <c r="BT1799" s="827"/>
      <c r="BU1799" s="827"/>
      <c r="BV1799" s="827"/>
      <c r="BW1799" s="827"/>
      <c r="BX1799" s="827"/>
      <c r="BY1799" s="827"/>
      <c r="BZ1799" s="827"/>
      <c r="CA1799" s="827"/>
      <c r="CB1799" s="827"/>
      <c r="CC1799" s="827"/>
      <c r="CD1799" s="827"/>
      <c r="CE1799" s="827"/>
      <c r="CF1799" s="827"/>
      <c r="CG1799" s="827"/>
      <c r="CH1799" s="827"/>
      <c r="CI1799" s="827"/>
      <c r="CJ1799" s="827"/>
      <c r="CK1799" s="827"/>
      <c r="CL1799" s="827"/>
      <c r="CM1799" s="827"/>
      <c r="CN1799" s="827"/>
      <c r="CO1799" s="827"/>
      <c r="CP1799" s="827"/>
      <c r="CQ1799" s="827"/>
      <c r="CR1799" s="827"/>
      <c r="CS1799" s="827"/>
      <c r="CT1799" s="827"/>
      <c r="CU1799" s="827"/>
      <c r="CV1799" s="827"/>
      <c r="CW1799" s="827"/>
      <c r="CX1799" s="827"/>
      <c r="CY1799" s="827"/>
      <c r="CZ1799" s="827"/>
      <c r="DA1799" s="827"/>
      <c r="DB1799" s="827"/>
      <c r="DC1799" s="827"/>
      <c r="DD1799" s="827"/>
      <c r="DE1799" s="827"/>
      <c r="DF1799" s="827"/>
      <c r="DG1799" s="827"/>
      <c r="DH1799" s="827"/>
      <c r="DI1799" s="827"/>
      <c r="DJ1799" s="827"/>
      <c r="DK1799" s="827"/>
      <c r="DL1799" s="827"/>
      <c r="DM1799" s="827"/>
      <c r="DN1799" s="827"/>
      <c r="DO1799" s="827"/>
      <c r="DP1799" s="827"/>
      <c r="DQ1799" s="827"/>
      <c r="DR1799" s="827"/>
      <c r="DS1799" s="827"/>
      <c r="DT1799" s="827"/>
      <c r="DU1799" s="827"/>
      <c r="DV1799" s="827"/>
      <c r="DW1799" s="827"/>
      <c r="DX1799" s="827"/>
      <c r="DY1799" s="827"/>
      <c r="DZ1799" s="827"/>
      <c r="EA1799" s="827"/>
      <c r="EB1799" s="827"/>
      <c r="EC1799" s="827"/>
      <c r="ED1799" s="827"/>
      <c r="EE1799" s="827"/>
      <c r="EF1799" s="827"/>
      <c r="EG1799" s="827"/>
      <c r="EH1799" s="827"/>
      <c r="EI1799" s="827"/>
      <c r="EJ1799" s="827"/>
      <c r="EK1799" s="827"/>
      <c r="EL1799" s="827"/>
      <c r="EM1799" s="827"/>
      <c r="EN1799" s="827"/>
      <c r="EO1799" s="827"/>
      <c r="EP1799" s="827"/>
      <c r="EQ1799" s="827"/>
      <c r="ER1799" s="827"/>
      <c r="ES1799" s="827"/>
      <c r="ET1799" s="827"/>
      <c r="EU1799" s="827"/>
      <c r="EV1799" s="827"/>
      <c r="EW1799" s="827"/>
      <c r="EX1799" s="827"/>
      <c r="EY1799" s="827"/>
      <c r="EZ1799" s="827"/>
      <c r="FA1799" s="827"/>
      <c r="FB1799" s="827"/>
      <c r="FC1799" s="827"/>
      <c r="FD1799" s="827"/>
      <c r="FE1799" s="827"/>
      <c r="FF1799" s="827"/>
      <c r="FG1799" s="827"/>
      <c r="FH1799" s="827"/>
      <c r="FI1799" s="827"/>
      <c r="FJ1799" s="827"/>
      <c r="FK1799" s="827"/>
      <c r="FL1799" s="827"/>
      <c r="FM1799" s="827"/>
      <c r="FN1799" s="827"/>
      <c r="FO1799" s="827"/>
      <c r="FP1799" s="827"/>
      <c r="FQ1799" s="827"/>
      <c r="FR1799" s="827"/>
      <c r="FS1799" s="827"/>
      <c r="FT1799" s="827"/>
      <c r="FU1799" s="827"/>
      <c r="FV1799" s="827"/>
      <c r="FW1799" s="827"/>
      <c r="FX1799" s="827"/>
      <c r="FY1799" s="827"/>
      <c r="FZ1799" s="827"/>
      <c r="GA1799" s="827"/>
      <c r="GB1799" s="827"/>
      <c r="GC1799" s="827"/>
      <c r="GD1799" s="827"/>
      <c r="GE1799" s="827"/>
      <c r="GF1799" s="827"/>
      <c r="GG1799" s="827"/>
      <c r="GH1799" s="827"/>
      <c r="GI1799" s="827"/>
      <c r="GJ1799" s="827"/>
      <c r="GK1799" s="827"/>
      <c r="GL1799" s="827"/>
      <c r="GM1799" s="827"/>
      <c r="GN1799" s="827"/>
      <c r="GO1799" s="827"/>
      <c r="GP1799" s="827"/>
      <c r="GQ1799" s="827"/>
      <c r="GR1799" s="827"/>
      <c r="GS1799" s="827"/>
      <c r="GT1799" s="827"/>
      <c r="GU1799" s="827"/>
      <c r="GV1799" s="827"/>
      <c r="GW1799" s="827"/>
      <c r="GX1799" s="827"/>
      <c r="GY1799" s="827"/>
      <c r="GZ1799" s="827"/>
      <c r="HA1799" s="827"/>
      <c r="HB1799" s="827"/>
      <c r="HC1799" s="827"/>
      <c r="HD1799" s="827"/>
      <c r="HE1799" s="827"/>
      <c r="HF1799" s="827"/>
      <c r="HG1799" s="827"/>
      <c r="HH1799" s="827"/>
      <c r="HI1799" s="827"/>
      <c r="HJ1799" s="827"/>
      <c r="HK1799" s="827"/>
      <c r="HL1799" s="827"/>
      <c r="HM1799" s="827"/>
      <c r="HN1799" s="827"/>
      <c r="HO1799" s="827"/>
      <c r="HP1799" s="827"/>
      <c r="HQ1799" s="827"/>
      <c r="HR1799" s="827"/>
      <c r="HS1799" s="827"/>
      <c r="HT1799" s="827"/>
      <c r="HU1799" s="827"/>
      <c r="HV1799" s="827"/>
      <c r="HW1799" s="827"/>
      <c r="HX1799" s="827"/>
      <c r="HY1799" s="827"/>
      <c r="HZ1799" s="827"/>
      <c r="IA1799" s="827"/>
      <c r="IB1799" s="827"/>
      <c r="IC1799" s="827"/>
      <c r="ID1799" s="827"/>
      <c r="IE1799" s="827"/>
      <c r="IF1799" s="827"/>
      <c r="IG1799" s="827"/>
      <c r="IH1799" s="827"/>
      <c r="II1799" s="827"/>
      <c r="IJ1799" s="827"/>
      <c r="IK1799" s="827"/>
      <c r="IL1799" s="827"/>
      <c r="IM1799" s="827"/>
      <c r="IN1799" s="827"/>
      <c r="IO1799" s="827"/>
      <c r="IP1799" s="827"/>
      <c r="IQ1799" s="827"/>
      <c r="IR1799" s="827"/>
      <c r="IS1799" s="827"/>
      <c r="IT1799" s="827"/>
      <c r="IU1799" s="827"/>
    </row>
    <row r="1800" spans="1:255" s="831" customFormat="1" ht="16.5" hidden="1" customHeight="1">
      <c r="A1800" s="336">
        <v>26</v>
      </c>
      <c r="B1800" s="540" t="s">
        <v>1374</v>
      </c>
      <c r="C1800" s="816" t="s">
        <v>1375</v>
      </c>
      <c r="D1800" s="486" t="s">
        <v>816</v>
      </c>
      <c r="E1800" s="863"/>
      <c r="F1800" s="867">
        <f>'დეფექტური აქტი'!E427</f>
        <v>0</v>
      </c>
      <c r="G1800" s="542"/>
      <c r="H1800" s="389"/>
      <c r="I1800" s="389"/>
      <c r="J1800" s="389"/>
      <c r="K1800" s="389"/>
      <c r="L1800" s="389"/>
      <c r="M1800" s="389"/>
      <c r="N1800" s="829"/>
      <c r="O1800" s="832"/>
    </row>
    <row r="1801" spans="1:255" s="831" customFormat="1" ht="13.5" hidden="1" customHeight="1">
      <c r="A1801" s="336"/>
      <c r="B1801" s="540"/>
      <c r="C1801" s="335" t="s">
        <v>128</v>
      </c>
      <c r="D1801" s="486" t="s">
        <v>80</v>
      </c>
      <c r="E1801" s="614">
        <v>1.95</v>
      </c>
      <c r="F1801" s="389">
        <f>F1800*E1801</f>
        <v>0</v>
      </c>
      <c r="G1801" s="542"/>
      <c r="H1801" s="636"/>
      <c r="I1801" s="389">
        <v>6</v>
      </c>
      <c r="J1801" s="389">
        <f>F1801*I1801</f>
        <v>0</v>
      </c>
      <c r="K1801" s="389"/>
      <c r="L1801" s="389"/>
      <c r="M1801" s="389">
        <f>H1801+J1801+L1801</f>
        <v>0</v>
      </c>
      <c r="N1801" s="830"/>
      <c r="O1801" s="833"/>
    </row>
    <row r="1802" spans="1:255" s="831" customFormat="1" ht="15.75" hidden="1" customHeight="1">
      <c r="A1802" s="336"/>
      <c r="B1802" s="543"/>
      <c r="C1802" s="335" t="s">
        <v>133</v>
      </c>
      <c r="D1802" s="336" t="s">
        <v>57</v>
      </c>
      <c r="E1802" s="863">
        <v>0.59</v>
      </c>
      <c r="F1802" s="389">
        <f>F1800*E1802</f>
        <v>0</v>
      </c>
      <c r="G1802" s="542"/>
      <c r="H1802" s="389"/>
      <c r="I1802" s="389"/>
      <c r="J1802" s="389"/>
      <c r="K1802" s="389">
        <v>3.2</v>
      </c>
      <c r="L1802" s="389">
        <f>F1802*K1802</f>
        <v>0</v>
      </c>
      <c r="M1802" s="389">
        <f>H1802+J1802+L1802</f>
        <v>0</v>
      </c>
      <c r="N1802" s="830"/>
      <c r="O1802" s="833"/>
    </row>
    <row r="1803" spans="1:255" s="831" customFormat="1" ht="13.5" hidden="1" customHeight="1">
      <c r="A1803" s="336"/>
      <c r="B1803" s="543"/>
      <c r="C1803" s="335" t="s">
        <v>210</v>
      </c>
      <c r="D1803" s="486"/>
      <c r="E1803" s="863"/>
      <c r="F1803" s="389"/>
      <c r="G1803" s="542"/>
      <c r="H1803" s="389"/>
      <c r="I1803" s="389"/>
      <c r="J1803" s="389"/>
      <c r="K1803" s="389"/>
      <c r="L1803" s="389"/>
      <c r="M1803" s="389"/>
      <c r="N1803" s="830"/>
      <c r="O1803" s="833"/>
    </row>
    <row r="1804" spans="1:255" s="831" customFormat="1" ht="13.5" hidden="1" customHeight="1">
      <c r="A1804" s="336"/>
      <c r="B1804" s="543"/>
      <c r="C1804" s="335" t="s">
        <v>1376</v>
      </c>
      <c r="D1804" s="486" t="s">
        <v>876</v>
      </c>
      <c r="E1804" s="863">
        <v>0.4</v>
      </c>
      <c r="F1804" s="389">
        <f>F1800*E1804</f>
        <v>0</v>
      </c>
      <c r="G1804" s="511">
        <v>12.4</v>
      </c>
      <c r="H1804" s="389">
        <f>F1804*G1804</f>
        <v>0</v>
      </c>
      <c r="I1804" s="389"/>
      <c r="J1804" s="389"/>
      <c r="K1804" s="389"/>
      <c r="L1804" s="389"/>
      <c r="M1804" s="389">
        <f>H1804+J1804+L1804</f>
        <v>0</v>
      </c>
      <c r="N1804" s="830"/>
      <c r="O1804" s="833"/>
    </row>
    <row r="1805" spans="1:255" s="831" customFormat="1" ht="13.5" hidden="1" customHeight="1">
      <c r="A1805" s="342"/>
      <c r="B1805" s="556"/>
      <c r="C1805" s="551" t="s">
        <v>214</v>
      </c>
      <c r="D1805" s="342" t="s">
        <v>57</v>
      </c>
      <c r="E1805" s="864">
        <v>0.4</v>
      </c>
      <c r="F1805" s="392">
        <f>F1800*E1805</f>
        <v>0</v>
      </c>
      <c r="G1805" s="392">
        <v>3.2</v>
      </c>
      <c r="H1805" s="392">
        <f>F1805*G1805</f>
        <v>0</v>
      </c>
      <c r="I1805" s="392"/>
      <c r="J1805" s="392"/>
      <c r="K1805" s="392"/>
      <c r="L1805" s="392"/>
      <c r="M1805" s="392">
        <f>H1805+J1805+L1805</f>
        <v>0</v>
      </c>
      <c r="N1805" s="830"/>
      <c r="O1805" s="833"/>
    </row>
    <row r="1806" spans="1:255" s="831" customFormat="1" ht="13.5" hidden="1" customHeight="1">
      <c r="A1806" s="834"/>
      <c r="B1806" s="479"/>
      <c r="C1806" s="481" t="s">
        <v>110</v>
      </c>
      <c r="D1806" s="466"/>
      <c r="E1806" s="870"/>
      <c r="F1806" s="870"/>
      <c r="G1806" s="505"/>
      <c r="H1806" s="505">
        <f>SUM(H1654:H1805)</f>
        <v>0</v>
      </c>
      <c r="I1806" s="505"/>
      <c r="J1806" s="505">
        <f>SUM(J1654:J1805)</f>
        <v>0</v>
      </c>
      <c r="K1806" s="505"/>
      <c r="L1806" s="505">
        <f>SUM(L1654:L1805)</f>
        <v>0</v>
      </c>
      <c r="M1806" s="505">
        <f>SUM(M1654:M1805)</f>
        <v>0</v>
      </c>
      <c r="N1806" s="817"/>
      <c r="O1806" s="817"/>
      <c r="P1806" s="818"/>
      <c r="Q1806" s="818"/>
      <c r="R1806" s="818"/>
      <c r="S1806" s="818"/>
      <c r="T1806" s="818"/>
      <c r="U1806" s="818"/>
      <c r="V1806" s="818"/>
      <c r="W1806" s="818"/>
      <c r="X1806" s="818"/>
      <c r="Y1806" s="818"/>
      <c r="Z1806" s="818"/>
      <c r="AA1806" s="817"/>
      <c r="AB1806" s="817"/>
      <c r="AC1806" s="817"/>
      <c r="AD1806" s="817"/>
      <c r="AE1806" s="817"/>
      <c r="AF1806" s="817"/>
      <c r="AG1806" s="817"/>
      <c r="AH1806" s="817"/>
      <c r="AI1806" s="817"/>
      <c r="AJ1806" s="817"/>
      <c r="AK1806" s="817"/>
      <c r="AL1806" s="817"/>
      <c r="AM1806" s="817"/>
      <c r="AN1806" s="817"/>
      <c r="AO1806" s="817"/>
      <c r="AP1806" s="817"/>
      <c r="AQ1806" s="817"/>
      <c r="AR1806" s="817"/>
      <c r="AS1806" s="817"/>
      <c r="AT1806" s="817"/>
      <c r="AU1806" s="817"/>
      <c r="AV1806" s="817"/>
      <c r="AW1806" s="817"/>
      <c r="AX1806" s="817"/>
      <c r="AY1806" s="817"/>
      <c r="AZ1806" s="817"/>
      <c r="BA1806" s="817"/>
      <c r="BB1806" s="817"/>
      <c r="BC1806" s="817"/>
      <c r="BD1806" s="817"/>
      <c r="BE1806" s="817"/>
      <c r="BF1806" s="817"/>
      <c r="BG1806" s="817"/>
      <c r="BH1806" s="817"/>
      <c r="BI1806" s="817"/>
      <c r="BJ1806" s="817"/>
      <c r="BK1806" s="817"/>
      <c r="BL1806" s="817"/>
      <c r="BM1806" s="817"/>
      <c r="BN1806" s="817"/>
      <c r="BO1806" s="817"/>
      <c r="BP1806" s="817"/>
      <c r="BQ1806" s="817"/>
      <c r="BR1806" s="817"/>
      <c r="BS1806" s="817"/>
      <c r="BT1806" s="817"/>
      <c r="BU1806" s="817"/>
      <c r="BV1806" s="817"/>
      <c r="BW1806" s="817"/>
      <c r="BX1806" s="817"/>
      <c r="BY1806" s="817"/>
      <c r="BZ1806" s="817"/>
      <c r="CA1806" s="817"/>
      <c r="CB1806" s="817"/>
      <c r="CC1806" s="817"/>
      <c r="CD1806" s="817"/>
      <c r="CE1806" s="817"/>
      <c r="CF1806" s="817"/>
      <c r="CG1806" s="817"/>
      <c r="CH1806" s="817"/>
      <c r="CI1806" s="817"/>
      <c r="CJ1806" s="817"/>
      <c r="CK1806" s="817"/>
      <c r="CL1806" s="817"/>
      <c r="CM1806" s="817"/>
      <c r="CN1806" s="817"/>
      <c r="CO1806" s="817"/>
      <c r="CP1806" s="817"/>
      <c r="CQ1806" s="817"/>
      <c r="CR1806" s="817"/>
      <c r="CS1806" s="817"/>
      <c r="CT1806" s="817"/>
      <c r="CU1806" s="817"/>
      <c r="CV1806" s="817"/>
      <c r="CW1806" s="817"/>
      <c r="CX1806" s="817"/>
      <c r="CY1806" s="817"/>
      <c r="CZ1806" s="817"/>
      <c r="DA1806" s="817"/>
      <c r="DB1806" s="817"/>
      <c r="DC1806" s="817"/>
      <c r="DD1806" s="817"/>
      <c r="DE1806" s="817"/>
      <c r="DF1806" s="817"/>
      <c r="DG1806" s="817"/>
      <c r="DH1806" s="817"/>
      <c r="DI1806" s="817"/>
      <c r="DJ1806" s="817"/>
      <c r="DK1806" s="817"/>
      <c r="DL1806" s="817"/>
      <c r="DM1806" s="817"/>
      <c r="DN1806" s="817"/>
      <c r="DO1806" s="817"/>
      <c r="DP1806" s="817"/>
      <c r="DQ1806" s="817"/>
      <c r="DR1806" s="817"/>
      <c r="DS1806" s="817"/>
      <c r="DT1806" s="817"/>
      <c r="DU1806" s="817"/>
      <c r="DV1806" s="817"/>
      <c r="DW1806" s="817"/>
      <c r="DX1806" s="817"/>
      <c r="DY1806" s="817"/>
      <c r="DZ1806" s="817"/>
      <c r="EA1806" s="817"/>
      <c r="EB1806" s="817"/>
      <c r="EC1806" s="817"/>
      <c r="ED1806" s="817"/>
      <c r="EE1806" s="817"/>
      <c r="EF1806" s="817"/>
      <c r="EG1806" s="817"/>
      <c r="EH1806" s="817"/>
      <c r="EI1806" s="817"/>
      <c r="EJ1806" s="817"/>
      <c r="EK1806" s="817"/>
      <c r="EL1806" s="817"/>
      <c r="EM1806" s="817"/>
      <c r="EN1806" s="817"/>
      <c r="EO1806" s="817"/>
      <c r="EP1806" s="817"/>
      <c r="EQ1806" s="817"/>
      <c r="ER1806" s="817"/>
      <c r="ES1806" s="817"/>
      <c r="ET1806" s="817"/>
      <c r="EU1806" s="817"/>
      <c r="EV1806" s="817"/>
      <c r="EW1806" s="817"/>
      <c r="EX1806" s="817"/>
      <c r="EY1806" s="817"/>
      <c r="EZ1806" s="817"/>
      <c r="FA1806" s="817"/>
      <c r="FB1806" s="817"/>
      <c r="FC1806" s="817"/>
      <c r="FD1806" s="817"/>
      <c r="FE1806" s="817"/>
      <c r="FF1806" s="817"/>
      <c r="FG1806" s="817"/>
      <c r="FH1806" s="817"/>
      <c r="FI1806" s="817"/>
      <c r="FJ1806" s="817"/>
      <c r="FK1806" s="817"/>
      <c r="FL1806" s="817"/>
      <c r="FM1806" s="817"/>
      <c r="FN1806" s="817"/>
      <c r="FO1806" s="817"/>
      <c r="FP1806" s="817"/>
      <c r="FQ1806" s="817"/>
      <c r="FR1806" s="817"/>
      <c r="FS1806" s="817"/>
      <c r="FT1806" s="817"/>
      <c r="FU1806" s="817"/>
      <c r="FV1806" s="817"/>
      <c r="FW1806" s="817"/>
      <c r="FX1806" s="817"/>
      <c r="FY1806" s="817"/>
      <c r="FZ1806" s="817"/>
      <c r="GA1806" s="817"/>
      <c r="GB1806" s="817"/>
      <c r="GC1806" s="817"/>
      <c r="GD1806" s="817"/>
      <c r="GE1806" s="817"/>
      <c r="GF1806" s="817"/>
      <c r="GG1806" s="817"/>
      <c r="GH1806" s="817"/>
      <c r="GI1806" s="817"/>
      <c r="GJ1806" s="817"/>
      <c r="GK1806" s="817"/>
      <c r="GL1806" s="817"/>
      <c r="GM1806" s="817"/>
      <c r="GN1806" s="817"/>
      <c r="GO1806" s="817"/>
      <c r="GP1806" s="817"/>
      <c r="GQ1806" s="817"/>
      <c r="GR1806" s="817"/>
      <c r="GS1806" s="817"/>
      <c r="GT1806" s="817"/>
      <c r="GU1806" s="817"/>
      <c r="GV1806" s="817"/>
      <c r="GW1806" s="817"/>
      <c r="GX1806" s="817"/>
      <c r="GY1806" s="817"/>
      <c r="GZ1806" s="817"/>
      <c r="HA1806" s="817"/>
      <c r="HB1806" s="817"/>
      <c r="HC1806" s="817"/>
      <c r="HD1806" s="817"/>
      <c r="HE1806" s="817"/>
      <c r="HF1806" s="817"/>
      <c r="HG1806" s="817"/>
      <c r="HH1806" s="817"/>
      <c r="HI1806" s="817"/>
      <c r="HJ1806" s="817"/>
      <c r="HK1806" s="817"/>
      <c r="HL1806" s="817"/>
      <c r="HM1806" s="817"/>
      <c r="HN1806" s="817"/>
      <c r="HO1806" s="817"/>
      <c r="HP1806" s="817"/>
      <c r="HQ1806" s="817"/>
      <c r="HR1806" s="817"/>
      <c r="HS1806" s="817"/>
      <c r="HT1806" s="817"/>
      <c r="HU1806" s="817"/>
      <c r="HV1806" s="817"/>
      <c r="HW1806" s="817"/>
      <c r="HX1806" s="817"/>
      <c r="HY1806" s="817"/>
      <c r="HZ1806" s="817"/>
      <c r="IA1806" s="817"/>
      <c r="IB1806" s="817"/>
      <c r="IC1806" s="817"/>
      <c r="ID1806" s="817"/>
      <c r="IE1806" s="817"/>
      <c r="IF1806" s="817"/>
      <c r="IG1806" s="817"/>
      <c r="IH1806" s="817"/>
      <c r="II1806" s="817"/>
      <c r="IJ1806" s="817"/>
      <c r="IK1806" s="817"/>
      <c r="IL1806" s="817"/>
      <c r="IM1806" s="817"/>
      <c r="IN1806" s="817"/>
      <c r="IO1806" s="817"/>
      <c r="IP1806" s="817"/>
      <c r="IQ1806" s="817"/>
      <c r="IR1806" s="817"/>
      <c r="IS1806" s="817"/>
      <c r="IT1806" s="817"/>
      <c r="IU1806" s="817"/>
    </row>
    <row r="1807" spans="1:255" s="831" customFormat="1" ht="13.5" hidden="1" customHeight="1">
      <c r="A1807" s="488"/>
      <c r="B1807" s="488"/>
      <c r="C1807" s="111" t="s">
        <v>1177</v>
      </c>
      <c r="D1807" s="483">
        <f>'დეფექტური აქტი'!E429%</f>
        <v>0.1</v>
      </c>
      <c r="E1807" s="505"/>
      <c r="F1807" s="505"/>
      <c r="G1807" s="505"/>
      <c r="H1807" s="505">
        <f>H1806*D1807</f>
        <v>0</v>
      </c>
      <c r="I1807" s="505"/>
      <c r="J1807" s="505">
        <f>J1806*D1807</f>
        <v>0</v>
      </c>
      <c r="K1807" s="505"/>
      <c r="L1807" s="505">
        <f>L1806*D1807</f>
        <v>0</v>
      </c>
      <c r="M1807" s="505">
        <f>M1806*D1807</f>
        <v>0</v>
      </c>
      <c r="N1807" s="811"/>
      <c r="O1807" s="827"/>
      <c r="P1807" s="828"/>
      <c r="Q1807" s="828"/>
      <c r="R1807" s="828"/>
      <c r="S1807" s="828"/>
      <c r="T1807" s="828"/>
      <c r="U1807" s="828"/>
      <c r="V1807" s="828"/>
      <c r="W1807" s="828"/>
      <c r="X1807" s="828"/>
      <c r="Y1807" s="828"/>
      <c r="Z1807" s="828"/>
      <c r="AA1807" s="827"/>
      <c r="AB1807" s="827"/>
      <c r="AC1807" s="827"/>
      <c r="AD1807" s="827"/>
      <c r="AE1807" s="827"/>
      <c r="AF1807" s="827"/>
      <c r="AG1807" s="827"/>
      <c r="AH1807" s="827"/>
      <c r="AI1807" s="827"/>
      <c r="AJ1807" s="827"/>
      <c r="AK1807" s="827"/>
      <c r="AL1807" s="827"/>
      <c r="AM1807" s="827"/>
      <c r="AN1807" s="827"/>
      <c r="AO1807" s="827"/>
      <c r="AP1807" s="827"/>
      <c r="AQ1807" s="827"/>
      <c r="AR1807" s="827"/>
      <c r="AS1807" s="827"/>
      <c r="AT1807" s="827"/>
      <c r="AU1807" s="827"/>
      <c r="AV1807" s="827"/>
      <c r="AW1807" s="827"/>
      <c r="AX1807" s="827"/>
      <c r="AY1807" s="827"/>
      <c r="AZ1807" s="827"/>
      <c r="BA1807" s="827"/>
      <c r="BB1807" s="827"/>
      <c r="BC1807" s="827"/>
      <c r="BD1807" s="827"/>
      <c r="BE1807" s="827"/>
      <c r="BF1807" s="827"/>
      <c r="BG1807" s="827"/>
      <c r="BH1807" s="827"/>
      <c r="BI1807" s="827"/>
      <c r="BJ1807" s="827"/>
      <c r="BK1807" s="827"/>
      <c r="BL1807" s="827"/>
      <c r="BM1807" s="827"/>
      <c r="BN1807" s="827"/>
      <c r="BO1807" s="827"/>
      <c r="BP1807" s="827"/>
      <c r="BQ1807" s="827"/>
      <c r="BR1807" s="827"/>
      <c r="BS1807" s="827"/>
      <c r="BT1807" s="827"/>
      <c r="BU1807" s="827"/>
      <c r="BV1807" s="827"/>
      <c r="BW1807" s="827"/>
      <c r="BX1807" s="827"/>
      <c r="BY1807" s="827"/>
      <c r="BZ1807" s="827"/>
      <c r="CA1807" s="827"/>
      <c r="CB1807" s="827"/>
      <c r="CC1807" s="827"/>
      <c r="CD1807" s="827"/>
      <c r="CE1807" s="827"/>
      <c r="CF1807" s="827"/>
      <c r="CG1807" s="827"/>
      <c r="CH1807" s="827"/>
      <c r="CI1807" s="827"/>
      <c r="CJ1807" s="827"/>
      <c r="CK1807" s="827"/>
      <c r="CL1807" s="827"/>
      <c r="CM1807" s="827"/>
      <c r="CN1807" s="827"/>
      <c r="CO1807" s="827"/>
      <c r="CP1807" s="827"/>
      <c r="CQ1807" s="827"/>
      <c r="CR1807" s="827"/>
      <c r="CS1807" s="827"/>
      <c r="CT1807" s="827"/>
      <c r="CU1807" s="827"/>
      <c r="CV1807" s="827"/>
      <c r="CW1807" s="827"/>
      <c r="CX1807" s="827"/>
      <c r="CY1807" s="827"/>
      <c r="CZ1807" s="827"/>
      <c r="DA1807" s="827"/>
      <c r="DB1807" s="827"/>
      <c r="DC1807" s="827"/>
      <c r="DD1807" s="827"/>
      <c r="DE1807" s="827"/>
      <c r="DF1807" s="827"/>
      <c r="DG1807" s="827"/>
      <c r="DH1807" s="827"/>
      <c r="DI1807" s="827"/>
      <c r="DJ1807" s="827"/>
      <c r="DK1807" s="827"/>
      <c r="DL1807" s="827"/>
      <c r="DM1807" s="827"/>
      <c r="DN1807" s="827"/>
      <c r="DO1807" s="827"/>
      <c r="DP1807" s="827"/>
      <c r="DQ1807" s="827"/>
      <c r="DR1807" s="827"/>
      <c r="DS1807" s="827"/>
      <c r="DT1807" s="827"/>
      <c r="DU1807" s="827"/>
      <c r="DV1807" s="827"/>
      <c r="DW1807" s="827"/>
      <c r="DX1807" s="827"/>
      <c r="DY1807" s="827"/>
      <c r="DZ1807" s="827"/>
      <c r="EA1807" s="827"/>
      <c r="EB1807" s="827"/>
      <c r="EC1807" s="827"/>
      <c r="ED1807" s="827"/>
      <c r="EE1807" s="827"/>
      <c r="EF1807" s="827"/>
      <c r="EG1807" s="827"/>
      <c r="EH1807" s="827"/>
      <c r="EI1807" s="827"/>
      <c r="EJ1807" s="827"/>
      <c r="EK1807" s="827"/>
      <c r="EL1807" s="827"/>
      <c r="EM1807" s="827"/>
      <c r="EN1807" s="827"/>
      <c r="EO1807" s="827"/>
      <c r="EP1807" s="827"/>
      <c r="EQ1807" s="827"/>
      <c r="ER1807" s="827"/>
      <c r="ES1807" s="827"/>
      <c r="ET1807" s="827"/>
      <c r="EU1807" s="827"/>
      <c r="EV1807" s="827"/>
      <c r="EW1807" s="827"/>
      <c r="EX1807" s="827"/>
      <c r="EY1807" s="827"/>
      <c r="EZ1807" s="827"/>
      <c r="FA1807" s="827"/>
      <c r="FB1807" s="827"/>
      <c r="FC1807" s="827"/>
      <c r="FD1807" s="827"/>
      <c r="FE1807" s="827"/>
      <c r="FF1807" s="827"/>
      <c r="FG1807" s="827"/>
      <c r="FH1807" s="827"/>
      <c r="FI1807" s="827"/>
      <c r="FJ1807" s="827"/>
      <c r="FK1807" s="827"/>
      <c r="FL1807" s="827"/>
      <c r="FM1807" s="827"/>
      <c r="FN1807" s="827"/>
      <c r="FO1807" s="827"/>
      <c r="FP1807" s="827"/>
      <c r="FQ1807" s="827"/>
      <c r="FR1807" s="827"/>
      <c r="FS1807" s="827"/>
      <c r="FT1807" s="827"/>
      <c r="FU1807" s="827"/>
      <c r="FV1807" s="827"/>
      <c r="FW1807" s="827"/>
      <c r="FX1807" s="827"/>
      <c r="FY1807" s="827"/>
      <c r="FZ1807" s="827"/>
      <c r="GA1807" s="827"/>
      <c r="GB1807" s="827"/>
      <c r="GC1807" s="827"/>
      <c r="GD1807" s="827"/>
      <c r="GE1807" s="827"/>
      <c r="GF1807" s="827"/>
      <c r="GG1807" s="827"/>
      <c r="GH1807" s="827"/>
      <c r="GI1807" s="827"/>
      <c r="GJ1807" s="827"/>
      <c r="GK1807" s="827"/>
      <c r="GL1807" s="827"/>
      <c r="GM1807" s="827"/>
      <c r="GN1807" s="827"/>
      <c r="GO1807" s="827"/>
      <c r="GP1807" s="827"/>
      <c r="GQ1807" s="827"/>
      <c r="GR1807" s="827"/>
      <c r="GS1807" s="827"/>
      <c r="GT1807" s="827"/>
      <c r="GU1807" s="827"/>
      <c r="GV1807" s="827"/>
      <c r="GW1807" s="827"/>
      <c r="GX1807" s="827"/>
      <c r="GY1807" s="827"/>
      <c r="GZ1807" s="827"/>
      <c r="HA1807" s="827"/>
      <c r="HB1807" s="827"/>
      <c r="HC1807" s="827"/>
      <c r="HD1807" s="827"/>
      <c r="HE1807" s="827"/>
      <c r="HF1807" s="827"/>
      <c r="HG1807" s="827"/>
      <c r="HH1807" s="827"/>
      <c r="HI1807" s="827"/>
      <c r="HJ1807" s="827"/>
      <c r="HK1807" s="827"/>
      <c r="HL1807" s="827"/>
      <c r="HM1807" s="827"/>
      <c r="HN1807" s="827"/>
      <c r="HO1807" s="827"/>
      <c r="HP1807" s="827"/>
      <c r="HQ1807" s="827"/>
      <c r="HR1807" s="827"/>
      <c r="HS1807" s="827"/>
      <c r="HT1807" s="827"/>
      <c r="HU1807" s="827"/>
      <c r="HV1807" s="827"/>
      <c r="HW1807" s="827"/>
      <c r="HX1807" s="827"/>
      <c r="HY1807" s="827"/>
      <c r="HZ1807" s="827"/>
      <c r="IA1807" s="827"/>
      <c r="IB1807" s="827"/>
      <c r="IC1807" s="827"/>
      <c r="ID1807" s="827"/>
      <c r="IE1807" s="827"/>
      <c r="IF1807" s="827"/>
      <c r="IG1807" s="827"/>
      <c r="IH1807" s="827"/>
      <c r="II1807" s="827"/>
      <c r="IJ1807" s="827"/>
      <c r="IK1807" s="827"/>
      <c r="IL1807" s="827"/>
      <c r="IM1807" s="827"/>
      <c r="IN1807" s="827"/>
      <c r="IO1807" s="827"/>
      <c r="IP1807" s="827"/>
      <c r="IQ1807" s="827"/>
      <c r="IR1807" s="827"/>
      <c r="IS1807" s="827"/>
      <c r="IT1807" s="827"/>
      <c r="IU1807" s="827"/>
    </row>
    <row r="1808" spans="1:255" s="831" customFormat="1" hidden="1">
      <c r="A1808" s="488"/>
      <c r="B1808" s="488"/>
      <c r="C1808" s="481" t="s">
        <v>110</v>
      </c>
      <c r="D1808" s="466"/>
      <c r="E1808" s="505"/>
      <c r="F1808" s="505"/>
      <c r="G1808" s="505"/>
      <c r="H1808" s="505">
        <f t="shared" ref="H1808:M1808" si="37">H1806+H1807</f>
        <v>0</v>
      </c>
      <c r="I1808" s="505"/>
      <c r="J1808" s="505">
        <f t="shared" si="37"/>
        <v>0</v>
      </c>
      <c r="K1808" s="505"/>
      <c r="L1808" s="505">
        <f t="shared" si="37"/>
        <v>0</v>
      </c>
      <c r="M1808" s="505">
        <f t="shared" si="37"/>
        <v>0</v>
      </c>
      <c r="N1808" s="811"/>
      <c r="O1808" s="827"/>
      <c r="P1808" s="828"/>
      <c r="Q1808" s="828"/>
      <c r="R1808" s="828"/>
      <c r="S1808" s="828"/>
      <c r="T1808" s="828"/>
      <c r="U1808" s="828"/>
      <c r="V1808" s="828"/>
      <c r="W1808" s="828"/>
      <c r="X1808" s="828"/>
      <c r="Y1808" s="828"/>
      <c r="Z1808" s="828"/>
      <c r="AA1808" s="827"/>
      <c r="AB1808" s="827"/>
      <c r="AC1808" s="827"/>
      <c r="AD1808" s="827"/>
      <c r="AE1808" s="827"/>
      <c r="AF1808" s="827"/>
      <c r="AG1808" s="827"/>
      <c r="AH1808" s="827"/>
      <c r="AI1808" s="827"/>
      <c r="AJ1808" s="827"/>
      <c r="AK1808" s="827"/>
      <c r="AL1808" s="827"/>
      <c r="AM1808" s="827"/>
      <c r="AN1808" s="827"/>
      <c r="AO1808" s="827"/>
      <c r="AP1808" s="827"/>
      <c r="AQ1808" s="827"/>
      <c r="AR1808" s="827"/>
      <c r="AS1808" s="827"/>
      <c r="AT1808" s="827"/>
      <c r="AU1808" s="827"/>
      <c r="AV1808" s="827"/>
      <c r="AW1808" s="827"/>
      <c r="AX1808" s="827"/>
      <c r="AY1808" s="827"/>
      <c r="AZ1808" s="827"/>
      <c r="BA1808" s="827"/>
      <c r="BB1808" s="827"/>
      <c r="BC1808" s="827"/>
      <c r="BD1808" s="827"/>
      <c r="BE1808" s="827"/>
      <c r="BF1808" s="827"/>
      <c r="BG1808" s="827"/>
      <c r="BH1808" s="827"/>
      <c r="BI1808" s="827"/>
      <c r="BJ1808" s="827"/>
      <c r="BK1808" s="827"/>
      <c r="BL1808" s="827"/>
      <c r="BM1808" s="827"/>
      <c r="BN1808" s="827"/>
      <c r="BO1808" s="827"/>
      <c r="BP1808" s="827"/>
      <c r="BQ1808" s="827"/>
      <c r="BR1808" s="827"/>
      <c r="BS1808" s="827"/>
      <c r="BT1808" s="827"/>
      <c r="BU1808" s="827"/>
      <c r="BV1808" s="827"/>
      <c r="BW1808" s="827"/>
      <c r="BX1808" s="827"/>
      <c r="BY1808" s="827"/>
      <c r="BZ1808" s="827"/>
      <c r="CA1808" s="827"/>
      <c r="CB1808" s="827"/>
      <c r="CC1808" s="827"/>
      <c r="CD1808" s="827"/>
      <c r="CE1808" s="827"/>
      <c r="CF1808" s="827"/>
      <c r="CG1808" s="827"/>
      <c r="CH1808" s="827"/>
      <c r="CI1808" s="827"/>
      <c r="CJ1808" s="827"/>
      <c r="CK1808" s="827"/>
      <c r="CL1808" s="827"/>
      <c r="CM1808" s="827"/>
      <c r="CN1808" s="827"/>
      <c r="CO1808" s="827"/>
      <c r="CP1808" s="827"/>
      <c r="CQ1808" s="827"/>
      <c r="CR1808" s="827"/>
      <c r="CS1808" s="827"/>
      <c r="CT1808" s="827"/>
      <c r="CU1808" s="827"/>
      <c r="CV1808" s="827"/>
      <c r="CW1808" s="827"/>
      <c r="CX1808" s="827"/>
      <c r="CY1808" s="827"/>
      <c r="CZ1808" s="827"/>
      <c r="DA1808" s="827"/>
      <c r="DB1808" s="827"/>
      <c r="DC1808" s="827"/>
      <c r="DD1808" s="827"/>
      <c r="DE1808" s="827"/>
      <c r="DF1808" s="827"/>
      <c r="DG1808" s="827"/>
      <c r="DH1808" s="827"/>
      <c r="DI1808" s="827"/>
      <c r="DJ1808" s="827"/>
      <c r="DK1808" s="827"/>
      <c r="DL1808" s="827"/>
      <c r="DM1808" s="827"/>
      <c r="DN1808" s="827"/>
      <c r="DO1808" s="827"/>
      <c r="DP1808" s="827"/>
      <c r="DQ1808" s="827"/>
      <c r="DR1808" s="827"/>
      <c r="DS1808" s="827"/>
      <c r="DT1808" s="827"/>
      <c r="DU1808" s="827"/>
      <c r="DV1808" s="827"/>
      <c r="DW1808" s="827"/>
      <c r="DX1808" s="827"/>
      <c r="DY1808" s="827"/>
      <c r="DZ1808" s="827"/>
      <c r="EA1808" s="827"/>
      <c r="EB1808" s="827"/>
      <c r="EC1808" s="827"/>
      <c r="ED1808" s="827"/>
      <c r="EE1808" s="827"/>
      <c r="EF1808" s="827"/>
      <c r="EG1808" s="827"/>
      <c r="EH1808" s="827"/>
      <c r="EI1808" s="827"/>
      <c r="EJ1808" s="827"/>
      <c r="EK1808" s="827"/>
      <c r="EL1808" s="827"/>
      <c r="EM1808" s="827"/>
      <c r="EN1808" s="827"/>
      <c r="EO1808" s="827"/>
      <c r="EP1808" s="827"/>
      <c r="EQ1808" s="827"/>
      <c r="ER1808" s="827"/>
      <c r="ES1808" s="827"/>
      <c r="ET1808" s="827"/>
      <c r="EU1808" s="827"/>
      <c r="EV1808" s="827"/>
      <c r="EW1808" s="827"/>
      <c r="EX1808" s="827"/>
      <c r="EY1808" s="827"/>
      <c r="EZ1808" s="827"/>
      <c r="FA1808" s="827"/>
      <c r="FB1808" s="827"/>
      <c r="FC1808" s="827"/>
      <c r="FD1808" s="827"/>
      <c r="FE1808" s="827"/>
      <c r="FF1808" s="827"/>
      <c r="FG1808" s="827"/>
      <c r="FH1808" s="827"/>
      <c r="FI1808" s="827"/>
      <c r="FJ1808" s="827"/>
      <c r="FK1808" s="827"/>
      <c r="FL1808" s="827"/>
      <c r="FM1808" s="827"/>
      <c r="FN1808" s="827"/>
      <c r="FO1808" s="827"/>
      <c r="FP1808" s="827"/>
      <c r="FQ1808" s="827"/>
      <c r="FR1808" s="827"/>
      <c r="FS1808" s="827"/>
      <c r="FT1808" s="827"/>
      <c r="FU1808" s="827"/>
      <c r="FV1808" s="827"/>
      <c r="FW1808" s="827"/>
      <c r="FX1808" s="827"/>
      <c r="FY1808" s="827"/>
      <c r="FZ1808" s="827"/>
      <c r="GA1808" s="827"/>
      <c r="GB1808" s="827"/>
      <c r="GC1808" s="827"/>
      <c r="GD1808" s="827"/>
      <c r="GE1808" s="827"/>
      <c r="GF1808" s="827"/>
      <c r="GG1808" s="827"/>
      <c r="GH1808" s="827"/>
      <c r="GI1808" s="827"/>
      <c r="GJ1808" s="827"/>
      <c r="GK1808" s="827"/>
      <c r="GL1808" s="827"/>
      <c r="GM1808" s="827"/>
      <c r="GN1808" s="827"/>
      <c r="GO1808" s="827"/>
      <c r="GP1808" s="827"/>
      <c r="GQ1808" s="827"/>
      <c r="GR1808" s="827"/>
      <c r="GS1808" s="827"/>
      <c r="GT1808" s="827"/>
      <c r="GU1808" s="827"/>
      <c r="GV1808" s="827"/>
      <c r="GW1808" s="827"/>
      <c r="GX1808" s="827"/>
      <c r="GY1808" s="827"/>
      <c r="GZ1808" s="827"/>
      <c r="HA1808" s="827"/>
      <c r="HB1808" s="827"/>
      <c r="HC1808" s="827"/>
      <c r="HD1808" s="827"/>
      <c r="HE1808" s="827"/>
      <c r="HF1808" s="827"/>
      <c r="HG1808" s="827"/>
      <c r="HH1808" s="827"/>
      <c r="HI1808" s="827"/>
      <c r="HJ1808" s="827"/>
      <c r="HK1808" s="827"/>
      <c r="HL1808" s="827"/>
      <c r="HM1808" s="827"/>
      <c r="HN1808" s="827"/>
      <c r="HO1808" s="827"/>
      <c r="HP1808" s="827"/>
      <c r="HQ1808" s="827"/>
      <c r="HR1808" s="827"/>
      <c r="HS1808" s="827"/>
      <c r="HT1808" s="827"/>
      <c r="HU1808" s="827"/>
      <c r="HV1808" s="827"/>
      <c r="HW1808" s="827"/>
      <c r="HX1808" s="827"/>
      <c r="HY1808" s="827"/>
      <c r="HZ1808" s="827"/>
      <c r="IA1808" s="827"/>
      <c r="IB1808" s="827"/>
      <c r="IC1808" s="827"/>
      <c r="ID1808" s="827"/>
      <c r="IE1808" s="827"/>
      <c r="IF1808" s="827"/>
      <c r="IG1808" s="827"/>
      <c r="IH1808" s="827"/>
      <c r="II1808" s="827"/>
      <c r="IJ1808" s="827"/>
      <c r="IK1808" s="827"/>
      <c r="IL1808" s="827"/>
      <c r="IM1808" s="827"/>
      <c r="IN1808" s="827"/>
      <c r="IO1808" s="827"/>
      <c r="IP1808" s="827"/>
      <c r="IQ1808" s="827"/>
      <c r="IR1808" s="827"/>
      <c r="IS1808" s="827"/>
      <c r="IT1808" s="827"/>
      <c r="IU1808" s="827"/>
    </row>
    <row r="1809" spans="1:255" s="831" customFormat="1" ht="13.5" hidden="1" customHeight="1">
      <c r="A1809" s="837"/>
      <c r="B1809" s="838"/>
      <c r="C1809" s="111" t="s">
        <v>1157</v>
      </c>
      <c r="D1809" s="483">
        <f>'დეფექტური აქტი'!E431%</f>
        <v>0.08</v>
      </c>
      <c r="E1809" s="528"/>
      <c r="F1809" s="528"/>
      <c r="G1809" s="528"/>
      <c r="H1809" s="871">
        <f>H1808*D1809</f>
        <v>0</v>
      </c>
      <c r="I1809" s="871"/>
      <c r="J1809" s="871">
        <f>J1808*D1809</f>
        <v>0</v>
      </c>
      <c r="K1809" s="871"/>
      <c r="L1809" s="871">
        <f>L1808*D1809</f>
        <v>0</v>
      </c>
      <c r="M1809" s="871">
        <f>M1808*D1809</f>
        <v>0</v>
      </c>
      <c r="N1809" s="799"/>
      <c r="O1809" s="799"/>
      <c r="P1809" s="800"/>
      <c r="Q1809" s="800"/>
      <c r="R1809" s="800"/>
      <c r="S1809" s="800"/>
      <c r="T1809" s="800"/>
      <c r="U1809" s="800"/>
      <c r="V1809" s="800"/>
      <c r="W1809" s="800"/>
      <c r="X1809" s="800"/>
      <c r="Y1809" s="800"/>
      <c r="Z1809" s="800"/>
      <c r="AA1809" s="799"/>
      <c r="AB1809" s="799"/>
      <c r="AC1809" s="799"/>
      <c r="AD1809" s="799"/>
      <c r="AE1809" s="799"/>
      <c r="AF1809" s="799"/>
      <c r="AG1809" s="799"/>
      <c r="AH1809" s="799"/>
      <c r="AI1809" s="799"/>
      <c r="AJ1809" s="799"/>
      <c r="AK1809" s="799"/>
      <c r="AL1809" s="799"/>
      <c r="AM1809" s="799"/>
      <c r="AN1809" s="799"/>
      <c r="AO1809" s="799"/>
      <c r="AP1809" s="799"/>
      <c r="AQ1809" s="799"/>
      <c r="AR1809" s="799"/>
      <c r="AS1809" s="799"/>
      <c r="AT1809" s="799"/>
      <c r="AU1809" s="799"/>
      <c r="AV1809" s="799"/>
      <c r="AW1809" s="799"/>
      <c r="AX1809" s="799"/>
      <c r="AY1809" s="799"/>
      <c r="AZ1809" s="799"/>
      <c r="BA1809" s="799"/>
      <c r="BB1809" s="799"/>
      <c r="BC1809" s="799"/>
      <c r="BD1809" s="799"/>
      <c r="BE1809" s="799"/>
      <c r="BF1809" s="799"/>
      <c r="BG1809" s="799"/>
      <c r="BH1809" s="799"/>
      <c r="BI1809" s="799"/>
      <c r="BJ1809" s="799"/>
      <c r="BK1809" s="799"/>
      <c r="BL1809" s="799"/>
      <c r="BM1809" s="799"/>
      <c r="BN1809" s="799"/>
      <c r="BO1809" s="799"/>
      <c r="BP1809" s="799"/>
      <c r="BQ1809" s="799"/>
      <c r="BR1809" s="799"/>
      <c r="BS1809" s="799"/>
      <c r="BT1809" s="799"/>
      <c r="BU1809" s="799"/>
      <c r="BV1809" s="799"/>
      <c r="BW1809" s="799"/>
      <c r="BX1809" s="799"/>
      <c r="BY1809" s="799"/>
      <c r="BZ1809" s="799"/>
      <c r="CA1809" s="799"/>
      <c r="CB1809" s="799"/>
      <c r="CC1809" s="799"/>
      <c r="CD1809" s="799"/>
      <c r="CE1809" s="799"/>
      <c r="CF1809" s="799"/>
      <c r="CG1809" s="799"/>
      <c r="CH1809" s="799"/>
      <c r="CI1809" s="799"/>
      <c r="CJ1809" s="799"/>
      <c r="CK1809" s="799"/>
      <c r="CL1809" s="799"/>
      <c r="CM1809" s="799"/>
      <c r="CN1809" s="799"/>
      <c r="CO1809" s="799"/>
      <c r="CP1809" s="799"/>
      <c r="CQ1809" s="799"/>
      <c r="CR1809" s="799"/>
      <c r="CS1809" s="799"/>
      <c r="CT1809" s="799"/>
      <c r="CU1809" s="799"/>
      <c r="CV1809" s="799"/>
      <c r="CW1809" s="799"/>
      <c r="CX1809" s="799"/>
      <c r="CY1809" s="799"/>
      <c r="CZ1809" s="799"/>
      <c r="DA1809" s="799"/>
      <c r="DB1809" s="799"/>
      <c r="DC1809" s="799"/>
      <c r="DD1809" s="799"/>
      <c r="DE1809" s="799"/>
      <c r="DF1809" s="799"/>
      <c r="DG1809" s="799"/>
      <c r="DH1809" s="799"/>
      <c r="DI1809" s="799"/>
      <c r="DJ1809" s="799"/>
      <c r="DK1809" s="799"/>
      <c r="DL1809" s="799"/>
      <c r="DM1809" s="799"/>
      <c r="DN1809" s="799"/>
      <c r="DO1809" s="799"/>
      <c r="DP1809" s="799"/>
      <c r="DQ1809" s="799"/>
      <c r="DR1809" s="799"/>
      <c r="DS1809" s="799"/>
      <c r="DT1809" s="799"/>
      <c r="DU1809" s="799"/>
      <c r="DV1809" s="799"/>
      <c r="DW1809" s="799"/>
      <c r="DX1809" s="799"/>
      <c r="DY1809" s="799"/>
      <c r="DZ1809" s="799"/>
      <c r="EA1809" s="799"/>
      <c r="EB1809" s="799"/>
      <c r="EC1809" s="799"/>
      <c r="ED1809" s="799"/>
      <c r="EE1809" s="799"/>
      <c r="EF1809" s="799"/>
      <c r="EG1809" s="799"/>
      <c r="EH1809" s="799"/>
      <c r="EI1809" s="799"/>
      <c r="EJ1809" s="799"/>
      <c r="EK1809" s="799"/>
      <c r="EL1809" s="799"/>
      <c r="EM1809" s="799"/>
      <c r="EN1809" s="799"/>
      <c r="EO1809" s="799"/>
      <c r="EP1809" s="799"/>
      <c r="EQ1809" s="799"/>
      <c r="ER1809" s="799"/>
      <c r="ES1809" s="799"/>
      <c r="ET1809" s="799"/>
      <c r="EU1809" s="799"/>
      <c r="EV1809" s="799"/>
      <c r="EW1809" s="799"/>
      <c r="EX1809" s="799"/>
      <c r="EY1809" s="799"/>
      <c r="EZ1809" s="799"/>
      <c r="FA1809" s="799"/>
      <c r="FB1809" s="799"/>
      <c r="FC1809" s="799"/>
      <c r="FD1809" s="799"/>
      <c r="FE1809" s="799"/>
      <c r="FF1809" s="799"/>
      <c r="FG1809" s="799"/>
      <c r="FH1809" s="799"/>
      <c r="FI1809" s="799"/>
      <c r="FJ1809" s="799"/>
      <c r="FK1809" s="799"/>
      <c r="FL1809" s="799"/>
      <c r="FM1809" s="799"/>
      <c r="FN1809" s="799"/>
      <c r="FO1809" s="799"/>
      <c r="FP1809" s="799"/>
      <c r="FQ1809" s="799"/>
      <c r="FR1809" s="799"/>
      <c r="FS1809" s="799"/>
      <c r="FT1809" s="799"/>
      <c r="FU1809" s="799"/>
      <c r="FV1809" s="799"/>
      <c r="FW1809" s="799"/>
      <c r="FX1809" s="799"/>
      <c r="FY1809" s="799"/>
      <c r="FZ1809" s="799"/>
      <c r="GA1809" s="799"/>
      <c r="GB1809" s="799"/>
      <c r="GC1809" s="799"/>
      <c r="GD1809" s="799"/>
      <c r="GE1809" s="799"/>
      <c r="GF1809" s="799"/>
      <c r="GG1809" s="799"/>
      <c r="GH1809" s="799"/>
      <c r="GI1809" s="799"/>
      <c r="GJ1809" s="799"/>
      <c r="GK1809" s="799"/>
      <c r="GL1809" s="799"/>
      <c r="GM1809" s="799"/>
      <c r="GN1809" s="799"/>
      <c r="GO1809" s="799"/>
      <c r="GP1809" s="799"/>
      <c r="GQ1809" s="799"/>
      <c r="GR1809" s="799"/>
      <c r="GS1809" s="799"/>
      <c r="GT1809" s="799"/>
      <c r="GU1809" s="799"/>
      <c r="GV1809" s="799"/>
      <c r="GW1809" s="799"/>
      <c r="GX1809" s="799"/>
      <c r="GY1809" s="799"/>
      <c r="GZ1809" s="799"/>
      <c r="HA1809" s="799"/>
      <c r="HB1809" s="799"/>
      <c r="HC1809" s="799"/>
      <c r="HD1809" s="799"/>
      <c r="HE1809" s="799"/>
      <c r="HF1809" s="799"/>
      <c r="HG1809" s="799"/>
      <c r="HH1809" s="799"/>
      <c r="HI1809" s="799"/>
      <c r="HJ1809" s="799"/>
      <c r="HK1809" s="799"/>
      <c r="HL1809" s="799"/>
      <c r="HM1809" s="799"/>
      <c r="HN1809" s="799"/>
      <c r="HO1809" s="799"/>
      <c r="HP1809" s="799"/>
      <c r="HQ1809" s="799"/>
      <c r="HR1809" s="799"/>
      <c r="HS1809" s="799"/>
      <c r="HT1809" s="799"/>
      <c r="HU1809" s="799"/>
      <c r="HV1809" s="799"/>
      <c r="HW1809" s="799"/>
      <c r="HX1809" s="799"/>
      <c r="HY1809" s="799"/>
      <c r="HZ1809" s="799"/>
      <c r="IA1809" s="799"/>
      <c r="IB1809" s="799"/>
      <c r="IC1809" s="799"/>
      <c r="ID1809" s="799"/>
      <c r="IE1809" s="799"/>
      <c r="IF1809" s="799"/>
      <c r="IG1809" s="799"/>
      <c r="IH1809" s="799"/>
      <c r="II1809" s="799"/>
      <c r="IJ1809" s="799"/>
      <c r="IK1809" s="799"/>
      <c r="IL1809" s="799"/>
      <c r="IM1809" s="799"/>
      <c r="IN1809" s="799"/>
      <c r="IO1809" s="799"/>
      <c r="IP1809" s="799"/>
      <c r="IQ1809" s="799"/>
      <c r="IR1809" s="799"/>
      <c r="IS1809" s="799"/>
      <c r="IT1809" s="799"/>
      <c r="IU1809" s="799"/>
    </row>
    <row r="1810" spans="1:255" s="831" customFormat="1" ht="15.75" hidden="1" customHeight="1">
      <c r="A1810" s="479"/>
      <c r="B1810" s="479"/>
      <c r="C1810" s="481" t="s">
        <v>1377</v>
      </c>
      <c r="D1810" s="466"/>
      <c r="E1810" s="505"/>
      <c r="F1810" s="505"/>
      <c r="G1810" s="505"/>
      <c r="H1810" s="505">
        <f t="shared" ref="H1810:M1810" si="38">H1808+H1809</f>
        <v>0</v>
      </c>
      <c r="I1810" s="505"/>
      <c r="J1810" s="505">
        <f t="shared" si="38"/>
        <v>0</v>
      </c>
      <c r="K1810" s="505"/>
      <c r="L1810" s="505">
        <f t="shared" si="38"/>
        <v>0</v>
      </c>
      <c r="M1810" s="505">
        <f t="shared" si="38"/>
        <v>0</v>
      </c>
      <c r="N1810" s="839">
        <f>H1810+J1810+L1810</f>
        <v>0</v>
      </c>
      <c r="O1810" s="827"/>
      <c r="P1810" s="828"/>
      <c r="Q1810" s="828"/>
      <c r="R1810" s="828"/>
      <c r="S1810" s="828"/>
      <c r="T1810" s="828"/>
      <c r="U1810" s="828"/>
      <c r="V1810" s="828"/>
      <c r="W1810" s="828"/>
      <c r="X1810" s="828"/>
      <c r="Y1810" s="828"/>
      <c r="Z1810" s="828"/>
      <c r="AA1810" s="827"/>
      <c r="AB1810" s="827"/>
      <c r="AC1810" s="827"/>
      <c r="AD1810" s="827"/>
      <c r="AE1810" s="827"/>
      <c r="AF1810" s="827"/>
      <c r="AG1810" s="827"/>
      <c r="AH1810" s="827"/>
      <c r="AI1810" s="827"/>
      <c r="AJ1810" s="827"/>
      <c r="AK1810" s="827"/>
      <c r="AL1810" s="827"/>
      <c r="AM1810" s="827"/>
      <c r="AN1810" s="827"/>
      <c r="AO1810" s="827"/>
      <c r="AP1810" s="827"/>
      <c r="AQ1810" s="827"/>
      <c r="AR1810" s="827"/>
      <c r="AS1810" s="827"/>
      <c r="AT1810" s="827"/>
      <c r="AU1810" s="827"/>
      <c r="AV1810" s="827"/>
      <c r="AW1810" s="827"/>
      <c r="AX1810" s="827"/>
      <c r="AY1810" s="827"/>
      <c r="AZ1810" s="827"/>
      <c r="BA1810" s="827"/>
      <c r="BB1810" s="827"/>
      <c r="BC1810" s="827"/>
      <c r="BD1810" s="827"/>
      <c r="BE1810" s="827"/>
      <c r="BF1810" s="827"/>
      <c r="BG1810" s="827"/>
      <c r="BH1810" s="827"/>
      <c r="BI1810" s="827"/>
      <c r="BJ1810" s="827"/>
      <c r="BK1810" s="827"/>
      <c r="BL1810" s="827"/>
      <c r="BM1810" s="827"/>
      <c r="BN1810" s="827"/>
      <c r="BO1810" s="827"/>
      <c r="BP1810" s="827"/>
      <c r="BQ1810" s="827"/>
      <c r="BR1810" s="827"/>
      <c r="BS1810" s="827"/>
      <c r="BT1810" s="827"/>
      <c r="BU1810" s="827"/>
      <c r="BV1810" s="827"/>
      <c r="BW1810" s="827"/>
      <c r="BX1810" s="827"/>
      <c r="BY1810" s="827"/>
      <c r="BZ1810" s="827"/>
      <c r="CA1810" s="827"/>
      <c r="CB1810" s="827"/>
      <c r="CC1810" s="827"/>
      <c r="CD1810" s="827"/>
      <c r="CE1810" s="827"/>
      <c r="CF1810" s="827"/>
      <c r="CG1810" s="827"/>
      <c r="CH1810" s="827"/>
      <c r="CI1810" s="827"/>
      <c r="CJ1810" s="827"/>
      <c r="CK1810" s="827"/>
      <c r="CL1810" s="827"/>
      <c r="CM1810" s="827"/>
      <c r="CN1810" s="827"/>
      <c r="CO1810" s="827"/>
      <c r="CP1810" s="827"/>
      <c r="CQ1810" s="827"/>
      <c r="CR1810" s="827"/>
      <c r="CS1810" s="827"/>
      <c r="CT1810" s="827"/>
      <c r="CU1810" s="827"/>
      <c r="CV1810" s="827"/>
      <c r="CW1810" s="827"/>
      <c r="CX1810" s="827"/>
      <c r="CY1810" s="827"/>
      <c r="CZ1810" s="827"/>
      <c r="DA1810" s="827"/>
      <c r="DB1810" s="827"/>
      <c r="DC1810" s="827"/>
      <c r="DD1810" s="827"/>
      <c r="DE1810" s="827"/>
      <c r="DF1810" s="827"/>
      <c r="DG1810" s="827"/>
      <c r="DH1810" s="827"/>
      <c r="DI1810" s="827"/>
      <c r="DJ1810" s="827"/>
      <c r="DK1810" s="827"/>
      <c r="DL1810" s="827"/>
      <c r="DM1810" s="827"/>
      <c r="DN1810" s="827"/>
      <c r="DO1810" s="827"/>
      <c r="DP1810" s="827"/>
      <c r="DQ1810" s="827"/>
      <c r="DR1810" s="827"/>
      <c r="DS1810" s="827"/>
      <c r="DT1810" s="827"/>
      <c r="DU1810" s="827"/>
      <c r="DV1810" s="827"/>
      <c r="DW1810" s="827"/>
      <c r="DX1810" s="827"/>
      <c r="DY1810" s="827"/>
      <c r="DZ1810" s="827"/>
      <c r="EA1810" s="827"/>
      <c r="EB1810" s="827"/>
      <c r="EC1810" s="827"/>
      <c r="ED1810" s="827"/>
      <c r="EE1810" s="827"/>
      <c r="EF1810" s="827"/>
      <c r="EG1810" s="827"/>
      <c r="EH1810" s="827"/>
      <c r="EI1810" s="827"/>
      <c r="EJ1810" s="827"/>
      <c r="EK1810" s="827"/>
      <c r="EL1810" s="827"/>
      <c r="EM1810" s="827"/>
      <c r="EN1810" s="827"/>
      <c r="EO1810" s="827"/>
      <c r="EP1810" s="827"/>
      <c r="EQ1810" s="827"/>
      <c r="ER1810" s="827"/>
      <c r="ES1810" s="827"/>
      <c r="ET1810" s="827"/>
      <c r="EU1810" s="827"/>
      <c r="EV1810" s="827"/>
      <c r="EW1810" s="827"/>
      <c r="EX1810" s="827"/>
      <c r="EY1810" s="827"/>
      <c r="EZ1810" s="827"/>
      <c r="FA1810" s="827"/>
      <c r="FB1810" s="827"/>
      <c r="FC1810" s="827"/>
      <c r="FD1810" s="827"/>
      <c r="FE1810" s="827"/>
      <c r="FF1810" s="827"/>
      <c r="FG1810" s="827"/>
      <c r="FH1810" s="827"/>
      <c r="FI1810" s="827"/>
      <c r="FJ1810" s="827"/>
      <c r="FK1810" s="827"/>
      <c r="FL1810" s="827"/>
      <c r="FM1810" s="827"/>
      <c r="FN1810" s="827"/>
      <c r="FO1810" s="827"/>
      <c r="FP1810" s="827"/>
      <c r="FQ1810" s="827"/>
      <c r="FR1810" s="827"/>
      <c r="FS1810" s="827"/>
      <c r="FT1810" s="827"/>
      <c r="FU1810" s="827"/>
      <c r="FV1810" s="827"/>
      <c r="FW1810" s="827"/>
      <c r="FX1810" s="827"/>
      <c r="FY1810" s="827"/>
      <c r="FZ1810" s="827"/>
      <c r="GA1810" s="827"/>
      <c r="GB1810" s="827"/>
      <c r="GC1810" s="827"/>
      <c r="GD1810" s="827"/>
      <c r="GE1810" s="827"/>
      <c r="GF1810" s="827"/>
      <c r="GG1810" s="827"/>
      <c r="GH1810" s="827"/>
      <c r="GI1810" s="827"/>
      <c r="GJ1810" s="827"/>
      <c r="GK1810" s="827"/>
      <c r="GL1810" s="827"/>
      <c r="GM1810" s="827"/>
      <c r="GN1810" s="827"/>
      <c r="GO1810" s="827"/>
      <c r="GP1810" s="827"/>
      <c r="GQ1810" s="827"/>
      <c r="GR1810" s="827"/>
      <c r="GS1810" s="827"/>
      <c r="GT1810" s="827"/>
      <c r="GU1810" s="827"/>
      <c r="GV1810" s="827"/>
      <c r="GW1810" s="827"/>
      <c r="GX1810" s="827"/>
      <c r="GY1810" s="827"/>
      <c r="GZ1810" s="827"/>
      <c r="HA1810" s="827"/>
      <c r="HB1810" s="827"/>
      <c r="HC1810" s="827"/>
      <c r="HD1810" s="827"/>
      <c r="HE1810" s="827"/>
      <c r="HF1810" s="827"/>
      <c r="HG1810" s="827"/>
      <c r="HH1810" s="827"/>
      <c r="HI1810" s="827"/>
      <c r="HJ1810" s="827"/>
      <c r="HK1810" s="827"/>
      <c r="HL1810" s="827"/>
      <c r="HM1810" s="827"/>
      <c r="HN1810" s="827"/>
      <c r="HO1810" s="827"/>
      <c r="HP1810" s="827"/>
      <c r="HQ1810" s="827"/>
      <c r="HR1810" s="827"/>
      <c r="HS1810" s="827"/>
      <c r="HT1810" s="827"/>
      <c r="HU1810" s="827"/>
      <c r="HV1810" s="827"/>
      <c r="HW1810" s="827"/>
      <c r="HX1810" s="827"/>
      <c r="HY1810" s="827"/>
      <c r="HZ1810" s="827"/>
      <c r="IA1810" s="827"/>
      <c r="IB1810" s="827"/>
      <c r="IC1810" s="827"/>
      <c r="ID1810" s="827"/>
      <c r="IE1810" s="827"/>
      <c r="IF1810" s="827"/>
      <c r="IG1810" s="827"/>
      <c r="IH1810" s="827"/>
      <c r="II1810" s="827"/>
      <c r="IJ1810" s="827"/>
      <c r="IK1810" s="827"/>
      <c r="IL1810" s="827"/>
      <c r="IM1810" s="827"/>
      <c r="IN1810" s="827"/>
      <c r="IO1810" s="827"/>
      <c r="IP1810" s="827"/>
      <c r="IQ1810" s="827"/>
      <c r="IR1810" s="827"/>
      <c r="IS1810" s="827"/>
      <c r="IT1810" s="827"/>
      <c r="IU1810" s="827"/>
    </row>
    <row r="1811" spans="1:255" s="831" customFormat="1" ht="15.75" customHeight="1">
      <c r="A1811" s="1194"/>
      <c r="B1811" s="479"/>
      <c r="C1811" s="206" t="s">
        <v>1873</v>
      </c>
      <c r="D1811" s="854"/>
      <c r="E1811" s="505"/>
      <c r="F1811" s="505"/>
      <c r="G1811" s="505"/>
      <c r="H1811" s="505"/>
      <c r="I1811" s="505"/>
      <c r="J1811" s="505"/>
      <c r="K1811" s="505"/>
      <c r="L1811" s="872"/>
      <c r="M1811" s="505"/>
      <c r="N1811" s="839"/>
      <c r="O1811" s="827"/>
      <c r="P1811" s="828"/>
      <c r="Q1811" s="828"/>
      <c r="R1811" s="828"/>
      <c r="S1811" s="828"/>
      <c r="T1811" s="828"/>
      <c r="U1811" s="828"/>
      <c r="V1811" s="828"/>
      <c r="W1811" s="828"/>
      <c r="X1811" s="828"/>
      <c r="Y1811" s="828"/>
      <c r="Z1811" s="828"/>
      <c r="AA1811" s="827"/>
      <c r="AB1811" s="827"/>
      <c r="AC1811" s="827"/>
      <c r="AD1811" s="827"/>
      <c r="AE1811" s="827"/>
      <c r="AF1811" s="827"/>
      <c r="AG1811" s="827"/>
      <c r="AH1811" s="827"/>
      <c r="AI1811" s="827"/>
      <c r="AJ1811" s="827"/>
      <c r="AK1811" s="827"/>
      <c r="AL1811" s="827"/>
      <c r="AM1811" s="827"/>
      <c r="AN1811" s="827"/>
      <c r="AO1811" s="827"/>
      <c r="AP1811" s="827"/>
      <c r="AQ1811" s="827"/>
      <c r="AR1811" s="827"/>
      <c r="AS1811" s="827"/>
      <c r="AT1811" s="827"/>
      <c r="AU1811" s="827"/>
      <c r="AV1811" s="827"/>
      <c r="AW1811" s="827"/>
      <c r="AX1811" s="827"/>
      <c r="AY1811" s="827"/>
      <c r="AZ1811" s="827"/>
      <c r="BA1811" s="827"/>
      <c r="BB1811" s="827"/>
      <c r="BC1811" s="827"/>
      <c r="BD1811" s="827"/>
      <c r="BE1811" s="827"/>
      <c r="BF1811" s="827"/>
      <c r="BG1811" s="827"/>
      <c r="BH1811" s="827"/>
      <c r="BI1811" s="827"/>
      <c r="BJ1811" s="827"/>
      <c r="BK1811" s="827"/>
      <c r="BL1811" s="827"/>
      <c r="BM1811" s="827"/>
      <c r="BN1811" s="827"/>
      <c r="BO1811" s="827"/>
      <c r="BP1811" s="827"/>
      <c r="BQ1811" s="827"/>
      <c r="BR1811" s="827"/>
      <c r="BS1811" s="827"/>
      <c r="BT1811" s="827"/>
      <c r="BU1811" s="827"/>
      <c r="BV1811" s="827"/>
      <c r="BW1811" s="827"/>
      <c r="BX1811" s="827"/>
      <c r="BY1811" s="827"/>
      <c r="BZ1811" s="827"/>
      <c r="CA1811" s="827"/>
      <c r="CB1811" s="827"/>
      <c r="CC1811" s="827"/>
      <c r="CD1811" s="827"/>
      <c r="CE1811" s="827"/>
      <c r="CF1811" s="827"/>
      <c r="CG1811" s="827"/>
      <c r="CH1811" s="827"/>
      <c r="CI1811" s="827"/>
      <c r="CJ1811" s="827"/>
      <c r="CK1811" s="827"/>
      <c r="CL1811" s="827"/>
      <c r="CM1811" s="827"/>
      <c r="CN1811" s="827"/>
      <c r="CO1811" s="827"/>
      <c r="CP1811" s="827"/>
      <c r="CQ1811" s="827"/>
      <c r="CR1811" s="827"/>
      <c r="CS1811" s="827"/>
      <c r="CT1811" s="827"/>
      <c r="CU1811" s="827"/>
      <c r="CV1811" s="827"/>
      <c r="CW1811" s="827"/>
      <c r="CX1811" s="827"/>
      <c r="CY1811" s="827"/>
      <c r="CZ1811" s="827"/>
      <c r="DA1811" s="827"/>
      <c r="DB1811" s="827"/>
      <c r="DC1811" s="827"/>
      <c r="DD1811" s="827"/>
      <c r="DE1811" s="827"/>
      <c r="DF1811" s="827"/>
      <c r="DG1811" s="827"/>
      <c r="DH1811" s="827"/>
      <c r="DI1811" s="827"/>
      <c r="DJ1811" s="827"/>
      <c r="DK1811" s="827"/>
      <c r="DL1811" s="827"/>
      <c r="DM1811" s="827"/>
      <c r="DN1811" s="827"/>
      <c r="DO1811" s="827"/>
      <c r="DP1811" s="827"/>
      <c r="DQ1811" s="827"/>
      <c r="DR1811" s="827"/>
      <c r="DS1811" s="827"/>
      <c r="DT1811" s="827"/>
      <c r="DU1811" s="827"/>
      <c r="DV1811" s="827"/>
      <c r="DW1811" s="827"/>
      <c r="DX1811" s="827"/>
      <c r="DY1811" s="827"/>
      <c r="DZ1811" s="827"/>
      <c r="EA1811" s="827"/>
      <c r="EB1811" s="827"/>
      <c r="EC1811" s="827"/>
      <c r="ED1811" s="827"/>
      <c r="EE1811" s="827"/>
      <c r="EF1811" s="827"/>
      <c r="EG1811" s="827"/>
      <c r="EH1811" s="827"/>
      <c r="EI1811" s="827"/>
      <c r="EJ1811" s="827"/>
      <c r="EK1811" s="827"/>
      <c r="EL1811" s="827"/>
      <c r="EM1811" s="827"/>
      <c r="EN1811" s="827"/>
      <c r="EO1811" s="827"/>
      <c r="EP1811" s="827"/>
      <c r="EQ1811" s="827"/>
      <c r="ER1811" s="827"/>
      <c r="ES1811" s="827"/>
      <c r="ET1811" s="827"/>
      <c r="EU1811" s="827"/>
      <c r="EV1811" s="827"/>
      <c r="EW1811" s="827"/>
      <c r="EX1811" s="827"/>
      <c r="EY1811" s="827"/>
      <c r="EZ1811" s="827"/>
      <c r="FA1811" s="827"/>
      <c r="FB1811" s="827"/>
      <c r="FC1811" s="827"/>
      <c r="FD1811" s="827"/>
      <c r="FE1811" s="827"/>
      <c r="FF1811" s="827"/>
      <c r="FG1811" s="827"/>
      <c r="FH1811" s="827"/>
      <c r="FI1811" s="827"/>
      <c r="FJ1811" s="827"/>
      <c r="FK1811" s="827"/>
      <c r="FL1811" s="827"/>
      <c r="FM1811" s="827"/>
      <c r="FN1811" s="827"/>
      <c r="FO1811" s="827"/>
      <c r="FP1811" s="827"/>
      <c r="FQ1811" s="827"/>
      <c r="FR1811" s="827"/>
      <c r="FS1811" s="827"/>
      <c r="FT1811" s="827"/>
      <c r="FU1811" s="827"/>
      <c r="FV1811" s="827"/>
      <c r="FW1811" s="827"/>
      <c r="FX1811" s="827"/>
      <c r="FY1811" s="827"/>
      <c r="FZ1811" s="827"/>
      <c r="GA1811" s="827"/>
      <c r="GB1811" s="827"/>
      <c r="GC1811" s="827"/>
      <c r="GD1811" s="827"/>
      <c r="GE1811" s="827"/>
      <c r="GF1811" s="827"/>
      <c r="GG1811" s="827"/>
      <c r="GH1811" s="827"/>
      <c r="GI1811" s="827"/>
      <c r="GJ1811" s="827"/>
      <c r="GK1811" s="827"/>
      <c r="GL1811" s="827"/>
      <c r="GM1811" s="827"/>
      <c r="GN1811" s="827"/>
      <c r="GO1811" s="827"/>
      <c r="GP1811" s="827"/>
      <c r="GQ1811" s="827"/>
      <c r="GR1811" s="827"/>
      <c r="GS1811" s="827"/>
      <c r="GT1811" s="827"/>
      <c r="GU1811" s="827"/>
      <c r="GV1811" s="827"/>
      <c r="GW1811" s="827"/>
      <c r="GX1811" s="827"/>
      <c r="GY1811" s="827"/>
      <c r="GZ1811" s="827"/>
      <c r="HA1811" s="827"/>
      <c r="HB1811" s="827"/>
      <c r="HC1811" s="827"/>
      <c r="HD1811" s="827"/>
      <c r="HE1811" s="827"/>
      <c r="HF1811" s="827"/>
      <c r="HG1811" s="827"/>
      <c r="HH1811" s="827"/>
      <c r="HI1811" s="827"/>
      <c r="HJ1811" s="827"/>
      <c r="HK1811" s="827"/>
      <c r="HL1811" s="827"/>
      <c r="HM1811" s="827"/>
      <c r="HN1811" s="827"/>
      <c r="HO1811" s="827"/>
      <c r="HP1811" s="827"/>
      <c r="HQ1811" s="827"/>
      <c r="HR1811" s="827"/>
      <c r="HS1811" s="827"/>
      <c r="HT1811" s="827"/>
      <c r="HU1811" s="827"/>
      <c r="HV1811" s="827"/>
      <c r="HW1811" s="827"/>
      <c r="HX1811" s="827"/>
      <c r="HY1811" s="827"/>
      <c r="HZ1811" s="827"/>
      <c r="IA1811" s="827"/>
      <c r="IB1811" s="827"/>
      <c r="IC1811" s="827"/>
      <c r="ID1811" s="827"/>
      <c r="IE1811" s="827"/>
      <c r="IF1811" s="827"/>
      <c r="IG1811" s="827"/>
      <c r="IH1811" s="827"/>
      <c r="II1811" s="827"/>
      <c r="IJ1811" s="827"/>
      <c r="IK1811" s="827"/>
      <c r="IL1811" s="827"/>
      <c r="IM1811" s="827"/>
      <c r="IN1811" s="827"/>
      <c r="IO1811" s="827"/>
      <c r="IP1811" s="827"/>
      <c r="IQ1811" s="827"/>
      <c r="IR1811" s="827"/>
      <c r="IS1811" s="827"/>
      <c r="IT1811" s="827"/>
      <c r="IU1811" s="827"/>
    </row>
    <row r="1812" spans="1:255" s="359" customFormat="1" ht="28.5" hidden="1" customHeight="1">
      <c r="A1812" s="336">
        <v>1</v>
      </c>
      <c r="B1812" s="328" t="s">
        <v>1185</v>
      </c>
      <c r="C1812" s="329" t="s">
        <v>1378</v>
      </c>
      <c r="D1812" s="330" t="s">
        <v>88</v>
      </c>
      <c r="E1812" s="389"/>
      <c r="F1812" s="384">
        <f>'დეფექტური აქტი'!E434</f>
        <v>0</v>
      </c>
      <c r="G1812" s="389"/>
      <c r="H1812" s="389"/>
      <c r="I1812" s="389"/>
      <c r="J1812" s="389"/>
      <c r="K1812" s="389"/>
      <c r="L1812" s="389"/>
      <c r="M1812" s="389"/>
      <c r="N1812" s="358"/>
      <c r="O1812" s="797"/>
      <c r="P1812" s="798"/>
      <c r="Q1812" s="798"/>
      <c r="R1812" s="798"/>
      <c r="S1812" s="798"/>
      <c r="T1812" s="798"/>
      <c r="U1812" s="798"/>
      <c r="V1812" s="798"/>
      <c r="W1812" s="798"/>
      <c r="X1812" s="798"/>
      <c r="Y1812" s="798"/>
      <c r="Z1812" s="798"/>
      <c r="AA1812" s="797"/>
      <c r="AB1812" s="797"/>
      <c r="AC1812" s="797"/>
      <c r="AD1812" s="797"/>
      <c r="AE1812" s="797"/>
      <c r="AF1812" s="797"/>
      <c r="AG1812" s="797"/>
      <c r="AH1812" s="797"/>
      <c r="AI1812" s="797"/>
      <c r="AJ1812" s="797"/>
      <c r="AK1812" s="797"/>
      <c r="AL1812" s="797"/>
      <c r="AM1812" s="797"/>
      <c r="AN1812" s="797"/>
      <c r="AO1812" s="797"/>
      <c r="AP1812" s="797"/>
      <c r="AQ1812" s="797"/>
      <c r="AR1812" s="797"/>
      <c r="AS1812" s="797"/>
      <c r="AT1812" s="797"/>
      <c r="AU1812" s="797"/>
      <c r="AV1812" s="797"/>
      <c r="AW1812" s="797"/>
      <c r="AX1812" s="797"/>
      <c r="AY1812" s="797"/>
      <c r="AZ1812" s="797"/>
      <c r="BA1812" s="797"/>
      <c r="BB1812" s="797"/>
      <c r="BC1812" s="797"/>
      <c r="BD1812" s="797"/>
      <c r="BE1812" s="797"/>
      <c r="BF1812" s="797"/>
      <c r="BG1812" s="797"/>
      <c r="BH1812" s="797"/>
      <c r="BI1812" s="797"/>
      <c r="BJ1812" s="797"/>
      <c r="BK1812" s="797"/>
      <c r="BL1812" s="797"/>
      <c r="BM1812" s="797"/>
      <c r="BN1812" s="797"/>
      <c r="BO1812" s="797"/>
      <c r="BP1812" s="797"/>
      <c r="BQ1812" s="797"/>
      <c r="BR1812" s="797"/>
      <c r="BS1812" s="797"/>
      <c r="BT1812" s="797"/>
      <c r="BU1812" s="797"/>
      <c r="BV1812" s="797"/>
      <c r="BW1812" s="797"/>
      <c r="BX1812" s="797"/>
      <c r="BY1812" s="797"/>
      <c r="BZ1812" s="797"/>
      <c r="CA1812" s="797"/>
      <c r="CB1812" s="797"/>
      <c r="CC1812" s="797"/>
      <c r="CD1812" s="797"/>
      <c r="CE1812" s="797"/>
      <c r="CF1812" s="797"/>
      <c r="CG1812" s="797"/>
      <c r="CH1812" s="797"/>
      <c r="CI1812" s="797"/>
      <c r="CJ1812" s="797"/>
      <c r="CK1812" s="797"/>
      <c r="CL1812" s="797"/>
      <c r="CM1812" s="797"/>
      <c r="CN1812" s="797"/>
      <c r="CO1812" s="797"/>
      <c r="CP1812" s="797"/>
      <c r="CQ1812" s="797"/>
      <c r="CR1812" s="797"/>
      <c r="CS1812" s="797"/>
      <c r="CT1812" s="797"/>
      <c r="CU1812" s="797"/>
      <c r="CV1812" s="797"/>
      <c r="CW1812" s="797"/>
      <c r="CX1812" s="797"/>
      <c r="CY1812" s="797"/>
      <c r="CZ1812" s="797"/>
      <c r="DA1812" s="797"/>
      <c r="DB1812" s="797"/>
      <c r="DC1812" s="797"/>
      <c r="DD1812" s="797"/>
      <c r="DE1812" s="797"/>
      <c r="DF1812" s="797"/>
      <c r="DG1812" s="797"/>
      <c r="DH1812" s="797"/>
      <c r="DI1812" s="797"/>
      <c r="DJ1812" s="797"/>
      <c r="DK1812" s="797"/>
      <c r="DL1812" s="797"/>
      <c r="DM1812" s="797"/>
      <c r="DN1812" s="797"/>
      <c r="DO1812" s="797"/>
      <c r="DP1812" s="797"/>
      <c r="DQ1812" s="797"/>
      <c r="DR1812" s="797"/>
      <c r="DS1812" s="797"/>
      <c r="DT1812" s="797"/>
      <c r="DU1812" s="797"/>
      <c r="DV1812" s="797"/>
      <c r="DW1812" s="797"/>
      <c r="DX1812" s="797"/>
      <c r="DY1812" s="797"/>
      <c r="DZ1812" s="797"/>
      <c r="EA1812" s="797"/>
      <c r="EB1812" s="797"/>
      <c r="EC1812" s="797"/>
      <c r="ED1812" s="797"/>
      <c r="EE1812" s="797"/>
      <c r="EF1812" s="797"/>
      <c r="EG1812" s="797"/>
      <c r="EH1812" s="797"/>
      <c r="EI1812" s="797"/>
      <c r="EJ1812" s="797"/>
      <c r="EK1812" s="797"/>
      <c r="EL1812" s="797"/>
      <c r="EM1812" s="797"/>
      <c r="EN1812" s="797"/>
      <c r="EO1812" s="797"/>
      <c r="EP1812" s="797"/>
      <c r="EQ1812" s="797"/>
      <c r="ER1812" s="797"/>
      <c r="ES1812" s="797"/>
      <c r="ET1812" s="797"/>
      <c r="EU1812" s="797"/>
      <c r="EV1812" s="797"/>
      <c r="EW1812" s="797"/>
      <c r="EX1812" s="797"/>
      <c r="EY1812" s="797"/>
      <c r="EZ1812" s="797"/>
      <c r="FA1812" s="797"/>
      <c r="FB1812" s="797"/>
      <c r="FC1812" s="797"/>
      <c r="FD1812" s="797"/>
      <c r="FE1812" s="797"/>
      <c r="FF1812" s="797"/>
      <c r="FG1812" s="797"/>
      <c r="FH1812" s="797"/>
      <c r="FI1812" s="797"/>
      <c r="FJ1812" s="797"/>
      <c r="FK1812" s="797"/>
      <c r="FL1812" s="797"/>
      <c r="FM1812" s="797"/>
      <c r="FN1812" s="797"/>
      <c r="FO1812" s="797"/>
      <c r="FP1812" s="797"/>
      <c r="FQ1812" s="797"/>
      <c r="FR1812" s="797"/>
      <c r="FS1812" s="797"/>
      <c r="FT1812" s="797"/>
      <c r="FU1812" s="797"/>
      <c r="FV1812" s="797"/>
      <c r="FW1812" s="797"/>
      <c r="FX1812" s="797"/>
      <c r="FY1812" s="797"/>
      <c r="FZ1812" s="797"/>
      <c r="GA1812" s="797"/>
      <c r="GB1812" s="797"/>
      <c r="GC1812" s="797"/>
      <c r="GD1812" s="797"/>
      <c r="GE1812" s="797"/>
      <c r="GF1812" s="797"/>
      <c r="GG1812" s="797"/>
      <c r="GH1812" s="797"/>
      <c r="GI1812" s="797"/>
      <c r="GJ1812" s="797"/>
      <c r="GK1812" s="797"/>
      <c r="GL1812" s="797"/>
      <c r="GM1812" s="797"/>
      <c r="GN1812" s="797"/>
      <c r="GO1812" s="797"/>
      <c r="GP1812" s="797"/>
      <c r="GQ1812" s="797"/>
      <c r="GR1812" s="797"/>
      <c r="GS1812" s="797"/>
      <c r="GT1812" s="797"/>
      <c r="GU1812" s="797"/>
      <c r="GV1812" s="797"/>
      <c r="GW1812" s="797"/>
      <c r="GX1812" s="797"/>
      <c r="GY1812" s="797"/>
      <c r="GZ1812" s="797"/>
      <c r="HA1812" s="797"/>
      <c r="HB1812" s="797"/>
      <c r="HC1812" s="797"/>
      <c r="HD1812" s="797"/>
      <c r="HE1812" s="797"/>
      <c r="HF1812" s="797"/>
      <c r="HG1812" s="797"/>
      <c r="HH1812" s="797"/>
      <c r="HI1812" s="797"/>
      <c r="HJ1812" s="797"/>
      <c r="HK1812" s="797"/>
      <c r="HL1812" s="797"/>
      <c r="HM1812" s="797"/>
      <c r="HN1812" s="797"/>
      <c r="HO1812" s="797"/>
      <c r="HP1812" s="797"/>
      <c r="HQ1812" s="797"/>
      <c r="HR1812" s="797"/>
      <c r="HS1812" s="797"/>
      <c r="HT1812" s="797"/>
      <c r="HU1812" s="797"/>
      <c r="HV1812" s="797"/>
      <c r="HW1812" s="797"/>
      <c r="HX1812" s="797"/>
      <c r="HY1812" s="797"/>
      <c r="HZ1812" s="797"/>
      <c r="IA1812" s="797"/>
      <c r="IB1812" s="797"/>
      <c r="IC1812" s="797"/>
      <c r="ID1812" s="797"/>
      <c r="IE1812" s="797"/>
      <c r="IF1812" s="797"/>
      <c r="IG1812" s="797"/>
      <c r="IH1812" s="797"/>
      <c r="II1812" s="797"/>
      <c r="IJ1812" s="797"/>
      <c r="IK1812" s="797"/>
      <c r="IL1812" s="797"/>
      <c r="IM1812" s="797"/>
      <c r="IN1812" s="797"/>
      <c r="IO1812" s="797"/>
      <c r="IP1812" s="797"/>
      <c r="IQ1812" s="797"/>
      <c r="IR1812" s="797"/>
      <c r="IS1812" s="797"/>
      <c r="IT1812" s="797"/>
      <c r="IU1812" s="797"/>
    </row>
    <row r="1813" spans="1:255" s="359" customFormat="1" ht="15.75" hidden="1" customHeight="1">
      <c r="A1813" s="336"/>
      <c r="B1813" s="328"/>
      <c r="C1813" s="335" t="s">
        <v>209</v>
      </c>
      <c r="D1813" s="336" t="s">
        <v>80</v>
      </c>
      <c r="E1813" s="856">
        <v>0.02</v>
      </c>
      <c r="F1813" s="389">
        <f>F1812*E1813</f>
        <v>0</v>
      </c>
      <c r="G1813" s="389"/>
      <c r="H1813" s="389"/>
      <c r="I1813" s="389">
        <v>4.5999999999999996</v>
      </c>
      <c r="J1813" s="389">
        <f>F1813*I1813</f>
        <v>0</v>
      </c>
      <c r="K1813" s="389"/>
      <c r="L1813" s="389"/>
      <c r="M1813" s="389">
        <f>H1813+J1813+L1813</f>
        <v>0</v>
      </c>
      <c r="N1813" s="358"/>
      <c r="O1813" s="797"/>
      <c r="P1813" s="798"/>
      <c r="Q1813" s="798"/>
      <c r="R1813" s="798"/>
      <c r="S1813" s="798"/>
      <c r="T1813" s="798"/>
      <c r="U1813" s="798"/>
      <c r="V1813" s="798"/>
      <c r="W1813" s="798"/>
      <c r="X1813" s="798"/>
      <c r="Y1813" s="798"/>
      <c r="Z1813" s="798"/>
      <c r="AA1813" s="797"/>
      <c r="AB1813" s="797"/>
      <c r="AC1813" s="797"/>
      <c r="AD1813" s="797"/>
      <c r="AE1813" s="797"/>
      <c r="AF1813" s="797"/>
      <c r="AG1813" s="797"/>
      <c r="AH1813" s="797"/>
      <c r="AI1813" s="797"/>
      <c r="AJ1813" s="797"/>
      <c r="AK1813" s="797"/>
      <c r="AL1813" s="797"/>
      <c r="AM1813" s="797"/>
      <c r="AN1813" s="797"/>
      <c r="AO1813" s="797"/>
      <c r="AP1813" s="797"/>
      <c r="AQ1813" s="797"/>
      <c r="AR1813" s="797"/>
      <c r="AS1813" s="797"/>
      <c r="AT1813" s="797"/>
      <c r="AU1813" s="797"/>
      <c r="AV1813" s="797"/>
      <c r="AW1813" s="797"/>
      <c r="AX1813" s="797"/>
      <c r="AY1813" s="797"/>
      <c r="AZ1813" s="797"/>
      <c r="BA1813" s="797"/>
      <c r="BB1813" s="797"/>
      <c r="BC1813" s="797"/>
      <c r="BD1813" s="797"/>
      <c r="BE1813" s="797"/>
      <c r="BF1813" s="797"/>
      <c r="BG1813" s="797"/>
      <c r="BH1813" s="797"/>
      <c r="BI1813" s="797"/>
      <c r="BJ1813" s="797"/>
      <c r="BK1813" s="797"/>
      <c r="BL1813" s="797"/>
      <c r="BM1813" s="797"/>
      <c r="BN1813" s="797"/>
      <c r="BO1813" s="797"/>
      <c r="BP1813" s="797"/>
      <c r="BQ1813" s="797"/>
      <c r="BR1813" s="797"/>
      <c r="BS1813" s="797"/>
      <c r="BT1813" s="797"/>
      <c r="BU1813" s="797"/>
      <c r="BV1813" s="797"/>
      <c r="BW1813" s="797"/>
      <c r="BX1813" s="797"/>
      <c r="BY1813" s="797"/>
      <c r="BZ1813" s="797"/>
      <c r="CA1813" s="797"/>
      <c r="CB1813" s="797"/>
      <c r="CC1813" s="797"/>
      <c r="CD1813" s="797"/>
      <c r="CE1813" s="797"/>
      <c r="CF1813" s="797"/>
      <c r="CG1813" s="797"/>
      <c r="CH1813" s="797"/>
      <c r="CI1813" s="797"/>
      <c r="CJ1813" s="797"/>
      <c r="CK1813" s="797"/>
      <c r="CL1813" s="797"/>
      <c r="CM1813" s="797"/>
      <c r="CN1813" s="797"/>
      <c r="CO1813" s="797"/>
      <c r="CP1813" s="797"/>
      <c r="CQ1813" s="797"/>
      <c r="CR1813" s="797"/>
      <c r="CS1813" s="797"/>
      <c r="CT1813" s="797"/>
      <c r="CU1813" s="797"/>
      <c r="CV1813" s="797"/>
      <c r="CW1813" s="797"/>
      <c r="CX1813" s="797"/>
      <c r="CY1813" s="797"/>
      <c r="CZ1813" s="797"/>
      <c r="DA1813" s="797"/>
      <c r="DB1813" s="797"/>
      <c r="DC1813" s="797"/>
      <c r="DD1813" s="797"/>
      <c r="DE1813" s="797"/>
      <c r="DF1813" s="797"/>
      <c r="DG1813" s="797"/>
      <c r="DH1813" s="797"/>
      <c r="DI1813" s="797"/>
      <c r="DJ1813" s="797"/>
      <c r="DK1813" s="797"/>
      <c r="DL1813" s="797"/>
      <c r="DM1813" s="797"/>
      <c r="DN1813" s="797"/>
      <c r="DO1813" s="797"/>
      <c r="DP1813" s="797"/>
      <c r="DQ1813" s="797"/>
      <c r="DR1813" s="797"/>
      <c r="DS1813" s="797"/>
      <c r="DT1813" s="797"/>
      <c r="DU1813" s="797"/>
      <c r="DV1813" s="797"/>
      <c r="DW1813" s="797"/>
      <c r="DX1813" s="797"/>
      <c r="DY1813" s="797"/>
      <c r="DZ1813" s="797"/>
      <c r="EA1813" s="797"/>
      <c r="EB1813" s="797"/>
      <c r="EC1813" s="797"/>
      <c r="ED1813" s="797"/>
      <c r="EE1813" s="797"/>
      <c r="EF1813" s="797"/>
      <c r="EG1813" s="797"/>
      <c r="EH1813" s="797"/>
      <c r="EI1813" s="797"/>
      <c r="EJ1813" s="797"/>
      <c r="EK1813" s="797"/>
      <c r="EL1813" s="797"/>
      <c r="EM1813" s="797"/>
      <c r="EN1813" s="797"/>
      <c r="EO1813" s="797"/>
      <c r="EP1813" s="797"/>
      <c r="EQ1813" s="797"/>
      <c r="ER1813" s="797"/>
      <c r="ES1813" s="797"/>
      <c r="ET1813" s="797"/>
      <c r="EU1813" s="797"/>
      <c r="EV1813" s="797"/>
      <c r="EW1813" s="797"/>
      <c r="EX1813" s="797"/>
      <c r="EY1813" s="797"/>
      <c r="EZ1813" s="797"/>
      <c r="FA1813" s="797"/>
      <c r="FB1813" s="797"/>
      <c r="FC1813" s="797"/>
      <c r="FD1813" s="797"/>
      <c r="FE1813" s="797"/>
      <c r="FF1813" s="797"/>
      <c r="FG1813" s="797"/>
      <c r="FH1813" s="797"/>
      <c r="FI1813" s="797"/>
      <c r="FJ1813" s="797"/>
      <c r="FK1813" s="797"/>
      <c r="FL1813" s="797"/>
      <c r="FM1813" s="797"/>
      <c r="FN1813" s="797"/>
      <c r="FO1813" s="797"/>
      <c r="FP1813" s="797"/>
      <c r="FQ1813" s="797"/>
      <c r="FR1813" s="797"/>
      <c r="FS1813" s="797"/>
      <c r="FT1813" s="797"/>
      <c r="FU1813" s="797"/>
      <c r="FV1813" s="797"/>
      <c r="FW1813" s="797"/>
      <c r="FX1813" s="797"/>
      <c r="FY1813" s="797"/>
      <c r="FZ1813" s="797"/>
      <c r="GA1813" s="797"/>
      <c r="GB1813" s="797"/>
      <c r="GC1813" s="797"/>
      <c r="GD1813" s="797"/>
      <c r="GE1813" s="797"/>
      <c r="GF1813" s="797"/>
      <c r="GG1813" s="797"/>
      <c r="GH1813" s="797"/>
      <c r="GI1813" s="797"/>
      <c r="GJ1813" s="797"/>
      <c r="GK1813" s="797"/>
      <c r="GL1813" s="797"/>
      <c r="GM1813" s="797"/>
      <c r="GN1813" s="797"/>
      <c r="GO1813" s="797"/>
      <c r="GP1813" s="797"/>
      <c r="GQ1813" s="797"/>
      <c r="GR1813" s="797"/>
      <c r="GS1813" s="797"/>
      <c r="GT1813" s="797"/>
      <c r="GU1813" s="797"/>
      <c r="GV1813" s="797"/>
      <c r="GW1813" s="797"/>
      <c r="GX1813" s="797"/>
      <c r="GY1813" s="797"/>
      <c r="GZ1813" s="797"/>
      <c r="HA1813" s="797"/>
      <c r="HB1813" s="797"/>
      <c r="HC1813" s="797"/>
      <c r="HD1813" s="797"/>
      <c r="HE1813" s="797"/>
      <c r="HF1813" s="797"/>
      <c r="HG1813" s="797"/>
      <c r="HH1813" s="797"/>
      <c r="HI1813" s="797"/>
      <c r="HJ1813" s="797"/>
      <c r="HK1813" s="797"/>
      <c r="HL1813" s="797"/>
      <c r="HM1813" s="797"/>
      <c r="HN1813" s="797"/>
      <c r="HO1813" s="797"/>
      <c r="HP1813" s="797"/>
      <c r="HQ1813" s="797"/>
      <c r="HR1813" s="797"/>
      <c r="HS1813" s="797"/>
      <c r="HT1813" s="797"/>
      <c r="HU1813" s="797"/>
      <c r="HV1813" s="797"/>
      <c r="HW1813" s="797"/>
      <c r="HX1813" s="797"/>
      <c r="HY1813" s="797"/>
      <c r="HZ1813" s="797"/>
      <c r="IA1813" s="797"/>
      <c r="IB1813" s="797"/>
      <c r="IC1813" s="797"/>
      <c r="ID1813" s="797"/>
      <c r="IE1813" s="797"/>
      <c r="IF1813" s="797"/>
      <c r="IG1813" s="797"/>
      <c r="IH1813" s="797"/>
      <c r="II1813" s="797"/>
      <c r="IJ1813" s="797"/>
      <c r="IK1813" s="797"/>
      <c r="IL1813" s="797"/>
      <c r="IM1813" s="797"/>
      <c r="IN1813" s="797"/>
      <c r="IO1813" s="797"/>
      <c r="IP1813" s="797"/>
      <c r="IQ1813" s="797"/>
      <c r="IR1813" s="797"/>
      <c r="IS1813" s="797"/>
      <c r="IT1813" s="797"/>
      <c r="IU1813" s="797"/>
    </row>
    <row r="1814" spans="1:255" s="359" customFormat="1" ht="27.75" hidden="1" customHeight="1">
      <c r="A1814" s="336"/>
      <c r="B1814" s="328"/>
      <c r="C1814" s="335" t="s">
        <v>1565</v>
      </c>
      <c r="D1814" s="336" t="s">
        <v>217</v>
      </c>
      <c r="E1814" s="856">
        <v>4.48E-2</v>
      </c>
      <c r="F1814" s="389">
        <f>F1812*E1814</f>
        <v>0</v>
      </c>
      <c r="G1814" s="389"/>
      <c r="H1814" s="389"/>
      <c r="I1814" s="389"/>
      <c r="J1814" s="389"/>
      <c r="K1814" s="389">
        <v>35.1</v>
      </c>
      <c r="L1814" s="389">
        <f>F1814*K1814</f>
        <v>0</v>
      </c>
      <c r="M1814" s="389">
        <f>H1814+J1814+L1814</f>
        <v>0</v>
      </c>
      <c r="N1814" s="358"/>
      <c r="O1814" s="797"/>
      <c r="P1814" s="798"/>
      <c r="Q1814" s="798"/>
      <c r="R1814" s="798"/>
      <c r="S1814" s="798"/>
      <c r="T1814" s="798"/>
      <c r="U1814" s="798"/>
      <c r="V1814" s="798"/>
      <c r="W1814" s="798"/>
      <c r="X1814" s="798"/>
      <c r="Y1814" s="798"/>
      <c r="Z1814" s="798"/>
      <c r="AA1814" s="797"/>
      <c r="AB1814" s="797"/>
      <c r="AC1814" s="797"/>
      <c r="AD1814" s="797"/>
      <c r="AE1814" s="797"/>
      <c r="AF1814" s="797"/>
      <c r="AG1814" s="797"/>
      <c r="AH1814" s="797"/>
      <c r="AI1814" s="797"/>
      <c r="AJ1814" s="797"/>
      <c r="AK1814" s="797"/>
      <c r="AL1814" s="797"/>
      <c r="AM1814" s="797"/>
      <c r="AN1814" s="797"/>
      <c r="AO1814" s="797"/>
      <c r="AP1814" s="797"/>
      <c r="AQ1814" s="797"/>
      <c r="AR1814" s="797"/>
      <c r="AS1814" s="797"/>
      <c r="AT1814" s="797"/>
      <c r="AU1814" s="797"/>
      <c r="AV1814" s="797"/>
      <c r="AW1814" s="797"/>
      <c r="AX1814" s="797"/>
      <c r="AY1814" s="797"/>
      <c r="AZ1814" s="797"/>
      <c r="BA1814" s="797"/>
      <c r="BB1814" s="797"/>
      <c r="BC1814" s="797"/>
      <c r="BD1814" s="797"/>
      <c r="BE1814" s="797"/>
      <c r="BF1814" s="797"/>
      <c r="BG1814" s="797"/>
      <c r="BH1814" s="797"/>
      <c r="BI1814" s="797"/>
      <c r="BJ1814" s="797"/>
      <c r="BK1814" s="797"/>
      <c r="BL1814" s="797"/>
      <c r="BM1814" s="797"/>
      <c r="BN1814" s="797"/>
      <c r="BO1814" s="797"/>
      <c r="BP1814" s="797"/>
      <c r="BQ1814" s="797"/>
      <c r="BR1814" s="797"/>
      <c r="BS1814" s="797"/>
      <c r="BT1814" s="797"/>
      <c r="BU1814" s="797"/>
      <c r="BV1814" s="797"/>
      <c r="BW1814" s="797"/>
      <c r="BX1814" s="797"/>
      <c r="BY1814" s="797"/>
      <c r="BZ1814" s="797"/>
      <c r="CA1814" s="797"/>
      <c r="CB1814" s="797"/>
      <c r="CC1814" s="797"/>
      <c r="CD1814" s="797"/>
      <c r="CE1814" s="797"/>
      <c r="CF1814" s="797"/>
      <c r="CG1814" s="797"/>
      <c r="CH1814" s="797"/>
      <c r="CI1814" s="797"/>
      <c r="CJ1814" s="797"/>
      <c r="CK1814" s="797"/>
      <c r="CL1814" s="797"/>
      <c r="CM1814" s="797"/>
      <c r="CN1814" s="797"/>
      <c r="CO1814" s="797"/>
      <c r="CP1814" s="797"/>
      <c r="CQ1814" s="797"/>
      <c r="CR1814" s="797"/>
      <c r="CS1814" s="797"/>
      <c r="CT1814" s="797"/>
      <c r="CU1814" s="797"/>
      <c r="CV1814" s="797"/>
      <c r="CW1814" s="797"/>
      <c r="CX1814" s="797"/>
      <c r="CY1814" s="797"/>
      <c r="CZ1814" s="797"/>
      <c r="DA1814" s="797"/>
      <c r="DB1814" s="797"/>
      <c r="DC1814" s="797"/>
      <c r="DD1814" s="797"/>
      <c r="DE1814" s="797"/>
      <c r="DF1814" s="797"/>
      <c r="DG1814" s="797"/>
      <c r="DH1814" s="797"/>
      <c r="DI1814" s="797"/>
      <c r="DJ1814" s="797"/>
      <c r="DK1814" s="797"/>
      <c r="DL1814" s="797"/>
      <c r="DM1814" s="797"/>
      <c r="DN1814" s="797"/>
      <c r="DO1814" s="797"/>
      <c r="DP1814" s="797"/>
      <c r="DQ1814" s="797"/>
      <c r="DR1814" s="797"/>
      <c r="DS1814" s="797"/>
      <c r="DT1814" s="797"/>
      <c r="DU1814" s="797"/>
      <c r="DV1814" s="797"/>
      <c r="DW1814" s="797"/>
      <c r="DX1814" s="797"/>
      <c r="DY1814" s="797"/>
      <c r="DZ1814" s="797"/>
      <c r="EA1814" s="797"/>
      <c r="EB1814" s="797"/>
      <c r="EC1814" s="797"/>
      <c r="ED1814" s="797"/>
      <c r="EE1814" s="797"/>
      <c r="EF1814" s="797"/>
      <c r="EG1814" s="797"/>
      <c r="EH1814" s="797"/>
      <c r="EI1814" s="797"/>
      <c r="EJ1814" s="797"/>
      <c r="EK1814" s="797"/>
      <c r="EL1814" s="797"/>
      <c r="EM1814" s="797"/>
      <c r="EN1814" s="797"/>
      <c r="EO1814" s="797"/>
      <c r="EP1814" s="797"/>
      <c r="EQ1814" s="797"/>
      <c r="ER1814" s="797"/>
      <c r="ES1814" s="797"/>
      <c r="ET1814" s="797"/>
      <c r="EU1814" s="797"/>
      <c r="EV1814" s="797"/>
      <c r="EW1814" s="797"/>
      <c r="EX1814" s="797"/>
      <c r="EY1814" s="797"/>
      <c r="EZ1814" s="797"/>
      <c r="FA1814" s="797"/>
      <c r="FB1814" s="797"/>
      <c r="FC1814" s="797"/>
      <c r="FD1814" s="797"/>
      <c r="FE1814" s="797"/>
      <c r="FF1814" s="797"/>
      <c r="FG1814" s="797"/>
      <c r="FH1814" s="797"/>
      <c r="FI1814" s="797"/>
      <c r="FJ1814" s="797"/>
      <c r="FK1814" s="797"/>
      <c r="FL1814" s="797"/>
      <c r="FM1814" s="797"/>
      <c r="FN1814" s="797"/>
      <c r="FO1814" s="797"/>
      <c r="FP1814" s="797"/>
      <c r="FQ1814" s="797"/>
      <c r="FR1814" s="797"/>
      <c r="FS1814" s="797"/>
      <c r="FT1814" s="797"/>
      <c r="FU1814" s="797"/>
      <c r="FV1814" s="797"/>
      <c r="FW1814" s="797"/>
      <c r="FX1814" s="797"/>
      <c r="FY1814" s="797"/>
      <c r="FZ1814" s="797"/>
      <c r="GA1814" s="797"/>
      <c r="GB1814" s="797"/>
      <c r="GC1814" s="797"/>
      <c r="GD1814" s="797"/>
      <c r="GE1814" s="797"/>
      <c r="GF1814" s="797"/>
      <c r="GG1814" s="797"/>
      <c r="GH1814" s="797"/>
      <c r="GI1814" s="797"/>
      <c r="GJ1814" s="797"/>
      <c r="GK1814" s="797"/>
      <c r="GL1814" s="797"/>
      <c r="GM1814" s="797"/>
      <c r="GN1814" s="797"/>
      <c r="GO1814" s="797"/>
      <c r="GP1814" s="797"/>
      <c r="GQ1814" s="797"/>
      <c r="GR1814" s="797"/>
      <c r="GS1814" s="797"/>
      <c r="GT1814" s="797"/>
      <c r="GU1814" s="797"/>
      <c r="GV1814" s="797"/>
      <c r="GW1814" s="797"/>
      <c r="GX1814" s="797"/>
      <c r="GY1814" s="797"/>
      <c r="GZ1814" s="797"/>
      <c r="HA1814" s="797"/>
      <c r="HB1814" s="797"/>
      <c r="HC1814" s="797"/>
      <c r="HD1814" s="797"/>
      <c r="HE1814" s="797"/>
      <c r="HF1814" s="797"/>
      <c r="HG1814" s="797"/>
      <c r="HH1814" s="797"/>
      <c r="HI1814" s="797"/>
      <c r="HJ1814" s="797"/>
      <c r="HK1814" s="797"/>
      <c r="HL1814" s="797"/>
      <c r="HM1814" s="797"/>
      <c r="HN1814" s="797"/>
      <c r="HO1814" s="797"/>
      <c r="HP1814" s="797"/>
      <c r="HQ1814" s="797"/>
      <c r="HR1814" s="797"/>
      <c r="HS1814" s="797"/>
      <c r="HT1814" s="797"/>
      <c r="HU1814" s="797"/>
      <c r="HV1814" s="797"/>
      <c r="HW1814" s="797"/>
      <c r="HX1814" s="797"/>
      <c r="HY1814" s="797"/>
      <c r="HZ1814" s="797"/>
      <c r="IA1814" s="797"/>
      <c r="IB1814" s="797"/>
      <c r="IC1814" s="797"/>
      <c r="ID1814" s="797"/>
      <c r="IE1814" s="797"/>
      <c r="IF1814" s="797"/>
      <c r="IG1814" s="797"/>
      <c r="IH1814" s="797"/>
      <c r="II1814" s="797"/>
      <c r="IJ1814" s="797"/>
      <c r="IK1814" s="797"/>
      <c r="IL1814" s="797"/>
      <c r="IM1814" s="797"/>
      <c r="IN1814" s="797"/>
      <c r="IO1814" s="797"/>
      <c r="IP1814" s="797"/>
      <c r="IQ1814" s="797"/>
      <c r="IR1814" s="797"/>
      <c r="IS1814" s="797"/>
      <c r="IT1814" s="797"/>
      <c r="IU1814" s="797"/>
    </row>
    <row r="1815" spans="1:255" s="359" customFormat="1" hidden="1">
      <c r="A1815" s="336"/>
      <c r="B1815" s="328"/>
      <c r="C1815" s="335" t="s">
        <v>81</v>
      </c>
      <c r="D1815" s="336" t="s">
        <v>57</v>
      </c>
      <c r="E1815" s="856">
        <v>2.0999999999999999E-3</v>
      </c>
      <c r="F1815" s="389">
        <f>F1812*E1815</f>
        <v>0</v>
      </c>
      <c r="G1815" s="389"/>
      <c r="H1815" s="389"/>
      <c r="I1815" s="389"/>
      <c r="J1815" s="389"/>
      <c r="K1815" s="389">
        <v>3.2</v>
      </c>
      <c r="L1815" s="389">
        <f>F1815*K1815</f>
        <v>0</v>
      </c>
      <c r="M1815" s="389">
        <f>H1815+J1815+L1815</f>
        <v>0</v>
      </c>
      <c r="N1815" s="358"/>
      <c r="O1815" s="797"/>
      <c r="P1815" s="798"/>
      <c r="Q1815" s="798"/>
      <c r="R1815" s="798"/>
      <c r="S1815" s="798"/>
      <c r="T1815" s="798"/>
      <c r="U1815" s="798"/>
      <c r="V1815" s="798"/>
      <c r="W1815" s="798"/>
      <c r="X1815" s="798"/>
      <c r="Y1815" s="798"/>
      <c r="Z1815" s="798"/>
      <c r="AA1815" s="797"/>
      <c r="AB1815" s="797"/>
      <c r="AC1815" s="797"/>
      <c r="AD1815" s="797"/>
      <c r="AE1815" s="797"/>
      <c r="AF1815" s="797"/>
      <c r="AG1815" s="797"/>
      <c r="AH1815" s="797"/>
      <c r="AI1815" s="797"/>
      <c r="AJ1815" s="797"/>
      <c r="AK1815" s="797"/>
      <c r="AL1815" s="797"/>
      <c r="AM1815" s="797"/>
      <c r="AN1815" s="797"/>
      <c r="AO1815" s="797"/>
      <c r="AP1815" s="797"/>
      <c r="AQ1815" s="797"/>
      <c r="AR1815" s="797"/>
      <c r="AS1815" s="797"/>
      <c r="AT1815" s="797"/>
      <c r="AU1815" s="797"/>
      <c r="AV1815" s="797"/>
      <c r="AW1815" s="797"/>
      <c r="AX1815" s="797"/>
      <c r="AY1815" s="797"/>
      <c r="AZ1815" s="797"/>
      <c r="BA1815" s="797"/>
      <c r="BB1815" s="797"/>
      <c r="BC1815" s="797"/>
      <c r="BD1815" s="797"/>
      <c r="BE1815" s="797"/>
      <c r="BF1815" s="797"/>
      <c r="BG1815" s="797"/>
      <c r="BH1815" s="797"/>
      <c r="BI1815" s="797"/>
      <c r="BJ1815" s="797"/>
      <c r="BK1815" s="797"/>
      <c r="BL1815" s="797"/>
      <c r="BM1815" s="797"/>
      <c r="BN1815" s="797"/>
      <c r="BO1815" s="797"/>
      <c r="BP1815" s="797"/>
      <c r="BQ1815" s="797"/>
      <c r="BR1815" s="797"/>
      <c r="BS1815" s="797"/>
      <c r="BT1815" s="797"/>
      <c r="BU1815" s="797"/>
      <c r="BV1815" s="797"/>
      <c r="BW1815" s="797"/>
      <c r="BX1815" s="797"/>
      <c r="BY1815" s="797"/>
      <c r="BZ1815" s="797"/>
      <c r="CA1815" s="797"/>
      <c r="CB1815" s="797"/>
      <c r="CC1815" s="797"/>
      <c r="CD1815" s="797"/>
      <c r="CE1815" s="797"/>
      <c r="CF1815" s="797"/>
      <c r="CG1815" s="797"/>
      <c r="CH1815" s="797"/>
      <c r="CI1815" s="797"/>
      <c r="CJ1815" s="797"/>
      <c r="CK1815" s="797"/>
      <c r="CL1815" s="797"/>
      <c r="CM1815" s="797"/>
      <c r="CN1815" s="797"/>
      <c r="CO1815" s="797"/>
      <c r="CP1815" s="797"/>
      <c r="CQ1815" s="797"/>
      <c r="CR1815" s="797"/>
      <c r="CS1815" s="797"/>
      <c r="CT1815" s="797"/>
      <c r="CU1815" s="797"/>
      <c r="CV1815" s="797"/>
      <c r="CW1815" s="797"/>
      <c r="CX1815" s="797"/>
      <c r="CY1815" s="797"/>
      <c r="CZ1815" s="797"/>
      <c r="DA1815" s="797"/>
      <c r="DB1815" s="797"/>
      <c r="DC1815" s="797"/>
      <c r="DD1815" s="797"/>
      <c r="DE1815" s="797"/>
      <c r="DF1815" s="797"/>
      <c r="DG1815" s="797"/>
      <c r="DH1815" s="797"/>
      <c r="DI1815" s="797"/>
      <c r="DJ1815" s="797"/>
      <c r="DK1815" s="797"/>
      <c r="DL1815" s="797"/>
      <c r="DM1815" s="797"/>
      <c r="DN1815" s="797"/>
      <c r="DO1815" s="797"/>
      <c r="DP1815" s="797"/>
      <c r="DQ1815" s="797"/>
      <c r="DR1815" s="797"/>
      <c r="DS1815" s="797"/>
      <c r="DT1815" s="797"/>
      <c r="DU1815" s="797"/>
      <c r="DV1815" s="797"/>
      <c r="DW1815" s="797"/>
      <c r="DX1815" s="797"/>
      <c r="DY1815" s="797"/>
      <c r="DZ1815" s="797"/>
      <c r="EA1815" s="797"/>
      <c r="EB1815" s="797"/>
      <c r="EC1815" s="797"/>
      <c r="ED1815" s="797"/>
      <c r="EE1815" s="797"/>
      <c r="EF1815" s="797"/>
      <c r="EG1815" s="797"/>
      <c r="EH1815" s="797"/>
      <c r="EI1815" s="797"/>
      <c r="EJ1815" s="797"/>
      <c r="EK1815" s="797"/>
      <c r="EL1815" s="797"/>
      <c r="EM1815" s="797"/>
      <c r="EN1815" s="797"/>
      <c r="EO1815" s="797"/>
      <c r="EP1815" s="797"/>
      <c r="EQ1815" s="797"/>
      <c r="ER1815" s="797"/>
      <c r="ES1815" s="797"/>
      <c r="ET1815" s="797"/>
      <c r="EU1815" s="797"/>
      <c r="EV1815" s="797"/>
      <c r="EW1815" s="797"/>
      <c r="EX1815" s="797"/>
      <c r="EY1815" s="797"/>
      <c r="EZ1815" s="797"/>
      <c r="FA1815" s="797"/>
      <c r="FB1815" s="797"/>
      <c r="FC1815" s="797"/>
      <c r="FD1815" s="797"/>
      <c r="FE1815" s="797"/>
      <c r="FF1815" s="797"/>
      <c r="FG1815" s="797"/>
      <c r="FH1815" s="797"/>
      <c r="FI1815" s="797"/>
      <c r="FJ1815" s="797"/>
      <c r="FK1815" s="797"/>
      <c r="FL1815" s="797"/>
      <c r="FM1815" s="797"/>
      <c r="FN1815" s="797"/>
      <c r="FO1815" s="797"/>
      <c r="FP1815" s="797"/>
      <c r="FQ1815" s="797"/>
      <c r="FR1815" s="797"/>
      <c r="FS1815" s="797"/>
      <c r="FT1815" s="797"/>
      <c r="FU1815" s="797"/>
      <c r="FV1815" s="797"/>
      <c r="FW1815" s="797"/>
      <c r="FX1815" s="797"/>
      <c r="FY1815" s="797"/>
      <c r="FZ1815" s="797"/>
      <c r="GA1815" s="797"/>
      <c r="GB1815" s="797"/>
      <c r="GC1815" s="797"/>
      <c r="GD1815" s="797"/>
      <c r="GE1815" s="797"/>
      <c r="GF1815" s="797"/>
      <c r="GG1815" s="797"/>
      <c r="GH1815" s="797"/>
      <c r="GI1815" s="797"/>
      <c r="GJ1815" s="797"/>
      <c r="GK1815" s="797"/>
      <c r="GL1815" s="797"/>
      <c r="GM1815" s="797"/>
      <c r="GN1815" s="797"/>
      <c r="GO1815" s="797"/>
      <c r="GP1815" s="797"/>
      <c r="GQ1815" s="797"/>
      <c r="GR1815" s="797"/>
      <c r="GS1815" s="797"/>
      <c r="GT1815" s="797"/>
      <c r="GU1815" s="797"/>
      <c r="GV1815" s="797"/>
      <c r="GW1815" s="797"/>
      <c r="GX1815" s="797"/>
      <c r="GY1815" s="797"/>
      <c r="GZ1815" s="797"/>
      <c r="HA1815" s="797"/>
      <c r="HB1815" s="797"/>
      <c r="HC1815" s="797"/>
      <c r="HD1815" s="797"/>
      <c r="HE1815" s="797"/>
      <c r="HF1815" s="797"/>
      <c r="HG1815" s="797"/>
      <c r="HH1815" s="797"/>
      <c r="HI1815" s="797"/>
      <c r="HJ1815" s="797"/>
      <c r="HK1815" s="797"/>
      <c r="HL1815" s="797"/>
      <c r="HM1815" s="797"/>
      <c r="HN1815" s="797"/>
      <c r="HO1815" s="797"/>
      <c r="HP1815" s="797"/>
      <c r="HQ1815" s="797"/>
      <c r="HR1815" s="797"/>
      <c r="HS1815" s="797"/>
      <c r="HT1815" s="797"/>
      <c r="HU1815" s="797"/>
      <c r="HV1815" s="797"/>
      <c r="HW1815" s="797"/>
      <c r="HX1815" s="797"/>
      <c r="HY1815" s="797"/>
      <c r="HZ1815" s="797"/>
      <c r="IA1815" s="797"/>
      <c r="IB1815" s="797"/>
      <c r="IC1815" s="797"/>
      <c r="ID1815" s="797"/>
      <c r="IE1815" s="797"/>
      <c r="IF1815" s="797"/>
      <c r="IG1815" s="797"/>
      <c r="IH1815" s="797"/>
      <c r="II1815" s="797"/>
      <c r="IJ1815" s="797"/>
      <c r="IK1815" s="797"/>
      <c r="IL1815" s="797"/>
      <c r="IM1815" s="797"/>
      <c r="IN1815" s="797"/>
      <c r="IO1815" s="797"/>
      <c r="IP1815" s="797"/>
      <c r="IQ1815" s="797"/>
      <c r="IR1815" s="797"/>
      <c r="IS1815" s="797"/>
      <c r="IT1815" s="797"/>
      <c r="IU1815" s="797"/>
    </row>
    <row r="1816" spans="1:255" s="359" customFormat="1" hidden="1">
      <c r="A1816" s="336"/>
      <c r="B1816" s="328"/>
      <c r="C1816" s="335" t="s">
        <v>210</v>
      </c>
      <c r="D1816" s="336"/>
      <c r="E1816" s="856"/>
      <c r="F1816" s="389"/>
      <c r="G1816" s="389"/>
      <c r="H1816" s="389"/>
      <c r="I1816" s="389"/>
      <c r="J1816" s="389"/>
      <c r="K1816" s="389"/>
      <c r="L1816" s="389"/>
      <c r="M1816" s="389"/>
      <c r="N1816" s="358"/>
      <c r="O1816" s="797"/>
      <c r="P1816" s="798"/>
      <c r="Q1816" s="798"/>
      <c r="R1816" s="798"/>
      <c r="S1816" s="798"/>
      <c r="T1816" s="798"/>
      <c r="U1816" s="798"/>
      <c r="V1816" s="798"/>
      <c r="W1816" s="798"/>
      <c r="X1816" s="798"/>
      <c r="Y1816" s="798"/>
      <c r="Z1816" s="798"/>
      <c r="AA1816" s="797"/>
      <c r="AB1816" s="797"/>
      <c r="AC1816" s="797"/>
      <c r="AD1816" s="797"/>
      <c r="AE1816" s="797"/>
      <c r="AF1816" s="797"/>
      <c r="AG1816" s="797"/>
      <c r="AH1816" s="797"/>
      <c r="AI1816" s="797"/>
      <c r="AJ1816" s="797"/>
      <c r="AK1816" s="797"/>
      <c r="AL1816" s="797"/>
      <c r="AM1816" s="797"/>
      <c r="AN1816" s="797"/>
      <c r="AO1816" s="797"/>
      <c r="AP1816" s="797"/>
      <c r="AQ1816" s="797"/>
      <c r="AR1816" s="797"/>
      <c r="AS1816" s="797"/>
      <c r="AT1816" s="797"/>
      <c r="AU1816" s="797"/>
      <c r="AV1816" s="797"/>
      <c r="AW1816" s="797"/>
      <c r="AX1816" s="797"/>
      <c r="AY1816" s="797"/>
      <c r="AZ1816" s="797"/>
      <c r="BA1816" s="797"/>
      <c r="BB1816" s="797"/>
      <c r="BC1816" s="797"/>
      <c r="BD1816" s="797"/>
      <c r="BE1816" s="797"/>
      <c r="BF1816" s="797"/>
      <c r="BG1816" s="797"/>
      <c r="BH1816" s="797"/>
      <c r="BI1816" s="797"/>
      <c r="BJ1816" s="797"/>
      <c r="BK1816" s="797"/>
      <c r="BL1816" s="797"/>
      <c r="BM1816" s="797"/>
      <c r="BN1816" s="797"/>
      <c r="BO1816" s="797"/>
      <c r="BP1816" s="797"/>
      <c r="BQ1816" s="797"/>
      <c r="BR1816" s="797"/>
      <c r="BS1816" s="797"/>
      <c r="BT1816" s="797"/>
      <c r="BU1816" s="797"/>
      <c r="BV1816" s="797"/>
      <c r="BW1816" s="797"/>
      <c r="BX1816" s="797"/>
      <c r="BY1816" s="797"/>
      <c r="BZ1816" s="797"/>
      <c r="CA1816" s="797"/>
      <c r="CB1816" s="797"/>
      <c r="CC1816" s="797"/>
      <c r="CD1816" s="797"/>
      <c r="CE1816" s="797"/>
      <c r="CF1816" s="797"/>
      <c r="CG1816" s="797"/>
      <c r="CH1816" s="797"/>
      <c r="CI1816" s="797"/>
      <c r="CJ1816" s="797"/>
      <c r="CK1816" s="797"/>
      <c r="CL1816" s="797"/>
      <c r="CM1816" s="797"/>
      <c r="CN1816" s="797"/>
      <c r="CO1816" s="797"/>
      <c r="CP1816" s="797"/>
      <c r="CQ1816" s="797"/>
      <c r="CR1816" s="797"/>
      <c r="CS1816" s="797"/>
      <c r="CT1816" s="797"/>
      <c r="CU1816" s="797"/>
      <c r="CV1816" s="797"/>
      <c r="CW1816" s="797"/>
      <c r="CX1816" s="797"/>
      <c r="CY1816" s="797"/>
      <c r="CZ1816" s="797"/>
      <c r="DA1816" s="797"/>
      <c r="DB1816" s="797"/>
      <c r="DC1816" s="797"/>
      <c r="DD1816" s="797"/>
      <c r="DE1816" s="797"/>
      <c r="DF1816" s="797"/>
      <c r="DG1816" s="797"/>
      <c r="DH1816" s="797"/>
      <c r="DI1816" s="797"/>
      <c r="DJ1816" s="797"/>
      <c r="DK1816" s="797"/>
      <c r="DL1816" s="797"/>
      <c r="DM1816" s="797"/>
      <c r="DN1816" s="797"/>
      <c r="DO1816" s="797"/>
      <c r="DP1816" s="797"/>
      <c r="DQ1816" s="797"/>
      <c r="DR1816" s="797"/>
      <c r="DS1816" s="797"/>
      <c r="DT1816" s="797"/>
      <c r="DU1816" s="797"/>
      <c r="DV1816" s="797"/>
      <c r="DW1816" s="797"/>
      <c r="DX1816" s="797"/>
      <c r="DY1816" s="797"/>
      <c r="DZ1816" s="797"/>
      <c r="EA1816" s="797"/>
      <c r="EB1816" s="797"/>
      <c r="EC1816" s="797"/>
      <c r="ED1816" s="797"/>
      <c r="EE1816" s="797"/>
      <c r="EF1816" s="797"/>
      <c r="EG1816" s="797"/>
      <c r="EH1816" s="797"/>
      <c r="EI1816" s="797"/>
      <c r="EJ1816" s="797"/>
      <c r="EK1816" s="797"/>
      <c r="EL1816" s="797"/>
      <c r="EM1816" s="797"/>
      <c r="EN1816" s="797"/>
      <c r="EO1816" s="797"/>
      <c r="EP1816" s="797"/>
      <c r="EQ1816" s="797"/>
      <c r="ER1816" s="797"/>
      <c r="ES1816" s="797"/>
      <c r="ET1816" s="797"/>
      <c r="EU1816" s="797"/>
      <c r="EV1816" s="797"/>
      <c r="EW1816" s="797"/>
      <c r="EX1816" s="797"/>
      <c r="EY1816" s="797"/>
      <c r="EZ1816" s="797"/>
      <c r="FA1816" s="797"/>
      <c r="FB1816" s="797"/>
      <c r="FC1816" s="797"/>
      <c r="FD1816" s="797"/>
      <c r="FE1816" s="797"/>
      <c r="FF1816" s="797"/>
      <c r="FG1816" s="797"/>
      <c r="FH1816" s="797"/>
      <c r="FI1816" s="797"/>
      <c r="FJ1816" s="797"/>
      <c r="FK1816" s="797"/>
      <c r="FL1816" s="797"/>
      <c r="FM1816" s="797"/>
      <c r="FN1816" s="797"/>
      <c r="FO1816" s="797"/>
      <c r="FP1816" s="797"/>
      <c r="FQ1816" s="797"/>
      <c r="FR1816" s="797"/>
      <c r="FS1816" s="797"/>
      <c r="FT1816" s="797"/>
      <c r="FU1816" s="797"/>
      <c r="FV1816" s="797"/>
      <c r="FW1816" s="797"/>
      <c r="FX1816" s="797"/>
      <c r="FY1816" s="797"/>
      <c r="FZ1816" s="797"/>
      <c r="GA1816" s="797"/>
      <c r="GB1816" s="797"/>
      <c r="GC1816" s="797"/>
      <c r="GD1816" s="797"/>
      <c r="GE1816" s="797"/>
      <c r="GF1816" s="797"/>
      <c r="GG1816" s="797"/>
      <c r="GH1816" s="797"/>
      <c r="GI1816" s="797"/>
      <c r="GJ1816" s="797"/>
      <c r="GK1816" s="797"/>
      <c r="GL1816" s="797"/>
      <c r="GM1816" s="797"/>
      <c r="GN1816" s="797"/>
      <c r="GO1816" s="797"/>
      <c r="GP1816" s="797"/>
      <c r="GQ1816" s="797"/>
      <c r="GR1816" s="797"/>
      <c r="GS1816" s="797"/>
      <c r="GT1816" s="797"/>
      <c r="GU1816" s="797"/>
      <c r="GV1816" s="797"/>
      <c r="GW1816" s="797"/>
      <c r="GX1816" s="797"/>
      <c r="GY1816" s="797"/>
      <c r="GZ1816" s="797"/>
      <c r="HA1816" s="797"/>
      <c r="HB1816" s="797"/>
      <c r="HC1816" s="797"/>
      <c r="HD1816" s="797"/>
      <c r="HE1816" s="797"/>
      <c r="HF1816" s="797"/>
      <c r="HG1816" s="797"/>
      <c r="HH1816" s="797"/>
      <c r="HI1816" s="797"/>
      <c r="HJ1816" s="797"/>
      <c r="HK1816" s="797"/>
      <c r="HL1816" s="797"/>
      <c r="HM1816" s="797"/>
      <c r="HN1816" s="797"/>
      <c r="HO1816" s="797"/>
      <c r="HP1816" s="797"/>
      <c r="HQ1816" s="797"/>
      <c r="HR1816" s="797"/>
      <c r="HS1816" s="797"/>
      <c r="HT1816" s="797"/>
      <c r="HU1816" s="797"/>
      <c r="HV1816" s="797"/>
      <c r="HW1816" s="797"/>
      <c r="HX1816" s="797"/>
      <c r="HY1816" s="797"/>
      <c r="HZ1816" s="797"/>
      <c r="IA1816" s="797"/>
      <c r="IB1816" s="797"/>
      <c r="IC1816" s="797"/>
      <c r="ID1816" s="797"/>
      <c r="IE1816" s="797"/>
      <c r="IF1816" s="797"/>
      <c r="IG1816" s="797"/>
      <c r="IH1816" s="797"/>
      <c r="II1816" s="797"/>
      <c r="IJ1816" s="797"/>
      <c r="IK1816" s="797"/>
      <c r="IL1816" s="797"/>
      <c r="IM1816" s="797"/>
      <c r="IN1816" s="797"/>
      <c r="IO1816" s="797"/>
      <c r="IP1816" s="797"/>
      <c r="IQ1816" s="797"/>
      <c r="IR1816" s="797"/>
      <c r="IS1816" s="797"/>
      <c r="IT1816" s="797"/>
      <c r="IU1816" s="797"/>
    </row>
    <row r="1817" spans="1:255" s="359" customFormat="1" ht="13.5" hidden="1" customHeight="1">
      <c r="A1817" s="342"/>
      <c r="B1817" s="417"/>
      <c r="C1817" s="551" t="s">
        <v>1187</v>
      </c>
      <c r="D1817" s="342" t="s">
        <v>88</v>
      </c>
      <c r="E1817" s="857">
        <v>5.0000000000000002E-5</v>
      </c>
      <c r="F1817" s="392">
        <f>F1812*E1817</f>
        <v>0</v>
      </c>
      <c r="G1817" s="392">
        <v>16.100000000000001</v>
      </c>
      <c r="H1817" s="392">
        <f>F1817*G1817</f>
        <v>0</v>
      </c>
      <c r="I1817" s="392"/>
      <c r="J1817" s="392"/>
      <c r="K1817" s="392"/>
      <c r="L1817" s="392"/>
      <c r="M1817" s="392">
        <f>H1817+J1817+L1817</f>
        <v>0</v>
      </c>
      <c r="N1817" s="358"/>
      <c r="O1817" s="797"/>
      <c r="P1817" s="798"/>
      <c r="Q1817" s="798"/>
      <c r="R1817" s="798"/>
      <c r="S1817" s="798"/>
      <c r="T1817" s="798"/>
      <c r="U1817" s="798"/>
      <c r="V1817" s="798"/>
      <c r="W1817" s="798"/>
      <c r="X1817" s="798"/>
      <c r="Y1817" s="798"/>
      <c r="Z1817" s="798"/>
      <c r="AA1817" s="797"/>
      <c r="AB1817" s="797"/>
      <c r="AC1817" s="797"/>
      <c r="AD1817" s="797"/>
      <c r="AE1817" s="797"/>
      <c r="AF1817" s="797"/>
      <c r="AG1817" s="797"/>
      <c r="AH1817" s="797"/>
      <c r="AI1817" s="797"/>
      <c r="AJ1817" s="797"/>
      <c r="AK1817" s="797"/>
      <c r="AL1817" s="797"/>
      <c r="AM1817" s="797"/>
      <c r="AN1817" s="797"/>
      <c r="AO1817" s="797"/>
      <c r="AP1817" s="797"/>
      <c r="AQ1817" s="797"/>
      <c r="AR1817" s="797"/>
      <c r="AS1817" s="797"/>
      <c r="AT1817" s="797"/>
      <c r="AU1817" s="797"/>
      <c r="AV1817" s="797"/>
      <c r="AW1817" s="797"/>
      <c r="AX1817" s="797"/>
      <c r="AY1817" s="797"/>
      <c r="AZ1817" s="797"/>
      <c r="BA1817" s="797"/>
      <c r="BB1817" s="797"/>
      <c r="BC1817" s="797"/>
      <c r="BD1817" s="797"/>
      <c r="BE1817" s="797"/>
      <c r="BF1817" s="797"/>
      <c r="BG1817" s="797"/>
      <c r="BH1817" s="797"/>
      <c r="BI1817" s="797"/>
      <c r="BJ1817" s="797"/>
      <c r="BK1817" s="797"/>
      <c r="BL1817" s="797"/>
      <c r="BM1817" s="797"/>
      <c r="BN1817" s="797"/>
      <c r="BO1817" s="797"/>
      <c r="BP1817" s="797"/>
      <c r="BQ1817" s="797"/>
      <c r="BR1817" s="797"/>
      <c r="BS1817" s="797"/>
      <c r="BT1817" s="797"/>
      <c r="BU1817" s="797"/>
      <c r="BV1817" s="797"/>
      <c r="BW1817" s="797"/>
      <c r="BX1817" s="797"/>
      <c r="BY1817" s="797"/>
      <c r="BZ1817" s="797"/>
      <c r="CA1817" s="797"/>
      <c r="CB1817" s="797"/>
      <c r="CC1817" s="797"/>
      <c r="CD1817" s="797"/>
      <c r="CE1817" s="797"/>
      <c r="CF1817" s="797"/>
      <c r="CG1817" s="797"/>
      <c r="CH1817" s="797"/>
      <c r="CI1817" s="797"/>
      <c r="CJ1817" s="797"/>
      <c r="CK1817" s="797"/>
      <c r="CL1817" s="797"/>
      <c r="CM1817" s="797"/>
      <c r="CN1817" s="797"/>
      <c r="CO1817" s="797"/>
      <c r="CP1817" s="797"/>
      <c r="CQ1817" s="797"/>
      <c r="CR1817" s="797"/>
      <c r="CS1817" s="797"/>
      <c r="CT1817" s="797"/>
      <c r="CU1817" s="797"/>
      <c r="CV1817" s="797"/>
      <c r="CW1817" s="797"/>
      <c r="CX1817" s="797"/>
      <c r="CY1817" s="797"/>
      <c r="CZ1817" s="797"/>
      <c r="DA1817" s="797"/>
      <c r="DB1817" s="797"/>
      <c r="DC1817" s="797"/>
      <c r="DD1817" s="797"/>
      <c r="DE1817" s="797"/>
      <c r="DF1817" s="797"/>
      <c r="DG1817" s="797"/>
      <c r="DH1817" s="797"/>
      <c r="DI1817" s="797"/>
      <c r="DJ1817" s="797"/>
      <c r="DK1817" s="797"/>
      <c r="DL1817" s="797"/>
      <c r="DM1817" s="797"/>
      <c r="DN1817" s="797"/>
      <c r="DO1817" s="797"/>
      <c r="DP1817" s="797"/>
      <c r="DQ1817" s="797"/>
      <c r="DR1817" s="797"/>
      <c r="DS1817" s="797"/>
      <c r="DT1817" s="797"/>
      <c r="DU1817" s="797"/>
      <c r="DV1817" s="797"/>
      <c r="DW1817" s="797"/>
      <c r="DX1817" s="797"/>
      <c r="DY1817" s="797"/>
      <c r="DZ1817" s="797"/>
      <c r="EA1817" s="797"/>
      <c r="EB1817" s="797"/>
      <c r="EC1817" s="797"/>
      <c r="ED1817" s="797"/>
      <c r="EE1817" s="797"/>
      <c r="EF1817" s="797"/>
      <c r="EG1817" s="797"/>
      <c r="EH1817" s="797"/>
      <c r="EI1817" s="797"/>
      <c r="EJ1817" s="797"/>
      <c r="EK1817" s="797"/>
      <c r="EL1817" s="797"/>
      <c r="EM1817" s="797"/>
      <c r="EN1817" s="797"/>
      <c r="EO1817" s="797"/>
      <c r="EP1817" s="797"/>
      <c r="EQ1817" s="797"/>
      <c r="ER1817" s="797"/>
      <c r="ES1817" s="797"/>
      <c r="ET1817" s="797"/>
      <c r="EU1817" s="797"/>
      <c r="EV1817" s="797"/>
      <c r="EW1817" s="797"/>
      <c r="EX1817" s="797"/>
      <c r="EY1817" s="797"/>
      <c r="EZ1817" s="797"/>
      <c r="FA1817" s="797"/>
      <c r="FB1817" s="797"/>
      <c r="FC1817" s="797"/>
      <c r="FD1817" s="797"/>
      <c r="FE1817" s="797"/>
      <c r="FF1817" s="797"/>
      <c r="FG1817" s="797"/>
      <c r="FH1817" s="797"/>
      <c r="FI1817" s="797"/>
      <c r="FJ1817" s="797"/>
      <c r="FK1817" s="797"/>
      <c r="FL1817" s="797"/>
      <c r="FM1817" s="797"/>
      <c r="FN1817" s="797"/>
      <c r="FO1817" s="797"/>
      <c r="FP1817" s="797"/>
      <c r="FQ1817" s="797"/>
      <c r="FR1817" s="797"/>
      <c r="FS1817" s="797"/>
      <c r="FT1817" s="797"/>
      <c r="FU1817" s="797"/>
      <c r="FV1817" s="797"/>
      <c r="FW1817" s="797"/>
      <c r="FX1817" s="797"/>
      <c r="FY1817" s="797"/>
      <c r="FZ1817" s="797"/>
      <c r="GA1817" s="797"/>
      <c r="GB1817" s="797"/>
      <c r="GC1817" s="797"/>
      <c r="GD1817" s="797"/>
      <c r="GE1817" s="797"/>
      <c r="GF1817" s="797"/>
      <c r="GG1817" s="797"/>
      <c r="GH1817" s="797"/>
      <c r="GI1817" s="797"/>
      <c r="GJ1817" s="797"/>
      <c r="GK1817" s="797"/>
      <c r="GL1817" s="797"/>
      <c r="GM1817" s="797"/>
      <c r="GN1817" s="797"/>
      <c r="GO1817" s="797"/>
      <c r="GP1817" s="797"/>
      <c r="GQ1817" s="797"/>
      <c r="GR1817" s="797"/>
      <c r="GS1817" s="797"/>
      <c r="GT1817" s="797"/>
      <c r="GU1817" s="797"/>
      <c r="GV1817" s="797"/>
      <c r="GW1817" s="797"/>
      <c r="GX1817" s="797"/>
      <c r="GY1817" s="797"/>
      <c r="GZ1817" s="797"/>
      <c r="HA1817" s="797"/>
      <c r="HB1817" s="797"/>
      <c r="HC1817" s="797"/>
      <c r="HD1817" s="797"/>
      <c r="HE1817" s="797"/>
      <c r="HF1817" s="797"/>
      <c r="HG1817" s="797"/>
      <c r="HH1817" s="797"/>
      <c r="HI1817" s="797"/>
      <c r="HJ1817" s="797"/>
      <c r="HK1817" s="797"/>
      <c r="HL1817" s="797"/>
      <c r="HM1817" s="797"/>
      <c r="HN1817" s="797"/>
      <c r="HO1817" s="797"/>
      <c r="HP1817" s="797"/>
      <c r="HQ1817" s="797"/>
      <c r="HR1817" s="797"/>
      <c r="HS1817" s="797"/>
      <c r="HT1817" s="797"/>
      <c r="HU1817" s="797"/>
      <c r="HV1817" s="797"/>
      <c r="HW1817" s="797"/>
      <c r="HX1817" s="797"/>
      <c r="HY1817" s="797"/>
      <c r="HZ1817" s="797"/>
      <c r="IA1817" s="797"/>
      <c r="IB1817" s="797"/>
      <c r="IC1817" s="797"/>
      <c r="ID1817" s="797"/>
      <c r="IE1817" s="797"/>
      <c r="IF1817" s="797"/>
      <c r="IG1817" s="797"/>
      <c r="IH1817" s="797"/>
      <c r="II1817" s="797"/>
      <c r="IJ1817" s="797"/>
      <c r="IK1817" s="797"/>
      <c r="IL1817" s="797"/>
      <c r="IM1817" s="797"/>
      <c r="IN1817" s="797"/>
      <c r="IO1817" s="797"/>
      <c r="IP1817" s="797"/>
      <c r="IQ1817" s="797"/>
      <c r="IR1817" s="797"/>
      <c r="IS1817" s="797"/>
      <c r="IT1817" s="797"/>
      <c r="IU1817" s="797"/>
    </row>
    <row r="1818" spans="1:255" s="359" customFormat="1" ht="16.5" customHeight="1">
      <c r="A1818" s="1071">
        <v>2</v>
      </c>
      <c r="B1818" s="328" t="s">
        <v>530</v>
      </c>
      <c r="C1818" s="329" t="s">
        <v>1193</v>
      </c>
      <c r="D1818" s="330" t="s">
        <v>88</v>
      </c>
      <c r="E1818" s="389"/>
      <c r="F1818" s="384">
        <f>'დეფექტური აქტი'!E435</f>
        <v>8.4</v>
      </c>
      <c r="G1818" s="389"/>
      <c r="H1818" s="389"/>
      <c r="I1818" s="389"/>
      <c r="J1818" s="389"/>
      <c r="K1818" s="389"/>
      <c r="L1818" s="389"/>
      <c r="M1818" s="389"/>
      <c r="N1818" s="348"/>
      <c r="O1818" s="797"/>
      <c r="P1818" s="798"/>
      <c r="Q1818" s="798"/>
      <c r="R1818" s="798"/>
      <c r="S1818" s="798"/>
      <c r="T1818" s="798"/>
      <c r="U1818" s="798"/>
      <c r="V1818" s="798"/>
      <c r="W1818" s="798"/>
      <c r="X1818" s="798"/>
      <c r="Y1818" s="798"/>
      <c r="Z1818" s="798"/>
      <c r="AA1818" s="797"/>
      <c r="AB1818" s="797"/>
      <c r="AC1818" s="797"/>
      <c r="AD1818" s="797"/>
      <c r="AE1818" s="797"/>
      <c r="AF1818" s="797"/>
      <c r="AG1818" s="797"/>
      <c r="AH1818" s="797"/>
      <c r="AI1818" s="797"/>
      <c r="AJ1818" s="797"/>
      <c r="AK1818" s="797"/>
      <c r="AL1818" s="797"/>
      <c r="AM1818" s="797"/>
      <c r="AN1818" s="797"/>
      <c r="AO1818" s="797"/>
      <c r="AP1818" s="797"/>
      <c r="AQ1818" s="797"/>
      <c r="AR1818" s="797"/>
      <c r="AS1818" s="797"/>
      <c r="AT1818" s="797"/>
      <c r="AU1818" s="797"/>
      <c r="AV1818" s="797"/>
      <c r="AW1818" s="797"/>
      <c r="AX1818" s="797"/>
      <c r="AY1818" s="797"/>
      <c r="AZ1818" s="797"/>
      <c r="BA1818" s="797"/>
      <c r="BB1818" s="797"/>
      <c r="BC1818" s="797"/>
      <c r="BD1818" s="797"/>
      <c r="BE1818" s="797"/>
      <c r="BF1818" s="797"/>
      <c r="BG1818" s="797"/>
      <c r="BH1818" s="797"/>
      <c r="BI1818" s="797"/>
      <c r="BJ1818" s="797"/>
      <c r="BK1818" s="797"/>
      <c r="BL1818" s="797"/>
      <c r="BM1818" s="797"/>
      <c r="BN1818" s="797"/>
      <c r="BO1818" s="797"/>
      <c r="BP1818" s="797"/>
      <c r="BQ1818" s="797"/>
      <c r="BR1818" s="797"/>
      <c r="BS1818" s="797"/>
      <c r="BT1818" s="797"/>
      <c r="BU1818" s="797"/>
      <c r="BV1818" s="797"/>
      <c r="BW1818" s="797"/>
      <c r="BX1818" s="797"/>
      <c r="BY1818" s="797"/>
      <c r="BZ1818" s="797"/>
      <c r="CA1818" s="797"/>
      <c r="CB1818" s="797"/>
      <c r="CC1818" s="797"/>
      <c r="CD1818" s="797"/>
      <c r="CE1818" s="797"/>
      <c r="CF1818" s="797"/>
      <c r="CG1818" s="797"/>
      <c r="CH1818" s="797"/>
      <c r="CI1818" s="797"/>
      <c r="CJ1818" s="797"/>
      <c r="CK1818" s="797"/>
      <c r="CL1818" s="797"/>
      <c r="CM1818" s="797"/>
      <c r="CN1818" s="797"/>
      <c r="CO1818" s="797"/>
      <c r="CP1818" s="797"/>
      <c r="CQ1818" s="797"/>
      <c r="CR1818" s="797"/>
      <c r="CS1818" s="797"/>
      <c r="CT1818" s="797"/>
      <c r="CU1818" s="797"/>
      <c r="CV1818" s="797"/>
      <c r="CW1818" s="797"/>
      <c r="CX1818" s="797"/>
      <c r="CY1818" s="797"/>
      <c r="CZ1818" s="797"/>
      <c r="DA1818" s="797"/>
      <c r="DB1818" s="797"/>
      <c r="DC1818" s="797"/>
      <c r="DD1818" s="797"/>
      <c r="DE1818" s="797"/>
      <c r="DF1818" s="797"/>
      <c r="DG1818" s="797"/>
      <c r="DH1818" s="797"/>
      <c r="DI1818" s="797"/>
      <c r="DJ1818" s="797"/>
      <c r="DK1818" s="797"/>
      <c r="DL1818" s="797"/>
      <c r="DM1818" s="797"/>
      <c r="DN1818" s="797"/>
      <c r="DO1818" s="797"/>
      <c r="DP1818" s="797"/>
      <c r="DQ1818" s="797"/>
      <c r="DR1818" s="797"/>
      <c r="DS1818" s="797"/>
      <c r="DT1818" s="797"/>
      <c r="DU1818" s="797"/>
      <c r="DV1818" s="797"/>
      <c r="DW1818" s="797"/>
      <c r="DX1818" s="797"/>
      <c r="DY1818" s="797"/>
      <c r="DZ1818" s="797"/>
      <c r="EA1818" s="797"/>
      <c r="EB1818" s="797"/>
      <c r="EC1818" s="797"/>
      <c r="ED1818" s="797"/>
      <c r="EE1818" s="797"/>
      <c r="EF1818" s="797"/>
      <c r="EG1818" s="797"/>
      <c r="EH1818" s="797"/>
      <c r="EI1818" s="797"/>
      <c r="EJ1818" s="797"/>
      <c r="EK1818" s="797"/>
      <c r="EL1818" s="797"/>
      <c r="EM1818" s="797"/>
      <c r="EN1818" s="797"/>
      <c r="EO1818" s="797"/>
      <c r="EP1818" s="797"/>
      <c r="EQ1818" s="797"/>
      <c r="ER1818" s="797"/>
      <c r="ES1818" s="797"/>
      <c r="ET1818" s="797"/>
      <c r="EU1818" s="797"/>
      <c r="EV1818" s="797"/>
      <c r="EW1818" s="797"/>
      <c r="EX1818" s="797"/>
      <c r="EY1818" s="797"/>
      <c r="EZ1818" s="797"/>
      <c r="FA1818" s="797"/>
      <c r="FB1818" s="797"/>
      <c r="FC1818" s="797"/>
      <c r="FD1818" s="797"/>
      <c r="FE1818" s="797"/>
      <c r="FF1818" s="797"/>
      <c r="FG1818" s="797"/>
      <c r="FH1818" s="797"/>
      <c r="FI1818" s="797"/>
      <c r="FJ1818" s="797"/>
      <c r="FK1818" s="797"/>
      <c r="FL1818" s="797"/>
      <c r="FM1818" s="797"/>
      <c r="FN1818" s="797"/>
      <c r="FO1818" s="797"/>
      <c r="FP1818" s="797"/>
      <c r="FQ1818" s="797"/>
      <c r="FR1818" s="797"/>
      <c r="FS1818" s="797"/>
      <c r="FT1818" s="797"/>
      <c r="FU1818" s="797"/>
      <c r="FV1818" s="797"/>
      <c r="FW1818" s="797"/>
      <c r="FX1818" s="797"/>
      <c r="FY1818" s="797"/>
      <c r="FZ1818" s="797"/>
      <c r="GA1818" s="797"/>
      <c r="GB1818" s="797"/>
      <c r="GC1818" s="797"/>
      <c r="GD1818" s="797"/>
      <c r="GE1818" s="797"/>
      <c r="GF1818" s="797"/>
      <c r="GG1818" s="797"/>
      <c r="GH1818" s="797"/>
      <c r="GI1818" s="797"/>
      <c r="GJ1818" s="797"/>
      <c r="GK1818" s="797"/>
      <c r="GL1818" s="797"/>
      <c r="GM1818" s="797"/>
      <c r="GN1818" s="797"/>
      <c r="GO1818" s="797"/>
      <c r="GP1818" s="797"/>
      <c r="GQ1818" s="797"/>
      <c r="GR1818" s="797"/>
      <c r="GS1818" s="797"/>
      <c r="GT1818" s="797"/>
      <c r="GU1818" s="797"/>
      <c r="GV1818" s="797"/>
      <c r="GW1818" s="797"/>
      <c r="GX1818" s="797"/>
      <c r="GY1818" s="797"/>
      <c r="GZ1818" s="797"/>
      <c r="HA1818" s="797"/>
      <c r="HB1818" s="797"/>
      <c r="HC1818" s="797"/>
      <c r="HD1818" s="797"/>
      <c r="HE1818" s="797"/>
      <c r="HF1818" s="797"/>
      <c r="HG1818" s="797"/>
      <c r="HH1818" s="797"/>
      <c r="HI1818" s="797"/>
      <c r="HJ1818" s="797"/>
      <c r="HK1818" s="797"/>
      <c r="HL1818" s="797"/>
      <c r="HM1818" s="797"/>
      <c r="HN1818" s="797"/>
      <c r="HO1818" s="797"/>
      <c r="HP1818" s="797"/>
      <c r="HQ1818" s="797"/>
      <c r="HR1818" s="797"/>
      <c r="HS1818" s="797"/>
      <c r="HT1818" s="797"/>
      <c r="HU1818" s="797"/>
      <c r="HV1818" s="797"/>
      <c r="HW1818" s="797"/>
      <c r="HX1818" s="797"/>
      <c r="HY1818" s="797"/>
      <c r="HZ1818" s="797"/>
      <c r="IA1818" s="797"/>
      <c r="IB1818" s="797"/>
      <c r="IC1818" s="797"/>
      <c r="ID1818" s="797"/>
      <c r="IE1818" s="797"/>
      <c r="IF1818" s="797"/>
      <c r="IG1818" s="797"/>
      <c r="IH1818" s="797"/>
      <c r="II1818" s="797"/>
      <c r="IJ1818" s="797"/>
      <c r="IK1818" s="797"/>
      <c r="IL1818" s="797"/>
      <c r="IM1818" s="797"/>
      <c r="IN1818" s="797"/>
      <c r="IO1818" s="797"/>
      <c r="IP1818" s="797"/>
      <c r="IQ1818" s="797"/>
      <c r="IR1818" s="797"/>
      <c r="IS1818" s="797"/>
      <c r="IT1818" s="797"/>
      <c r="IU1818" s="797"/>
    </row>
    <row r="1819" spans="1:255" s="359" customFormat="1">
      <c r="A1819" s="1080"/>
      <c r="B1819" s="417"/>
      <c r="C1819" s="551" t="s">
        <v>209</v>
      </c>
      <c r="D1819" s="342" t="s">
        <v>80</v>
      </c>
      <c r="E1819" s="857">
        <v>2.06</v>
      </c>
      <c r="F1819" s="392">
        <f>F1818*E1819</f>
        <v>17.304000000000002</v>
      </c>
      <c r="G1819" s="392"/>
      <c r="H1819" s="392"/>
      <c r="I1819" s="392"/>
      <c r="J1819" s="392"/>
      <c r="K1819" s="392"/>
      <c r="L1819" s="392"/>
      <c r="M1819" s="392"/>
      <c r="N1819" s="348"/>
      <c r="O1819" s="797"/>
      <c r="P1819" s="798"/>
      <c r="Q1819" s="798"/>
      <c r="R1819" s="798"/>
      <c r="S1819" s="798"/>
      <c r="T1819" s="798"/>
      <c r="U1819" s="798"/>
      <c r="V1819" s="798"/>
      <c r="W1819" s="798"/>
      <c r="X1819" s="798"/>
      <c r="Y1819" s="798"/>
      <c r="Z1819" s="798"/>
      <c r="AA1819" s="797"/>
      <c r="AB1819" s="797"/>
      <c r="AC1819" s="797"/>
      <c r="AD1819" s="797"/>
      <c r="AE1819" s="797"/>
      <c r="AF1819" s="797"/>
      <c r="AG1819" s="797"/>
      <c r="AH1819" s="797"/>
      <c r="AI1819" s="797"/>
      <c r="AJ1819" s="797"/>
      <c r="AK1819" s="797"/>
      <c r="AL1819" s="797"/>
      <c r="AM1819" s="797"/>
      <c r="AN1819" s="797"/>
      <c r="AO1819" s="797"/>
      <c r="AP1819" s="797"/>
      <c r="AQ1819" s="797"/>
      <c r="AR1819" s="797"/>
      <c r="AS1819" s="797"/>
      <c r="AT1819" s="797"/>
      <c r="AU1819" s="797"/>
      <c r="AV1819" s="797"/>
      <c r="AW1819" s="797"/>
      <c r="AX1819" s="797"/>
      <c r="AY1819" s="797"/>
      <c r="AZ1819" s="797"/>
      <c r="BA1819" s="797"/>
      <c r="BB1819" s="797"/>
      <c r="BC1819" s="797"/>
      <c r="BD1819" s="797"/>
      <c r="BE1819" s="797"/>
      <c r="BF1819" s="797"/>
      <c r="BG1819" s="797"/>
      <c r="BH1819" s="797"/>
      <c r="BI1819" s="797"/>
      <c r="BJ1819" s="797"/>
      <c r="BK1819" s="797"/>
      <c r="BL1819" s="797"/>
      <c r="BM1819" s="797"/>
      <c r="BN1819" s="797"/>
      <c r="BO1819" s="797"/>
      <c r="BP1819" s="797"/>
      <c r="BQ1819" s="797"/>
      <c r="BR1819" s="797"/>
      <c r="BS1819" s="797"/>
      <c r="BT1819" s="797"/>
      <c r="BU1819" s="797"/>
      <c r="BV1819" s="797"/>
      <c r="BW1819" s="797"/>
      <c r="BX1819" s="797"/>
      <c r="BY1819" s="797"/>
      <c r="BZ1819" s="797"/>
      <c r="CA1819" s="797"/>
      <c r="CB1819" s="797"/>
      <c r="CC1819" s="797"/>
      <c r="CD1819" s="797"/>
      <c r="CE1819" s="797"/>
      <c r="CF1819" s="797"/>
      <c r="CG1819" s="797"/>
      <c r="CH1819" s="797"/>
      <c r="CI1819" s="797"/>
      <c r="CJ1819" s="797"/>
      <c r="CK1819" s="797"/>
      <c r="CL1819" s="797"/>
      <c r="CM1819" s="797"/>
      <c r="CN1819" s="797"/>
      <c r="CO1819" s="797"/>
      <c r="CP1819" s="797"/>
      <c r="CQ1819" s="797"/>
      <c r="CR1819" s="797"/>
      <c r="CS1819" s="797"/>
      <c r="CT1819" s="797"/>
      <c r="CU1819" s="797"/>
      <c r="CV1819" s="797"/>
      <c r="CW1819" s="797"/>
      <c r="CX1819" s="797"/>
      <c r="CY1819" s="797"/>
      <c r="CZ1819" s="797"/>
      <c r="DA1819" s="797"/>
      <c r="DB1819" s="797"/>
      <c r="DC1819" s="797"/>
      <c r="DD1819" s="797"/>
      <c r="DE1819" s="797"/>
      <c r="DF1819" s="797"/>
      <c r="DG1819" s="797"/>
      <c r="DH1819" s="797"/>
      <c r="DI1819" s="797"/>
      <c r="DJ1819" s="797"/>
      <c r="DK1819" s="797"/>
      <c r="DL1819" s="797"/>
      <c r="DM1819" s="797"/>
      <c r="DN1819" s="797"/>
      <c r="DO1819" s="797"/>
      <c r="DP1819" s="797"/>
      <c r="DQ1819" s="797"/>
      <c r="DR1819" s="797"/>
      <c r="DS1819" s="797"/>
      <c r="DT1819" s="797"/>
      <c r="DU1819" s="797"/>
      <c r="DV1819" s="797"/>
      <c r="DW1819" s="797"/>
      <c r="DX1819" s="797"/>
      <c r="DY1819" s="797"/>
      <c r="DZ1819" s="797"/>
      <c r="EA1819" s="797"/>
      <c r="EB1819" s="797"/>
      <c r="EC1819" s="797"/>
      <c r="ED1819" s="797"/>
      <c r="EE1819" s="797"/>
      <c r="EF1819" s="797"/>
      <c r="EG1819" s="797"/>
      <c r="EH1819" s="797"/>
      <c r="EI1819" s="797"/>
      <c r="EJ1819" s="797"/>
      <c r="EK1819" s="797"/>
      <c r="EL1819" s="797"/>
      <c r="EM1819" s="797"/>
      <c r="EN1819" s="797"/>
      <c r="EO1819" s="797"/>
      <c r="EP1819" s="797"/>
      <c r="EQ1819" s="797"/>
      <c r="ER1819" s="797"/>
      <c r="ES1819" s="797"/>
      <c r="ET1819" s="797"/>
      <c r="EU1819" s="797"/>
      <c r="EV1819" s="797"/>
      <c r="EW1819" s="797"/>
      <c r="EX1819" s="797"/>
      <c r="EY1819" s="797"/>
      <c r="EZ1819" s="797"/>
      <c r="FA1819" s="797"/>
      <c r="FB1819" s="797"/>
      <c r="FC1819" s="797"/>
      <c r="FD1819" s="797"/>
      <c r="FE1819" s="797"/>
      <c r="FF1819" s="797"/>
      <c r="FG1819" s="797"/>
      <c r="FH1819" s="797"/>
      <c r="FI1819" s="797"/>
      <c r="FJ1819" s="797"/>
      <c r="FK1819" s="797"/>
      <c r="FL1819" s="797"/>
      <c r="FM1819" s="797"/>
      <c r="FN1819" s="797"/>
      <c r="FO1819" s="797"/>
      <c r="FP1819" s="797"/>
      <c r="FQ1819" s="797"/>
      <c r="FR1819" s="797"/>
      <c r="FS1819" s="797"/>
      <c r="FT1819" s="797"/>
      <c r="FU1819" s="797"/>
      <c r="FV1819" s="797"/>
      <c r="FW1819" s="797"/>
      <c r="FX1819" s="797"/>
      <c r="FY1819" s="797"/>
      <c r="FZ1819" s="797"/>
      <c r="GA1819" s="797"/>
      <c r="GB1819" s="797"/>
      <c r="GC1819" s="797"/>
      <c r="GD1819" s="797"/>
      <c r="GE1819" s="797"/>
      <c r="GF1819" s="797"/>
      <c r="GG1819" s="797"/>
      <c r="GH1819" s="797"/>
      <c r="GI1819" s="797"/>
      <c r="GJ1819" s="797"/>
      <c r="GK1819" s="797"/>
      <c r="GL1819" s="797"/>
      <c r="GM1819" s="797"/>
      <c r="GN1819" s="797"/>
      <c r="GO1819" s="797"/>
      <c r="GP1819" s="797"/>
      <c r="GQ1819" s="797"/>
      <c r="GR1819" s="797"/>
      <c r="GS1819" s="797"/>
      <c r="GT1819" s="797"/>
      <c r="GU1819" s="797"/>
      <c r="GV1819" s="797"/>
      <c r="GW1819" s="797"/>
      <c r="GX1819" s="797"/>
      <c r="GY1819" s="797"/>
      <c r="GZ1819" s="797"/>
      <c r="HA1819" s="797"/>
      <c r="HB1819" s="797"/>
      <c r="HC1819" s="797"/>
      <c r="HD1819" s="797"/>
      <c r="HE1819" s="797"/>
      <c r="HF1819" s="797"/>
      <c r="HG1819" s="797"/>
      <c r="HH1819" s="797"/>
      <c r="HI1819" s="797"/>
      <c r="HJ1819" s="797"/>
      <c r="HK1819" s="797"/>
      <c r="HL1819" s="797"/>
      <c r="HM1819" s="797"/>
      <c r="HN1819" s="797"/>
      <c r="HO1819" s="797"/>
      <c r="HP1819" s="797"/>
      <c r="HQ1819" s="797"/>
      <c r="HR1819" s="797"/>
      <c r="HS1819" s="797"/>
      <c r="HT1819" s="797"/>
      <c r="HU1819" s="797"/>
      <c r="HV1819" s="797"/>
      <c r="HW1819" s="797"/>
      <c r="HX1819" s="797"/>
      <c r="HY1819" s="797"/>
      <c r="HZ1819" s="797"/>
      <c r="IA1819" s="797"/>
      <c r="IB1819" s="797"/>
      <c r="IC1819" s="797"/>
      <c r="ID1819" s="797"/>
      <c r="IE1819" s="797"/>
      <c r="IF1819" s="797"/>
      <c r="IG1819" s="797"/>
      <c r="IH1819" s="797"/>
      <c r="II1819" s="797"/>
      <c r="IJ1819" s="797"/>
      <c r="IK1819" s="797"/>
      <c r="IL1819" s="797"/>
      <c r="IM1819" s="797"/>
      <c r="IN1819" s="797"/>
      <c r="IO1819" s="797"/>
      <c r="IP1819" s="797"/>
      <c r="IQ1819" s="797"/>
      <c r="IR1819" s="797"/>
      <c r="IS1819" s="797"/>
      <c r="IT1819" s="797"/>
      <c r="IU1819" s="797"/>
    </row>
    <row r="1820" spans="1:255" s="361" customFormat="1" ht="16.5" customHeight="1">
      <c r="A1820" s="1071">
        <v>8</v>
      </c>
      <c r="B1820" s="328" t="s">
        <v>890</v>
      </c>
      <c r="C1820" s="329" t="s">
        <v>433</v>
      </c>
      <c r="D1820" s="330" t="s">
        <v>88</v>
      </c>
      <c r="E1820" s="389"/>
      <c r="F1820" s="384">
        <f>'დეფექტური აქტი'!E436</f>
        <v>6</v>
      </c>
      <c r="G1820" s="389"/>
      <c r="H1820" s="389"/>
      <c r="I1820" s="389"/>
      <c r="J1820" s="389"/>
      <c r="K1820" s="389"/>
      <c r="L1820" s="389"/>
      <c r="M1820" s="389"/>
      <c r="N1820" s="348"/>
      <c r="O1820" s="803"/>
      <c r="P1820" s="804"/>
      <c r="Q1820" s="804"/>
      <c r="R1820" s="804"/>
      <c r="S1820" s="804"/>
      <c r="T1820" s="804"/>
      <c r="U1820" s="804"/>
      <c r="V1820" s="804"/>
      <c r="W1820" s="804"/>
      <c r="X1820" s="804"/>
      <c r="Y1820" s="804"/>
      <c r="Z1820" s="804"/>
      <c r="AA1820" s="803"/>
      <c r="AB1820" s="803"/>
      <c r="AC1820" s="803"/>
      <c r="AD1820" s="803"/>
      <c r="AE1820" s="803"/>
      <c r="AF1820" s="803"/>
      <c r="AG1820" s="803"/>
      <c r="AH1820" s="803"/>
      <c r="AI1820" s="803"/>
      <c r="AJ1820" s="803"/>
      <c r="AK1820" s="803"/>
      <c r="AL1820" s="803"/>
      <c r="AM1820" s="803"/>
      <c r="AN1820" s="803"/>
      <c r="AO1820" s="803"/>
      <c r="AP1820" s="803"/>
      <c r="AQ1820" s="803"/>
      <c r="AR1820" s="803"/>
      <c r="AS1820" s="803"/>
      <c r="AT1820" s="803"/>
      <c r="AU1820" s="803"/>
      <c r="AV1820" s="803"/>
      <c r="AW1820" s="803"/>
      <c r="AX1820" s="803"/>
      <c r="AY1820" s="803"/>
      <c r="AZ1820" s="803"/>
      <c r="BA1820" s="803"/>
      <c r="BB1820" s="803"/>
      <c r="BC1820" s="803"/>
      <c r="BD1820" s="803"/>
      <c r="BE1820" s="803"/>
      <c r="BF1820" s="803"/>
      <c r="BG1820" s="803"/>
      <c r="BH1820" s="803"/>
      <c r="BI1820" s="803"/>
      <c r="BJ1820" s="803"/>
      <c r="BK1820" s="803"/>
      <c r="BL1820" s="803"/>
      <c r="BM1820" s="803"/>
      <c r="BN1820" s="803"/>
      <c r="BO1820" s="803"/>
      <c r="BP1820" s="803"/>
      <c r="BQ1820" s="803"/>
      <c r="BR1820" s="803"/>
      <c r="BS1820" s="803"/>
      <c r="BT1820" s="803"/>
      <c r="BU1820" s="803"/>
      <c r="BV1820" s="803"/>
      <c r="BW1820" s="803"/>
      <c r="BX1820" s="803"/>
      <c r="BY1820" s="803"/>
      <c r="BZ1820" s="803"/>
      <c r="CA1820" s="803"/>
      <c r="CB1820" s="803"/>
      <c r="CC1820" s="803"/>
      <c r="CD1820" s="803"/>
      <c r="CE1820" s="803"/>
      <c r="CF1820" s="803"/>
      <c r="CG1820" s="803"/>
      <c r="CH1820" s="803"/>
      <c r="CI1820" s="803"/>
      <c r="CJ1820" s="803"/>
      <c r="CK1820" s="803"/>
      <c r="CL1820" s="803"/>
      <c r="CM1820" s="803"/>
      <c r="CN1820" s="803"/>
      <c r="CO1820" s="803"/>
      <c r="CP1820" s="803"/>
      <c r="CQ1820" s="803"/>
      <c r="CR1820" s="803"/>
      <c r="CS1820" s="803"/>
      <c r="CT1820" s="803"/>
      <c r="CU1820" s="803"/>
      <c r="CV1820" s="803"/>
      <c r="CW1820" s="803"/>
      <c r="CX1820" s="803"/>
      <c r="CY1820" s="803"/>
      <c r="CZ1820" s="803"/>
      <c r="DA1820" s="803"/>
      <c r="DB1820" s="803"/>
      <c r="DC1820" s="803"/>
      <c r="DD1820" s="803"/>
      <c r="DE1820" s="803"/>
      <c r="DF1820" s="803"/>
      <c r="DG1820" s="803"/>
      <c r="DH1820" s="803"/>
      <c r="DI1820" s="803"/>
      <c r="DJ1820" s="803"/>
      <c r="DK1820" s="803"/>
      <c r="DL1820" s="803"/>
      <c r="DM1820" s="803"/>
      <c r="DN1820" s="803"/>
      <c r="DO1820" s="803"/>
      <c r="DP1820" s="803"/>
      <c r="DQ1820" s="803"/>
      <c r="DR1820" s="803"/>
      <c r="DS1820" s="803"/>
      <c r="DT1820" s="803"/>
      <c r="DU1820" s="803"/>
      <c r="DV1820" s="803"/>
      <c r="DW1820" s="803"/>
      <c r="DX1820" s="803"/>
      <c r="DY1820" s="803"/>
      <c r="DZ1820" s="803"/>
      <c r="EA1820" s="803"/>
      <c r="EB1820" s="803"/>
      <c r="EC1820" s="803"/>
      <c r="ED1820" s="803"/>
      <c r="EE1820" s="803"/>
      <c r="EF1820" s="803"/>
      <c r="EG1820" s="803"/>
      <c r="EH1820" s="803"/>
      <c r="EI1820" s="803"/>
      <c r="EJ1820" s="803"/>
      <c r="EK1820" s="803"/>
      <c r="EL1820" s="803"/>
      <c r="EM1820" s="803"/>
      <c r="EN1820" s="803"/>
      <c r="EO1820" s="803"/>
      <c r="EP1820" s="803"/>
      <c r="EQ1820" s="803"/>
      <c r="ER1820" s="803"/>
      <c r="ES1820" s="803"/>
      <c r="ET1820" s="803"/>
      <c r="EU1820" s="803"/>
      <c r="EV1820" s="803"/>
      <c r="EW1820" s="803"/>
      <c r="EX1820" s="803"/>
      <c r="EY1820" s="803"/>
      <c r="EZ1820" s="803"/>
      <c r="FA1820" s="803"/>
      <c r="FB1820" s="803"/>
      <c r="FC1820" s="803"/>
      <c r="FD1820" s="803"/>
      <c r="FE1820" s="803"/>
      <c r="FF1820" s="803"/>
      <c r="FG1820" s="803"/>
      <c r="FH1820" s="803"/>
      <c r="FI1820" s="803"/>
      <c r="FJ1820" s="803"/>
      <c r="FK1820" s="803"/>
      <c r="FL1820" s="803"/>
      <c r="FM1820" s="803"/>
      <c r="FN1820" s="803"/>
      <c r="FO1820" s="803"/>
      <c r="FP1820" s="803"/>
      <c r="FQ1820" s="803"/>
      <c r="FR1820" s="803"/>
      <c r="FS1820" s="803"/>
      <c r="FT1820" s="803"/>
      <c r="FU1820" s="803"/>
      <c r="FV1820" s="803"/>
      <c r="FW1820" s="803"/>
      <c r="FX1820" s="803"/>
      <c r="FY1820" s="803"/>
      <c r="FZ1820" s="803"/>
      <c r="GA1820" s="803"/>
      <c r="GB1820" s="803"/>
      <c r="GC1820" s="803"/>
      <c r="GD1820" s="803"/>
      <c r="GE1820" s="803"/>
      <c r="GF1820" s="803"/>
      <c r="GG1820" s="803"/>
      <c r="GH1820" s="803"/>
      <c r="GI1820" s="803"/>
      <c r="GJ1820" s="803"/>
      <c r="GK1820" s="803"/>
      <c r="GL1820" s="803"/>
      <c r="GM1820" s="803"/>
      <c r="GN1820" s="803"/>
      <c r="GO1820" s="803"/>
      <c r="GP1820" s="803"/>
      <c r="GQ1820" s="803"/>
      <c r="GR1820" s="803"/>
      <c r="GS1820" s="803"/>
      <c r="GT1820" s="803"/>
      <c r="GU1820" s="803"/>
      <c r="GV1820" s="803"/>
      <c r="GW1820" s="803"/>
      <c r="GX1820" s="803"/>
      <c r="GY1820" s="803"/>
      <c r="GZ1820" s="803"/>
      <c r="HA1820" s="803"/>
      <c r="HB1820" s="803"/>
      <c r="HC1820" s="803"/>
      <c r="HD1820" s="803"/>
      <c r="HE1820" s="803"/>
      <c r="HF1820" s="803"/>
      <c r="HG1820" s="803"/>
      <c r="HH1820" s="803"/>
      <c r="HI1820" s="803"/>
      <c r="HJ1820" s="803"/>
      <c r="HK1820" s="803"/>
      <c r="HL1820" s="803"/>
      <c r="HM1820" s="803"/>
      <c r="HN1820" s="803"/>
      <c r="HO1820" s="803"/>
      <c r="HP1820" s="803"/>
      <c r="HQ1820" s="803"/>
      <c r="HR1820" s="803"/>
      <c r="HS1820" s="803"/>
      <c r="HT1820" s="803"/>
      <c r="HU1820" s="803"/>
      <c r="HV1820" s="803"/>
      <c r="HW1820" s="803"/>
      <c r="HX1820" s="803"/>
      <c r="HY1820" s="803"/>
      <c r="HZ1820" s="803"/>
      <c r="IA1820" s="803"/>
      <c r="IB1820" s="803"/>
      <c r="IC1820" s="803"/>
      <c r="ID1820" s="803"/>
      <c r="IE1820" s="803"/>
      <c r="IF1820" s="803"/>
      <c r="IG1820" s="803"/>
      <c r="IH1820" s="803"/>
      <c r="II1820" s="803"/>
      <c r="IJ1820" s="803"/>
      <c r="IK1820" s="803"/>
      <c r="IL1820" s="803"/>
      <c r="IM1820" s="803"/>
      <c r="IN1820" s="803"/>
      <c r="IO1820" s="803"/>
      <c r="IP1820" s="803"/>
      <c r="IQ1820" s="803"/>
      <c r="IR1820" s="803"/>
      <c r="IS1820" s="803"/>
      <c r="IT1820" s="803"/>
      <c r="IU1820" s="803"/>
    </row>
    <row r="1821" spans="1:255" s="361" customFormat="1" ht="16.5" customHeight="1">
      <c r="A1821" s="1080"/>
      <c r="B1821" s="417"/>
      <c r="C1821" s="551" t="s">
        <v>209</v>
      </c>
      <c r="D1821" s="342" t="s">
        <v>80</v>
      </c>
      <c r="E1821" s="857">
        <v>1.21</v>
      </c>
      <c r="F1821" s="392">
        <f>F1820*E1821</f>
        <v>7.26</v>
      </c>
      <c r="G1821" s="392"/>
      <c r="H1821" s="392"/>
      <c r="I1821" s="392"/>
      <c r="J1821" s="392"/>
      <c r="K1821" s="392"/>
      <c r="L1821" s="392"/>
      <c r="M1821" s="392"/>
      <c r="N1821" s="348"/>
      <c r="O1821" s="803"/>
      <c r="P1821" s="804"/>
      <c r="Q1821" s="804"/>
      <c r="R1821" s="804"/>
      <c r="S1821" s="804"/>
      <c r="T1821" s="804"/>
      <c r="U1821" s="804"/>
      <c r="V1821" s="804"/>
      <c r="W1821" s="804"/>
      <c r="X1821" s="804"/>
      <c r="Y1821" s="804"/>
      <c r="Z1821" s="804"/>
      <c r="AA1821" s="803"/>
      <c r="AB1821" s="803"/>
      <c r="AC1821" s="803"/>
      <c r="AD1821" s="803"/>
      <c r="AE1821" s="803"/>
      <c r="AF1821" s="803"/>
      <c r="AG1821" s="803"/>
      <c r="AH1821" s="803"/>
      <c r="AI1821" s="803"/>
      <c r="AJ1821" s="803"/>
      <c r="AK1821" s="803"/>
      <c r="AL1821" s="803"/>
      <c r="AM1821" s="803"/>
      <c r="AN1821" s="803"/>
      <c r="AO1821" s="803"/>
      <c r="AP1821" s="803"/>
      <c r="AQ1821" s="803"/>
      <c r="AR1821" s="803"/>
      <c r="AS1821" s="803"/>
      <c r="AT1821" s="803"/>
      <c r="AU1821" s="803"/>
      <c r="AV1821" s="803"/>
      <c r="AW1821" s="803"/>
      <c r="AX1821" s="803"/>
      <c r="AY1821" s="803"/>
      <c r="AZ1821" s="803"/>
      <c r="BA1821" s="803"/>
      <c r="BB1821" s="803"/>
      <c r="BC1821" s="803"/>
      <c r="BD1821" s="803"/>
      <c r="BE1821" s="803"/>
      <c r="BF1821" s="803"/>
      <c r="BG1821" s="803"/>
      <c r="BH1821" s="803"/>
      <c r="BI1821" s="803"/>
      <c r="BJ1821" s="803"/>
      <c r="BK1821" s="803"/>
      <c r="BL1821" s="803"/>
      <c r="BM1821" s="803"/>
      <c r="BN1821" s="803"/>
      <c r="BO1821" s="803"/>
      <c r="BP1821" s="803"/>
      <c r="BQ1821" s="803"/>
      <c r="BR1821" s="803"/>
      <c r="BS1821" s="803"/>
      <c r="BT1821" s="803"/>
      <c r="BU1821" s="803"/>
      <c r="BV1821" s="803"/>
      <c r="BW1821" s="803"/>
      <c r="BX1821" s="803"/>
      <c r="BY1821" s="803"/>
      <c r="BZ1821" s="803"/>
      <c r="CA1821" s="803"/>
      <c r="CB1821" s="803"/>
      <c r="CC1821" s="803"/>
      <c r="CD1821" s="803"/>
      <c r="CE1821" s="803"/>
      <c r="CF1821" s="803"/>
      <c r="CG1821" s="803"/>
      <c r="CH1821" s="803"/>
      <c r="CI1821" s="803"/>
      <c r="CJ1821" s="803"/>
      <c r="CK1821" s="803"/>
      <c r="CL1821" s="803"/>
      <c r="CM1821" s="803"/>
      <c r="CN1821" s="803"/>
      <c r="CO1821" s="803"/>
      <c r="CP1821" s="803"/>
      <c r="CQ1821" s="803"/>
      <c r="CR1821" s="803"/>
      <c r="CS1821" s="803"/>
      <c r="CT1821" s="803"/>
      <c r="CU1821" s="803"/>
      <c r="CV1821" s="803"/>
      <c r="CW1821" s="803"/>
      <c r="CX1821" s="803"/>
      <c r="CY1821" s="803"/>
      <c r="CZ1821" s="803"/>
      <c r="DA1821" s="803"/>
      <c r="DB1821" s="803"/>
      <c r="DC1821" s="803"/>
      <c r="DD1821" s="803"/>
      <c r="DE1821" s="803"/>
      <c r="DF1821" s="803"/>
      <c r="DG1821" s="803"/>
      <c r="DH1821" s="803"/>
      <c r="DI1821" s="803"/>
      <c r="DJ1821" s="803"/>
      <c r="DK1821" s="803"/>
      <c r="DL1821" s="803"/>
      <c r="DM1821" s="803"/>
      <c r="DN1821" s="803"/>
      <c r="DO1821" s="803"/>
      <c r="DP1821" s="803"/>
      <c r="DQ1821" s="803"/>
      <c r="DR1821" s="803"/>
      <c r="DS1821" s="803"/>
      <c r="DT1821" s="803"/>
      <c r="DU1821" s="803"/>
      <c r="DV1821" s="803"/>
      <c r="DW1821" s="803"/>
      <c r="DX1821" s="803"/>
      <c r="DY1821" s="803"/>
      <c r="DZ1821" s="803"/>
      <c r="EA1821" s="803"/>
      <c r="EB1821" s="803"/>
      <c r="EC1821" s="803"/>
      <c r="ED1821" s="803"/>
      <c r="EE1821" s="803"/>
      <c r="EF1821" s="803"/>
      <c r="EG1821" s="803"/>
      <c r="EH1821" s="803"/>
      <c r="EI1821" s="803"/>
      <c r="EJ1821" s="803"/>
      <c r="EK1821" s="803"/>
      <c r="EL1821" s="803"/>
      <c r="EM1821" s="803"/>
      <c r="EN1821" s="803"/>
      <c r="EO1821" s="803"/>
      <c r="EP1821" s="803"/>
      <c r="EQ1821" s="803"/>
      <c r="ER1821" s="803"/>
      <c r="ES1821" s="803"/>
      <c r="ET1821" s="803"/>
      <c r="EU1821" s="803"/>
      <c r="EV1821" s="803"/>
      <c r="EW1821" s="803"/>
      <c r="EX1821" s="803"/>
      <c r="EY1821" s="803"/>
      <c r="EZ1821" s="803"/>
      <c r="FA1821" s="803"/>
      <c r="FB1821" s="803"/>
      <c r="FC1821" s="803"/>
      <c r="FD1821" s="803"/>
      <c r="FE1821" s="803"/>
      <c r="FF1821" s="803"/>
      <c r="FG1821" s="803"/>
      <c r="FH1821" s="803"/>
      <c r="FI1821" s="803"/>
      <c r="FJ1821" s="803"/>
      <c r="FK1821" s="803"/>
      <c r="FL1821" s="803"/>
      <c r="FM1821" s="803"/>
      <c r="FN1821" s="803"/>
      <c r="FO1821" s="803"/>
      <c r="FP1821" s="803"/>
      <c r="FQ1821" s="803"/>
      <c r="FR1821" s="803"/>
      <c r="FS1821" s="803"/>
      <c r="FT1821" s="803"/>
      <c r="FU1821" s="803"/>
      <c r="FV1821" s="803"/>
      <c r="FW1821" s="803"/>
      <c r="FX1821" s="803"/>
      <c r="FY1821" s="803"/>
      <c r="FZ1821" s="803"/>
      <c r="GA1821" s="803"/>
      <c r="GB1821" s="803"/>
      <c r="GC1821" s="803"/>
      <c r="GD1821" s="803"/>
      <c r="GE1821" s="803"/>
      <c r="GF1821" s="803"/>
      <c r="GG1821" s="803"/>
      <c r="GH1821" s="803"/>
      <c r="GI1821" s="803"/>
      <c r="GJ1821" s="803"/>
      <c r="GK1821" s="803"/>
      <c r="GL1821" s="803"/>
      <c r="GM1821" s="803"/>
      <c r="GN1821" s="803"/>
      <c r="GO1821" s="803"/>
      <c r="GP1821" s="803"/>
      <c r="GQ1821" s="803"/>
      <c r="GR1821" s="803"/>
      <c r="GS1821" s="803"/>
      <c r="GT1821" s="803"/>
      <c r="GU1821" s="803"/>
      <c r="GV1821" s="803"/>
      <c r="GW1821" s="803"/>
      <c r="GX1821" s="803"/>
      <c r="GY1821" s="803"/>
      <c r="GZ1821" s="803"/>
      <c r="HA1821" s="803"/>
      <c r="HB1821" s="803"/>
      <c r="HC1821" s="803"/>
      <c r="HD1821" s="803"/>
      <c r="HE1821" s="803"/>
      <c r="HF1821" s="803"/>
      <c r="HG1821" s="803"/>
      <c r="HH1821" s="803"/>
      <c r="HI1821" s="803"/>
      <c r="HJ1821" s="803"/>
      <c r="HK1821" s="803"/>
      <c r="HL1821" s="803"/>
      <c r="HM1821" s="803"/>
      <c r="HN1821" s="803"/>
      <c r="HO1821" s="803"/>
      <c r="HP1821" s="803"/>
      <c r="HQ1821" s="803"/>
      <c r="HR1821" s="803"/>
      <c r="HS1821" s="803"/>
      <c r="HT1821" s="803"/>
      <c r="HU1821" s="803"/>
      <c r="HV1821" s="803"/>
      <c r="HW1821" s="803"/>
      <c r="HX1821" s="803"/>
      <c r="HY1821" s="803"/>
      <c r="HZ1821" s="803"/>
      <c r="IA1821" s="803"/>
      <c r="IB1821" s="803"/>
      <c r="IC1821" s="803"/>
      <c r="ID1821" s="803"/>
      <c r="IE1821" s="803"/>
      <c r="IF1821" s="803"/>
      <c r="IG1821" s="803"/>
      <c r="IH1821" s="803"/>
      <c r="II1821" s="803"/>
      <c r="IJ1821" s="803"/>
      <c r="IK1821" s="803"/>
      <c r="IL1821" s="803"/>
      <c r="IM1821" s="803"/>
      <c r="IN1821" s="803"/>
      <c r="IO1821" s="803"/>
      <c r="IP1821" s="803"/>
      <c r="IQ1821" s="803"/>
      <c r="IR1821" s="803"/>
      <c r="IS1821" s="803"/>
      <c r="IT1821" s="803"/>
      <c r="IU1821" s="803"/>
    </row>
    <row r="1822" spans="1:255" s="359" customFormat="1" ht="27" hidden="1" customHeight="1">
      <c r="A1822" s="336">
        <v>3</v>
      </c>
      <c r="B1822" s="328" t="s">
        <v>1195</v>
      </c>
      <c r="C1822" s="329" t="s">
        <v>1379</v>
      </c>
      <c r="D1822" s="330" t="s">
        <v>88</v>
      </c>
      <c r="E1822" s="389"/>
      <c r="F1822" s="384">
        <f>'დეფექტური აქტი'!E437</f>
        <v>0</v>
      </c>
      <c r="G1822" s="389"/>
      <c r="H1822" s="389"/>
      <c r="I1822" s="389"/>
      <c r="J1822" s="389"/>
      <c r="K1822" s="389"/>
      <c r="L1822" s="389"/>
      <c r="M1822" s="389"/>
      <c r="N1822" s="358"/>
      <c r="O1822" s="797"/>
      <c r="P1822" s="798"/>
      <c r="Q1822" s="798"/>
      <c r="R1822" s="798"/>
      <c r="S1822" s="798"/>
      <c r="T1822" s="798"/>
      <c r="U1822" s="798"/>
      <c r="V1822" s="798"/>
      <c r="W1822" s="798"/>
      <c r="X1822" s="798"/>
      <c r="Y1822" s="798"/>
      <c r="Z1822" s="798"/>
      <c r="AA1822" s="797"/>
      <c r="AB1822" s="797"/>
      <c r="AC1822" s="797"/>
      <c r="AD1822" s="797"/>
      <c r="AE1822" s="797"/>
      <c r="AF1822" s="797"/>
      <c r="AG1822" s="797"/>
      <c r="AH1822" s="797"/>
      <c r="AI1822" s="797"/>
      <c r="AJ1822" s="797"/>
      <c r="AK1822" s="797"/>
      <c r="AL1822" s="797"/>
      <c r="AM1822" s="797"/>
      <c r="AN1822" s="797"/>
      <c r="AO1822" s="797"/>
      <c r="AP1822" s="797"/>
      <c r="AQ1822" s="797"/>
      <c r="AR1822" s="797"/>
      <c r="AS1822" s="797"/>
      <c r="AT1822" s="797"/>
      <c r="AU1822" s="797"/>
      <c r="AV1822" s="797"/>
      <c r="AW1822" s="797"/>
      <c r="AX1822" s="797"/>
      <c r="AY1822" s="797"/>
      <c r="AZ1822" s="797"/>
      <c r="BA1822" s="797"/>
      <c r="BB1822" s="797"/>
      <c r="BC1822" s="797"/>
      <c r="BD1822" s="797"/>
      <c r="BE1822" s="797"/>
      <c r="BF1822" s="797"/>
      <c r="BG1822" s="797"/>
      <c r="BH1822" s="797"/>
      <c r="BI1822" s="797"/>
      <c r="BJ1822" s="797"/>
      <c r="BK1822" s="797"/>
      <c r="BL1822" s="797"/>
      <c r="BM1822" s="797"/>
      <c r="BN1822" s="797"/>
      <c r="BO1822" s="797"/>
      <c r="BP1822" s="797"/>
      <c r="BQ1822" s="797"/>
      <c r="BR1822" s="797"/>
      <c r="BS1822" s="797"/>
      <c r="BT1822" s="797"/>
      <c r="BU1822" s="797"/>
      <c r="BV1822" s="797"/>
      <c r="BW1822" s="797"/>
      <c r="BX1822" s="797"/>
      <c r="BY1822" s="797"/>
      <c r="BZ1822" s="797"/>
      <c r="CA1822" s="797"/>
      <c r="CB1822" s="797"/>
      <c r="CC1822" s="797"/>
      <c r="CD1822" s="797"/>
      <c r="CE1822" s="797"/>
      <c r="CF1822" s="797"/>
      <c r="CG1822" s="797"/>
      <c r="CH1822" s="797"/>
      <c r="CI1822" s="797"/>
      <c r="CJ1822" s="797"/>
      <c r="CK1822" s="797"/>
      <c r="CL1822" s="797"/>
      <c r="CM1822" s="797"/>
      <c r="CN1822" s="797"/>
      <c r="CO1822" s="797"/>
      <c r="CP1822" s="797"/>
      <c r="CQ1822" s="797"/>
      <c r="CR1822" s="797"/>
      <c r="CS1822" s="797"/>
      <c r="CT1822" s="797"/>
      <c r="CU1822" s="797"/>
      <c r="CV1822" s="797"/>
      <c r="CW1822" s="797"/>
      <c r="CX1822" s="797"/>
      <c r="CY1822" s="797"/>
      <c r="CZ1822" s="797"/>
      <c r="DA1822" s="797"/>
      <c r="DB1822" s="797"/>
      <c r="DC1822" s="797"/>
      <c r="DD1822" s="797"/>
      <c r="DE1822" s="797"/>
      <c r="DF1822" s="797"/>
      <c r="DG1822" s="797"/>
      <c r="DH1822" s="797"/>
      <c r="DI1822" s="797"/>
      <c r="DJ1822" s="797"/>
      <c r="DK1822" s="797"/>
      <c r="DL1822" s="797"/>
      <c r="DM1822" s="797"/>
      <c r="DN1822" s="797"/>
      <c r="DO1822" s="797"/>
      <c r="DP1822" s="797"/>
      <c r="DQ1822" s="797"/>
      <c r="DR1822" s="797"/>
      <c r="DS1822" s="797"/>
      <c r="DT1822" s="797"/>
      <c r="DU1822" s="797"/>
      <c r="DV1822" s="797"/>
      <c r="DW1822" s="797"/>
      <c r="DX1822" s="797"/>
      <c r="DY1822" s="797"/>
      <c r="DZ1822" s="797"/>
      <c r="EA1822" s="797"/>
      <c r="EB1822" s="797"/>
      <c r="EC1822" s="797"/>
      <c r="ED1822" s="797"/>
      <c r="EE1822" s="797"/>
      <c r="EF1822" s="797"/>
      <c r="EG1822" s="797"/>
      <c r="EH1822" s="797"/>
      <c r="EI1822" s="797"/>
      <c r="EJ1822" s="797"/>
      <c r="EK1822" s="797"/>
      <c r="EL1822" s="797"/>
      <c r="EM1822" s="797"/>
      <c r="EN1822" s="797"/>
      <c r="EO1822" s="797"/>
      <c r="EP1822" s="797"/>
      <c r="EQ1822" s="797"/>
      <c r="ER1822" s="797"/>
      <c r="ES1822" s="797"/>
      <c r="ET1822" s="797"/>
      <c r="EU1822" s="797"/>
      <c r="EV1822" s="797"/>
      <c r="EW1822" s="797"/>
      <c r="EX1822" s="797"/>
      <c r="EY1822" s="797"/>
      <c r="EZ1822" s="797"/>
      <c r="FA1822" s="797"/>
      <c r="FB1822" s="797"/>
      <c r="FC1822" s="797"/>
      <c r="FD1822" s="797"/>
      <c r="FE1822" s="797"/>
      <c r="FF1822" s="797"/>
      <c r="FG1822" s="797"/>
      <c r="FH1822" s="797"/>
      <c r="FI1822" s="797"/>
      <c r="FJ1822" s="797"/>
      <c r="FK1822" s="797"/>
      <c r="FL1822" s="797"/>
      <c r="FM1822" s="797"/>
      <c r="FN1822" s="797"/>
      <c r="FO1822" s="797"/>
      <c r="FP1822" s="797"/>
      <c r="FQ1822" s="797"/>
      <c r="FR1822" s="797"/>
      <c r="FS1822" s="797"/>
      <c r="FT1822" s="797"/>
      <c r="FU1822" s="797"/>
      <c r="FV1822" s="797"/>
      <c r="FW1822" s="797"/>
      <c r="FX1822" s="797"/>
      <c r="FY1822" s="797"/>
      <c r="FZ1822" s="797"/>
      <c r="GA1822" s="797"/>
      <c r="GB1822" s="797"/>
      <c r="GC1822" s="797"/>
      <c r="GD1822" s="797"/>
      <c r="GE1822" s="797"/>
      <c r="GF1822" s="797"/>
      <c r="GG1822" s="797"/>
      <c r="GH1822" s="797"/>
      <c r="GI1822" s="797"/>
      <c r="GJ1822" s="797"/>
      <c r="GK1822" s="797"/>
      <c r="GL1822" s="797"/>
      <c r="GM1822" s="797"/>
      <c r="GN1822" s="797"/>
      <c r="GO1822" s="797"/>
      <c r="GP1822" s="797"/>
      <c r="GQ1822" s="797"/>
      <c r="GR1822" s="797"/>
      <c r="GS1822" s="797"/>
      <c r="GT1822" s="797"/>
      <c r="GU1822" s="797"/>
      <c r="GV1822" s="797"/>
      <c r="GW1822" s="797"/>
      <c r="GX1822" s="797"/>
      <c r="GY1822" s="797"/>
      <c r="GZ1822" s="797"/>
      <c r="HA1822" s="797"/>
      <c r="HB1822" s="797"/>
      <c r="HC1822" s="797"/>
      <c r="HD1822" s="797"/>
      <c r="HE1822" s="797"/>
      <c r="HF1822" s="797"/>
      <c r="HG1822" s="797"/>
      <c r="HH1822" s="797"/>
      <c r="HI1822" s="797"/>
      <c r="HJ1822" s="797"/>
      <c r="HK1822" s="797"/>
      <c r="HL1822" s="797"/>
      <c r="HM1822" s="797"/>
      <c r="HN1822" s="797"/>
      <c r="HO1822" s="797"/>
      <c r="HP1822" s="797"/>
      <c r="HQ1822" s="797"/>
      <c r="HR1822" s="797"/>
      <c r="HS1822" s="797"/>
      <c r="HT1822" s="797"/>
      <c r="HU1822" s="797"/>
      <c r="HV1822" s="797"/>
      <c r="HW1822" s="797"/>
      <c r="HX1822" s="797"/>
      <c r="HY1822" s="797"/>
      <c r="HZ1822" s="797"/>
      <c r="IA1822" s="797"/>
      <c r="IB1822" s="797"/>
      <c r="IC1822" s="797"/>
      <c r="ID1822" s="797"/>
      <c r="IE1822" s="797"/>
      <c r="IF1822" s="797"/>
      <c r="IG1822" s="797"/>
      <c r="IH1822" s="797"/>
      <c r="II1822" s="797"/>
      <c r="IJ1822" s="797"/>
      <c r="IK1822" s="797"/>
      <c r="IL1822" s="797"/>
      <c r="IM1822" s="797"/>
      <c r="IN1822" s="797"/>
      <c r="IO1822" s="797"/>
      <c r="IP1822" s="797"/>
      <c r="IQ1822" s="797"/>
      <c r="IR1822" s="797"/>
      <c r="IS1822" s="797"/>
      <c r="IT1822" s="797"/>
      <c r="IU1822" s="797"/>
    </row>
    <row r="1823" spans="1:255" s="359" customFormat="1" ht="15.75" hidden="1" customHeight="1">
      <c r="A1823" s="342"/>
      <c r="B1823" s="417"/>
      <c r="C1823" s="551" t="s">
        <v>1335</v>
      </c>
      <c r="D1823" s="342" t="s">
        <v>217</v>
      </c>
      <c r="E1823" s="857">
        <v>9.2099999999999994E-3</v>
      </c>
      <c r="F1823" s="392">
        <f>F1822*E1823</f>
        <v>0</v>
      </c>
      <c r="G1823" s="392"/>
      <c r="H1823" s="392"/>
      <c r="I1823" s="392"/>
      <c r="J1823" s="392"/>
      <c r="K1823" s="392">
        <v>21.54</v>
      </c>
      <c r="L1823" s="392">
        <f>F1823*K1823</f>
        <v>0</v>
      </c>
      <c r="M1823" s="392">
        <f>H1823+J1823+L1823</f>
        <v>0</v>
      </c>
      <c r="N1823" s="358"/>
      <c r="O1823" s="797"/>
      <c r="P1823" s="798"/>
      <c r="Q1823" s="798"/>
      <c r="R1823" s="798"/>
      <c r="S1823" s="798"/>
      <c r="T1823" s="798"/>
      <c r="U1823" s="798"/>
      <c r="V1823" s="798"/>
      <c r="W1823" s="798"/>
      <c r="X1823" s="798"/>
      <c r="Y1823" s="798"/>
      <c r="Z1823" s="798"/>
      <c r="AA1823" s="797"/>
      <c r="AB1823" s="797"/>
      <c r="AC1823" s="797"/>
      <c r="AD1823" s="797"/>
      <c r="AE1823" s="797"/>
      <c r="AF1823" s="797"/>
      <c r="AG1823" s="797"/>
      <c r="AH1823" s="797"/>
      <c r="AI1823" s="797"/>
      <c r="AJ1823" s="797"/>
      <c r="AK1823" s="797"/>
      <c r="AL1823" s="797"/>
      <c r="AM1823" s="797"/>
      <c r="AN1823" s="797"/>
      <c r="AO1823" s="797"/>
      <c r="AP1823" s="797"/>
      <c r="AQ1823" s="797"/>
      <c r="AR1823" s="797"/>
      <c r="AS1823" s="797"/>
      <c r="AT1823" s="797"/>
      <c r="AU1823" s="797"/>
      <c r="AV1823" s="797"/>
      <c r="AW1823" s="797"/>
      <c r="AX1823" s="797"/>
      <c r="AY1823" s="797"/>
      <c r="AZ1823" s="797"/>
      <c r="BA1823" s="797"/>
      <c r="BB1823" s="797"/>
      <c r="BC1823" s="797"/>
      <c r="BD1823" s="797"/>
      <c r="BE1823" s="797"/>
      <c r="BF1823" s="797"/>
      <c r="BG1823" s="797"/>
      <c r="BH1823" s="797"/>
      <c r="BI1823" s="797"/>
      <c r="BJ1823" s="797"/>
      <c r="BK1823" s="797"/>
      <c r="BL1823" s="797"/>
      <c r="BM1823" s="797"/>
      <c r="BN1823" s="797"/>
      <c r="BO1823" s="797"/>
      <c r="BP1823" s="797"/>
      <c r="BQ1823" s="797"/>
      <c r="BR1823" s="797"/>
      <c r="BS1823" s="797"/>
      <c r="BT1823" s="797"/>
      <c r="BU1823" s="797"/>
      <c r="BV1823" s="797"/>
      <c r="BW1823" s="797"/>
      <c r="BX1823" s="797"/>
      <c r="BY1823" s="797"/>
      <c r="BZ1823" s="797"/>
      <c r="CA1823" s="797"/>
      <c r="CB1823" s="797"/>
      <c r="CC1823" s="797"/>
      <c r="CD1823" s="797"/>
      <c r="CE1823" s="797"/>
      <c r="CF1823" s="797"/>
      <c r="CG1823" s="797"/>
      <c r="CH1823" s="797"/>
      <c r="CI1823" s="797"/>
      <c r="CJ1823" s="797"/>
      <c r="CK1823" s="797"/>
      <c r="CL1823" s="797"/>
      <c r="CM1823" s="797"/>
      <c r="CN1823" s="797"/>
      <c r="CO1823" s="797"/>
      <c r="CP1823" s="797"/>
      <c r="CQ1823" s="797"/>
      <c r="CR1823" s="797"/>
      <c r="CS1823" s="797"/>
      <c r="CT1823" s="797"/>
      <c r="CU1823" s="797"/>
      <c r="CV1823" s="797"/>
      <c r="CW1823" s="797"/>
      <c r="CX1823" s="797"/>
      <c r="CY1823" s="797"/>
      <c r="CZ1823" s="797"/>
      <c r="DA1823" s="797"/>
      <c r="DB1823" s="797"/>
      <c r="DC1823" s="797"/>
      <c r="DD1823" s="797"/>
      <c r="DE1823" s="797"/>
      <c r="DF1823" s="797"/>
      <c r="DG1823" s="797"/>
      <c r="DH1823" s="797"/>
      <c r="DI1823" s="797"/>
      <c r="DJ1823" s="797"/>
      <c r="DK1823" s="797"/>
      <c r="DL1823" s="797"/>
      <c r="DM1823" s="797"/>
      <c r="DN1823" s="797"/>
      <c r="DO1823" s="797"/>
      <c r="DP1823" s="797"/>
      <c r="DQ1823" s="797"/>
      <c r="DR1823" s="797"/>
      <c r="DS1823" s="797"/>
      <c r="DT1823" s="797"/>
      <c r="DU1823" s="797"/>
      <c r="DV1823" s="797"/>
      <c r="DW1823" s="797"/>
      <c r="DX1823" s="797"/>
      <c r="DY1823" s="797"/>
      <c r="DZ1823" s="797"/>
      <c r="EA1823" s="797"/>
      <c r="EB1823" s="797"/>
      <c r="EC1823" s="797"/>
      <c r="ED1823" s="797"/>
      <c r="EE1823" s="797"/>
      <c r="EF1823" s="797"/>
      <c r="EG1823" s="797"/>
      <c r="EH1823" s="797"/>
      <c r="EI1823" s="797"/>
      <c r="EJ1823" s="797"/>
      <c r="EK1823" s="797"/>
      <c r="EL1823" s="797"/>
      <c r="EM1823" s="797"/>
      <c r="EN1823" s="797"/>
      <c r="EO1823" s="797"/>
      <c r="EP1823" s="797"/>
      <c r="EQ1823" s="797"/>
      <c r="ER1823" s="797"/>
      <c r="ES1823" s="797"/>
      <c r="ET1823" s="797"/>
      <c r="EU1823" s="797"/>
      <c r="EV1823" s="797"/>
      <c r="EW1823" s="797"/>
      <c r="EX1823" s="797"/>
      <c r="EY1823" s="797"/>
      <c r="EZ1823" s="797"/>
      <c r="FA1823" s="797"/>
      <c r="FB1823" s="797"/>
      <c r="FC1823" s="797"/>
      <c r="FD1823" s="797"/>
      <c r="FE1823" s="797"/>
      <c r="FF1823" s="797"/>
      <c r="FG1823" s="797"/>
      <c r="FH1823" s="797"/>
      <c r="FI1823" s="797"/>
      <c r="FJ1823" s="797"/>
      <c r="FK1823" s="797"/>
      <c r="FL1823" s="797"/>
      <c r="FM1823" s="797"/>
      <c r="FN1823" s="797"/>
      <c r="FO1823" s="797"/>
      <c r="FP1823" s="797"/>
      <c r="FQ1823" s="797"/>
      <c r="FR1823" s="797"/>
      <c r="FS1823" s="797"/>
      <c r="FT1823" s="797"/>
      <c r="FU1823" s="797"/>
      <c r="FV1823" s="797"/>
      <c r="FW1823" s="797"/>
      <c r="FX1823" s="797"/>
      <c r="FY1823" s="797"/>
      <c r="FZ1823" s="797"/>
      <c r="GA1823" s="797"/>
      <c r="GB1823" s="797"/>
      <c r="GC1823" s="797"/>
      <c r="GD1823" s="797"/>
      <c r="GE1823" s="797"/>
      <c r="GF1823" s="797"/>
      <c r="GG1823" s="797"/>
      <c r="GH1823" s="797"/>
      <c r="GI1823" s="797"/>
      <c r="GJ1823" s="797"/>
      <c r="GK1823" s="797"/>
      <c r="GL1823" s="797"/>
      <c r="GM1823" s="797"/>
      <c r="GN1823" s="797"/>
      <c r="GO1823" s="797"/>
      <c r="GP1823" s="797"/>
      <c r="GQ1823" s="797"/>
      <c r="GR1823" s="797"/>
      <c r="GS1823" s="797"/>
      <c r="GT1823" s="797"/>
      <c r="GU1823" s="797"/>
      <c r="GV1823" s="797"/>
      <c r="GW1823" s="797"/>
      <c r="GX1823" s="797"/>
      <c r="GY1823" s="797"/>
      <c r="GZ1823" s="797"/>
      <c r="HA1823" s="797"/>
      <c r="HB1823" s="797"/>
      <c r="HC1823" s="797"/>
      <c r="HD1823" s="797"/>
      <c r="HE1823" s="797"/>
      <c r="HF1823" s="797"/>
      <c r="HG1823" s="797"/>
      <c r="HH1823" s="797"/>
      <c r="HI1823" s="797"/>
      <c r="HJ1823" s="797"/>
      <c r="HK1823" s="797"/>
      <c r="HL1823" s="797"/>
      <c r="HM1823" s="797"/>
      <c r="HN1823" s="797"/>
      <c r="HO1823" s="797"/>
      <c r="HP1823" s="797"/>
      <c r="HQ1823" s="797"/>
      <c r="HR1823" s="797"/>
      <c r="HS1823" s="797"/>
      <c r="HT1823" s="797"/>
      <c r="HU1823" s="797"/>
      <c r="HV1823" s="797"/>
      <c r="HW1823" s="797"/>
      <c r="HX1823" s="797"/>
      <c r="HY1823" s="797"/>
      <c r="HZ1823" s="797"/>
      <c r="IA1823" s="797"/>
      <c r="IB1823" s="797"/>
      <c r="IC1823" s="797"/>
      <c r="ID1823" s="797"/>
      <c r="IE1823" s="797"/>
      <c r="IF1823" s="797"/>
      <c r="IG1823" s="797"/>
      <c r="IH1823" s="797"/>
      <c r="II1823" s="797"/>
      <c r="IJ1823" s="797"/>
      <c r="IK1823" s="797"/>
      <c r="IL1823" s="797"/>
      <c r="IM1823" s="797"/>
      <c r="IN1823" s="797"/>
      <c r="IO1823" s="797"/>
      <c r="IP1823" s="797"/>
      <c r="IQ1823" s="797"/>
      <c r="IR1823" s="797"/>
      <c r="IS1823" s="797"/>
      <c r="IT1823" s="797"/>
      <c r="IU1823" s="797"/>
    </row>
    <row r="1824" spans="1:255" s="463" customFormat="1" ht="18" hidden="1" customHeight="1">
      <c r="A1824" s="421">
        <v>4</v>
      </c>
      <c r="B1824" s="500" t="s">
        <v>1198</v>
      </c>
      <c r="C1824" s="420" t="s">
        <v>1137</v>
      </c>
      <c r="D1824" s="421" t="s">
        <v>88</v>
      </c>
      <c r="E1824" s="856"/>
      <c r="F1824" s="384">
        <f>'დეფექტური აქტი'!E438</f>
        <v>0</v>
      </c>
      <c r="G1824" s="389"/>
      <c r="H1824" s="389"/>
      <c r="I1824" s="389"/>
      <c r="J1824" s="389"/>
      <c r="K1824" s="389"/>
      <c r="L1824" s="389"/>
      <c r="M1824" s="389"/>
      <c r="N1824" s="348"/>
      <c r="O1824" s="799"/>
      <c r="P1824" s="800"/>
      <c r="Q1824" s="800"/>
      <c r="R1824" s="800"/>
      <c r="S1824" s="800"/>
      <c r="T1824" s="800"/>
      <c r="U1824" s="800"/>
      <c r="V1824" s="800"/>
      <c r="W1824" s="800"/>
      <c r="X1824" s="800"/>
      <c r="Y1824" s="800"/>
      <c r="Z1824" s="800"/>
      <c r="AA1824" s="799"/>
      <c r="AB1824" s="799"/>
      <c r="AC1824" s="799"/>
      <c r="AD1824" s="799"/>
      <c r="AE1824" s="799"/>
      <c r="AF1824" s="799"/>
      <c r="AG1824" s="799"/>
      <c r="AH1824" s="799"/>
      <c r="AI1824" s="799"/>
      <c r="AJ1824" s="799"/>
      <c r="AK1824" s="799"/>
      <c r="AL1824" s="799"/>
      <c r="AM1824" s="799"/>
      <c r="AN1824" s="799"/>
      <c r="AO1824" s="799"/>
      <c r="AP1824" s="799"/>
      <c r="AQ1824" s="799"/>
      <c r="AR1824" s="799"/>
      <c r="AS1824" s="799"/>
      <c r="AT1824" s="799"/>
      <c r="AU1824" s="799"/>
      <c r="AV1824" s="799"/>
      <c r="AW1824" s="799"/>
      <c r="AX1824" s="799"/>
      <c r="AY1824" s="799"/>
      <c r="AZ1824" s="799"/>
      <c r="BA1824" s="799"/>
      <c r="BB1824" s="799"/>
      <c r="BC1824" s="799"/>
      <c r="BD1824" s="799"/>
      <c r="BE1824" s="799"/>
      <c r="BF1824" s="799"/>
      <c r="BG1824" s="799"/>
      <c r="BH1824" s="799"/>
      <c r="BI1824" s="799"/>
      <c r="BJ1824" s="799"/>
      <c r="BK1824" s="799"/>
      <c r="BL1824" s="799"/>
      <c r="BM1824" s="799"/>
      <c r="BN1824" s="799"/>
      <c r="BO1824" s="799"/>
      <c r="BP1824" s="799"/>
      <c r="BQ1824" s="799"/>
      <c r="BR1824" s="799"/>
      <c r="BS1824" s="799"/>
      <c r="BT1824" s="799"/>
      <c r="BU1824" s="799"/>
      <c r="BV1824" s="799"/>
      <c r="BW1824" s="799"/>
      <c r="BX1824" s="799"/>
      <c r="BY1824" s="799"/>
      <c r="BZ1824" s="799"/>
      <c r="CA1824" s="799"/>
      <c r="CB1824" s="799"/>
      <c r="CC1824" s="799"/>
      <c r="CD1824" s="799"/>
      <c r="CE1824" s="799"/>
      <c r="CF1824" s="799"/>
      <c r="CG1824" s="799"/>
      <c r="CH1824" s="799"/>
      <c r="CI1824" s="799"/>
      <c r="CJ1824" s="799"/>
      <c r="CK1824" s="799"/>
      <c r="CL1824" s="799"/>
      <c r="CM1824" s="799"/>
      <c r="CN1824" s="799"/>
      <c r="CO1824" s="799"/>
      <c r="CP1824" s="799"/>
      <c r="CQ1824" s="799"/>
      <c r="CR1824" s="799"/>
      <c r="CS1824" s="799"/>
      <c r="CT1824" s="799"/>
      <c r="CU1824" s="799"/>
      <c r="CV1824" s="799"/>
      <c r="CW1824" s="799"/>
      <c r="CX1824" s="799"/>
      <c r="CY1824" s="799"/>
      <c r="CZ1824" s="799"/>
      <c r="DA1824" s="799"/>
      <c r="DB1824" s="799"/>
      <c r="DC1824" s="799"/>
      <c r="DD1824" s="799"/>
      <c r="DE1824" s="799"/>
      <c r="DF1824" s="799"/>
      <c r="DG1824" s="799"/>
      <c r="DH1824" s="799"/>
      <c r="DI1824" s="799"/>
      <c r="DJ1824" s="799"/>
      <c r="DK1824" s="799"/>
      <c r="DL1824" s="799"/>
      <c r="DM1824" s="799"/>
      <c r="DN1824" s="799"/>
      <c r="DO1824" s="799"/>
      <c r="DP1824" s="799"/>
      <c r="DQ1824" s="799"/>
      <c r="DR1824" s="799"/>
      <c r="DS1824" s="799"/>
      <c r="DT1824" s="799"/>
      <c r="DU1824" s="799"/>
      <c r="DV1824" s="799"/>
      <c r="DW1824" s="799"/>
      <c r="DX1824" s="799"/>
      <c r="DY1824" s="799"/>
      <c r="DZ1824" s="799"/>
      <c r="EA1824" s="799"/>
      <c r="EB1824" s="799"/>
      <c r="EC1824" s="799"/>
      <c r="ED1824" s="799"/>
      <c r="EE1824" s="799"/>
      <c r="EF1824" s="799"/>
      <c r="EG1824" s="799"/>
      <c r="EH1824" s="799"/>
      <c r="EI1824" s="799"/>
      <c r="EJ1824" s="799"/>
      <c r="EK1824" s="799"/>
      <c r="EL1824" s="799"/>
      <c r="EM1824" s="799"/>
      <c r="EN1824" s="799"/>
      <c r="EO1824" s="799"/>
      <c r="EP1824" s="799"/>
      <c r="EQ1824" s="799"/>
      <c r="ER1824" s="799"/>
      <c r="ES1824" s="799"/>
      <c r="ET1824" s="799"/>
      <c r="EU1824" s="799"/>
      <c r="EV1824" s="799"/>
      <c r="EW1824" s="799"/>
      <c r="EX1824" s="799"/>
      <c r="EY1824" s="799"/>
      <c r="EZ1824" s="799"/>
      <c r="FA1824" s="799"/>
      <c r="FB1824" s="799"/>
      <c r="FC1824" s="799"/>
      <c r="FD1824" s="799"/>
      <c r="FE1824" s="799"/>
      <c r="FF1824" s="799"/>
      <c r="FG1824" s="799"/>
      <c r="FH1824" s="799"/>
      <c r="FI1824" s="799"/>
      <c r="FJ1824" s="799"/>
      <c r="FK1824" s="799"/>
      <c r="FL1824" s="799"/>
      <c r="FM1824" s="799"/>
      <c r="FN1824" s="799"/>
      <c r="FO1824" s="799"/>
      <c r="FP1824" s="799"/>
      <c r="FQ1824" s="799"/>
      <c r="FR1824" s="799"/>
      <c r="FS1824" s="799"/>
      <c r="FT1824" s="799"/>
      <c r="FU1824" s="799"/>
      <c r="FV1824" s="799"/>
      <c r="FW1824" s="799"/>
      <c r="FX1824" s="799"/>
      <c r="FY1824" s="799"/>
      <c r="FZ1824" s="799"/>
      <c r="GA1824" s="799"/>
      <c r="GB1824" s="799"/>
      <c r="GC1824" s="799"/>
      <c r="GD1824" s="799"/>
      <c r="GE1824" s="799"/>
      <c r="GF1824" s="799"/>
      <c r="GG1824" s="799"/>
      <c r="GH1824" s="799"/>
      <c r="GI1824" s="799"/>
      <c r="GJ1824" s="799"/>
      <c r="GK1824" s="799"/>
      <c r="GL1824" s="799"/>
      <c r="GM1824" s="799"/>
      <c r="GN1824" s="799"/>
      <c r="GO1824" s="799"/>
      <c r="GP1824" s="799"/>
      <c r="GQ1824" s="799"/>
      <c r="GR1824" s="799"/>
      <c r="GS1824" s="799"/>
      <c r="GT1824" s="799"/>
      <c r="GU1824" s="799"/>
      <c r="GV1824" s="799"/>
      <c r="GW1824" s="799"/>
      <c r="GX1824" s="799"/>
      <c r="GY1824" s="799"/>
      <c r="GZ1824" s="799"/>
      <c r="HA1824" s="799"/>
      <c r="HB1824" s="799"/>
      <c r="HC1824" s="799"/>
      <c r="HD1824" s="799"/>
      <c r="HE1824" s="799"/>
      <c r="HF1824" s="799"/>
      <c r="HG1824" s="799"/>
      <c r="HH1824" s="799"/>
      <c r="HI1824" s="799"/>
      <c r="HJ1824" s="799"/>
      <c r="HK1824" s="799"/>
      <c r="HL1824" s="799"/>
      <c r="HM1824" s="799"/>
      <c r="HN1824" s="799"/>
      <c r="HO1824" s="799"/>
      <c r="HP1824" s="799"/>
      <c r="HQ1824" s="799"/>
      <c r="HR1824" s="799"/>
      <c r="HS1824" s="799"/>
      <c r="HT1824" s="799"/>
      <c r="HU1824" s="799"/>
      <c r="HV1824" s="799"/>
      <c r="HW1824" s="799"/>
      <c r="HX1824" s="799"/>
      <c r="HY1824" s="799"/>
      <c r="HZ1824" s="799"/>
      <c r="IA1824" s="799"/>
      <c r="IB1824" s="799"/>
      <c r="IC1824" s="799"/>
      <c r="ID1824" s="799"/>
      <c r="IE1824" s="799"/>
      <c r="IF1824" s="799"/>
      <c r="IG1824" s="799"/>
      <c r="IH1824" s="799"/>
      <c r="II1824" s="799"/>
      <c r="IJ1824" s="799"/>
      <c r="IK1824" s="799"/>
      <c r="IL1824" s="799"/>
      <c r="IM1824" s="799"/>
      <c r="IN1824" s="799"/>
      <c r="IO1824" s="799"/>
      <c r="IP1824" s="799"/>
      <c r="IQ1824" s="799"/>
      <c r="IR1824" s="799"/>
      <c r="IS1824" s="799"/>
      <c r="IT1824" s="799"/>
      <c r="IU1824" s="799"/>
    </row>
    <row r="1825" spans="1:255" s="463" customFormat="1" ht="18" hidden="1" customHeight="1">
      <c r="A1825" s="330"/>
      <c r="B1825" s="328"/>
      <c r="C1825" s="335" t="s">
        <v>209</v>
      </c>
      <c r="D1825" s="336" t="s">
        <v>80</v>
      </c>
      <c r="E1825" s="923">
        <v>0.13400000000000001</v>
      </c>
      <c r="F1825" s="389">
        <f>F1824*E1825</f>
        <v>0</v>
      </c>
      <c r="G1825" s="389"/>
      <c r="H1825" s="389"/>
      <c r="I1825" s="389">
        <v>4.5999999999999996</v>
      </c>
      <c r="J1825" s="389">
        <f>F1825*I1825</f>
        <v>0</v>
      </c>
      <c r="K1825" s="389"/>
      <c r="L1825" s="389"/>
      <c r="M1825" s="389">
        <f>H1825+J1825+L1825</f>
        <v>0</v>
      </c>
      <c r="N1825" s="348"/>
      <c r="O1825" s="799"/>
      <c r="P1825" s="800"/>
      <c r="Q1825" s="800"/>
      <c r="R1825" s="800"/>
      <c r="S1825" s="800"/>
      <c r="T1825" s="800"/>
      <c r="U1825" s="800"/>
      <c r="V1825" s="800"/>
      <c r="W1825" s="800"/>
      <c r="X1825" s="800"/>
      <c r="Y1825" s="800"/>
      <c r="Z1825" s="800"/>
      <c r="AA1825" s="799"/>
      <c r="AB1825" s="799"/>
      <c r="AC1825" s="799"/>
      <c r="AD1825" s="799"/>
      <c r="AE1825" s="799"/>
      <c r="AF1825" s="799"/>
      <c r="AG1825" s="799"/>
      <c r="AH1825" s="799"/>
      <c r="AI1825" s="799"/>
      <c r="AJ1825" s="799"/>
      <c r="AK1825" s="799"/>
      <c r="AL1825" s="799"/>
      <c r="AM1825" s="799"/>
      <c r="AN1825" s="799"/>
      <c r="AO1825" s="799"/>
      <c r="AP1825" s="799"/>
      <c r="AQ1825" s="799"/>
      <c r="AR1825" s="799"/>
      <c r="AS1825" s="799"/>
      <c r="AT1825" s="799"/>
      <c r="AU1825" s="799"/>
      <c r="AV1825" s="799"/>
      <c r="AW1825" s="799"/>
      <c r="AX1825" s="799"/>
      <c r="AY1825" s="799"/>
      <c r="AZ1825" s="799"/>
      <c r="BA1825" s="799"/>
      <c r="BB1825" s="799"/>
      <c r="BC1825" s="799"/>
      <c r="BD1825" s="799"/>
      <c r="BE1825" s="799"/>
      <c r="BF1825" s="799"/>
      <c r="BG1825" s="799"/>
      <c r="BH1825" s="799"/>
      <c r="BI1825" s="799"/>
      <c r="BJ1825" s="799"/>
      <c r="BK1825" s="799"/>
      <c r="BL1825" s="799"/>
      <c r="BM1825" s="799"/>
      <c r="BN1825" s="799"/>
      <c r="BO1825" s="799"/>
      <c r="BP1825" s="799"/>
      <c r="BQ1825" s="799"/>
      <c r="BR1825" s="799"/>
      <c r="BS1825" s="799"/>
      <c r="BT1825" s="799"/>
      <c r="BU1825" s="799"/>
      <c r="BV1825" s="799"/>
      <c r="BW1825" s="799"/>
      <c r="BX1825" s="799"/>
      <c r="BY1825" s="799"/>
      <c r="BZ1825" s="799"/>
      <c r="CA1825" s="799"/>
      <c r="CB1825" s="799"/>
      <c r="CC1825" s="799"/>
      <c r="CD1825" s="799"/>
      <c r="CE1825" s="799"/>
      <c r="CF1825" s="799"/>
      <c r="CG1825" s="799"/>
      <c r="CH1825" s="799"/>
      <c r="CI1825" s="799"/>
      <c r="CJ1825" s="799"/>
      <c r="CK1825" s="799"/>
      <c r="CL1825" s="799"/>
      <c r="CM1825" s="799"/>
      <c r="CN1825" s="799"/>
      <c r="CO1825" s="799"/>
      <c r="CP1825" s="799"/>
      <c r="CQ1825" s="799"/>
      <c r="CR1825" s="799"/>
      <c r="CS1825" s="799"/>
      <c r="CT1825" s="799"/>
      <c r="CU1825" s="799"/>
      <c r="CV1825" s="799"/>
      <c r="CW1825" s="799"/>
      <c r="CX1825" s="799"/>
      <c r="CY1825" s="799"/>
      <c r="CZ1825" s="799"/>
      <c r="DA1825" s="799"/>
      <c r="DB1825" s="799"/>
      <c r="DC1825" s="799"/>
      <c r="DD1825" s="799"/>
      <c r="DE1825" s="799"/>
      <c r="DF1825" s="799"/>
      <c r="DG1825" s="799"/>
      <c r="DH1825" s="799"/>
      <c r="DI1825" s="799"/>
      <c r="DJ1825" s="799"/>
      <c r="DK1825" s="799"/>
      <c r="DL1825" s="799"/>
      <c r="DM1825" s="799"/>
      <c r="DN1825" s="799"/>
      <c r="DO1825" s="799"/>
      <c r="DP1825" s="799"/>
      <c r="DQ1825" s="799"/>
      <c r="DR1825" s="799"/>
      <c r="DS1825" s="799"/>
      <c r="DT1825" s="799"/>
      <c r="DU1825" s="799"/>
      <c r="DV1825" s="799"/>
      <c r="DW1825" s="799"/>
      <c r="DX1825" s="799"/>
      <c r="DY1825" s="799"/>
      <c r="DZ1825" s="799"/>
      <c r="EA1825" s="799"/>
      <c r="EB1825" s="799"/>
      <c r="EC1825" s="799"/>
      <c r="ED1825" s="799"/>
      <c r="EE1825" s="799"/>
      <c r="EF1825" s="799"/>
      <c r="EG1825" s="799"/>
      <c r="EH1825" s="799"/>
      <c r="EI1825" s="799"/>
      <c r="EJ1825" s="799"/>
      <c r="EK1825" s="799"/>
      <c r="EL1825" s="799"/>
      <c r="EM1825" s="799"/>
      <c r="EN1825" s="799"/>
      <c r="EO1825" s="799"/>
      <c r="EP1825" s="799"/>
      <c r="EQ1825" s="799"/>
      <c r="ER1825" s="799"/>
      <c r="ES1825" s="799"/>
      <c r="ET1825" s="799"/>
      <c r="EU1825" s="799"/>
      <c r="EV1825" s="799"/>
      <c r="EW1825" s="799"/>
      <c r="EX1825" s="799"/>
      <c r="EY1825" s="799"/>
      <c r="EZ1825" s="799"/>
      <c r="FA1825" s="799"/>
      <c r="FB1825" s="799"/>
      <c r="FC1825" s="799"/>
      <c r="FD1825" s="799"/>
      <c r="FE1825" s="799"/>
      <c r="FF1825" s="799"/>
      <c r="FG1825" s="799"/>
      <c r="FH1825" s="799"/>
      <c r="FI1825" s="799"/>
      <c r="FJ1825" s="799"/>
      <c r="FK1825" s="799"/>
      <c r="FL1825" s="799"/>
      <c r="FM1825" s="799"/>
      <c r="FN1825" s="799"/>
      <c r="FO1825" s="799"/>
      <c r="FP1825" s="799"/>
      <c r="FQ1825" s="799"/>
      <c r="FR1825" s="799"/>
      <c r="FS1825" s="799"/>
      <c r="FT1825" s="799"/>
      <c r="FU1825" s="799"/>
      <c r="FV1825" s="799"/>
      <c r="FW1825" s="799"/>
      <c r="FX1825" s="799"/>
      <c r="FY1825" s="799"/>
      <c r="FZ1825" s="799"/>
      <c r="GA1825" s="799"/>
      <c r="GB1825" s="799"/>
      <c r="GC1825" s="799"/>
      <c r="GD1825" s="799"/>
      <c r="GE1825" s="799"/>
      <c r="GF1825" s="799"/>
      <c r="GG1825" s="799"/>
      <c r="GH1825" s="799"/>
      <c r="GI1825" s="799"/>
      <c r="GJ1825" s="799"/>
      <c r="GK1825" s="799"/>
      <c r="GL1825" s="799"/>
      <c r="GM1825" s="799"/>
      <c r="GN1825" s="799"/>
      <c r="GO1825" s="799"/>
      <c r="GP1825" s="799"/>
      <c r="GQ1825" s="799"/>
      <c r="GR1825" s="799"/>
      <c r="GS1825" s="799"/>
      <c r="GT1825" s="799"/>
      <c r="GU1825" s="799"/>
      <c r="GV1825" s="799"/>
      <c r="GW1825" s="799"/>
      <c r="GX1825" s="799"/>
      <c r="GY1825" s="799"/>
      <c r="GZ1825" s="799"/>
      <c r="HA1825" s="799"/>
      <c r="HB1825" s="799"/>
      <c r="HC1825" s="799"/>
      <c r="HD1825" s="799"/>
      <c r="HE1825" s="799"/>
      <c r="HF1825" s="799"/>
      <c r="HG1825" s="799"/>
      <c r="HH1825" s="799"/>
      <c r="HI1825" s="799"/>
      <c r="HJ1825" s="799"/>
      <c r="HK1825" s="799"/>
      <c r="HL1825" s="799"/>
      <c r="HM1825" s="799"/>
      <c r="HN1825" s="799"/>
      <c r="HO1825" s="799"/>
      <c r="HP1825" s="799"/>
      <c r="HQ1825" s="799"/>
      <c r="HR1825" s="799"/>
      <c r="HS1825" s="799"/>
      <c r="HT1825" s="799"/>
      <c r="HU1825" s="799"/>
      <c r="HV1825" s="799"/>
      <c r="HW1825" s="799"/>
      <c r="HX1825" s="799"/>
      <c r="HY1825" s="799"/>
      <c r="HZ1825" s="799"/>
      <c r="IA1825" s="799"/>
      <c r="IB1825" s="799"/>
      <c r="IC1825" s="799"/>
      <c r="ID1825" s="799"/>
      <c r="IE1825" s="799"/>
      <c r="IF1825" s="799"/>
      <c r="IG1825" s="799"/>
      <c r="IH1825" s="799"/>
      <c r="II1825" s="799"/>
      <c r="IJ1825" s="799"/>
      <c r="IK1825" s="799"/>
      <c r="IL1825" s="799"/>
      <c r="IM1825" s="799"/>
      <c r="IN1825" s="799"/>
      <c r="IO1825" s="799"/>
      <c r="IP1825" s="799"/>
      <c r="IQ1825" s="799"/>
      <c r="IR1825" s="799"/>
      <c r="IS1825" s="799"/>
      <c r="IT1825" s="799"/>
      <c r="IU1825" s="799"/>
    </row>
    <row r="1826" spans="1:255" s="463" customFormat="1" ht="18" hidden="1" customHeight="1">
      <c r="A1826" s="419"/>
      <c r="B1826" s="417"/>
      <c r="C1826" s="551" t="s">
        <v>1199</v>
      </c>
      <c r="D1826" s="342" t="s">
        <v>217</v>
      </c>
      <c r="E1826" s="856">
        <v>0.13</v>
      </c>
      <c r="F1826" s="389">
        <f>F1824*E1826</f>
        <v>0</v>
      </c>
      <c r="G1826" s="389"/>
      <c r="H1826" s="389"/>
      <c r="I1826" s="392"/>
      <c r="J1826" s="392"/>
      <c r="K1826" s="392">
        <v>2</v>
      </c>
      <c r="L1826" s="392">
        <f>K1826*F1826</f>
        <v>0</v>
      </c>
      <c r="M1826" s="392">
        <f>H1826+J1826+L1826</f>
        <v>0</v>
      </c>
      <c r="N1826" s="348"/>
      <c r="O1826" s="799"/>
      <c r="P1826" s="800"/>
      <c r="Q1826" s="800"/>
      <c r="R1826" s="800"/>
      <c r="S1826" s="800"/>
      <c r="T1826" s="800"/>
      <c r="U1826" s="800"/>
      <c r="V1826" s="800"/>
      <c r="W1826" s="800"/>
      <c r="X1826" s="800"/>
      <c r="Y1826" s="800"/>
      <c r="Z1826" s="800"/>
      <c r="AA1826" s="799"/>
      <c r="AB1826" s="799"/>
      <c r="AC1826" s="799"/>
      <c r="AD1826" s="799"/>
      <c r="AE1826" s="799"/>
      <c r="AF1826" s="799"/>
      <c r="AG1826" s="799"/>
      <c r="AH1826" s="799"/>
      <c r="AI1826" s="799"/>
      <c r="AJ1826" s="799"/>
      <c r="AK1826" s="799"/>
      <c r="AL1826" s="799"/>
      <c r="AM1826" s="799"/>
      <c r="AN1826" s="799"/>
      <c r="AO1826" s="799"/>
      <c r="AP1826" s="799"/>
      <c r="AQ1826" s="799"/>
      <c r="AR1826" s="799"/>
      <c r="AS1826" s="799"/>
      <c r="AT1826" s="799"/>
      <c r="AU1826" s="799"/>
      <c r="AV1826" s="799"/>
      <c r="AW1826" s="799"/>
      <c r="AX1826" s="799"/>
      <c r="AY1826" s="799"/>
      <c r="AZ1826" s="799"/>
      <c r="BA1826" s="799"/>
      <c r="BB1826" s="799"/>
      <c r="BC1826" s="799"/>
      <c r="BD1826" s="799"/>
      <c r="BE1826" s="799"/>
      <c r="BF1826" s="799"/>
      <c r="BG1826" s="799"/>
      <c r="BH1826" s="799"/>
      <c r="BI1826" s="799"/>
      <c r="BJ1826" s="799"/>
      <c r="BK1826" s="799"/>
      <c r="BL1826" s="799"/>
      <c r="BM1826" s="799"/>
      <c r="BN1826" s="799"/>
      <c r="BO1826" s="799"/>
      <c r="BP1826" s="799"/>
      <c r="BQ1826" s="799"/>
      <c r="BR1826" s="799"/>
      <c r="BS1826" s="799"/>
      <c r="BT1826" s="799"/>
      <c r="BU1826" s="799"/>
      <c r="BV1826" s="799"/>
      <c r="BW1826" s="799"/>
      <c r="BX1826" s="799"/>
      <c r="BY1826" s="799"/>
      <c r="BZ1826" s="799"/>
      <c r="CA1826" s="799"/>
      <c r="CB1826" s="799"/>
      <c r="CC1826" s="799"/>
      <c r="CD1826" s="799"/>
      <c r="CE1826" s="799"/>
      <c r="CF1826" s="799"/>
      <c r="CG1826" s="799"/>
      <c r="CH1826" s="799"/>
      <c r="CI1826" s="799"/>
      <c r="CJ1826" s="799"/>
      <c r="CK1826" s="799"/>
      <c r="CL1826" s="799"/>
      <c r="CM1826" s="799"/>
      <c r="CN1826" s="799"/>
      <c r="CO1826" s="799"/>
      <c r="CP1826" s="799"/>
      <c r="CQ1826" s="799"/>
      <c r="CR1826" s="799"/>
      <c r="CS1826" s="799"/>
      <c r="CT1826" s="799"/>
      <c r="CU1826" s="799"/>
      <c r="CV1826" s="799"/>
      <c r="CW1826" s="799"/>
      <c r="CX1826" s="799"/>
      <c r="CY1826" s="799"/>
      <c r="CZ1826" s="799"/>
      <c r="DA1826" s="799"/>
      <c r="DB1826" s="799"/>
      <c r="DC1826" s="799"/>
      <c r="DD1826" s="799"/>
      <c r="DE1826" s="799"/>
      <c r="DF1826" s="799"/>
      <c r="DG1826" s="799"/>
      <c r="DH1826" s="799"/>
      <c r="DI1826" s="799"/>
      <c r="DJ1826" s="799"/>
      <c r="DK1826" s="799"/>
      <c r="DL1826" s="799"/>
      <c r="DM1826" s="799"/>
      <c r="DN1826" s="799"/>
      <c r="DO1826" s="799"/>
      <c r="DP1826" s="799"/>
      <c r="DQ1826" s="799"/>
      <c r="DR1826" s="799"/>
      <c r="DS1826" s="799"/>
      <c r="DT1826" s="799"/>
      <c r="DU1826" s="799"/>
      <c r="DV1826" s="799"/>
      <c r="DW1826" s="799"/>
      <c r="DX1826" s="799"/>
      <c r="DY1826" s="799"/>
      <c r="DZ1826" s="799"/>
      <c r="EA1826" s="799"/>
      <c r="EB1826" s="799"/>
      <c r="EC1826" s="799"/>
      <c r="ED1826" s="799"/>
      <c r="EE1826" s="799"/>
      <c r="EF1826" s="799"/>
      <c r="EG1826" s="799"/>
      <c r="EH1826" s="799"/>
      <c r="EI1826" s="799"/>
      <c r="EJ1826" s="799"/>
      <c r="EK1826" s="799"/>
      <c r="EL1826" s="799"/>
      <c r="EM1826" s="799"/>
      <c r="EN1826" s="799"/>
      <c r="EO1826" s="799"/>
      <c r="EP1826" s="799"/>
      <c r="EQ1826" s="799"/>
      <c r="ER1826" s="799"/>
      <c r="ES1826" s="799"/>
      <c r="ET1826" s="799"/>
      <c r="EU1826" s="799"/>
      <c r="EV1826" s="799"/>
      <c r="EW1826" s="799"/>
      <c r="EX1826" s="799"/>
      <c r="EY1826" s="799"/>
      <c r="EZ1826" s="799"/>
      <c r="FA1826" s="799"/>
      <c r="FB1826" s="799"/>
      <c r="FC1826" s="799"/>
      <c r="FD1826" s="799"/>
      <c r="FE1826" s="799"/>
      <c r="FF1826" s="799"/>
      <c r="FG1826" s="799"/>
      <c r="FH1826" s="799"/>
      <c r="FI1826" s="799"/>
      <c r="FJ1826" s="799"/>
      <c r="FK1826" s="799"/>
      <c r="FL1826" s="799"/>
      <c r="FM1826" s="799"/>
      <c r="FN1826" s="799"/>
      <c r="FO1826" s="799"/>
      <c r="FP1826" s="799"/>
      <c r="FQ1826" s="799"/>
      <c r="FR1826" s="799"/>
      <c r="FS1826" s="799"/>
      <c r="FT1826" s="799"/>
      <c r="FU1826" s="799"/>
      <c r="FV1826" s="799"/>
      <c r="FW1826" s="799"/>
      <c r="FX1826" s="799"/>
      <c r="FY1826" s="799"/>
      <c r="FZ1826" s="799"/>
      <c r="GA1826" s="799"/>
      <c r="GB1826" s="799"/>
      <c r="GC1826" s="799"/>
      <c r="GD1826" s="799"/>
      <c r="GE1826" s="799"/>
      <c r="GF1826" s="799"/>
      <c r="GG1826" s="799"/>
      <c r="GH1826" s="799"/>
      <c r="GI1826" s="799"/>
      <c r="GJ1826" s="799"/>
      <c r="GK1826" s="799"/>
      <c r="GL1826" s="799"/>
      <c r="GM1826" s="799"/>
      <c r="GN1826" s="799"/>
      <c r="GO1826" s="799"/>
      <c r="GP1826" s="799"/>
      <c r="GQ1826" s="799"/>
      <c r="GR1826" s="799"/>
      <c r="GS1826" s="799"/>
      <c r="GT1826" s="799"/>
      <c r="GU1826" s="799"/>
      <c r="GV1826" s="799"/>
      <c r="GW1826" s="799"/>
      <c r="GX1826" s="799"/>
      <c r="GY1826" s="799"/>
      <c r="GZ1826" s="799"/>
      <c r="HA1826" s="799"/>
      <c r="HB1826" s="799"/>
      <c r="HC1826" s="799"/>
      <c r="HD1826" s="799"/>
      <c r="HE1826" s="799"/>
      <c r="HF1826" s="799"/>
      <c r="HG1826" s="799"/>
      <c r="HH1826" s="799"/>
      <c r="HI1826" s="799"/>
      <c r="HJ1826" s="799"/>
      <c r="HK1826" s="799"/>
      <c r="HL1826" s="799"/>
      <c r="HM1826" s="799"/>
      <c r="HN1826" s="799"/>
      <c r="HO1826" s="799"/>
      <c r="HP1826" s="799"/>
      <c r="HQ1826" s="799"/>
      <c r="HR1826" s="799"/>
      <c r="HS1826" s="799"/>
      <c r="HT1826" s="799"/>
      <c r="HU1826" s="799"/>
      <c r="HV1826" s="799"/>
      <c r="HW1826" s="799"/>
      <c r="HX1826" s="799"/>
      <c r="HY1826" s="799"/>
      <c r="HZ1826" s="799"/>
      <c r="IA1826" s="799"/>
      <c r="IB1826" s="799"/>
      <c r="IC1826" s="799"/>
      <c r="ID1826" s="799"/>
      <c r="IE1826" s="799"/>
      <c r="IF1826" s="799"/>
      <c r="IG1826" s="799"/>
      <c r="IH1826" s="799"/>
      <c r="II1826" s="799"/>
      <c r="IJ1826" s="799"/>
      <c r="IK1826" s="799"/>
      <c r="IL1826" s="799"/>
      <c r="IM1826" s="799"/>
      <c r="IN1826" s="799"/>
      <c r="IO1826" s="799"/>
      <c r="IP1826" s="799"/>
      <c r="IQ1826" s="799"/>
      <c r="IR1826" s="799"/>
      <c r="IS1826" s="799"/>
      <c r="IT1826" s="799"/>
      <c r="IU1826" s="799"/>
    </row>
    <row r="1827" spans="1:255" s="88" customFormat="1">
      <c r="A1827" s="1100">
        <v>5</v>
      </c>
      <c r="B1827" s="1429"/>
      <c r="C1827" s="227" t="s">
        <v>499</v>
      </c>
      <c r="D1827" s="228" t="s">
        <v>206</v>
      </c>
      <c r="E1827" s="858"/>
      <c r="F1827" s="384">
        <f>'დეფექტური აქტი'!E439*1.95</f>
        <v>4.68</v>
      </c>
      <c r="G1827" s="422"/>
      <c r="H1827" s="422"/>
      <c r="I1827" s="422"/>
      <c r="J1827" s="422"/>
      <c r="K1827" s="422"/>
      <c r="L1827" s="422"/>
      <c r="M1827" s="422"/>
      <c r="N1827" s="801"/>
      <c r="O1827" s="801"/>
      <c r="P1827" s="802"/>
      <c r="Q1827" s="802"/>
      <c r="R1827" s="802"/>
      <c r="S1827" s="802"/>
      <c r="T1827" s="802"/>
      <c r="U1827" s="802"/>
      <c r="V1827" s="802"/>
      <c r="W1827" s="802"/>
      <c r="X1827" s="802"/>
      <c r="Y1827" s="802"/>
      <c r="Z1827" s="802"/>
      <c r="AA1827" s="801"/>
      <c r="AB1827" s="801"/>
      <c r="AC1827" s="801"/>
      <c r="AD1827" s="801"/>
      <c r="AE1827" s="801"/>
      <c r="AF1827" s="801"/>
      <c r="AG1827" s="801"/>
      <c r="AH1827" s="801"/>
      <c r="AI1827" s="801"/>
      <c r="AJ1827" s="801"/>
      <c r="AK1827" s="801"/>
      <c r="AL1827" s="801"/>
      <c r="AM1827" s="801"/>
      <c r="AN1827" s="801"/>
      <c r="AO1827" s="801"/>
      <c r="AP1827" s="801"/>
      <c r="AQ1827" s="801"/>
      <c r="AR1827" s="801"/>
      <c r="AS1827" s="801"/>
      <c r="AT1827" s="801"/>
      <c r="AU1827" s="801"/>
      <c r="AV1827" s="801"/>
      <c r="AW1827" s="801"/>
      <c r="AX1827" s="801"/>
      <c r="AY1827" s="801"/>
      <c r="AZ1827" s="801"/>
      <c r="BA1827" s="801"/>
      <c r="BB1827" s="801"/>
      <c r="BC1827" s="801"/>
      <c r="BD1827" s="801"/>
      <c r="BE1827" s="801"/>
      <c r="BF1827" s="801"/>
      <c r="BG1827" s="801"/>
      <c r="BH1827" s="801"/>
      <c r="BI1827" s="801"/>
      <c r="BJ1827" s="801"/>
      <c r="BK1827" s="801"/>
      <c r="BL1827" s="801"/>
      <c r="BM1827" s="801"/>
      <c r="BN1827" s="801"/>
      <c r="BO1827" s="801"/>
      <c r="BP1827" s="801"/>
      <c r="BQ1827" s="801"/>
      <c r="BR1827" s="801"/>
      <c r="BS1827" s="801"/>
      <c r="BT1827" s="801"/>
      <c r="BU1827" s="801"/>
      <c r="BV1827" s="801"/>
      <c r="BW1827" s="801"/>
      <c r="BX1827" s="801"/>
      <c r="BY1827" s="801"/>
      <c r="BZ1827" s="801"/>
      <c r="CA1827" s="801"/>
      <c r="CB1827" s="801"/>
      <c r="CC1827" s="801"/>
      <c r="CD1827" s="801"/>
      <c r="CE1827" s="801"/>
      <c r="CF1827" s="801"/>
      <c r="CG1827" s="801"/>
      <c r="CH1827" s="801"/>
      <c r="CI1827" s="801"/>
      <c r="CJ1827" s="801"/>
      <c r="CK1827" s="801"/>
      <c r="CL1827" s="801"/>
      <c r="CM1827" s="801"/>
      <c r="CN1827" s="801"/>
      <c r="CO1827" s="801"/>
      <c r="CP1827" s="801"/>
      <c r="CQ1827" s="801"/>
      <c r="CR1827" s="801"/>
      <c r="CS1827" s="801"/>
      <c r="CT1827" s="801"/>
      <c r="CU1827" s="801"/>
      <c r="CV1827" s="801"/>
      <c r="CW1827" s="801"/>
      <c r="CX1827" s="801"/>
      <c r="CY1827" s="801"/>
      <c r="CZ1827" s="801"/>
      <c r="DA1827" s="801"/>
      <c r="DB1827" s="801"/>
      <c r="DC1827" s="801"/>
      <c r="DD1827" s="801"/>
      <c r="DE1827" s="801"/>
      <c r="DF1827" s="801"/>
      <c r="DG1827" s="801"/>
      <c r="DH1827" s="801"/>
      <c r="DI1827" s="801"/>
      <c r="DJ1827" s="801"/>
      <c r="DK1827" s="801"/>
      <c r="DL1827" s="801"/>
      <c r="DM1827" s="801"/>
      <c r="DN1827" s="801"/>
      <c r="DO1827" s="801"/>
      <c r="DP1827" s="801"/>
      <c r="DQ1827" s="801"/>
      <c r="DR1827" s="801"/>
      <c r="DS1827" s="801"/>
      <c r="DT1827" s="801"/>
      <c r="DU1827" s="801"/>
      <c r="DV1827" s="801"/>
      <c r="DW1827" s="801"/>
      <c r="DX1827" s="801"/>
      <c r="DY1827" s="801"/>
      <c r="DZ1827" s="801"/>
      <c r="EA1827" s="801"/>
      <c r="EB1827" s="801"/>
      <c r="EC1827" s="801"/>
      <c r="ED1827" s="801"/>
      <c r="EE1827" s="801"/>
      <c r="EF1827" s="801"/>
      <c r="EG1827" s="801"/>
      <c r="EH1827" s="801"/>
      <c r="EI1827" s="801"/>
      <c r="EJ1827" s="801"/>
      <c r="EK1827" s="801"/>
      <c r="EL1827" s="801"/>
      <c r="EM1827" s="801"/>
      <c r="EN1827" s="801"/>
      <c r="EO1827" s="801"/>
      <c r="EP1827" s="801"/>
      <c r="EQ1827" s="801"/>
      <c r="ER1827" s="801"/>
      <c r="ES1827" s="801"/>
      <c r="ET1827" s="801"/>
      <c r="EU1827" s="801"/>
      <c r="EV1827" s="801"/>
      <c r="EW1827" s="801"/>
      <c r="EX1827" s="801"/>
      <c r="EY1827" s="801"/>
      <c r="EZ1827" s="801"/>
      <c r="FA1827" s="801"/>
      <c r="FB1827" s="801"/>
      <c r="FC1827" s="801"/>
      <c r="FD1827" s="801"/>
      <c r="FE1827" s="801"/>
      <c r="FF1827" s="801"/>
      <c r="FG1827" s="801"/>
      <c r="FH1827" s="801"/>
      <c r="FI1827" s="801"/>
      <c r="FJ1827" s="801"/>
      <c r="FK1827" s="801"/>
      <c r="FL1827" s="801"/>
      <c r="FM1827" s="801"/>
      <c r="FN1827" s="801"/>
      <c r="FO1827" s="801"/>
      <c r="FP1827" s="801"/>
      <c r="FQ1827" s="801"/>
      <c r="FR1827" s="801"/>
      <c r="FS1827" s="801"/>
      <c r="FT1827" s="801"/>
      <c r="FU1827" s="801"/>
      <c r="FV1827" s="801"/>
      <c r="FW1827" s="801"/>
      <c r="FX1827" s="801"/>
      <c r="FY1827" s="801"/>
      <c r="FZ1827" s="801"/>
      <c r="GA1827" s="801"/>
      <c r="GB1827" s="801"/>
      <c r="GC1827" s="801"/>
      <c r="GD1827" s="801"/>
      <c r="GE1827" s="801"/>
      <c r="GF1827" s="801"/>
      <c r="GG1827" s="801"/>
      <c r="GH1827" s="801"/>
      <c r="GI1827" s="801"/>
      <c r="GJ1827" s="801"/>
      <c r="GK1827" s="801"/>
      <c r="GL1827" s="801"/>
      <c r="GM1827" s="801"/>
      <c r="GN1827" s="801"/>
      <c r="GO1827" s="801"/>
      <c r="GP1827" s="801"/>
      <c r="GQ1827" s="801"/>
      <c r="GR1827" s="801"/>
      <c r="GS1827" s="801"/>
      <c r="GT1827" s="801"/>
      <c r="GU1827" s="801"/>
      <c r="GV1827" s="801"/>
      <c r="GW1827" s="801"/>
      <c r="GX1827" s="801"/>
      <c r="GY1827" s="801"/>
      <c r="GZ1827" s="801"/>
      <c r="HA1827" s="801"/>
      <c r="HB1827" s="801"/>
      <c r="HC1827" s="801"/>
      <c r="HD1827" s="801"/>
      <c r="HE1827" s="801"/>
      <c r="HF1827" s="801"/>
      <c r="HG1827" s="801"/>
      <c r="HH1827" s="801"/>
      <c r="HI1827" s="801"/>
      <c r="HJ1827" s="801"/>
      <c r="HK1827" s="801"/>
      <c r="HL1827" s="801"/>
      <c r="HM1827" s="801"/>
      <c r="HN1827" s="801"/>
      <c r="HO1827" s="801"/>
      <c r="HP1827" s="801"/>
      <c r="HQ1827" s="801"/>
      <c r="HR1827" s="801"/>
      <c r="HS1827" s="801"/>
      <c r="HT1827" s="801"/>
      <c r="HU1827" s="801"/>
      <c r="HV1827" s="801"/>
      <c r="HW1827" s="801"/>
      <c r="HX1827" s="801"/>
      <c r="HY1827" s="801"/>
      <c r="HZ1827" s="801"/>
      <c r="IA1827" s="801"/>
      <c r="IB1827" s="801"/>
      <c r="IC1827" s="801"/>
      <c r="ID1827" s="801"/>
      <c r="IE1827" s="801"/>
      <c r="IF1827" s="801"/>
      <c r="IG1827" s="801"/>
      <c r="IH1827" s="801"/>
      <c r="II1827" s="801"/>
      <c r="IJ1827" s="801"/>
      <c r="IK1827" s="801"/>
      <c r="IL1827" s="801"/>
      <c r="IM1827" s="801"/>
      <c r="IN1827" s="801"/>
      <c r="IO1827" s="801"/>
      <c r="IP1827" s="801"/>
      <c r="IQ1827" s="801"/>
      <c r="IR1827" s="801"/>
      <c r="IS1827" s="801"/>
      <c r="IT1827" s="801"/>
      <c r="IU1827" s="801"/>
    </row>
    <row r="1828" spans="1:255" s="88" customFormat="1">
      <c r="A1828" s="1184"/>
      <c r="B1828" s="1430"/>
      <c r="C1828" s="229" t="s">
        <v>209</v>
      </c>
      <c r="D1828" s="230" t="s">
        <v>80</v>
      </c>
      <c r="E1828" s="387">
        <v>0.53</v>
      </c>
      <c r="F1828" s="387">
        <f>F1827*E1828</f>
        <v>2.4803999999999999</v>
      </c>
      <c r="G1828" s="393"/>
      <c r="H1828" s="605"/>
      <c r="I1828" s="393"/>
      <c r="J1828" s="393"/>
      <c r="K1828" s="393"/>
      <c r="L1828" s="393"/>
      <c r="M1828" s="393"/>
      <c r="N1828" s="801"/>
      <c r="O1828" s="801"/>
      <c r="P1828" s="802"/>
      <c r="Q1828" s="802"/>
      <c r="R1828" s="802"/>
      <c r="S1828" s="802"/>
      <c r="T1828" s="802"/>
      <c r="U1828" s="802"/>
      <c r="V1828" s="802"/>
      <c r="W1828" s="802"/>
      <c r="X1828" s="802"/>
      <c r="Y1828" s="802"/>
      <c r="Z1828" s="802"/>
      <c r="AA1828" s="801"/>
      <c r="AB1828" s="801"/>
      <c r="AC1828" s="801"/>
      <c r="AD1828" s="801"/>
      <c r="AE1828" s="801"/>
      <c r="AF1828" s="801"/>
      <c r="AG1828" s="801"/>
      <c r="AH1828" s="801"/>
      <c r="AI1828" s="801"/>
      <c r="AJ1828" s="801"/>
      <c r="AK1828" s="801"/>
      <c r="AL1828" s="801"/>
      <c r="AM1828" s="801"/>
      <c r="AN1828" s="801"/>
      <c r="AO1828" s="801"/>
      <c r="AP1828" s="801"/>
      <c r="AQ1828" s="801"/>
      <c r="AR1828" s="801"/>
      <c r="AS1828" s="801"/>
      <c r="AT1828" s="801"/>
      <c r="AU1828" s="801"/>
      <c r="AV1828" s="801"/>
      <c r="AW1828" s="801"/>
      <c r="AX1828" s="801"/>
      <c r="AY1828" s="801"/>
      <c r="AZ1828" s="801"/>
      <c r="BA1828" s="801"/>
      <c r="BB1828" s="801"/>
      <c r="BC1828" s="801"/>
      <c r="BD1828" s="801"/>
      <c r="BE1828" s="801"/>
      <c r="BF1828" s="801"/>
      <c r="BG1828" s="801"/>
      <c r="BH1828" s="801"/>
      <c r="BI1828" s="801"/>
      <c r="BJ1828" s="801"/>
      <c r="BK1828" s="801"/>
      <c r="BL1828" s="801"/>
      <c r="BM1828" s="801"/>
      <c r="BN1828" s="801"/>
      <c r="BO1828" s="801"/>
      <c r="BP1828" s="801"/>
      <c r="BQ1828" s="801"/>
      <c r="BR1828" s="801"/>
      <c r="BS1828" s="801"/>
      <c r="BT1828" s="801"/>
      <c r="BU1828" s="801"/>
      <c r="BV1828" s="801"/>
      <c r="BW1828" s="801"/>
      <c r="BX1828" s="801"/>
      <c r="BY1828" s="801"/>
      <c r="BZ1828" s="801"/>
      <c r="CA1828" s="801"/>
      <c r="CB1828" s="801"/>
      <c r="CC1828" s="801"/>
      <c r="CD1828" s="801"/>
      <c r="CE1828" s="801"/>
      <c r="CF1828" s="801"/>
      <c r="CG1828" s="801"/>
      <c r="CH1828" s="801"/>
      <c r="CI1828" s="801"/>
      <c r="CJ1828" s="801"/>
      <c r="CK1828" s="801"/>
      <c r="CL1828" s="801"/>
      <c r="CM1828" s="801"/>
      <c r="CN1828" s="801"/>
      <c r="CO1828" s="801"/>
      <c r="CP1828" s="801"/>
      <c r="CQ1828" s="801"/>
      <c r="CR1828" s="801"/>
      <c r="CS1828" s="801"/>
      <c r="CT1828" s="801"/>
      <c r="CU1828" s="801"/>
      <c r="CV1828" s="801"/>
      <c r="CW1828" s="801"/>
      <c r="CX1828" s="801"/>
      <c r="CY1828" s="801"/>
      <c r="CZ1828" s="801"/>
      <c r="DA1828" s="801"/>
      <c r="DB1828" s="801"/>
      <c r="DC1828" s="801"/>
      <c r="DD1828" s="801"/>
      <c r="DE1828" s="801"/>
      <c r="DF1828" s="801"/>
      <c r="DG1828" s="801"/>
      <c r="DH1828" s="801"/>
      <c r="DI1828" s="801"/>
      <c r="DJ1828" s="801"/>
      <c r="DK1828" s="801"/>
      <c r="DL1828" s="801"/>
      <c r="DM1828" s="801"/>
      <c r="DN1828" s="801"/>
      <c r="DO1828" s="801"/>
      <c r="DP1828" s="801"/>
      <c r="DQ1828" s="801"/>
      <c r="DR1828" s="801"/>
      <c r="DS1828" s="801"/>
      <c r="DT1828" s="801"/>
      <c r="DU1828" s="801"/>
      <c r="DV1828" s="801"/>
      <c r="DW1828" s="801"/>
      <c r="DX1828" s="801"/>
      <c r="DY1828" s="801"/>
      <c r="DZ1828" s="801"/>
      <c r="EA1828" s="801"/>
      <c r="EB1828" s="801"/>
      <c r="EC1828" s="801"/>
      <c r="ED1828" s="801"/>
      <c r="EE1828" s="801"/>
      <c r="EF1828" s="801"/>
      <c r="EG1828" s="801"/>
      <c r="EH1828" s="801"/>
      <c r="EI1828" s="801"/>
      <c r="EJ1828" s="801"/>
      <c r="EK1828" s="801"/>
      <c r="EL1828" s="801"/>
      <c r="EM1828" s="801"/>
      <c r="EN1828" s="801"/>
      <c r="EO1828" s="801"/>
      <c r="EP1828" s="801"/>
      <c r="EQ1828" s="801"/>
      <c r="ER1828" s="801"/>
      <c r="ES1828" s="801"/>
      <c r="ET1828" s="801"/>
      <c r="EU1828" s="801"/>
      <c r="EV1828" s="801"/>
      <c r="EW1828" s="801"/>
      <c r="EX1828" s="801"/>
      <c r="EY1828" s="801"/>
      <c r="EZ1828" s="801"/>
      <c r="FA1828" s="801"/>
      <c r="FB1828" s="801"/>
      <c r="FC1828" s="801"/>
      <c r="FD1828" s="801"/>
      <c r="FE1828" s="801"/>
      <c r="FF1828" s="801"/>
      <c r="FG1828" s="801"/>
      <c r="FH1828" s="801"/>
      <c r="FI1828" s="801"/>
      <c r="FJ1828" s="801"/>
      <c r="FK1828" s="801"/>
      <c r="FL1828" s="801"/>
      <c r="FM1828" s="801"/>
      <c r="FN1828" s="801"/>
      <c r="FO1828" s="801"/>
      <c r="FP1828" s="801"/>
      <c r="FQ1828" s="801"/>
      <c r="FR1828" s="801"/>
      <c r="FS1828" s="801"/>
      <c r="FT1828" s="801"/>
      <c r="FU1828" s="801"/>
      <c r="FV1828" s="801"/>
      <c r="FW1828" s="801"/>
      <c r="FX1828" s="801"/>
      <c r="FY1828" s="801"/>
      <c r="FZ1828" s="801"/>
      <c r="GA1828" s="801"/>
      <c r="GB1828" s="801"/>
      <c r="GC1828" s="801"/>
      <c r="GD1828" s="801"/>
      <c r="GE1828" s="801"/>
      <c r="GF1828" s="801"/>
      <c r="GG1828" s="801"/>
      <c r="GH1828" s="801"/>
      <c r="GI1828" s="801"/>
      <c r="GJ1828" s="801"/>
      <c r="GK1828" s="801"/>
      <c r="GL1828" s="801"/>
      <c r="GM1828" s="801"/>
      <c r="GN1828" s="801"/>
      <c r="GO1828" s="801"/>
      <c r="GP1828" s="801"/>
      <c r="GQ1828" s="801"/>
      <c r="GR1828" s="801"/>
      <c r="GS1828" s="801"/>
      <c r="GT1828" s="801"/>
      <c r="GU1828" s="801"/>
      <c r="GV1828" s="801"/>
      <c r="GW1828" s="801"/>
      <c r="GX1828" s="801"/>
      <c r="GY1828" s="801"/>
      <c r="GZ1828" s="801"/>
      <c r="HA1828" s="801"/>
      <c r="HB1828" s="801"/>
      <c r="HC1828" s="801"/>
      <c r="HD1828" s="801"/>
      <c r="HE1828" s="801"/>
      <c r="HF1828" s="801"/>
      <c r="HG1828" s="801"/>
      <c r="HH1828" s="801"/>
      <c r="HI1828" s="801"/>
      <c r="HJ1828" s="801"/>
      <c r="HK1828" s="801"/>
      <c r="HL1828" s="801"/>
      <c r="HM1828" s="801"/>
      <c r="HN1828" s="801"/>
      <c r="HO1828" s="801"/>
      <c r="HP1828" s="801"/>
      <c r="HQ1828" s="801"/>
      <c r="HR1828" s="801"/>
      <c r="HS1828" s="801"/>
      <c r="HT1828" s="801"/>
      <c r="HU1828" s="801"/>
      <c r="HV1828" s="801"/>
      <c r="HW1828" s="801"/>
      <c r="HX1828" s="801"/>
      <c r="HY1828" s="801"/>
      <c r="HZ1828" s="801"/>
      <c r="IA1828" s="801"/>
      <c r="IB1828" s="801"/>
      <c r="IC1828" s="801"/>
      <c r="ID1828" s="801"/>
      <c r="IE1828" s="801"/>
      <c r="IF1828" s="801"/>
      <c r="IG1828" s="801"/>
      <c r="IH1828" s="801"/>
      <c r="II1828" s="801"/>
      <c r="IJ1828" s="801"/>
      <c r="IK1828" s="801"/>
      <c r="IL1828" s="801"/>
      <c r="IM1828" s="801"/>
      <c r="IN1828" s="801"/>
      <c r="IO1828" s="801"/>
      <c r="IP1828" s="801"/>
      <c r="IQ1828" s="801"/>
      <c r="IR1828" s="801"/>
      <c r="IS1828" s="801"/>
      <c r="IT1828" s="801"/>
      <c r="IU1828" s="801"/>
    </row>
    <row r="1829" spans="1:255" s="359" customFormat="1">
      <c r="A1829" s="1070">
        <v>6</v>
      </c>
      <c r="B1829" s="462"/>
      <c r="C1829" s="127" t="s">
        <v>735</v>
      </c>
      <c r="D1829" s="99" t="s">
        <v>206</v>
      </c>
      <c r="E1829" s="501"/>
      <c r="F1829" s="397">
        <f>'დეფექტური აქტი'!E440*1.95</f>
        <v>4.68</v>
      </c>
      <c r="G1829" s="501"/>
      <c r="H1829" s="501"/>
      <c r="I1829" s="501"/>
      <c r="J1829" s="501"/>
      <c r="K1829" s="501"/>
      <c r="L1829" s="501"/>
      <c r="M1829" s="501"/>
      <c r="N1829" s="502"/>
      <c r="O1829" s="797"/>
      <c r="P1829" s="798"/>
      <c r="Q1829" s="798"/>
      <c r="R1829" s="798"/>
      <c r="S1829" s="798"/>
      <c r="T1829" s="798"/>
      <c r="U1829" s="798"/>
      <c r="V1829" s="798"/>
      <c r="W1829" s="798"/>
      <c r="X1829" s="798"/>
      <c r="Y1829" s="798"/>
      <c r="Z1829" s="798"/>
      <c r="AA1829" s="797"/>
      <c r="AB1829" s="797"/>
      <c r="AC1829" s="797"/>
      <c r="AD1829" s="797"/>
      <c r="AE1829" s="797"/>
      <c r="AF1829" s="797"/>
      <c r="AG1829" s="797"/>
      <c r="AH1829" s="797"/>
      <c r="AI1829" s="797"/>
      <c r="AJ1829" s="797"/>
      <c r="AK1829" s="797"/>
      <c r="AL1829" s="797"/>
      <c r="AM1829" s="797"/>
      <c r="AN1829" s="797"/>
      <c r="AO1829" s="797"/>
      <c r="AP1829" s="797"/>
      <c r="AQ1829" s="797"/>
      <c r="AR1829" s="797"/>
      <c r="AS1829" s="797"/>
      <c r="AT1829" s="797"/>
      <c r="AU1829" s="797"/>
      <c r="AV1829" s="797"/>
      <c r="AW1829" s="797"/>
      <c r="AX1829" s="797"/>
      <c r="AY1829" s="797"/>
      <c r="AZ1829" s="797"/>
      <c r="BA1829" s="797"/>
      <c r="BB1829" s="797"/>
      <c r="BC1829" s="797"/>
      <c r="BD1829" s="797"/>
      <c r="BE1829" s="797"/>
      <c r="BF1829" s="797"/>
      <c r="BG1829" s="797"/>
      <c r="BH1829" s="797"/>
      <c r="BI1829" s="797"/>
      <c r="BJ1829" s="797"/>
      <c r="BK1829" s="797"/>
      <c r="BL1829" s="797"/>
      <c r="BM1829" s="797"/>
      <c r="BN1829" s="797"/>
      <c r="BO1829" s="797"/>
      <c r="BP1829" s="797"/>
      <c r="BQ1829" s="797"/>
      <c r="BR1829" s="797"/>
      <c r="BS1829" s="797"/>
      <c r="BT1829" s="797"/>
      <c r="BU1829" s="797"/>
      <c r="BV1829" s="797"/>
      <c r="BW1829" s="797"/>
      <c r="BX1829" s="797"/>
      <c r="BY1829" s="797"/>
      <c r="BZ1829" s="797"/>
      <c r="CA1829" s="797"/>
      <c r="CB1829" s="797"/>
      <c r="CC1829" s="797"/>
      <c r="CD1829" s="797"/>
      <c r="CE1829" s="797"/>
      <c r="CF1829" s="797"/>
      <c r="CG1829" s="797"/>
      <c r="CH1829" s="797"/>
      <c r="CI1829" s="797"/>
      <c r="CJ1829" s="797"/>
      <c r="CK1829" s="797"/>
      <c r="CL1829" s="797"/>
      <c r="CM1829" s="797"/>
      <c r="CN1829" s="797"/>
      <c r="CO1829" s="797"/>
      <c r="CP1829" s="797"/>
      <c r="CQ1829" s="797"/>
      <c r="CR1829" s="797"/>
      <c r="CS1829" s="797"/>
      <c r="CT1829" s="797"/>
      <c r="CU1829" s="797"/>
      <c r="CV1829" s="797"/>
      <c r="CW1829" s="797"/>
      <c r="CX1829" s="797"/>
      <c r="CY1829" s="797"/>
      <c r="CZ1829" s="797"/>
      <c r="DA1829" s="797"/>
      <c r="DB1829" s="797"/>
      <c r="DC1829" s="797"/>
      <c r="DD1829" s="797"/>
      <c r="DE1829" s="797"/>
      <c r="DF1829" s="797"/>
      <c r="DG1829" s="797"/>
      <c r="DH1829" s="797"/>
      <c r="DI1829" s="797"/>
      <c r="DJ1829" s="797"/>
      <c r="DK1829" s="797"/>
      <c r="DL1829" s="797"/>
      <c r="DM1829" s="797"/>
      <c r="DN1829" s="797"/>
      <c r="DO1829" s="797"/>
      <c r="DP1829" s="797"/>
      <c r="DQ1829" s="797"/>
      <c r="DR1829" s="797"/>
      <c r="DS1829" s="797"/>
      <c r="DT1829" s="797"/>
      <c r="DU1829" s="797"/>
      <c r="DV1829" s="797"/>
      <c r="DW1829" s="797"/>
      <c r="DX1829" s="797"/>
      <c r="DY1829" s="797"/>
      <c r="DZ1829" s="797"/>
      <c r="EA1829" s="797"/>
      <c r="EB1829" s="797"/>
      <c r="EC1829" s="797"/>
      <c r="ED1829" s="797"/>
      <c r="EE1829" s="797"/>
      <c r="EF1829" s="797"/>
      <c r="EG1829" s="797"/>
      <c r="EH1829" s="797"/>
      <c r="EI1829" s="797"/>
      <c r="EJ1829" s="797"/>
      <c r="EK1829" s="797"/>
      <c r="EL1829" s="797"/>
      <c r="EM1829" s="797"/>
      <c r="EN1829" s="797"/>
      <c r="EO1829" s="797"/>
      <c r="EP1829" s="797"/>
      <c r="EQ1829" s="797"/>
      <c r="ER1829" s="797"/>
      <c r="ES1829" s="797"/>
      <c r="ET1829" s="797"/>
      <c r="EU1829" s="797"/>
      <c r="EV1829" s="797"/>
      <c r="EW1829" s="797"/>
      <c r="EX1829" s="797"/>
      <c r="EY1829" s="797"/>
      <c r="EZ1829" s="797"/>
      <c r="FA1829" s="797"/>
      <c r="FB1829" s="797"/>
      <c r="FC1829" s="797"/>
      <c r="FD1829" s="797"/>
      <c r="FE1829" s="797"/>
      <c r="FF1829" s="797"/>
      <c r="FG1829" s="797"/>
      <c r="FH1829" s="797"/>
      <c r="FI1829" s="797"/>
      <c r="FJ1829" s="797"/>
      <c r="FK1829" s="797"/>
      <c r="FL1829" s="797"/>
      <c r="FM1829" s="797"/>
      <c r="FN1829" s="797"/>
      <c r="FO1829" s="797"/>
      <c r="FP1829" s="797"/>
      <c r="FQ1829" s="797"/>
      <c r="FR1829" s="797"/>
      <c r="FS1829" s="797"/>
      <c r="FT1829" s="797"/>
      <c r="FU1829" s="797"/>
      <c r="FV1829" s="797"/>
      <c r="FW1829" s="797"/>
      <c r="FX1829" s="797"/>
      <c r="FY1829" s="797"/>
      <c r="FZ1829" s="797"/>
      <c r="GA1829" s="797"/>
      <c r="GB1829" s="797"/>
      <c r="GC1829" s="797"/>
      <c r="GD1829" s="797"/>
      <c r="GE1829" s="797"/>
      <c r="GF1829" s="797"/>
      <c r="GG1829" s="797"/>
      <c r="GH1829" s="797"/>
      <c r="GI1829" s="797"/>
      <c r="GJ1829" s="797"/>
      <c r="GK1829" s="797"/>
      <c r="GL1829" s="797"/>
      <c r="GM1829" s="797"/>
      <c r="GN1829" s="797"/>
      <c r="GO1829" s="797"/>
      <c r="GP1829" s="797"/>
      <c r="GQ1829" s="797"/>
      <c r="GR1829" s="797"/>
      <c r="GS1829" s="797"/>
      <c r="GT1829" s="797"/>
      <c r="GU1829" s="797"/>
      <c r="GV1829" s="797"/>
      <c r="GW1829" s="797"/>
      <c r="GX1829" s="797"/>
      <c r="GY1829" s="797"/>
      <c r="GZ1829" s="797"/>
      <c r="HA1829" s="797"/>
      <c r="HB1829" s="797"/>
      <c r="HC1829" s="797"/>
      <c r="HD1829" s="797"/>
      <c r="HE1829" s="797"/>
      <c r="HF1829" s="797"/>
      <c r="HG1829" s="797"/>
      <c r="HH1829" s="797"/>
      <c r="HI1829" s="797"/>
      <c r="HJ1829" s="797"/>
      <c r="HK1829" s="797"/>
      <c r="HL1829" s="797"/>
      <c r="HM1829" s="797"/>
      <c r="HN1829" s="797"/>
      <c r="HO1829" s="797"/>
      <c r="HP1829" s="797"/>
      <c r="HQ1829" s="797"/>
      <c r="HR1829" s="797"/>
      <c r="HS1829" s="797"/>
      <c r="HT1829" s="797"/>
      <c r="HU1829" s="797"/>
      <c r="HV1829" s="797"/>
      <c r="HW1829" s="797"/>
      <c r="HX1829" s="797"/>
      <c r="HY1829" s="797"/>
      <c r="HZ1829" s="797"/>
      <c r="IA1829" s="797"/>
      <c r="IB1829" s="797"/>
      <c r="IC1829" s="797"/>
      <c r="ID1829" s="797"/>
      <c r="IE1829" s="797"/>
      <c r="IF1829" s="797"/>
      <c r="IG1829" s="797"/>
      <c r="IH1829" s="797"/>
      <c r="II1829" s="797"/>
      <c r="IJ1829" s="797"/>
      <c r="IK1829" s="797"/>
      <c r="IL1829" s="797"/>
      <c r="IM1829" s="797"/>
      <c r="IN1829" s="797"/>
      <c r="IO1829" s="797"/>
      <c r="IP1829" s="797"/>
      <c r="IQ1829" s="797"/>
      <c r="IR1829" s="797"/>
      <c r="IS1829" s="797"/>
      <c r="IT1829" s="797"/>
      <c r="IU1829" s="797"/>
    </row>
    <row r="1830" spans="1:255" s="359" customFormat="1">
      <c r="A1830" s="1071">
        <v>7</v>
      </c>
      <c r="B1830" s="328" t="s">
        <v>1336</v>
      </c>
      <c r="C1830" s="329" t="s">
        <v>1337</v>
      </c>
      <c r="D1830" s="330" t="s">
        <v>88</v>
      </c>
      <c r="E1830" s="389"/>
      <c r="F1830" s="384">
        <f>'დეფექტური აქტი'!E441</f>
        <v>2.4</v>
      </c>
      <c r="G1830" s="389"/>
      <c r="H1830" s="389"/>
      <c r="I1830" s="389"/>
      <c r="J1830" s="389"/>
      <c r="K1830" s="389"/>
      <c r="L1830" s="389"/>
      <c r="M1830" s="389"/>
      <c r="N1830" s="358"/>
      <c r="O1830" s="797"/>
      <c r="P1830" s="798"/>
      <c r="Q1830" s="798"/>
      <c r="R1830" s="798"/>
      <c r="S1830" s="798"/>
      <c r="T1830" s="798"/>
      <c r="U1830" s="798"/>
      <c r="V1830" s="798"/>
      <c r="W1830" s="798"/>
      <c r="X1830" s="798"/>
      <c r="Y1830" s="798"/>
      <c r="Z1830" s="798"/>
      <c r="AA1830" s="797"/>
      <c r="AB1830" s="797"/>
      <c r="AC1830" s="797"/>
      <c r="AD1830" s="797"/>
      <c r="AE1830" s="797"/>
      <c r="AF1830" s="797"/>
      <c r="AG1830" s="797"/>
      <c r="AH1830" s="797"/>
      <c r="AI1830" s="797"/>
      <c r="AJ1830" s="797"/>
      <c r="AK1830" s="797"/>
      <c r="AL1830" s="797"/>
      <c r="AM1830" s="797"/>
      <c r="AN1830" s="797"/>
      <c r="AO1830" s="797"/>
      <c r="AP1830" s="797"/>
      <c r="AQ1830" s="797"/>
      <c r="AR1830" s="797"/>
      <c r="AS1830" s="797"/>
      <c r="AT1830" s="797"/>
      <c r="AU1830" s="797"/>
      <c r="AV1830" s="797"/>
      <c r="AW1830" s="797"/>
      <c r="AX1830" s="797"/>
      <c r="AY1830" s="797"/>
      <c r="AZ1830" s="797"/>
      <c r="BA1830" s="797"/>
      <c r="BB1830" s="797"/>
      <c r="BC1830" s="797"/>
      <c r="BD1830" s="797"/>
      <c r="BE1830" s="797"/>
      <c r="BF1830" s="797"/>
      <c r="BG1830" s="797"/>
      <c r="BH1830" s="797"/>
      <c r="BI1830" s="797"/>
      <c r="BJ1830" s="797"/>
      <c r="BK1830" s="797"/>
      <c r="BL1830" s="797"/>
      <c r="BM1830" s="797"/>
      <c r="BN1830" s="797"/>
      <c r="BO1830" s="797"/>
      <c r="BP1830" s="797"/>
      <c r="BQ1830" s="797"/>
      <c r="BR1830" s="797"/>
      <c r="BS1830" s="797"/>
      <c r="BT1830" s="797"/>
      <c r="BU1830" s="797"/>
      <c r="BV1830" s="797"/>
      <c r="BW1830" s="797"/>
      <c r="BX1830" s="797"/>
      <c r="BY1830" s="797"/>
      <c r="BZ1830" s="797"/>
      <c r="CA1830" s="797"/>
      <c r="CB1830" s="797"/>
      <c r="CC1830" s="797"/>
      <c r="CD1830" s="797"/>
      <c r="CE1830" s="797"/>
      <c r="CF1830" s="797"/>
      <c r="CG1830" s="797"/>
      <c r="CH1830" s="797"/>
      <c r="CI1830" s="797"/>
      <c r="CJ1830" s="797"/>
      <c r="CK1830" s="797"/>
      <c r="CL1830" s="797"/>
      <c r="CM1830" s="797"/>
      <c r="CN1830" s="797"/>
      <c r="CO1830" s="797"/>
      <c r="CP1830" s="797"/>
      <c r="CQ1830" s="797"/>
      <c r="CR1830" s="797"/>
      <c r="CS1830" s="797"/>
      <c r="CT1830" s="797"/>
      <c r="CU1830" s="797"/>
      <c r="CV1830" s="797"/>
      <c r="CW1830" s="797"/>
      <c r="CX1830" s="797"/>
      <c r="CY1830" s="797"/>
      <c r="CZ1830" s="797"/>
      <c r="DA1830" s="797"/>
      <c r="DB1830" s="797"/>
      <c r="DC1830" s="797"/>
      <c r="DD1830" s="797"/>
      <c r="DE1830" s="797"/>
      <c r="DF1830" s="797"/>
      <c r="DG1830" s="797"/>
      <c r="DH1830" s="797"/>
      <c r="DI1830" s="797"/>
      <c r="DJ1830" s="797"/>
      <c r="DK1830" s="797"/>
      <c r="DL1830" s="797"/>
      <c r="DM1830" s="797"/>
      <c r="DN1830" s="797"/>
      <c r="DO1830" s="797"/>
      <c r="DP1830" s="797"/>
      <c r="DQ1830" s="797"/>
      <c r="DR1830" s="797"/>
      <c r="DS1830" s="797"/>
      <c r="DT1830" s="797"/>
      <c r="DU1830" s="797"/>
      <c r="DV1830" s="797"/>
      <c r="DW1830" s="797"/>
      <c r="DX1830" s="797"/>
      <c r="DY1830" s="797"/>
      <c r="DZ1830" s="797"/>
      <c r="EA1830" s="797"/>
      <c r="EB1830" s="797"/>
      <c r="EC1830" s="797"/>
      <c r="ED1830" s="797"/>
      <c r="EE1830" s="797"/>
      <c r="EF1830" s="797"/>
      <c r="EG1830" s="797"/>
      <c r="EH1830" s="797"/>
      <c r="EI1830" s="797"/>
      <c r="EJ1830" s="797"/>
      <c r="EK1830" s="797"/>
      <c r="EL1830" s="797"/>
      <c r="EM1830" s="797"/>
      <c r="EN1830" s="797"/>
      <c r="EO1830" s="797"/>
      <c r="EP1830" s="797"/>
      <c r="EQ1830" s="797"/>
      <c r="ER1830" s="797"/>
      <c r="ES1830" s="797"/>
      <c r="ET1830" s="797"/>
      <c r="EU1830" s="797"/>
      <c r="EV1830" s="797"/>
      <c r="EW1830" s="797"/>
      <c r="EX1830" s="797"/>
      <c r="EY1830" s="797"/>
      <c r="EZ1830" s="797"/>
      <c r="FA1830" s="797"/>
      <c r="FB1830" s="797"/>
      <c r="FC1830" s="797"/>
      <c r="FD1830" s="797"/>
      <c r="FE1830" s="797"/>
      <c r="FF1830" s="797"/>
      <c r="FG1830" s="797"/>
      <c r="FH1830" s="797"/>
      <c r="FI1830" s="797"/>
      <c r="FJ1830" s="797"/>
      <c r="FK1830" s="797"/>
      <c r="FL1830" s="797"/>
      <c r="FM1830" s="797"/>
      <c r="FN1830" s="797"/>
      <c r="FO1830" s="797"/>
      <c r="FP1830" s="797"/>
      <c r="FQ1830" s="797"/>
      <c r="FR1830" s="797"/>
      <c r="FS1830" s="797"/>
      <c r="FT1830" s="797"/>
      <c r="FU1830" s="797"/>
      <c r="FV1830" s="797"/>
      <c r="FW1830" s="797"/>
      <c r="FX1830" s="797"/>
      <c r="FY1830" s="797"/>
      <c r="FZ1830" s="797"/>
      <c r="GA1830" s="797"/>
      <c r="GB1830" s="797"/>
      <c r="GC1830" s="797"/>
      <c r="GD1830" s="797"/>
      <c r="GE1830" s="797"/>
      <c r="GF1830" s="797"/>
      <c r="GG1830" s="797"/>
      <c r="GH1830" s="797"/>
      <c r="GI1830" s="797"/>
      <c r="GJ1830" s="797"/>
      <c r="GK1830" s="797"/>
      <c r="GL1830" s="797"/>
      <c r="GM1830" s="797"/>
      <c r="GN1830" s="797"/>
      <c r="GO1830" s="797"/>
      <c r="GP1830" s="797"/>
      <c r="GQ1830" s="797"/>
      <c r="GR1830" s="797"/>
      <c r="GS1830" s="797"/>
      <c r="GT1830" s="797"/>
      <c r="GU1830" s="797"/>
      <c r="GV1830" s="797"/>
      <c r="GW1830" s="797"/>
      <c r="GX1830" s="797"/>
      <c r="GY1830" s="797"/>
      <c r="GZ1830" s="797"/>
      <c r="HA1830" s="797"/>
      <c r="HB1830" s="797"/>
      <c r="HC1830" s="797"/>
      <c r="HD1830" s="797"/>
      <c r="HE1830" s="797"/>
      <c r="HF1830" s="797"/>
      <c r="HG1830" s="797"/>
      <c r="HH1830" s="797"/>
      <c r="HI1830" s="797"/>
      <c r="HJ1830" s="797"/>
      <c r="HK1830" s="797"/>
      <c r="HL1830" s="797"/>
      <c r="HM1830" s="797"/>
      <c r="HN1830" s="797"/>
      <c r="HO1830" s="797"/>
      <c r="HP1830" s="797"/>
      <c r="HQ1830" s="797"/>
      <c r="HR1830" s="797"/>
      <c r="HS1830" s="797"/>
      <c r="HT1830" s="797"/>
      <c r="HU1830" s="797"/>
      <c r="HV1830" s="797"/>
      <c r="HW1830" s="797"/>
      <c r="HX1830" s="797"/>
      <c r="HY1830" s="797"/>
      <c r="HZ1830" s="797"/>
      <c r="IA1830" s="797"/>
      <c r="IB1830" s="797"/>
      <c r="IC1830" s="797"/>
      <c r="ID1830" s="797"/>
      <c r="IE1830" s="797"/>
      <c r="IF1830" s="797"/>
      <c r="IG1830" s="797"/>
      <c r="IH1830" s="797"/>
      <c r="II1830" s="797"/>
      <c r="IJ1830" s="797"/>
      <c r="IK1830" s="797"/>
      <c r="IL1830" s="797"/>
      <c r="IM1830" s="797"/>
      <c r="IN1830" s="797"/>
      <c r="IO1830" s="797"/>
      <c r="IP1830" s="797"/>
      <c r="IQ1830" s="797"/>
      <c r="IR1830" s="797"/>
      <c r="IS1830" s="797"/>
      <c r="IT1830" s="797"/>
      <c r="IU1830" s="797"/>
    </row>
    <row r="1831" spans="1:255" s="359" customFormat="1" ht="16.5" customHeight="1">
      <c r="A1831" s="1071"/>
      <c r="B1831" s="328"/>
      <c r="C1831" s="341" t="s">
        <v>209</v>
      </c>
      <c r="D1831" s="336" t="s">
        <v>80</v>
      </c>
      <c r="E1831" s="856">
        <v>1.8</v>
      </c>
      <c r="F1831" s="389">
        <f>F1830*E1831</f>
        <v>4.32</v>
      </c>
      <c r="G1831" s="389"/>
      <c r="H1831" s="389"/>
      <c r="I1831" s="389"/>
      <c r="J1831" s="389"/>
      <c r="K1831" s="389"/>
      <c r="L1831" s="389"/>
      <c r="M1831" s="389"/>
      <c r="N1831" s="358"/>
      <c r="O1831" s="797"/>
      <c r="P1831" s="798"/>
      <c r="Q1831" s="798"/>
      <c r="R1831" s="798"/>
      <c r="S1831" s="798"/>
      <c r="T1831" s="798"/>
      <c r="U1831" s="798"/>
      <c r="V1831" s="798"/>
      <c r="W1831" s="798"/>
      <c r="X1831" s="798"/>
      <c r="Y1831" s="798"/>
      <c r="Z1831" s="798"/>
      <c r="AA1831" s="797"/>
      <c r="AB1831" s="797"/>
      <c r="AC1831" s="797"/>
      <c r="AD1831" s="797"/>
      <c r="AE1831" s="797"/>
      <c r="AF1831" s="797"/>
      <c r="AG1831" s="797"/>
      <c r="AH1831" s="797"/>
      <c r="AI1831" s="797"/>
      <c r="AJ1831" s="797"/>
      <c r="AK1831" s="797"/>
      <c r="AL1831" s="797"/>
      <c r="AM1831" s="797"/>
      <c r="AN1831" s="797"/>
      <c r="AO1831" s="797"/>
      <c r="AP1831" s="797"/>
      <c r="AQ1831" s="797"/>
      <c r="AR1831" s="797"/>
      <c r="AS1831" s="797"/>
      <c r="AT1831" s="797"/>
      <c r="AU1831" s="797"/>
      <c r="AV1831" s="797"/>
      <c r="AW1831" s="797"/>
      <c r="AX1831" s="797"/>
      <c r="AY1831" s="797"/>
      <c r="AZ1831" s="797"/>
      <c r="BA1831" s="797"/>
      <c r="BB1831" s="797"/>
      <c r="BC1831" s="797"/>
      <c r="BD1831" s="797"/>
      <c r="BE1831" s="797"/>
      <c r="BF1831" s="797"/>
      <c r="BG1831" s="797"/>
      <c r="BH1831" s="797"/>
      <c r="BI1831" s="797"/>
      <c r="BJ1831" s="797"/>
      <c r="BK1831" s="797"/>
      <c r="BL1831" s="797"/>
      <c r="BM1831" s="797"/>
      <c r="BN1831" s="797"/>
      <c r="BO1831" s="797"/>
      <c r="BP1831" s="797"/>
      <c r="BQ1831" s="797"/>
      <c r="BR1831" s="797"/>
      <c r="BS1831" s="797"/>
      <c r="BT1831" s="797"/>
      <c r="BU1831" s="797"/>
      <c r="BV1831" s="797"/>
      <c r="BW1831" s="797"/>
      <c r="BX1831" s="797"/>
      <c r="BY1831" s="797"/>
      <c r="BZ1831" s="797"/>
      <c r="CA1831" s="797"/>
      <c r="CB1831" s="797"/>
      <c r="CC1831" s="797"/>
      <c r="CD1831" s="797"/>
      <c r="CE1831" s="797"/>
      <c r="CF1831" s="797"/>
      <c r="CG1831" s="797"/>
      <c r="CH1831" s="797"/>
      <c r="CI1831" s="797"/>
      <c r="CJ1831" s="797"/>
      <c r="CK1831" s="797"/>
      <c r="CL1831" s="797"/>
      <c r="CM1831" s="797"/>
      <c r="CN1831" s="797"/>
      <c r="CO1831" s="797"/>
      <c r="CP1831" s="797"/>
      <c r="CQ1831" s="797"/>
      <c r="CR1831" s="797"/>
      <c r="CS1831" s="797"/>
      <c r="CT1831" s="797"/>
      <c r="CU1831" s="797"/>
      <c r="CV1831" s="797"/>
      <c r="CW1831" s="797"/>
      <c r="CX1831" s="797"/>
      <c r="CY1831" s="797"/>
      <c r="CZ1831" s="797"/>
      <c r="DA1831" s="797"/>
      <c r="DB1831" s="797"/>
      <c r="DC1831" s="797"/>
      <c r="DD1831" s="797"/>
      <c r="DE1831" s="797"/>
      <c r="DF1831" s="797"/>
      <c r="DG1831" s="797"/>
      <c r="DH1831" s="797"/>
      <c r="DI1831" s="797"/>
      <c r="DJ1831" s="797"/>
      <c r="DK1831" s="797"/>
      <c r="DL1831" s="797"/>
      <c r="DM1831" s="797"/>
      <c r="DN1831" s="797"/>
      <c r="DO1831" s="797"/>
      <c r="DP1831" s="797"/>
      <c r="DQ1831" s="797"/>
      <c r="DR1831" s="797"/>
      <c r="DS1831" s="797"/>
      <c r="DT1831" s="797"/>
      <c r="DU1831" s="797"/>
      <c r="DV1831" s="797"/>
      <c r="DW1831" s="797"/>
      <c r="DX1831" s="797"/>
      <c r="DY1831" s="797"/>
      <c r="DZ1831" s="797"/>
      <c r="EA1831" s="797"/>
      <c r="EB1831" s="797"/>
      <c r="EC1831" s="797"/>
      <c r="ED1831" s="797"/>
      <c r="EE1831" s="797"/>
      <c r="EF1831" s="797"/>
      <c r="EG1831" s="797"/>
      <c r="EH1831" s="797"/>
      <c r="EI1831" s="797"/>
      <c r="EJ1831" s="797"/>
      <c r="EK1831" s="797"/>
      <c r="EL1831" s="797"/>
      <c r="EM1831" s="797"/>
      <c r="EN1831" s="797"/>
      <c r="EO1831" s="797"/>
      <c r="EP1831" s="797"/>
      <c r="EQ1831" s="797"/>
      <c r="ER1831" s="797"/>
      <c r="ES1831" s="797"/>
      <c r="ET1831" s="797"/>
      <c r="EU1831" s="797"/>
      <c r="EV1831" s="797"/>
      <c r="EW1831" s="797"/>
      <c r="EX1831" s="797"/>
      <c r="EY1831" s="797"/>
      <c r="EZ1831" s="797"/>
      <c r="FA1831" s="797"/>
      <c r="FB1831" s="797"/>
      <c r="FC1831" s="797"/>
      <c r="FD1831" s="797"/>
      <c r="FE1831" s="797"/>
      <c r="FF1831" s="797"/>
      <c r="FG1831" s="797"/>
      <c r="FH1831" s="797"/>
      <c r="FI1831" s="797"/>
      <c r="FJ1831" s="797"/>
      <c r="FK1831" s="797"/>
      <c r="FL1831" s="797"/>
      <c r="FM1831" s="797"/>
      <c r="FN1831" s="797"/>
      <c r="FO1831" s="797"/>
      <c r="FP1831" s="797"/>
      <c r="FQ1831" s="797"/>
      <c r="FR1831" s="797"/>
      <c r="FS1831" s="797"/>
      <c r="FT1831" s="797"/>
      <c r="FU1831" s="797"/>
      <c r="FV1831" s="797"/>
      <c r="FW1831" s="797"/>
      <c r="FX1831" s="797"/>
      <c r="FY1831" s="797"/>
      <c r="FZ1831" s="797"/>
      <c r="GA1831" s="797"/>
      <c r="GB1831" s="797"/>
      <c r="GC1831" s="797"/>
      <c r="GD1831" s="797"/>
      <c r="GE1831" s="797"/>
      <c r="GF1831" s="797"/>
      <c r="GG1831" s="797"/>
      <c r="GH1831" s="797"/>
      <c r="GI1831" s="797"/>
      <c r="GJ1831" s="797"/>
      <c r="GK1831" s="797"/>
      <c r="GL1831" s="797"/>
      <c r="GM1831" s="797"/>
      <c r="GN1831" s="797"/>
      <c r="GO1831" s="797"/>
      <c r="GP1831" s="797"/>
      <c r="GQ1831" s="797"/>
      <c r="GR1831" s="797"/>
      <c r="GS1831" s="797"/>
      <c r="GT1831" s="797"/>
      <c r="GU1831" s="797"/>
      <c r="GV1831" s="797"/>
      <c r="GW1831" s="797"/>
      <c r="GX1831" s="797"/>
      <c r="GY1831" s="797"/>
      <c r="GZ1831" s="797"/>
      <c r="HA1831" s="797"/>
      <c r="HB1831" s="797"/>
      <c r="HC1831" s="797"/>
      <c r="HD1831" s="797"/>
      <c r="HE1831" s="797"/>
      <c r="HF1831" s="797"/>
      <c r="HG1831" s="797"/>
      <c r="HH1831" s="797"/>
      <c r="HI1831" s="797"/>
      <c r="HJ1831" s="797"/>
      <c r="HK1831" s="797"/>
      <c r="HL1831" s="797"/>
      <c r="HM1831" s="797"/>
      <c r="HN1831" s="797"/>
      <c r="HO1831" s="797"/>
      <c r="HP1831" s="797"/>
      <c r="HQ1831" s="797"/>
      <c r="HR1831" s="797"/>
      <c r="HS1831" s="797"/>
      <c r="HT1831" s="797"/>
      <c r="HU1831" s="797"/>
      <c r="HV1831" s="797"/>
      <c r="HW1831" s="797"/>
      <c r="HX1831" s="797"/>
      <c r="HY1831" s="797"/>
      <c r="HZ1831" s="797"/>
      <c r="IA1831" s="797"/>
      <c r="IB1831" s="797"/>
      <c r="IC1831" s="797"/>
      <c r="ID1831" s="797"/>
      <c r="IE1831" s="797"/>
      <c r="IF1831" s="797"/>
      <c r="IG1831" s="797"/>
      <c r="IH1831" s="797"/>
      <c r="II1831" s="797"/>
      <c r="IJ1831" s="797"/>
      <c r="IK1831" s="797"/>
      <c r="IL1831" s="797"/>
      <c r="IM1831" s="797"/>
      <c r="IN1831" s="797"/>
      <c r="IO1831" s="797"/>
      <c r="IP1831" s="797"/>
      <c r="IQ1831" s="797"/>
      <c r="IR1831" s="797"/>
      <c r="IS1831" s="797"/>
      <c r="IT1831" s="797"/>
      <c r="IU1831" s="797"/>
    </row>
    <row r="1832" spans="1:255" s="359" customFormat="1" hidden="1">
      <c r="A1832" s="336"/>
      <c r="B1832" s="328"/>
      <c r="C1832" s="341" t="s">
        <v>210</v>
      </c>
      <c r="D1832" s="336"/>
      <c r="E1832" s="856"/>
      <c r="F1832" s="389">
        <f>E1832*2353</f>
        <v>0</v>
      </c>
      <c r="G1832" s="389"/>
      <c r="H1832" s="389"/>
      <c r="I1832" s="389"/>
      <c r="J1832" s="389"/>
      <c r="K1832" s="389"/>
      <c r="L1832" s="389"/>
      <c r="M1832" s="389"/>
      <c r="N1832" s="358"/>
      <c r="O1832" s="797"/>
      <c r="P1832" s="798"/>
      <c r="Q1832" s="798"/>
      <c r="R1832" s="798"/>
      <c r="S1832" s="798"/>
      <c r="T1832" s="798"/>
      <c r="U1832" s="798"/>
      <c r="V1832" s="798"/>
      <c r="W1832" s="798"/>
      <c r="X1832" s="798"/>
      <c r="Y1832" s="798"/>
      <c r="Z1832" s="798"/>
      <c r="AA1832" s="797"/>
      <c r="AB1832" s="797"/>
      <c r="AC1832" s="797"/>
      <c r="AD1832" s="797"/>
      <c r="AE1832" s="797"/>
      <c r="AF1832" s="797"/>
      <c r="AG1832" s="797"/>
      <c r="AH1832" s="797"/>
      <c r="AI1832" s="797"/>
      <c r="AJ1832" s="797"/>
      <c r="AK1832" s="797"/>
      <c r="AL1832" s="797"/>
      <c r="AM1832" s="797"/>
      <c r="AN1832" s="797"/>
      <c r="AO1832" s="797"/>
      <c r="AP1832" s="797"/>
      <c r="AQ1832" s="797"/>
      <c r="AR1832" s="797"/>
      <c r="AS1832" s="797"/>
      <c r="AT1832" s="797"/>
      <c r="AU1832" s="797"/>
      <c r="AV1832" s="797"/>
      <c r="AW1832" s="797"/>
      <c r="AX1832" s="797"/>
      <c r="AY1832" s="797"/>
      <c r="AZ1832" s="797"/>
      <c r="BA1832" s="797"/>
      <c r="BB1832" s="797"/>
      <c r="BC1832" s="797"/>
      <c r="BD1832" s="797"/>
      <c r="BE1832" s="797"/>
      <c r="BF1832" s="797"/>
      <c r="BG1832" s="797"/>
      <c r="BH1832" s="797"/>
      <c r="BI1832" s="797"/>
      <c r="BJ1832" s="797"/>
      <c r="BK1832" s="797"/>
      <c r="BL1832" s="797"/>
      <c r="BM1832" s="797"/>
      <c r="BN1832" s="797"/>
      <c r="BO1832" s="797"/>
      <c r="BP1832" s="797"/>
      <c r="BQ1832" s="797"/>
      <c r="BR1832" s="797"/>
      <c r="BS1832" s="797"/>
      <c r="BT1832" s="797"/>
      <c r="BU1832" s="797"/>
      <c r="BV1832" s="797"/>
      <c r="BW1832" s="797"/>
      <c r="BX1832" s="797"/>
      <c r="BY1832" s="797"/>
      <c r="BZ1832" s="797"/>
      <c r="CA1832" s="797"/>
      <c r="CB1832" s="797"/>
      <c r="CC1832" s="797"/>
      <c r="CD1832" s="797"/>
      <c r="CE1832" s="797"/>
      <c r="CF1832" s="797"/>
      <c r="CG1832" s="797"/>
      <c r="CH1832" s="797"/>
      <c r="CI1832" s="797"/>
      <c r="CJ1832" s="797"/>
      <c r="CK1832" s="797"/>
      <c r="CL1832" s="797"/>
      <c r="CM1832" s="797"/>
      <c r="CN1832" s="797"/>
      <c r="CO1832" s="797"/>
      <c r="CP1832" s="797"/>
      <c r="CQ1832" s="797"/>
      <c r="CR1832" s="797"/>
      <c r="CS1832" s="797"/>
      <c r="CT1832" s="797"/>
      <c r="CU1832" s="797"/>
      <c r="CV1832" s="797"/>
      <c r="CW1832" s="797"/>
      <c r="CX1832" s="797"/>
      <c r="CY1832" s="797"/>
      <c r="CZ1832" s="797"/>
      <c r="DA1832" s="797"/>
      <c r="DB1832" s="797"/>
      <c r="DC1832" s="797"/>
      <c r="DD1832" s="797"/>
      <c r="DE1832" s="797"/>
      <c r="DF1832" s="797"/>
      <c r="DG1832" s="797"/>
      <c r="DH1832" s="797"/>
      <c r="DI1832" s="797"/>
      <c r="DJ1832" s="797"/>
      <c r="DK1832" s="797"/>
      <c r="DL1832" s="797"/>
      <c r="DM1832" s="797"/>
      <c r="DN1832" s="797"/>
      <c r="DO1832" s="797"/>
      <c r="DP1832" s="797"/>
      <c r="DQ1832" s="797"/>
      <c r="DR1832" s="797"/>
      <c r="DS1832" s="797"/>
      <c r="DT1832" s="797"/>
      <c r="DU1832" s="797"/>
      <c r="DV1832" s="797"/>
      <c r="DW1832" s="797"/>
      <c r="DX1832" s="797"/>
      <c r="DY1832" s="797"/>
      <c r="DZ1832" s="797"/>
      <c r="EA1832" s="797"/>
      <c r="EB1832" s="797"/>
      <c r="EC1832" s="797"/>
      <c r="ED1832" s="797"/>
      <c r="EE1832" s="797"/>
      <c r="EF1832" s="797"/>
      <c r="EG1832" s="797"/>
      <c r="EH1832" s="797"/>
      <c r="EI1832" s="797"/>
      <c r="EJ1832" s="797"/>
      <c r="EK1832" s="797"/>
      <c r="EL1832" s="797"/>
      <c r="EM1832" s="797"/>
      <c r="EN1832" s="797"/>
      <c r="EO1832" s="797"/>
      <c r="EP1832" s="797"/>
      <c r="EQ1832" s="797"/>
      <c r="ER1832" s="797"/>
      <c r="ES1832" s="797"/>
      <c r="ET1832" s="797"/>
      <c r="EU1832" s="797"/>
      <c r="EV1832" s="797"/>
      <c r="EW1832" s="797"/>
      <c r="EX1832" s="797"/>
      <c r="EY1832" s="797"/>
      <c r="EZ1832" s="797"/>
      <c r="FA1832" s="797"/>
      <c r="FB1832" s="797"/>
      <c r="FC1832" s="797"/>
      <c r="FD1832" s="797"/>
      <c r="FE1832" s="797"/>
      <c r="FF1832" s="797"/>
      <c r="FG1832" s="797"/>
      <c r="FH1832" s="797"/>
      <c r="FI1832" s="797"/>
      <c r="FJ1832" s="797"/>
      <c r="FK1832" s="797"/>
      <c r="FL1832" s="797"/>
      <c r="FM1832" s="797"/>
      <c r="FN1832" s="797"/>
      <c r="FO1832" s="797"/>
      <c r="FP1832" s="797"/>
      <c r="FQ1832" s="797"/>
      <c r="FR1832" s="797"/>
      <c r="FS1832" s="797"/>
      <c r="FT1832" s="797"/>
      <c r="FU1832" s="797"/>
      <c r="FV1832" s="797"/>
      <c r="FW1832" s="797"/>
      <c r="FX1832" s="797"/>
      <c r="FY1832" s="797"/>
      <c r="FZ1832" s="797"/>
      <c r="GA1832" s="797"/>
      <c r="GB1832" s="797"/>
      <c r="GC1832" s="797"/>
      <c r="GD1832" s="797"/>
      <c r="GE1832" s="797"/>
      <c r="GF1832" s="797"/>
      <c r="GG1832" s="797"/>
      <c r="GH1832" s="797"/>
      <c r="GI1832" s="797"/>
      <c r="GJ1832" s="797"/>
      <c r="GK1832" s="797"/>
      <c r="GL1832" s="797"/>
      <c r="GM1832" s="797"/>
      <c r="GN1832" s="797"/>
      <c r="GO1832" s="797"/>
      <c r="GP1832" s="797"/>
      <c r="GQ1832" s="797"/>
      <c r="GR1832" s="797"/>
      <c r="GS1832" s="797"/>
      <c r="GT1832" s="797"/>
      <c r="GU1832" s="797"/>
      <c r="GV1832" s="797"/>
      <c r="GW1832" s="797"/>
      <c r="GX1832" s="797"/>
      <c r="GY1832" s="797"/>
      <c r="GZ1832" s="797"/>
      <c r="HA1832" s="797"/>
      <c r="HB1832" s="797"/>
      <c r="HC1832" s="797"/>
      <c r="HD1832" s="797"/>
      <c r="HE1832" s="797"/>
      <c r="HF1832" s="797"/>
      <c r="HG1832" s="797"/>
      <c r="HH1832" s="797"/>
      <c r="HI1832" s="797"/>
      <c r="HJ1832" s="797"/>
      <c r="HK1832" s="797"/>
      <c r="HL1832" s="797"/>
      <c r="HM1832" s="797"/>
      <c r="HN1832" s="797"/>
      <c r="HO1832" s="797"/>
      <c r="HP1832" s="797"/>
      <c r="HQ1832" s="797"/>
      <c r="HR1832" s="797"/>
      <c r="HS1832" s="797"/>
      <c r="HT1832" s="797"/>
      <c r="HU1832" s="797"/>
      <c r="HV1832" s="797"/>
      <c r="HW1832" s="797"/>
      <c r="HX1832" s="797"/>
      <c r="HY1832" s="797"/>
      <c r="HZ1832" s="797"/>
      <c r="IA1832" s="797"/>
      <c r="IB1832" s="797"/>
      <c r="IC1832" s="797"/>
      <c r="ID1832" s="797"/>
      <c r="IE1832" s="797"/>
      <c r="IF1832" s="797"/>
      <c r="IG1832" s="797"/>
      <c r="IH1832" s="797"/>
      <c r="II1832" s="797"/>
      <c r="IJ1832" s="797"/>
      <c r="IK1832" s="797"/>
      <c r="IL1832" s="797"/>
      <c r="IM1832" s="797"/>
      <c r="IN1832" s="797"/>
      <c r="IO1832" s="797"/>
      <c r="IP1832" s="797"/>
      <c r="IQ1832" s="797"/>
      <c r="IR1832" s="797"/>
      <c r="IS1832" s="797"/>
      <c r="IT1832" s="797"/>
      <c r="IU1832" s="797"/>
    </row>
    <row r="1833" spans="1:255" s="359" customFormat="1">
      <c r="A1833" s="1080"/>
      <c r="B1833" s="417"/>
      <c r="C1833" s="344" t="s">
        <v>354</v>
      </c>
      <c r="D1833" s="342" t="s">
        <v>88</v>
      </c>
      <c r="E1833" s="857">
        <v>1.1000000000000001</v>
      </c>
      <c r="F1833" s="392">
        <f>F1830*E1833</f>
        <v>2.64</v>
      </c>
      <c r="G1833" s="392"/>
      <c r="H1833" s="392"/>
      <c r="I1833" s="392"/>
      <c r="J1833" s="392"/>
      <c r="K1833" s="392"/>
      <c r="L1833" s="392"/>
      <c r="M1833" s="392"/>
      <c r="N1833" s="358"/>
      <c r="O1833" s="797"/>
      <c r="P1833" s="798"/>
      <c r="Q1833" s="798"/>
      <c r="R1833" s="798"/>
      <c r="S1833" s="798"/>
      <c r="T1833" s="798"/>
      <c r="U1833" s="798"/>
      <c r="V1833" s="798"/>
      <c r="W1833" s="798"/>
      <c r="X1833" s="798"/>
      <c r="Y1833" s="798"/>
      <c r="Z1833" s="798"/>
      <c r="AA1833" s="797"/>
      <c r="AB1833" s="797"/>
      <c r="AC1833" s="797"/>
      <c r="AD1833" s="797"/>
      <c r="AE1833" s="797"/>
      <c r="AF1833" s="797"/>
      <c r="AG1833" s="797"/>
      <c r="AH1833" s="797"/>
      <c r="AI1833" s="797"/>
      <c r="AJ1833" s="797"/>
      <c r="AK1833" s="797"/>
      <c r="AL1833" s="797"/>
      <c r="AM1833" s="797"/>
      <c r="AN1833" s="797"/>
      <c r="AO1833" s="797"/>
      <c r="AP1833" s="797"/>
      <c r="AQ1833" s="797"/>
      <c r="AR1833" s="797"/>
      <c r="AS1833" s="797"/>
      <c r="AT1833" s="797"/>
      <c r="AU1833" s="797"/>
      <c r="AV1833" s="797"/>
      <c r="AW1833" s="797"/>
      <c r="AX1833" s="797"/>
      <c r="AY1833" s="797"/>
      <c r="AZ1833" s="797"/>
      <c r="BA1833" s="797"/>
      <c r="BB1833" s="797"/>
      <c r="BC1833" s="797"/>
      <c r="BD1833" s="797"/>
      <c r="BE1833" s="797"/>
      <c r="BF1833" s="797"/>
      <c r="BG1833" s="797"/>
      <c r="BH1833" s="797"/>
      <c r="BI1833" s="797"/>
      <c r="BJ1833" s="797"/>
      <c r="BK1833" s="797"/>
      <c r="BL1833" s="797"/>
      <c r="BM1833" s="797"/>
      <c r="BN1833" s="797"/>
      <c r="BO1833" s="797"/>
      <c r="BP1833" s="797"/>
      <c r="BQ1833" s="797"/>
      <c r="BR1833" s="797"/>
      <c r="BS1833" s="797"/>
      <c r="BT1833" s="797"/>
      <c r="BU1833" s="797"/>
      <c r="BV1833" s="797"/>
      <c r="BW1833" s="797"/>
      <c r="BX1833" s="797"/>
      <c r="BY1833" s="797"/>
      <c r="BZ1833" s="797"/>
      <c r="CA1833" s="797"/>
      <c r="CB1833" s="797"/>
      <c r="CC1833" s="797"/>
      <c r="CD1833" s="797"/>
      <c r="CE1833" s="797"/>
      <c r="CF1833" s="797"/>
      <c r="CG1833" s="797"/>
      <c r="CH1833" s="797"/>
      <c r="CI1833" s="797"/>
      <c r="CJ1833" s="797"/>
      <c r="CK1833" s="797"/>
      <c r="CL1833" s="797"/>
      <c r="CM1833" s="797"/>
      <c r="CN1833" s="797"/>
      <c r="CO1833" s="797"/>
      <c r="CP1833" s="797"/>
      <c r="CQ1833" s="797"/>
      <c r="CR1833" s="797"/>
      <c r="CS1833" s="797"/>
      <c r="CT1833" s="797"/>
      <c r="CU1833" s="797"/>
      <c r="CV1833" s="797"/>
      <c r="CW1833" s="797"/>
      <c r="CX1833" s="797"/>
      <c r="CY1833" s="797"/>
      <c r="CZ1833" s="797"/>
      <c r="DA1833" s="797"/>
      <c r="DB1833" s="797"/>
      <c r="DC1833" s="797"/>
      <c r="DD1833" s="797"/>
      <c r="DE1833" s="797"/>
      <c r="DF1833" s="797"/>
      <c r="DG1833" s="797"/>
      <c r="DH1833" s="797"/>
      <c r="DI1833" s="797"/>
      <c r="DJ1833" s="797"/>
      <c r="DK1833" s="797"/>
      <c r="DL1833" s="797"/>
      <c r="DM1833" s="797"/>
      <c r="DN1833" s="797"/>
      <c r="DO1833" s="797"/>
      <c r="DP1833" s="797"/>
      <c r="DQ1833" s="797"/>
      <c r="DR1833" s="797"/>
      <c r="DS1833" s="797"/>
      <c r="DT1833" s="797"/>
      <c r="DU1833" s="797"/>
      <c r="DV1833" s="797"/>
      <c r="DW1833" s="797"/>
      <c r="DX1833" s="797"/>
      <c r="DY1833" s="797"/>
      <c r="DZ1833" s="797"/>
      <c r="EA1833" s="797"/>
      <c r="EB1833" s="797"/>
      <c r="EC1833" s="797"/>
      <c r="ED1833" s="797"/>
      <c r="EE1833" s="797"/>
      <c r="EF1833" s="797"/>
      <c r="EG1833" s="797"/>
      <c r="EH1833" s="797"/>
      <c r="EI1833" s="797"/>
      <c r="EJ1833" s="797"/>
      <c r="EK1833" s="797"/>
      <c r="EL1833" s="797"/>
      <c r="EM1833" s="797"/>
      <c r="EN1833" s="797"/>
      <c r="EO1833" s="797"/>
      <c r="EP1833" s="797"/>
      <c r="EQ1833" s="797"/>
      <c r="ER1833" s="797"/>
      <c r="ES1833" s="797"/>
      <c r="ET1833" s="797"/>
      <c r="EU1833" s="797"/>
      <c r="EV1833" s="797"/>
      <c r="EW1833" s="797"/>
      <c r="EX1833" s="797"/>
      <c r="EY1833" s="797"/>
      <c r="EZ1833" s="797"/>
      <c r="FA1833" s="797"/>
      <c r="FB1833" s="797"/>
      <c r="FC1833" s="797"/>
      <c r="FD1833" s="797"/>
      <c r="FE1833" s="797"/>
      <c r="FF1833" s="797"/>
      <c r="FG1833" s="797"/>
      <c r="FH1833" s="797"/>
      <c r="FI1833" s="797"/>
      <c r="FJ1833" s="797"/>
      <c r="FK1833" s="797"/>
      <c r="FL1833" s="797"/>
      <c r="FM1833" s="797"/>
      <c r="FN1833" s="797"/>
      <c r="FO1833" s="797"/>
      <c r="FP1833" s="797"/>
      <c r="FQ1833" s="797"/>
      <c r="FR1833" s="797"/>
      <c r="FS1833" s="797"/>
      <c r="FT1833" s="797"/>
      <c r="FU1833" s="797"/>
      <c r="FV1833" s="797"/>
      <c r="FW1833" s="797"/>
      <c r="FX1833" s="797"/>
      <c r="FY1833" s="797"/>
      <c r="FZ1833" s="797"/>
      <c r="GA1833" s="797"/>
      <c r="GB1833" s="797"/>
      <c r="GC1833" s="797"/>
      <c r="GD1833" s="797"/>
      <c r="GE1833" s="797"/>
      <c r="GF1833" s="797"/>
      <c r="GG1833" s="797"/>
      <c r="GH1833" s="797"/>
      <c r="GI1833" s="797"/>
      <c r="GJ1833" s="797"/>
      <c r="GK1833" s="797"/>
      <c r="GL1833" s="797"/>
      <c r="GM1833" s="797"/>
      <c r="GN1833" s="797"/>
      <c r="GO1833" s="797"/>
      <c r="GP1833" s="797"/>
      <c r="GQ1833" s="797"/>
      <c r="GR1833" s="797"/>
      <c r="GS1833" s="797"/>
      <c r="GT1833" s="797"/>
      <c r="GU1833" s="797"/>
      <c r="GV1833" s="797"/>
      <c r="GW1833" s="797"/>
      <c r="GX1833" s="797"/>
      <c r="GY1833" s="797"/>
      <c r="GZ1833" s="797"/>
      <c r="HA1833" s="797"/>
      <c r="HB1833" s="797"/>
      <c r="HC1833" s="797"/>
      <c r="HD1833" s="797"/>
      <c r="HE1833" s="797"/>
      <c r="HF1833" s="797"/>
      <c r="HG1833" s="797"/>
      <c r="HH1833" s="797"/>
      <c r="HI1833" s="797"/>
      <c r="HJ1833" s="797"/>
      <c r="HK1833" s="797"/>
      <c r="HL1833" s="797"/>
      <c r="HM1833" s="797"/>
      <c r="HN1833" s="797"/>
      <c r="HO1833" s="797"/>
      <c r="HP1833" s="797"/>
      <c r="HQ1833" s="797"/>
      <c r="HR1833" s="797"/>
      <c r="HS1833" s="797"/>
      <c r="HT1833" s="797"/>
      <c r="HU1833" s="797"/>
      <c r="HV1833" s="797"/>
      <c r="HW1833" s="797"/>
      <c r="HX1833" s="797"/>
      <c r="HY1833" s="797"/>
      <c r="HZ1833" s="797"/>
      <c r="IA1833" s="797"/>
      <c r="IB1833" s="797"/>
      <c r="IC1833" s="797"/>
      <c r="ID1833" s="797"/>
      <c r="IE1833" s="797"/>
      <c r="IF1833" s="797"/>
      <c r="IG1833" s="797"/>
      <c r="IH1833" s="797"/>
      <c r="II1833" s="797"/>
      <c r="IJ1833" s="797"/>
      <c r="IK1833" s="797"/>
      <c r="IL1833" s="797"/>
      <c r="IM1833" s="797"/>
      <c r="IN1833" s="797"/>
      <c r="IO1833" s="797"/>
      <c r="IP1833" s="797"/>
      <c r="IQ1833" s="797"/>
      <c r="IR1833" s="797"/>
      <c r="IS1833" s="797"/>
      <c r="IT1833" s="797"/>
      <c r="IU1833" s="797"/>
    </row>
    <row r="1834" spans="1:255" s="361" customFormat="1" ht="16.5" hidden="1" customHeight="1">
      <c r="A1834" s="336">
        <v>8</v>
      </c>
      <c r="B1834" s="328" t="s">
        <v>890</v>
      </c>
      <c r="C1834" s="329" t="s">
        <v>1410</v>
      </c>
      <c r="D1834" s="330" t="s">
        <v>88</v>
      </c>
      <c r="E1834" s="389"/>
      <c r="F1834" s="384">
        <f>'დეფექტური აქტი'!E442</f>
        <v>0</v>
      </c>
      <c r="G1834" s="389"/>
      <c r="H1834" s="389"/>
      <c r="I1834" s="389"/>
      <c r="J1834" s="389"/>
      <c r="K1834" s="389"/>
      <c r="L1834" s="389"/>
      <c r="M1834" s="389"/>
      <c r="N1834" s="348"/>
      <c r="O1834" s="803"/>
      <c r="P1834" s="804"/>
      <c r="Q1834" s="804"/>
      <c r="R1834" s="804"/>
      <c r="S1834" s="804"/>
      <c r="T1834" s="804"/>
      <c r="U1834" s="804"/>
      <c r="V1834" s="804"/>
      <c r="W1834" s="804"/>
      <c r="X1834" s="804"/>
      <c r="Y1834" s="804"/>
      <c r="Z1834" s="804"/>
      <c r="AA1834" s="803"/>
      <c r="AB1834" s="803"/>
      <c r="AC1834" s="803"/>
      <c r="AD1834" s="803"/>
      <c r="AE1834" s="803"/>
      <c r="AF1834" s="803"/>
      <c r="AG1834" s="803"/>
      <c r="AH1834" s="803"/>
      <c r="AI1834" s="803"/>
      <c r="AJ1834" s="803"/>
      <c r="AK1834" s="803"/>
      <c r="AL1834" s="803"/>
      <c r="AM1834" s="803"/>
      <c r="AN1834" s="803"/>
      <c r="AO1834" s="803"/>
      <c r="AP1834" s="803"/>
      <c r="AQ1834" s="803"/>
      <c r="AR1834" s="803"/>
      <c r="AS1834" s="803"/>
      <c r="AT1834" s="803"/>
      <c r="AU1834" s="803"/>
      <c r="AV1834" s="803"/>
      <c r="AW1834" s="803"/>
      <c r="AX1834" s="803"/>
      <c r="AY1834" s="803"/>
      <c r="AZ1834" s="803"/>
      <c r="BA1834" s="803"/>
      <c r="BB1834" s="803"/>
      <c r="BC1834" s="803"/>
      <c r="BD1834" s="803"/>
      <c r="BE1834" s="803"/>
      <c r="BF1834" s="803"/>
      <c r="BG1834" s="803"/>
      <c r="BH1834" s="803"/>
      <c r="BI1834" s="803"/>
      <c r="BJ1834" s="803"/>
      <c r="BK1834" s="803"/>
      <c r="BL1834" s="803"/>
      <c r="BM1834" s="803"/>
      <c r="BN1834" s="803"/>
      <c r="BO1834" s="803"/>
      <c r="BP1834" s="803"/>
      <c r="BQ1834" s="803"/>
      <c r="BR1834" s="803"/>
      <c r="BS1834" s="803"/>
      <c r="BT1834" s="803"/>
      <c r="BU1834" s="803"/>
      <c r="BV1834" s="803"/>
      <c r="BW1834" s="803"/>
      <c r="BX1834" s="803"/>
      <c r="BY1834" s="803"/>
      <c r="BZ1834" s="803"/>
      <c r="CA1834" s="803"/>
      <c r="CB1834" s="803"/>
      <c r="CC1834" s="803"/>
      <c r="CD1834" s="803"/>
      <c r="CE1834" s="803"/>
      <c r="CF1834" s="803"/>
      <c r="CG1834" s="803"/>
      <c r="CH1834" s="803"/>
      <c r="CI1834" s="803"/>
      <c r="CJ1834" s="803"/>
      <c r="CK1834" s="803"/>
      <c r="CL1834" s="803"/>
      <c r="CM1834" s="803"/>
      <c r="CN1834" s="803"/>
      <c r="CO1834" s="803"/>
      <c r="CP1834" s="803"/>
      <c r="CQ1834" s="803"/>
      <c r="CR1834" s="803"/>
      <c r="CS1834" s="803"/>
      <c r="CT1834" s="803"/>
      <c r="CU1834" s="803"/>
      <c r="CV1834" s="803"/>
      <c r="CW1834" s="803"/>
      <c r="CX1834" s="803"/>
      <c r="CY1834" s="803"/>
      <c r="CZ1834" s="803"/>
      <c r="DA1834" s="803"/>
      <c r="DB1834" s="803"/>
      <c r="DC1834" s="803"/>
      <c r="DD1834" s="803"/>
      <c r="DE1834" s="803"/>
      <c r="DF1834" s="803"/>
      <c r="DG1834" s="803"/>
      <c r="DH1834" s="803"/>
      <c r="DI1834" s="803"/>
      <c r="DJ1834" s="803"/>
      <c r="DK1834" s="803"/>
      <c r="DL1834" s="803"/>
      <c r="DM1834" s="803"/>
      <c r="DN1834" s="803"/>
      <c r="DO1834" s="803"/>
      <c r="DP1834" s="803"/>
      <c r="DQ1834" s="803"/>
      <c r="DR1834" s="803"/>
      <c r="DS1834" s="803"/>
      <c r="DT1834" s="803"/>
      <c r="DU1834" s="803"/>
      <c r="DV1834" s="803"/>
      <c r="DW1834" s="803"/>
      <c r="DX1834" s="803"/>
      <c r="DY1834" s="803"/>
      <c r="DZ1834" s="803"/>
      <c r="EA1834" s="803"/>
      <c r="EB1834" s="803"/>
      <c r="EC1834" s="803"/>
      <c r="ED1834" s="803"/>
      <c r="EE1834" s="803"/>
      <c r="EF1834" s="803"/>
      <c r="EG1834" s="803"/>
      <c r="EH1834" s="803"/>
      <c r="EI1834" s="803"/>
      <c r="EJ1834" s="803"/>
      <c r="EK1834" s="803"/>
      <c r="EL1834" s="803"/>
      <c r="EM1834" s="803"/>
      <c r="EN1834" s="803"/>
      <c r="EO1834" s="803"/>
      <c r="EP1834" s="803"/>
      <c r="EQ1834" s="803"/>
      <c r="ER1834" s="803"/>
      <c r="ES1834" s="803"/>
      <c r="ET1834" s="803"/>
      <c r="EU1834" s="803"/>
      <c r="EV1834" s="803"/>
      <c r="EW1834" s="803"/>
      <c r="EX1834" s="803"/>
      <c r="EY1834" s="803"/>
      <c r="EZ1834" s="803"/>
      <c r="FA1834" s="803"/>
      <c r="FB1834" s="803"/>
      <c r="FC1834" s="803"/>
      <c r="FD1834" s="803"/>
      <c r="FE1834" s="803"/>
      <c r="FF1834" s="803"/>
      <c r="FG1834" s="803"/>
      <c r="FH1834" s="803"/>
      <c r="FI1834" s="803"/>
      <c r="FJ1834" s="803"/>
      <c r="FK1834" s="803"/>
      <c r="FL1834" s="803"/>
      <c r="FM1834" s="803"/>
      <c r="FN1834" s="803"/>
      <c r="FO1834" s="803"/>
      <c r="FP1834" s="803"/>
      <c r="FQ1834" s="803"/>
      <c r="FR1834" s="803"/>
      <c r="FS1834" s="803"/>
      <c r="FT1834" s="803"/>
      <c r="FU1834" s="803"/>
      <c r="FV1834" s="803"/>
      <c r="FW1834" s="803"/>
      <c r="FX1834" s="803"/>
      <c r="FY1834" s="803"/>
      <c r="FZ1834" s="803"/>
      <c r="GA1834" s="803"/>
      <c r="GB1834" s="803"/>
      <c r="GC1834" s="803"/>
      <c r="GD1834" s="803"/>
      <c r="GE1834" s="803"/>
      <c r="GF1834" s="803"/>
      <c r="GG1834" s="803"/>
      <c r="GH1834" s="803"/>
      <c r="GI1834" s="803"/>
      <c r="GJ1834" s="803"/>
      <c r="GK1834" s="803"/>
      <c r="GL1834" s="803"/>
      <c r="GM1834" s="803"/>
      <c r="GN1834" s="803"/>
      <c r="GO1834" s="803"/>
      <c r="GP1834" s="803"/>
      <c r="GQ1834" s="803"/>
      <c r="GR1834" s="803"/>
      <c r="GS1834" s="803"/>
      <c r="GT1834" s="803"/>
      <c r="GU1834" s="803"/>
      <c r="GV1834" s="803"/>
      <c r="GW1834" s="803"/>
      <c r="GX1834" s="803"/>
      <c r="GY1834" s="803"/>
      <c r="GZ1834" s="803"/>
      <c r="HA1834" s="803"/>
      <c r="HB1834" s="803"/>
      <c r="HC1834" s="803"/>
      <c r="HD1834" s="803"/>
      <c r="HE1834" s="803"/>
      <c r="HF1834" s="803"/>
      <c r="HG1834" s="803"/>
      <c r="HH1834" s="803"/>
      <c r="HI1834" s="803"/>
      <c r="HJ1834" s="803"/>
      <c r="HK1834" s="803"/>
      <c r="HL1834" s="803"/>
      <c r="HM1834" s="803"/>
      <c r="HN1834" s="803"/>
      <c r="HO1834" s="803"/>
      <c r="HP1834" s="803"/>
      <c r="HQ1834" s="803"/>
      <c r="HR1834" s="803"/>
      <c r="HS1834" s="803"/>
      <c r="HT1834" s="803"/>
      <c r="HU1834" s="803"/>
      <c r="HV1834" s="803"/>
      <c r="HW1834" s="803"/>
      <c r="HX1834" s="803"/>
      <c r="HY1834" s="803"/>
      <c r="HZ1834" s="803"/>
      <c r="IA1834" s="803"/>
      <c r="IB1834" s="803"/>
      <c r="IC1834" s="803"/>
      <c r="ID1834" s="803"/>
      <c r="IE1834" s="803"/>
      <c r="IF1834" s="803"/>
      <c r="IG1834" s="803"/>
      <c r="IH1834" s="803"/>
      <c r="II1834" s="803"/>
      <c r="IJ1834" s="803"/>
      <c r="IK1834" s="803"/>
      <c r="IL1834" s="803"/>
      <c r="IM1834" s="803"/>
      <c r="IN1834" s="803"/>
      <c r="IO1834" s="803"/>
      <c r="IP1834" s="803"/>
      <c r="IQ1834" s="803"/>
      <c r="IR1834" s="803"/>
      <c r="IS1834" s="803"/>
      <c r="IT1834" s="803"/>
      <c r="IU1834" s="803"/>
    </row>
    <row r="1835" spans="1:255" s="361" customFormat="1" ht="16.5" hidden="1" customHeight="1">
      <c r="A1835" s="336"/>
      <c r="B1835" s="328"/>
      <c r="C1835" s="335" t="s">
        <v>209</v>
      </c>
      <c r="D1835" s="336" t="s">
        <v>80</v>
      </c>
      <c r="E1835" s="856">
        <v>1.21</v>
      </c>
      <c r="F1835" s="389">
        <f>F1834*E1835</f>
        <v>0</v>
      </c>
      <c r="G1835" s="389"/>
      <c r="H1835" s="389"/>
      <c r="I1835" s="389">
        <v>4.5999999999999996</v>
      </c>
      <c r="J1835" s="389">
        <f>F1835*I1835</f>
        <v>0</v>
      </c>
      <c r="K1835" s="389"/>
      <c r="L1835" s="389"/>
      <c r="M1835" s="389">
        <f>H1835+J1835+L1835</f>
        <v>0</v>
      </c>
      <c r="N1835" s="348"/>
      <c r="O1835" s="803"/>
      <c r="P1835" s="804"/>
      <c r="Q1835" s="804"/>
      <c r="R1835" s="804"/>
      <c r="S1835" s="804"/>
      <c r="T1835" s="804"/>
      <c r="U1835" s="804"/>
      <c r="V1835" s="804"/>
      <c r="W1835" s="804"/>
      <c r="X1835" s="804"/>
      <c r="Y1835" s="804"/>
      <c r="Z1835" s="804"/>
      <c r="AA1835" s="803"/>
      <c r="AB1835" s="803"/>
      <c r="AC1835" s="803"/>
      <c r="AD1835" s="803"/>
      <c r="AE1835" s="803"/>
      <c r="AF1835" s="803"/>
      <c r="AG1835" s="803"/>
      <c r="AH1835" s="803"/>
      <c r="AI1835" s="803"/>
      <c r="AJ1835" s="803"/>
      <c r="AK1835" s="803"/>
      <c r="AL1835" s="803"/>
      <c r="AM1835" s="803"/>
      <c r="AN1835" s="803"/>
      <c r="AO1835" s="803"/>
      <c r="AP1835" s="803"/>
      <c r="AQ1835" s="803"/>
      <c r="AR1835" s="803"/>
      <c r="AS1835" s="803"/>
      <c r="AT1835" s="803"/>
      <c r="AU1835" s="803"/>
      <c r="AV1835" s="803"/>
      <c r="AW1835" s="803"/>
      <c r="AX1835" s="803"/>
      <c r="AY1835" s="803"/>
      <c r="AZ1835" s="803"/>
      <c r="BA1835" s="803"/>
      <c r="BB1835" s="803"/>
      <c r="BC1835" s="803"/>
      <c r="BD1835" s="803"/>
      <c r="BE1835" s="803"/>
      <c r="BF1835" s="803"/>
      <c r="BG1835" s="803"/>
      <c r="BH1835" s="803"/>
      <c r="BI1835" s="803"/>
      <c r="BJ1835" s="803"/>
      <c r="BK1835" s="803"/>
      <c r="BL1835" s="803"/>
      <c r="BM1835" s="803"/>
      <c r="BN1835" s="803"/>
      <c r="BO1835" s="803"/>
      <c r="BP1835" s="803"/>
      <c r="BQ1835" s="803"/>
      <c r="BR1835" s="803"/>
      <c r="BS1835" s="803"/>
      <c r="BT1835" s="803"/>
      <c r="BU1835" s="803"/>
      <c r="BV1835" s="803"/>
      <c r="BW1835" s="803"/>
      <c r="BX1835" s="803"/>
      <c r="BY1835" s="803"/>
      <c r="BZ1835" s="803"/>
      <c r="CA1835" s="803"/>
      <c r="CB1835" s="803"/>
      <c r="CC1835" s="803"/>
      <c r="CD1835" s="803"/>
      <c r="CE1835" s="803"/>
      <c r="CF1835" s="803"/>
      <c r="CG1835" s="803"/>
      <c r="CH1835" s="803"/>
      <c r="CI1835" s="803"/>
      <c r="CJ1835" s="803"/>
      <c r="CK1835" s="803"/>
      <c r="CL1835" s="803"/>
      <c r="CM1835" s="803"/>
      <c r="CN1835" s="803"/>
      <c r="CO1835" s="803"/>
      <c r="CP1835" s="803"/>
      <c r="CQ1835" s="803"/>
      <c r="CR1835" s="803"/>
      <c r="CS1835" s="803"/>
      <c r="CT1835" s="803"/>
      <c r="CU1835" s="803"/>
      <c r="CV1835" s="803"/>
      <c r="CW1835" s="803"/>
      <c r="CX1835" s="803"/>
      <c r="CY1835" s="803"/>
      <c r="CZ1835" s="803"/>
      <c r="DA1835" s="803"/>
      <c r="DB1835" s="803"/>
      <c r="DC1835" s="803"/>
      <c r="DD1835" s="803"/>
      <c r="DE1835" s="803"/>
      <c r="DF1835" s="803"/>
      <c r="DG1835" s="803"/>
      <c r="DH1835" s="803"/>
      <c r="DI1835" s="803"/>
      <c r="DJ1835" s="803"/>
      <c r="DK1835" s="803"/>
      <c r="DL1835" s="803"/>
      <c r="DM1835" s="803"/>
      <c r="DN1835" s="803"/>
      <c r="DO1835" s="803"/>
      <c r="DP1835" s="803"/>
      <c r="DQ1835" s="803"/>
      <c r="DR1835" s="803"/>
      <c r="DS1835" s="803"/>
      <c r="DT1835" s="803"/>
      <c r="DU1835" s="803"/>
      <c r="DV1835" s="803"/>
      <c r="DW1835" s="803"/>
      <c r="DX1835" s="803"/>
      <c r="DY1835" s="803"/>
      <c r="DZ1835" s="803"/>
      <c r="EA1835" s="803"/>
      <c r="EB1835" s="803"/>
      <c r="EC1835" s="803"/>
      <c r="ED1835" s="803"/>
      <c r="EE1835" s="803"/>
      <c r="EF1835" s="803"/>
      <c r="EG1835" s="803"/>
      <c r="EH1835" s="803"/>
      <c r="EI1835" s="803"/>
      <c r="EJ1835" s="803"/>
      <c r="EK1835" s="803"/>
      <c r="EL1835" s="803"/>
      <c r="EM1835" s="803"/>
      <c r="EN1835" s="803"/>
      <c r="EO1835" s="803"/>
      <c r="EP1835" s="803"/>
      <c r="EQ1835" s="803"/>
      <c r="ER1835" s="803"/>
      <c r="ES1835" s="803"/>
      <c r="ET1835" s="803"/>
      <c r="EU1835" s="803"/>
      <c r="EV1835" s="803"/>
      <c r="EW1835" s="803"/>
      <c r="EX1835" s="803"/>
      <c r="EY1835" s="803"/>
      <c r="EZ1835" s="803"/>
      <c r="FA1835" s="803"/>
      <c r="FB1835" s="803"/>
      <c r="FC1835" s="803"/>
      <c r="FD1835" s="803"/>
      <c r="FE1835" s="803"/>
      <c r="FF1835" s="803"/>
      <c r="FG1835" s="803"/>
      <c r="FH1835" s="803"/>
      <c r="FI1835" s="803"/>
      <c r="FJ1835" s="803"/>
      <c r="FK1835" s="803"/>
      <c r="FL1835" s="803"/>
      <c r="FM1835" s="803"/>
      <c r="FN1835" s="803"/>
      <c r="FO1835" s="803"/>
      <c r="FP1835" s="803"/>
      <c r="FQ1835" s="803"/>
      <c r="FR1835" s="803"/>
      <c r="FS1835" s="803"/>
      <c r="FT1835" s="803"/>
      <c r="FU1835" s="803"/>
      <c r="FV1835" s="803"/>
      <c r="FW1835" s="803"/>
      <c r="FX1835" s="803"/>
      <c r="FY1835" s="803"/>
      <c r="FZ1835" s="803"/>
      <c r="GA1835" s="803"/>
      <c r="GB1835" s="803"/>
      <c r="GC1835" s="803"/>
      <c r="GD1835" s="803"/>
      <c r="GE1835" s="803"/>
      <c r="GF1835" s="803"/>
      <c r="GG1835" s="803"/>
      <c r="GH1835" s="803"/>
      <c r="GI1835" s="803"/>
      <c r="GJ1835" s="803"/>
      <c r="GK1835" s="803"/>
      <c r="GL1835" s="803"/>
      <c r="GM1835" s="803"/>
      <c r="GN1835" s="803"/>
      <c r="GO1835" s="803"/>
      <c r="GP1835" s="803"/>
      <c r="GQ1835" s="803"/>
      <c r="GR1835" s="803"/>
      <c r="GS1835" s="803"/>
      <c r="GT1835" s="803"/>
      <c r="GU1835" s="803"/>
      <c r="GV1835" s="803"/>
      <c r="GW1835" s="803"/>
      <c r="GX1835" s="803"/>
      <c r="GY1835" s="803"/>
      <c r="GZ1835" s="803"/>
      <c r="HA1835" s="803"/>
      <c r="HB1835" s="803"/>
      <c r="HC1835" s="803"/>
      <c r="HD1835" s="803"/>
      <c r="HE1835" s="803"/>
      <c r="HF1835" s="803"/>
      <c r="HG1835" s="803"/>
      <c r="HH1835" s="803"/>
      <c r="HI1835" s="803"/>
      <c r="HJ1835" s="803"/>
      <c r="HK1835" s="803"/>
      <c r="HL1835" s="803"/>
      <c r="HM1835" s="803"/>
      <c r="HN1835" s="803"/>
      <c r="HO1835" s="803"/>
      <c r="HP1835" s="803"/>
      <c r="HQ1835" s="803"/>
      <c r="HR1835" s="803"/>
      <c r="HS1835" s="803"/>
      <c r="HT1835" s="803"/>
      <c r="HU1835" s="803"/>
      <c r="HV1835" s="803"/>
      <c r="HW1835" s="803"/>
      <c r="HX1835" s="803"/>
      <c r="HY1835" s="803"/>
      <c r="HZ1835" s="803"/>
      <c r="IA1835" s="803"/>
      <c r="IB1835" s="803"/>
      <c r="IC1835" s="803"/>
      <c r="ID1835" s="803"/>
      <c r="IE1835" s="803"/>
      <c r="IF1835" s="803"/>
      <c r="IG1835" s="803"/>
      <c r="IH1835" s="803"/>
      <c r="II1835" s="803"/>
      <c r="IJ1835" s="803"/>
      <c r="IK1835" s="803"/>
      <c r="IL1835" s="803"/>
      <c r="IM1835" s="803"/>
      <c r="IN1835" s="803"/>
      <c r="IO1835" s="803"/>
      <c r="IP1835" s="803"/>
      <c r="IQ1835" s="803"/>
      <c r="IR1835" s="803"/>
      <c r="IS1835" s="803"/>
      <c r="IT1835" s="803"/>
      <c r="IU1835" s="803"/>
    </row>
    <row r="1836" spans="1:255" s="361" customFormat="1" ht="16.5" hidden="1" customHeight="1">
      <c r="A1836" s="342"/>
      <c r="B1836" s="417"/>
      <c r="C1836" s="551" t="s">
        <v>354</v>
      </c>
      <c r="D1836" s="342" t="s">
        <v>88</v>
      </c>
      <c r="E1836" s="857">
        <v>1.1000000000000001</v>
      </c>
      <c r="F1836" s="392">
        <f>F1834*E1836</f>
        <v>0</v>
      </c>
      <c r="G1836" s="392">
        <v>25.4</v>
      </c>
      <c r="H1836" s="392">
        <f>F1836*G1836</f>
        <v>0</v>
      </c>
      <c r="I1836" s="392"/>
      <c r="J1836" s="392"/>
      <c r="K1836" s="392"/>
      <c r="L1836" s="392"/>
      <c r="M1836" s="392">
        <f>H1836+J1836+L1836</f>
        <v>0</v>
      </c>
      <c r="N1836" s="348"/>
      <c r="O1836" s="803"/>
      <c r="P1836" s="804"/>
      <c r="Q1836" s="804"/>
      <c r="R1836" s="804"/>
      <c r="S1836" s="804"/>
      <c r="T1836" s="804"/>
      <c r="U1836" s="804"/>
      <c r="V1836" s="804"/>
      <c r="W1836" s="804"/>
      <c r="X1836" s="804"/>
      <c r="Y1836" s="804"/>
      <c r="Z1836" s="804"/>
      <c r="AA1836" s="803"/>
      <c r="AB1836" s="803"/>
      <c r="AC1836" s="803"/>
      <c r="AD1836" s="803"/>
      <c r="AE1836" s="803"/>
      <c r="AF1836" s="803"/>
      <c r="AG1836" s="803"/>
      <c r="AH1836" s="803"/>
      <c r="AI1836" s="803"/>
      <c r="AJ1836" s="803"/>
      <c r="AK1836" s="803"/>
      <c r="AL1836" s="803"/>
      <c r="AM1836" s="803"/>
      <c r="AN1836" s="803"/>
      <c r="AO1836" s="803"/>
      <c r="AP1836" s="803"/>
      <c r="AQ1836" s="803"/>
      <c r="AR1836" s="803"/>
      <c r="AS1836" s="803"/>
      <c r="AT1836" s="803"/>
      <c r="AU1836" s="803"/>
      <c r="AV1836" s="803"/>
      <c r="AW1836" s="803"/>
      <c r="AX1836" s="803"/>
      <c r="AY1836" s="803"/>
      <c r="AZ1836" s="803"/>
      <c r="BA1836" s="803"/>
      <c r="BB1836" s="803"/>
      <c r="BC1836" s="803"/>
      <c r="BD1836" s="803"/>
      <c r="BE1836" s="803"/>
      <c r="BF1836" s="803"/>
      <c r="BG1836" s="803"/>
      <c r="BH1836" s="803"/>
      <c r="BI1836" s="803"/>
      <c r="BJ1836" s="803"/>
      <c r="BK1836" s="803"/>
      <c r="BL1836" s="803"/>
      <c r="BM1836" s="803"/>
      <c r="BN1836" s="803"/>
      <c r="BO1836" s="803"/>
      <c r="BP1836" s="803"/>
      <c r="BQ1836" s="803"/>
      <c r="BR1836" s="803"/>
      <c r="BS1836" s="803"/>
      <c r="BT1836" s="803"/>
      <c r="BU1836" s="803"/>
      <c r="BV1836" s="803"/>
      <c r="BW1836" s="803"/>
      <c r="BX1836" s="803"/>
      <c r="BY1836" s="803"/>
      <c r="BZ1836" s="803"/>
      <c r="CA1836" s="803"/>
      <c r="CB1836" s="803"/>
      <c r="CC1836" s="803"/>
      <c r="CD1836" s="803"/>
      <c r="CE1836" s="803"/>
      <c r="CF1836" s="803"/>
      <c r="CG1836" s="803"/>
      <c r="CH1836" s="803"/>
      <c r="CI1836" s="803"/>
      <c r="CJ1836" s="803"/>
      <c r="CK1836" s="803"/>
      <c r="CL1836" s="803"/>
      <c r="CM1836" s="803"/>
      <c r="CN1836" s="803"/>
      <c r="CO1836" s="803"/>
      <c r="CP1836" s="803"/>
      <c r="CQ1836" s="803"/>
      <c r="CR1836" s="803"/>
      <c r="CS1836" s="803"/>
      <c r="CT1836" s="803"/>
      <c r="CU1836" s="803"/>
      <c r="CV1836" s="803"/>
      <c r="CW1836" s="803"/>
      <c r="CX1836" s="803"/>
      <c r="CY1836" s="803"/>
      <c r="CZ1836" s="803"/>
      <c r="DA1836" s="803"/>
      <c r="DB1836" s="803"/>
      <c r="DC1836" s="803"/>
      <c r="DD1836" s="803"/>
      <c r="DE1836" s="803"/>
      <c r="DF1836" s="803"/>
      <c r="DG1836" s="803"/>
      <c r="DH1836" s="803"/>
      <c r="DI1836" s="803"/>
      <c r="DJ1836" s="803"/>
      <c r="DK1836" s="803"/>
      <c r="DL1836" s="803"/>
      <c r="DM1836" s="803"/>
      <c r="DN1836" s="803"/>
      <c r="DO1836" s="803"/>
      <c r="DP1836" s="803"/>
      <c r="DQ1836" s="803"/>
      <c r="DR1836" s="803"/>
      <c r="DS1836" s="803"/>
      <c r="DT1836" s="803"/>
      <c r="DU1836" s="803"/>
      <c r="DV1836" s="803"/>
      <c r="DW1836" s="803"/>
      <c r="DX1836" s="803"/>
      <c r="DY1836" s="803"/>
      <c r="DZ1836" s="803"/>
      <c r="EA1836" s="803"/>
      <c r="EB1836" s="803"/>
      <c r="EC1836" s="803"/>
      <c r="ED1836" s="803"/>
      <c r="EE1836" s="803"/>
      <c r="EF1836" s="803"/>
      <c r="EG1836" s="803"/>
      <c r="EH1836" s="803"/>
      <c r="EI1836" s="803"/>
      <c r="EJ1836" s="803"/>
      <c r="EK1836" s="803"/>
      <c r="EL1836" s="803"/>
      <c r="EM1836" s="803"/>
      <c r="EN1836" s="803"/>
      <c r="EO1836" s="803"/>
      <c r="EP1836" s="803"/>
      <c r="EQ1836" s="803"/>
      <c r="ER1836" s="803"/>
      <c r="ES1836" s="803"/>
      <c r="ET1836" s="803"/>
      <c r="EU1836" s="803"/>
      <c r="EV1836" s="803"/>
      <c r="EW1836" s="803"/>
      <c r="EX1836" s="803"/>
      <c r="EY1836" s="803"/>
      <c r="EZ1836" s="803"/>
      <c r="FA1836" s="803"/>
      <c r="FB1836" s="803"/>
      <c r="FC1836" s="803"/>
      <c r="FD1836" s="803"/>
      <c r="FE1836" s="803"/>
      <c r="FF1836" s="803"/>
      <c r="FG1836" s="803"/>
      <c r="FH1836" s="803"/>
      <c r="FI1836" s="803"/>
      <c r="FJ1836" s="803"/>
      <c r="FK1836" s="803"/>
      <c r="FL1836" s="803"/>
      <c r="FM1836" s="803"/>
      <c r="FN1836" s="803"/>
      <c r="FO1836" s="803"/>
      <c r="FP1836" s="803"/>
      <c r="FQ1836" s="803"/>
      <c r="FR1836" s="803"/>
      <c r="FS1836" s="803"/>
      <c r="FT1836" s="803"/>
      <c r="FU1836" s="803"/>
      <c r="FV1836" s="803"/>
      <c r="FW1836" s="803"/>
      <c r="FX1836" s="803"/>
      <c r="FY1836" s="803"/>
      <c r="FZ1836" s="803"/>
      <c r="GA1836" s="803"/>
      <c r="GB1836" s="803"/>
      <c r="GC1836" s="803"/>
      <c r="GD1836" s="803"/>
      <c r="GE1836" s="803"/>
      <c r="GF1836" s="803"/>
      <c r="GG1836" s="803"/>
      <c r="GH1836" s="803"/>
      <c r="GI1836" s="803"/>
      <c r="GJ1836" s="803"/>
      <c r="GK1836" s="803"/>
      <c r="GL1836" s="803"/>
      <c r="GM1836" s="803"/>
      <c r="GN1836" s="803"/>
      <c r="GO1836" s="803"/>
      <c r="GP1836" s="803"/>
      <c r="GQ1836" s="803"/>
      <c r="GR1836" s="803"/>
      <c r="GS1836" s="803"/>
      <c r="GT1836" s="803"/>
      <c r="GU1836" s="803"/>
      <c r="GV1836" s="803"/>
      <c r="GW1836" s="803"/>
      <c r="GX1836" s="803"/>
      <c r="GY1836" s="803"/>
      <c r="GZ1836" s="803"/>
      <c r="HA1836" s="803"/>
      <c r="HB1836" s="803"/>
      <c r="HC1836" s="803"/>
      <c r="HD1836" s="803"/>
      <c r="HE1836" s="803"/>
      <c r="HF1836" s="803"/>
      <c r="HG1836" s="803"/>
      <c r="HH1836" s="803"/>
      <c r="HI1836" s="803"/>
      <c r="HJ1836" s="803"/>
      <c r="HK1836" s="803"/>
      <c r="HL1836" s="803"/>
      <c r="HM1836" s="803"/>
      <c r="HN1836" s="803"/>
      <c r="HO1836" s="803"/>
      <c r="HP1836" s="803"/>
      <c r="HQ1836" s="803"/>
      <c r="HR1836" s="803"/>
      <c r="HS1836" s="803"/>
      <c r="HT1836" s="803"/>
      <c r="HU1836" s="803"/>
      <c r="HV1836" s="803"/>
      <c r="HW1836" s="803"/>
      <c r="HX1836" s="803"/>
      <c r="HY1836" s="803"/>
      <c r="HZ1836" s="803"/>
      <c r="IA1836" s="803"/>
      <c r="IB1836" s="803"/>
      <c r="IC1836" s="803"/>
      <c r="ID1836" s="803"/>
      <c r="IE1836" s="803"/>
      <c r="IF1836" s="803"/>
      <c r="IG1836" s="803"/>
      <c r="IH1836" s="803"/>
      <c r="II1836" s="803"/>
      <c r="IJ1836" s="803"/>
      <c r="IK1836" s="803"/>
      <c r="IL1836" s="803"/>
      <c r="IM1836" s="803"/>
      <c r="IN1836" s="803"/>
      <c r="IO1836" s="803"/>
      <c r="IP1836" s="803"/>
      <c r="IQ1836" s="803"/>
      <c r="IR1836" s="803"/>
      <c r="IS1836" s="803"/>
      <c r="IT1836" s="803"/>
      <c r="IU1836" s="803"/>
    </row>
    <row r="1837" spans="1:255" s="359" customFormat="1" ht="27" hidden="1">
      <c r="A1837" s="336">
        <v>9</v>
      </c>
      <c r="B1837" s="328" t="s">
        <v>1195</v>
      </c>
      <c r="C1837" s="329" t="s">
        <v>1411</v>
      </c>
      <c r="D1837" s="330" t="s">
        <v>88</v>
      </c>
      <c r="E1837" s="389"/>
      <c r="F1837" s="384">
        <f>'დეფექტური აქტი'!E443</f>
        <v>0</v>
      </c>
      <c r="G1837" s="389"/>
      <c r="H1837" s="389"/>
      <c r="I1837" s="389"/>
      <c r="J1837" s="389"/>
      <c r="K1837" s="389"/>
      <c r="L1837" s="389"/>
      <c r="M1837" s="389"/>
      <c r="N1837" s="358"/>
      <c r="O1837" s="797"/>
      <c r="P1837" s="798"/>
      <c r="Q1837" s="798"/>
      <c r="R1837" s="798"/>
      <c r="S1837" s="798"/>
      <c r="T1837" s="798"/>
      <c r="U1837" s="798"/>
      <c r="V1837" s="798"/>
      <c r="W1837" s="798"/>
      <c r="X1837" s="798"/>
      <c r="Y1837" s="798"/>
      <c r="Z1837" s="798"/>
      <c r="AA1837" s="797"/>
      <c r="AB1837" s="797"/>
      <c r="AC1837" s="797"/>
      <c r="AD1837" s="797"/>
      <c r="AE1837" s="797"/>
      <c r="AF1837" s="797"/>
      <c r="AG1837" s="797"/>
      <c r="AH1837" s="797"/>
      <c r="AI1837" s="797"/>
      <c r="AJ1837" s="797"/>
      <c r="AK1837" s="797"/>
      <c r="AL1837" s="797"/>
      <c r="AM1837" s="797"/>
      <c r="AN1837" s="797"/>
      <c r="AO1837" s="797"/>
      <c r="AP1837" s="797"/>
      <c r="AQ1837" s="797"/>
      <c r="AR1837" s="797"/>
      <c r="AS1837" s="797"/>
      <c r="AT1837" s="797"/>
      <c r="AU1837" s="797"/>
      <c r="AV1837" s="797"/>
      <c r="AW1837" s="797"/>
      <c r="AX1837" s="797"/>
      <c r="AY1837" s="797"/>
      <c r="AZ1837" s="797"/>
      <c r="BA1837" s="797"/>
      <c r="BB1837" s="797"/>
      <c r="BC1837" s="797"/>
      <c r="BD1837" s="797"/>
      <c r="BE1837" s="797"/>
      <c r="BF1837" s="797"/>
      <c r="BG1837" s="797"/>
      <c r="BH1837" s="797"/>
      <c r="BI1837" s="797"/>
      <c r="BJ1837" s="797"/>
      <c r="BK1837" s="797"/>
      <c r="BL1837" s="797"/>
      <c r="BM1837" s="797"/>
      <c r="BN1837" s="797"/>
      <c r="BO1837" s="797"/>
      <c r="BP1837" s="797"/>
      <c r="BQ1837" s="797"/>
      <c r="BR1837" s="797"/>
      <c r="BS1837" s="797"/>
      <c r="BT1837" s="797"/>
      <c r="BU1837" s="797"/>
      <c r="BV1837" s="797"/>
      <c r="BW1837" s="797"/>
      <c r="BX1837" s="797"/>
      <c r="BY1837" s="797"/>
      <c r="BZ1837" s="797"/>
      <c r="CA1837" s="797"/>
      <c r="CB1837" s="797"/>
      <c r="CC1837" s="797"/>
      <c r="CD1837" s="797"/>
      <c r="CE1837" s="797"/>
      <c r="CF1837" s="797"/>
      <c r="CG1837" s="797"/>
      <c r="CH1837" s="797"/>
      <c r="CI1837" s="797"/>
      <c r="CJ1837" s="797"/>
      <c r="CK1837" s="797"/>
      <c r="CL1837" s="797"/>
      <c r="CM1837" s="797"/>
      <c r="CN1837" s="797"/>
      <c r="CO1837" s="797"/>
      <c r="CP1837" s="797"/>
      <c r="CQ1837" s="797"/>
      <c r="CR1837" s="797"/>
      <c r="CS1837" s="797"/>
      <c r="CT1837" s="797"/>
      <c r="CU1837" s="797"/>
      <c r="CV1837" s="797"/>
      <c r="CW1837" s="797"/>
      <c r="CX1837" s="797"/>
      <c r="CY1837" s="797"/>
      <c r="CZ1837" s="797"/>
      <c r="DA1837" s="797"/>
      <c r="DB1837" s="797"/>
      <c r="DC1837" s="797"/>
      <c r="DD1837" s="797"/>
      <c r="DE1837" s="797"/>
      <c r="DF1837" s="797"/>
      <c r="DG1837" s="797"/>
      <c r="DH1837" s="797"/>
      <c r="DI1837" s="797"/>
      <c r="DJ1837" s="797"/>
      <c r="DK1837" s="797"/>
      <c r="DL1837" s="797"/>
      <c r="DM1837" s="797"/>
      <c r="DN1837" s="797"/>
      <c r="DO1837" s="797"/>
      <c r="DP1837" s="797"/>
      <c r="DQ1837" s="797"/>
      <c r="DR1837" s="797"/>
      <c r="DS1837" s="797"/>
      <c r="DT1837" s="797"/>
      <c r="DU1837" s="797"/>
      <c r="DV1837" s="797"/>
      <c r="DW1837" s="797"/>
      <c r="DX1837" s="797"/>
      <c r="DY1837" s="797"/>
      <c r="DZ1837" s="797"/>
      <c r="EA1837" s="797"/>
      <c r="EB1837" s="797"/>
      <c r="EC1837" s="797"/>
      <c r="ED1837" s="797"/>
      <c r="EE1837" s="797"/>
      <c r="EF1837" s="797"/>
      <c r="EG1837" s="797"/>
      <c r="EH1837" s="797"/>
      <c r="EI1837" s="797"/>
      <c r="EJ1837" s="797"/>
      <c r="EK1837" s="797"/>
      <c r="EL1837" s="797"/>
      <c r="EM1837" s="797"/>
      <c r="EN1837" s="797"/>
      <c r="EO1837" s="797"/>
      <c r="EP1837" s="797"/>
      <c r="EQ1837" s="797"/>
      <c r="ER1837" s="797"/>
      <c r="ES1837" s="797"/>
      <c r="ET1837" s="797"/>
      <c r="EU1837" s="797"/>
      <c r="EV1837" s="797"/>
      <c r="EW1837" s="797"/>
      <c r="EX1837" s="797"/>
      <c r="EY1837" s="797"/>
      <c r="EZ1837" s="797"/>
      <c r="FA1837" s="797"/>
      <c r="FB1837" s="797"/>
      <c r="FC1837" s="797"/>
      <c r="FD1837" s="797"/>
      <c r="FE1837" s="797"/>
      <c r="FF1837" s="797"/>
      <c r="FG1837" s="797"/>
      <c r="FH1837" s="797"/>
      <c r="FI1837" s="797"/>
      <c r="FJ1837" s="797"/>
      <c r="FK1837" s="797"/>
      <c r="FL1837" s="797"/>
      <c r="FM1837" s="797"/>
      <c r="FN1837" s="797"/>
      <c r="FO1837" s="797"/>
      <c r="FP1837" s="797"/>
      <c r="FQ1837" s="797"/>
      <c r="FR1837" s="797"/>
      <c r="FS1837" s="797"/>
      <c r="FT1837" s="797"/>
      <c r="FU1837" s="797"/>
      <c r="FV1837" s="797"/>
      <c r="FW1837" s="797"/>
      <c r="FX1837" s="797"/>
      <c r="FY1837" s="797"/>
      <c r="FZ1837" s="797"/>
      <c r="GA1837" s="797"/>
      <c r="GB1837" s="797"/>
      <c r="GC1837" s="797"/>
      <c r="GD1837" s="797"/>
      <c r="GE1837" s="797"/>
      <c r="GF1837" s="797"/>
      <c r="GG1837" s="797"/>
      <c r="GH1837" s="797"/>
      <c r="GI1837" s="797"/>
      <c r="GJ1837" s="797"/>
      <c r="GK1837" s="797"/>
      <c r="GL1837" s="797"/>
      <c r="GM1837" s="797"/>
      <c r="GN1837" s="797"/>
      <c r="GO1837" s="797"/>
      <c r="GP1837" s="797"/>
      <c r="GQ1837" s="797"/>
      <c r="GR1837" s="797"/>
      <c r="GS1837" s="797"/>
      <c r="GT1837" s="797"/>
      <c r="GU1837" s="797"/>
      <c r="GV1837" s="797"/>
      <c r="GW1837" s="797"/>
      <c r="GX1837" s="797"/>
      <c r="GY1837" s="797"/>
      <c r="GZ1837" s="797"/>
      <c r="HA1837" s="797"/>
      <c r="HB1837" s="797"/>
      <c r="HC1837" s="797"/>
      <c r="HD1837" s="797"/>
      <c r="HE1837" s="797"/>
      <c r="HF1837" s="797"/>
      <c r="HG1837" s="797"/>
      <c r="HH1837" s="797"/>
      <c r="HI1837" s="797"/>
      <c r="HJ1837" s="797"/>
      <c r="HK1837" s="797"/>
      <c r="HL1837" s="797"/>
      <c r="HM1837" s="797"/>
      <c r="HN1837" s="797"/>
      <c r="HO1837" s="797"/>
      <c r="HP1837" s="797"/>
      <c r="HQ1837" s="797"/>
      <c r="HR1837" s="797"/>
      <c r="HS1837" s="797"/>
      <c r="HT1837" s="797"/>
      <c r="HU1837" s="797"/>
      <c r="HV1837" s="797"/>
      <c r="HW1837" s="797"/>
      <c r="HX1837" s="797"/>
      <c r="HY1837" s="797"/>
      <c r="HZ1837" s="797"/>
      <c r="IA1837" s="797"/>
      <c r="IB1837" s="797"/>
      <c r="IC1837" s="797"/>
      <c r="ID1837" s="797"/>
      <c r="IE1837" s="797"/>
      <c r="IF1837" s="797"/>
      <c r="IG1837" s="797"/>
      <c r="IH1837" s="797"/>
      <c r="II1837" s="797"/>
      <c r="IJ1837" s="797"/>
      <c r="IK1837" s="797"/>
      <c r="IL1837" s="797"/>
      <c r="IM1837" s="797"/>
      <c r="IN1837" s="797"/>
      <c r="IO1837" s="797"/>
      <c r="IP1837" s="797"/>
      <c r="IQ1837" s="797"/>
      <c r="IR1837" s="797"/>
      <c r="IS1837" s="797"/>
      <c r="IT1837" s="797"/>
      <c r="IU1837" s="797"/>
    </row>
    <row r="1838" spans="1:255" s="359" customFormat="1" ht="15.75" hidden="1" customHeight="1">
      <c r="A1838" s="336"/>
      <c r="B1838" s="328"/>
      <c r="C1838" s="335" t="s">
        <v>1335</v>
      </c>
      <c r="D1838" s="336" t="s">
        <v>217</v>
      </c>
      <c r="E1838" s="856">
        <v>9.2099999999999994E-3</v>
      </c>
      <c r="F1838" s="389">
        <f>F1837*E1838</f>
        <v>0</v>
      </c>
      <c r="G1838" s="389"/>
      <c r="H1838" s="389"/>
      <c r="I1838" s="389"/>
      <c r="J1838" s="389"/>
      <c r="K1838" s="389">
        <v>21.54</v>
      </c>
      <c r="L1838" s="389">
        <f>F1838*K1838</f>
        <v>0</v>
      </c>
      <c r="M1838" s="389">
        <f>H1838+J1838+L1838</f>
        <v>0</v>
      </c>
      <c r="N1838" s="358"/>
      <c r="O1838" s="797"/>
      <c r="P1838" s="798"/>
      <c r="Q1838" s="798"/>
      <c r="R1838" s="798"/>
      <c r="S1838" s="798"/>
      <c r="T1838" s="798"/>
      <c r="U1838" s="798"/>
      <c r="V1838" s="798"/>
      <c r="W1838" s="798"/>
      <c r="X1838" s="798"/>
      <c r="Y1838" s="798"/>
      <c r="Z1838" s="798"/>
      <c r="AA1838" s="797"/>
      <c r="AB1838" s="797"/>
      <c r="AC1838" s="797"/>
      <c r="AD1838" s="797"/>
      <c r="AE1838" s="797"/>
      <c r="AF1838" s="797"/>
      <c r="AG1838" s="797"/>
      <c r="AH1838" s="797"/>
      <c r="AI1838" s="797"/>
      <c r="AJ1838" s="797"/>
      <c r="AK1838" s="797"/>
      <c r="AL1838" s="797"/>
      <c r="AM1838" s="797"/>
      <c r="AN1838" s="797"/>
      <c r="AO1838" s="797"/>
      <c r="AP1838" s="797"/>
      <c r="AQ1838" s="797"/>
      <c r="AR1838" s="797"/>
      <c r="AS1838" s="797"/>
      <c r="AT1838" s="797"/>
      <c r="AU1838" s="797"/>
      <c r="AV1838" s="797"/>
      <c r="AW1838" s="797"/>
      <c r="AX1838" s="797"/>
      <c r="AY1838" s="797"/>
      <c r="AZ1838" s="797"/>
      <c r="BA1838" s="797"/>
      <c r="BB1838" s="797"/>
      <c r="BC1838" s="797"/>
      <c r="BD1838" s="797"/>
      <c r="BE1838" s="797"/>
      <c r="BF1838" s="797"/>
      <c r="BG1838" s="797"/>
      <c r="BH1838" s="797"/>
      <c r="BI1838" s="797"/>
      <c r="BJ1838" s="797"/>
      <c r="BK1838" s="797"/>
      <c r="BL1838" s="797"/>
      <c r="BM1838" s="797"/>
      <c r="BN1838" s="797"/>
      <c r="BO1838" s="797"/>
      <c r="BP1838" s="797"/>
      <c r="BQ1838" s="797"/>
      <c r="BR1838" s="797"/>
      <c r="BS1838" s="797"/>
      <c r="BT1838" s="797"/>
      <c r="BU1838" s="797"/>
      <c r="BV1838" s="797"/>
      <c r="BW1838" s="797"/>
      <c r="BX1838" s="797"/>
      <c r="BY1838" s="797"/>
      <c r="BZ1838" s="797"/>
      <c r="CA1838" s="797"/>
      <c r="CB1838" s="797"/>
      <c r="CC1838" s="797"/>
      <c r="CD1838" s="797"/>
      <c r="CE1838" s="797"/>
      <c r="CF1838" s="797"/>
      <c r="CG1838" s="797"/>
      <c r="CH1838" s="797"/>
      <c r="CI1838" s="797"/>
      <c r="CJ1838" s="797"/>
      <c r="CK1838" s="797"/>
      <c r="CL1838" s="797"/>
      <c r="CM1838" s="797"/>
      <c r="CN1838" s="797"/>
      <c r="CO1838" s="797"/>
      <c r="CP1838" s="797"/>
      <c r="CQ1838" s="797"/>
      <c r="CR1838" s="797"/>
      <c r="CS1838" s="797"/>
      <c r="CT1838" s="797"/>
      <c r="CU1838" s="797"/>
      <c r="CV1838" s="797"/>
      <c r="CW1838" s="797"/>
      <c r="CX1838" s="797"/>
      <c r="CY1838" s="797"/>
      <c r="CZ1838" s="797"/>
      <c r="DA1838" s="797"/>
      <c r="DB1838" s="797"/>
      <c r="DC1838" s="797"/>
      <c r="DD1838" s="797"/>
      <c r="DE1838" s="797"/>
      <c r="DF1838" s="797"/>
      <c r="DG1838" s="797"/>
      <c r="DH1838" s="797"/>
      <c r="DI1838" s="797"/>
      <c r="DJ1838" s="797"/>
      <c r="DK1838" s="797"/>
      <c r="DL1838" s="797"/>
      <c r="DM1838" s="797"/>
      <c r="DN1838" s="797"/>
      <c r="DO1838" s="797"/>
      <c r="DP1838" s="797"/>
      <c r="DQ1838" s="797"/>
      <c r="DR1838" s="797"/>
      <c r="DS1838" s="797"/>
      <c r="DT1838" s="797"/>
      <c r="DU1838" s="797"/>
      <c r="DV1838" s="797"/>
      <c r="DW1838" s="797"/>
      <c r="DX1838" s="797"/>
      <c r="DY1838" s="797"/>
      <c r="DZ1838" s="797"/>
      <c r="EA1838" s="797"/>
      <c r="EB1838" s="797"/>
      <c r="EC1838" s="797"/>
      <c r="ED1838" s="797"/>
      <c r="EE1838" s="797"/>
      <c r="EF1838" s="797"/>
      <c r="EG1838" s="797"/>
      <c r="EH1838" s="797"/>
      <c r="EI1838" s="797"/>
      <c r="EJ1838" s="797"/>
      <c r="EK1838" s="797"/>
      <c r="EL1838" s="797"/>
      <c r="EM1838" s="797"/>
      <c r="EN1838" s="797"/>
      <c r="EO1838" s="797"/>
      <c r="EP1838" s="797"/>
      <c r="EQ1838" s="797"/>
      <c r="ER1838" s="797"/>
      <c r="ES1838" s="797"/>
      <c r="ET1838" s="797"/>
      <c r="EU1838" s="797"/>
      <c r="EV1838" s="797"/>
      <c r="EW1838" s="797"/>
      <c r="EX1838" s="797"/>
      <c r="EY1838" s="797"/>
      <c r="EZ1838" s="797"/>
      <c r="FA1838" s="797"/>
      <c r="FB1838" s="797"/>
      <c r="FC1838" s="797"/>
      <c r="FD1838" s="797"/>
      <c r="FE1838" s="797"/>
      <c r="FF1838" s="797"/>
      <c r="FG1838" s="797"/>
      <c r="FH1838" s="797"/>
      <c r="FI1838" s="797"/>
      <c r="FJ1838" s="797"/>
      <c r="FK1838" s="797"/>
      <c r="FL1838" s="797"/>
      <c r="FM1838" s="797"/>
      <c r="FN1838" s="797"/>
      <c r="FO1838" s="797"/>
      <c r="FP1838" s="797"/>
      <c r="FQ1838" s="797"/>
      <c r="FR1838" s="797"/>
      <c r="FS1838" s="797"/>
      <c r="FT1838" s="797"/>
      <c r="FU1838" s="797"/>
      <c r="FV1838" s="797"/>
      <c r="FW1838" s="797"/>
      <c r="FX1838" s="797"/>
      <c r="FY1838" s="797"/>
      <c r="FZ1838" s="797"/>
      <c r="GA1838" s="797"/>
      <c r="GB1838" s="797"/>
      <c r="GC1838" s="797"/>
      <c r="GD1838" s="797"/>
      <c r="GE1838" s="797"/>
      <c r="GF1838" s="797"/>
      <c r="GG1838" s="797"/>
      <c r="GH1838" s="797"/>
      <c r="GI1838" s="797"/>
      <c r="GJ1838" s="797"/>
      <c r="GK1838" s="797"/>
      <c r="GL1838" s="797"/>
      <c r="GM1838" s="797"/>
      <c r="GN1838" s="797"/>
      <c r="GO1838" s="797"/>
      <c r="GP1838" s="797"/>
      <c r="GQ1838" s="797"/>
      <c r="GR1838" s="797"/>
      <c r="GS1838" s="797"/>
      <c r="GT1838" s="797"/>
      <c r="GU1838" s="797"/>
      <c r="GV1838" s="797"/>
      <c r="GW1838" s="797"/>
      <c r="GX1838" s="797"/>
      <c r="GY1838" s="797"/>
      <c r="GZ1838" s="797"/>
      <c r="HA1838" s="797"/>
      <c r="HB1838" s="797"/>
      <c r="HC1838" s="797"/>
      <c r="HD1838" s="797"/>
      <c r="HE1838" s="797"/>
      <c r="HF1838" s="797"/>
      <c r="HG1838" s="797"/>
      <c r="HH1838" s="797"/>
      <c r="HI1838" s="797"/>
      <c r="HJ1838" s="797"/>
      <c r="HK1838" s="797"/>
      <c r="HL1838" s="797"/>
      <c r="HM1838" s="797"/>
      <c r="HN1838" s="797"/>
      <c r="HO1838" s="797"/>
      <c r="HP1838" s="797"/>
      <c r="HQ1838" s="797"/>
      <c r="HR1838" s="797"/>
      <c r="HS1838" s="797"/>
      <c r="HT1838" s="797"/>
      <c r="HU1838" s="797"/>
      <c r="HV1838" s="797"/>
      <c r="HW1838" s="797"/>
      <c r="HX1838" s="797"/>
      <c r="HY1838" s="797"/>
      <c r="HZ1838" s="797"/>
      <c r="IA1838" s="797"/>
      <c r="IB1838" s="797"/>
      <c r="IC1838" s="797"/>
      <c r="ID1838" s="797"/>
      <c r="IE1838" s="797"/>
      <c r="IF1838" s="797"/>
      <c r="IG1838" s="797"/>
      <c r="IH1838" s="797"/>
      <c r="II1838" s="797"/>
      <c r="IJ1838" s="797"/>
      <c r="IK1838" s="797"/>
      <c r="IL1838" s="797"/>
      <c r="IM1838" s="797"/>
      <c r="IN1838" s="797"/>
      <c r="IO1838" s="797"/>
      <c r="IP1838" s="797"/>
      <c r="IQ1838" s="797"/>
      <c r="IR1838" s="797"/>
      <c r="IS1838" s="797"/>
      <c r="IT1838" s="797"/>
      <c r="IU1838" s="797"/>
    </row>
    <row r="1839" spans="1:255" s="359" customFormat="1" ht="15.75" hidden="1" customHeight="1">
      <c r="A1839" s="342"/>
      <c r="B1839" s="417"/>
      <c r="C1839" s="551" t="s">
        <v>1338</v>
      </c>
      <c r="D1839" s="419" t="s">
        <v>88</v>
      </c>
      <c r="E1839" s="857">
        <v>1.1499999999999999</v>
      </c>
      <c r="F1839" s="392">
        <f>F1837*E1839</f>
        <v>0</v>
      </c>
      <c r="G1839" s="392">
        <v>9</v>
      </c>
      <c r="H1839" s="392">
        <f>F1839*G1839</f>
        <v>0</v>
      </c>
      <c r="I1839" s="392"/>
      <c r="J1839" s="392"/>
      <c r="K1839" s="392"/>
      <c r="L1839" s="392"/>
      <c r="M1839" s="392">
        <f>H1839+J1839+L1839</f>
        <v>0</v>
      </c>
      <c r="N1839" s="358"/>
      <c r="O1839" s="797"/>
      <c r="P1839" s="798"/>
      <c r="Q1839" s="798"/>
      <c r="R1839" s="798"/>
      <c r="S1839" s="798"/>
      <c r="T1839" s="798"/>
      <c r="U1839" s="798"/>
      <c r="V1839" s="798"/>
      <c r="W1839" s="798"/>
      <c r="X1839" s="798"/>
      <c r="Y1839" s="798"/>
      <c r="Z1839" s="798"/>
      <c r="AA1839" s="797"/>
      <c r="AB1839" s="797"/>
      <c r="AC1839" s="797"/>
      <c r="AD1839" s="797"/>
      <c r="AE1839" s="797"/>
      <c r="AF1839" s="797"/>
      <c r="AG1839" s="797"/>
      <c r="AH1839" s="797"/>
      <c r="AI1839" s="797"/>
      <c r="AJ1839" s="797"/>
      <c r="AK1839" s="797"/>
      <c r="AL1839" s="797"/>
      <c r="AM1839" s="797"/>
      <c r="AN1839" s="797"/>
      <c r="AO1839" s="797"/>
      <c r="AP1839" s="797"/>
      <c r="AQ1839" s="797"/>
      <c r="AR1839" s="797"/>
      <c r="AS1839" s="797"/>
      <c r="AT1839" s="797"/>
      <c r="AU1839" s="797"/>
      <c r="AV1839" s="797"/>
      <c r="AW1839" s="797"/>
      <c r="AX1839" s="797"/>
      <c r="AY1839" s="797"/>
      <c r="AZ1839" s="797"/>
      <c r="BA1839" s="797"/>
      <c r="BB1839" s="797"/>
      <c r="BC1839" s="797"/>
      <c r="BD1839" s="797"/>
      <c r="BE1839" s="797"/>
      <c r="BF1839" s="797"/>
      <c r="BG1839" s="797"/>
      <c r="BH1839" s="797"/>
      <c r="BI1839" s="797"/>
      <c r="BJ1839" s="797"/>
      <c r="BK1839" s="797"/>
      <c r="BL1839" s="797"/>
      <c r="BM1839" s="797"/>
      <c r="BN1839" s="797"/>
      <c r="BO1839" s="797"/>
      <c r="BP1839" s="797"/>
      <c r="BQ1839" s="797"/>
      <c r="BR1839" s="797"/>
      <c r="BS1839" s="797"/>
      <c r="BT1839" s="797"/>
      <c r="BU1839" s="797"/>
      <c r="BV1839" s="797"/>
      <c r="BW1839" s="797"/>
      <c r="BX1839" s="797"/>
      <c r="BY1839" s="797"/>
      <c r="BZ1839" s="797"/>
      <c r="CA1839" s="797"/>
      <c r="CB1839" s="797"/>
      <c r="CC1839" s="797"/>
      <c r="CD1839" s="797"/>
      <c r="CE1839" s="797"/>
      <c r="CF1839" s="797"/>
      <c r="CG1839" s="797"/>
      <c r="CH1839" s="797"/>
      <c r="CI1839" s="797"/>
      <c r="CJ1839" s="797"/>
      <c r="CK1839" s="797"/>
      <c r="CL1839" s="797"/>
      <c r="CM1839" s="797"/>
      <c r="CN1839" s="797"/>
      <c r="CO1839" s="797"/>
      <c r="CP1839" s="797"/>
      <c r="CQ1839" s="797"/>
      <c r="CR1839" s="797"/>
      <c r="CS1839" s="797"/>
      <c r="CT1839" s="797"/>
      <c r="CU1839" s="797"/>
      <c r="CV1839" s="797"/>
      <c r="CW1839" s="797"/>
      <c r="CX1839" s="797"/>
      <c r="CY1839" s="797"/>
      <c r="CZ1839" s="797"/>
      <c r="DA1839" s="797"/>
      <c r="DB1839" s="797"/>
      <c r="DC1839" s="797"/>
      <c r="DD1839" s="797"/>
      <c r="DE1839" s="797"/>
      <c r="DF1839" s="797"/>
      <c r="DG1839" s="797"/>
      <c r="DH1839" s="797"/>
      <c r="DI1839" s="797"/>
      <c r="DJ1839" s="797"/>
      <c r="DK1839" s="797"/>
      <c r="DL1839" s="797"/>
      <c r="DM1839" s="797"/>
      <c r="DN1839" s="797"/>
      <c r="DO1839" s="797"/>
      <c r="DP1839" s="797"/>
      <c r="DQ1839" s="797"/>
      <c r="DR1839" s="797"/>
      <c r="DS1839" s="797"/>
      <c r="DT1839" s="797"/>
      <c r="DU1839" s="797"/>
      <c r="DV1839" s="797"/>
      <c r="DW1839" s="797"/>
      <c r="DX1839" s="797"/>
      <c r="DY1839" s="797"/>
      <c r="DZ1839" s="797"/>
      <c r="EA1839" s="797"/>
      <c r="EB1839" s="797"/>
      <c r="EC1839" s="797"/>
      <c r="ED1839" s="797"/>
      <c r="EE1839" s="797"/>
      <c r="EF1839" s="797"/>
      <c r="EG1839" s="797"/>
      <c r="EH1839" s="797"/>
      <c r="EI1839" s="797"/>
      <c r="EJ1839" s="797"/>
      <c r="EK1839" s="797"/>
      <c r="EL1839" s="797"/>
      <c r="EM1839" s="797"/>
      <c r="EN1839" s="797"/>
      <c r="EO1839" s="797"/>
      <c r="EP1839" s="797"/>
      <c r="EQ1839" s="797"/>
      <c r="ER1839" s="797"/>
      <c r="ES1839" s="797"/>
      <c r="ET1839" s="797"/>
      <c r="EU1839" s="797"/>
      <c r="EV1839" s="797"/>
      <c r="EW1839" s="797"/>
      <c r="EX1839" s="797"/>
      <c r="EY1839" s="797"/>
      <c r="EZ1839" s="797"/>
      <c r="FA1839" s="797"/>
      <c r="FB1839" s="797"/>
      <c r="FC1839" s="797"/>
      <c r="FD1839" s="797"/>
      <c r="FE1839" s="797"/>
      <c r="FF1839" s="797"/>
      <c r="FG1839" s="797"/>
      <c r="FH1839" s="797"/>
      <c r="FI1839" s="797"/>
      <c r="FJ1839" s="797"/>
      <c r="FK1839" s="797"/>
      <c r="FL1839" s="797"/>
      <c r="FM1839" s="797"/>
      <c r="FN1839" s="797"/>
      <c r="FO1839" s="797"/>
      <c r="FP1839" s="797"/>
      <c r="FQ1839" s="797"/>
      <c r="FR1839" s="797"/>
      <c r="FS1839" s="797"/>
      <c r="FT1839" s="797"/>
      <c r="FU1839" s="797"/>
      <c r="FV1839" s="797"/>
      <c r="FW1839" s="797"/>
      <c r="FX1839" s="797"/>
      <c r="FY1839" s="797"/>
      <c r="FZ1839" s="797"/>
      <c r="GA1839" s="797"/>
      <c r="GB1839" s="797"/>
      <c r="GC1839" s="797"/>
      <c r="GD1839" s="797"/>
      <c r="GE1839" s="797"/>
      <c r="GF1839" s="797"/>
      <c r="GG1839" s="797"/>
      <c r="GH1839" s="797"/>
      <c r="GI1839" s="797"/>
      <c r="GJ1839" s="797"/>
      <c r="GK1839" s="797"/>
      <c r="GL1839" s="797"/>
      <c r="GM1839" s="797"/>
      <c r="GN1839" s="797"/>
      <c r="GO1839" s="797"/>
      <c r="GP1839" s="797"/>
      <c r="GQ1839" s="797"/>
      <c r="GR1839" s="797"/>
      <c r="GS1839" s="797"/>
      <c r="GT1839" s="797"/>
      <c r="GU1839" s="797"/>
      <c r="GV1839" s="797"/>
      <c r="GW1839" s="797"/>
      <c r="GX1839" s="797"/>
      <c r="GY1839" s="797"/>
      <c r="GZ1839" s="797"/>
      <c r="HA1839" s="797"/>
      <c r="HB1839" s="797"/>
      <c r="HC1839" s="797"/>
      <c r="HD1839" s="797"/>
      <c r="HE1839" s="797"/>
      <c r="HF1839" s="797"/>
      <c r="HG1839" s="797"/>
      <c r="HH1839" s="797"/>
      <c r="HI1839" s="797"/>
      <c r="HJ1839" s="797"/>
      <c r="HK1839" s="797"/>
      <c r="HL1839" s="797"/>
      <c r="HM1839" s="797"/>
      <c r="HN1839" s="797"/>
      <c r="HO1839" s="797"/>
      <c r="HP1839" s="797"/>
      <c r="HQ1839" s="797"/>
      <c r="HR1839" s="797"/>
      <c r="HS1839" s="797"/>
      <c r="HT1839" s="797"/>
      <c r="HU1839" s="797"/>
      <c r="HV1839" s="797"/>
      <c r="HW1839" s="797"/>
      <c r="HX1839" s="797"/>
      <c r="HY1839" s="797"/>
      <c r="HZ1839" s="797"/>
      <c r="IA1839" s="797"/>
      <c r="IB1839" s="797"/>
      <c r="IC1839" s="797"/>
      <c r="ID1839" s="797"/>
      <c r="IE1839" s="797"/>
      <c r="IF1839" s="797"/>
      <c r="IG1839" s="797"/>
      <c r="IH1839" s="797"/>
      <c r="II1839" s="797"/>
      <c r="IJ1839" s="797"/>
      <c r="IK1839" s="797"/>
      <c r="IL1839" s="797"/>
      <c r="IM1839" s="797"/>
      <c r="IN1839" s="797"/>
      <c r="IO1839" s="797"/>
      <c r="IP1839" s="797"/>
      <c r="IQ1839" s="797"/>
      <c r="IR1839" s="797"/>
      <c r="IS1839" s="797"/>
      <c r="IT1839" s="797"/>
      <c r="IU1839" s="797"/>
    </row>
    <row r="1840" spans="1:255" s="463" customFormat="1" ht="18" hidden="1" customHeight="1">
      <c r="A1840" s="421">
        <v>10</v>
      </c>
      <c r="B1840" s="500" t="s">
        <v>1198</v>
      </c>
      <c r="C1840" s="420" t="s">
        <v>1339</v>
      </c>
      <c r="D1840" s="421" t="s">
        <v>88</v>
      </c>
      <c r="E1840" s="856"/>
      <c r="F1840" s="384">
        <f>'დეფექტური აქტი'!E444</f>
        <v>0</v>
      </c>
      <c r="G1840" s="389"/>
      <c r="H1840" s="389"/>
      <c r="I1840" s="389"/>
      <c r="J1840" s="389"/>
      <c r="K1840" s="389"/>
      <c r="L1840" s="389"/>
      <c r="M1840" s="389"/>
      <c r="N1840" s="348"/>
      <c r="O1840" s="799"/>
      <c r="P1840" s="800"/>
      <c r="Q1840" s="800"/>
      <c r="R1840" s="800"/>
      <c r="S1840" s="800"/>
      <c r="T1840" s="800"/>
      <c r="U1840" s="800"/>
      <c r="V1840" s="800"/>
      <c r="W1840" s="800"/>
      <c r="X1840" s="800"/>
      <c r="Y1840" s="800"/>
      <c r="Z1840" s="800"/>
      <c r="AA1840" s="799"/>
      <c r="AB1840" s="799"/>
      <c r="AC1840" s="799"/>
      <c r="AD1840" s="799"/>
      <c r="AE1840" s="799"/>
      <c r="AF1840" s="799"/>
      <c r="AG1840" s="799"/>
      <c r="AH1840" s="799"/>
      <c r="AI1840" s="799"/>
      <c r="AJ1840" s="799"/>
      <c r="AK1840" s="799"/>
      <c r="AL1840" s="799"/>
      <c r="AM1840" s="799"/>
      <c r="AN1840" s="799"/>
      <c r="AO1840" s="799"/>
      <c r="AP1840" s="799"/>
      <c r="AQ1840" s="799"/>
      <c r="AR1840" s="799"/>
      <c r="AS1840" s="799"/>
      <c r="AT1840" s="799"/>
      <c r="AU1840" s="799"/>
      <c r="AV1840" s="799"/>
      <c r="AW1840" s="799"/>
      <c r="AX1840" s="799"/>
      <c r="AY1840" s="799"/>
      <c r="AZ1840" s="799"/>
      <c r="BA1840" s="799"/>
      <c r="BB1840" s="799"/>
      <c r="BC1840" s="799"/>
      <c r="BD1840" s="799"/>
      <c r="BE1840" s="799"/>
      <c r="BF1840" s="799"/>
      <c r="BG1840" s="799"/>
      <c r="BH1840" s="799"/>
      <c r="BI1840" s="799"/>
      <c r="BJ1840" s="799"/>
      <c r="BK1840" s="799"/>
      <c r="BL1840" s="799"/>
      <c r="BM1840" s="799"/>
      <c r="BN1840" s="799"/>
      <c r="BO1840" s="799"/>
      <c r="BP1840" s="799"/>
      <c r="BQ1840" s="799"/>
      <c r="BR1840" s="799"/>
      <c r="BS1840" s="799"/>
      <c r="BT1840" s="799"/>
      <c r="BU1840" s="799"/>
      <c r="BV1840" s="799"/>
      <c r="BW1840" s="799"/>
      <c r="BX1840" s="799"/>
      <c r="BY1840" s="799"/>
      <c r="BZ1840" s="799"/>
      <c r="CA1840" s="799"/>
      <c r="CB1840" s="799"/>
      <c r="CC1840" s="799"/>
      <c r="CD1840" s="799"/>
      <c r="CE1840" s="799"/>
      <c r="CF1840" s="799"/>
      <c r="CG1840" s="799"/>
      <c r="CH1840" s="799"/>
      <c r="CI1840" s="799"/>
      <c r="CJ1840" s="799"/>
      <c r="CK1840" s="799"/>
      <c r="CL1840" s="799"/>
      <c r="CM1840" s="799"/>
      <c r="CN1840" s="799"/>
      <c r="CO1840" s="799"/>
      <c r="CP1840" s="799"/>
      <c r="CQ1840" s="799"/>
      <c r="CR1840" s="799"/>
      <c r="CS1840" s="799"/>
      <c r="CT1840" s="799"/>
      <c r="CU1840" s="799"/>
      <c r="CV1840" s="799"/>
      <c r="CW1840" s="799"/>
      <c r="CX1840" s="799"/>
      <c r="CY1840" s="799"/>
      <c r="CZ1840" s="799"/>
      <c r="DA1840" s="799"/>
      <c r="DB1840" s="799"/>
      <c r="DC1840" s="799"/>
      <c r="DD1840" s="799"/>
      <c r="DE1840" s="799"/>
      <c r="DF1840" s="799"/>
      <c r="DG1840" s="799"/>
      <c r="DH1840" s="799"/>
      <c r="DI1840" s="799"/>
      <c r="DJ1840" s="799"/>
      <c r="DK1840" s="799"/>
      <c r="DL1840" s="799"/>
      <c r="DM1840" s="799"/>
      <c r="DN1840" s="799"/>
      <c r="DO1840" s="799"/>
      <c r="DP1840" s="799"/>
      <c r="DQ1840" s="799"/>
      <c r="DR1840" s="799"/>
      <c r="DS1840" s="799"/>
      <c r="DT1840" s="799"/>
      <c r="DU1840" s="799"/>
      <c r="DV1840" s="799"/>
      <c r="DW1840" s="799"/>
      <c r="DX1840" s="799"/>
      <c r="DY1840" s="799"/>
      <c r="DZ1840" s="799"/>
      <c r="EA1840" s="799"/>
      <c r="EB1840" s="799"/>
      <c r="EC1840" s="799"/>
      <c r="ED1840" s="799"/>
      <c r="EE1840" s="799"/>
      <c r="EF1840" s="799"/>
      <c r="EG1840" s="799"/>
      <c r="EH1840" s="799"/>
      <c r="EI1840" s="799"/>
      <c r="EJ1840" s="799"/>
      <c r="EK1840" s="799"/>
      <c r="EL1840" s="799"/>
      <c r="EM1840" s="799"/>
      <c r="EN1840" s="799"/>
      <c r="EO1840" s="799"/>
      <c r="EP1840" s="799"/>
      <c r="EQ1840" s="799"/>
      <c r="ER1840" s="799"/>
      <c r="ES1840" s="799"/>
      <c r="ET1840" s="799"/>
      <c r="EU1840" s="799"/>
      <c r="EV1840" s="799"/>
      <c r="EW1840" s="799"/>
      <c r="EX1840" s="799"/>
      <c r="EY1840" s="799"/>
      <c r="EZ1840" s="799"/>
      <c r="FA1840" s="799"/>
      <c r="FB1840" s="799"/>
      <c r="FC1840" s="799"/>
      <c r="FD1840" s="799"/>
      <c r="FE1840" s="799"/>
      <c r="FF1840" s="799"/>
      <c r="FG1840" s="799"/>
      <c r="FH1840" s="799"/>
      <c r="FI1840" s="799"/>
      <c r="FJ1840" s="799"/>
      <c r="FK1840" s="799"/>
      <c r="FL1840" s="799"/>
      <c r="FM1840" s="799"/>
      <c r="FN1840" s="799"/>
      <c r="FO1840" s="799"/>
      <c r="FP1840" s="799"/>
      <c r="FQ1840" s="799"/>
      <c r="FR1840" s="799"/>
      <c r="FS1840" s="799"/>
      <c r="FT1840" s="799"/>
      <c r="FU1840" s="799"/>
      <c r="FV1840" s="799"/>
      <c r="FW1840" s="799"/>
      <c r="FX1840" s="799"/>
      <c r="FY1840" s="799"/>
      <c r="FZ1840" s="799"/>
      <c r="GA1840" s="799"/>
      <c r="GB1840" s="799"/>
      <c r="GC1840" s="799"/>
      <c r="GD1840" s="799"/>
      <c r="GE1840" s="799"/>
      <c r="GF1840" s="799"/>
      <c r="GG1840" s="799"/>
      <c r="GH1840" s="799"/>
      <c r="GI1840" s="799"/>
      <c r="GJ1840" s="799"/>
      <c r="GK1840" s="799"/>
      <c r="GL1840" s="799"/>
      <c r="GM1840" s="799"/>
      <c r="GN1840" s="799"/>
      <c r="GO1840" s="799"/>
      <c r="GP1840" s="799"/>
      <c r="GQ1840" s="799"/>
      <c r="GR1840" s="799"/>
      <c r="GS1840" s="799"/>
      <c r="GT1840" s="799"/>
      <c r="GU1840" s="799"/>
      <c r="GV1840" s="799"/>
      <c r="GW1840" s="799"/>
      <c r="GX1840" s="799"/>
      <c r="GY1840" s="799"/>
      <c r="GZ1840" s="799"/>
      <c r="HA1840" s="799"/>
      <c r="HB1840" s="799"/>
      <c r="HC1840" s="799"/>
      <c r="HD1840" s="799"/>
      <c r="HE1840" s="799"/>
      <c r="HF1840" s="799"/>
      <c r="HG1840" s="799"/>
      <c r="HH1840" s="799"/>
      <c r="HI1840" s="799"/>
      <c r="HJ1840" s="799"/>
      <c r="HK1840" s="799"/>
      <c r="HL1840" s="799"/>
      <c r="HM1840" s="799"/>
      <c r="HN1840" s="799"/>
      <c r="HO1840" s="799"/>
      <c r="HP1840" s="799"/>
      <c r="HQ1840" s="799"/>
      <c r="HR1840" s="799"/>
      <c r="HS1840" s="799"/>
      <c r="HT1840" s="799"/>
      <c r="HU1840" s="799"/>
      <c r="HV1840" s="799"/>
      <c r="HW1840" s="799"/>
      <c r="HX1840" s="799"/>
      <c r="HY1840" s="799"/>
      <c r="HZ1840" s="799"/>
      <c r="IA1840" s="799"/>
      <c r="IB1840" s="799"/>
      <c r="IC1840" s="799"/>
      <c r="ID1840" s="799"/>
      <c r="IE1840" s="799"/>
      <c r="IF1840" s="799"/>
      <c r="IG1840" s="799"/>
      <c r="IH1840" s="799"/>
      <c r="II1840" s="799"/>
      <c r="IJ1840" s="799"/>
      <c r="IK1840" s="799"/>
      <c r="IL1840" s="799"/>
      <c r="IM1840" s="799"/>
      <c r="IN1840" s="799"/>
      <c r="IO1840" s="799"/>
      <c r="IP1840" s="799"/>
      <c r="IQ1840" s="799"/>
      <c r="IR1840" s="799"/>
      <c r="IS1840" s="799"/>
      <c r="IT1840" s="799"/>
      <c r="IU1840" s="799"/>
    </row>
    <row r="1841" spans="1:255" s="463" customFormat="1" ht="18" hidden="1" customHeight="1">
      <c r="A1841" s="330"/>
      <c r="B1841" s="328"/>
      <c r="C1841" s="335" t="s">
        <v>209</v>
      </c>
      <c r="D1841" s="336" t="s">
        <v>80</v>
      </c>
      <c r="E1841" s="923">
        <v>0.13400000000000001</v>
      </c>
      <c r="F1841" s="389">
        <f>F1840*E1841</f>
        <v>0</v>
      </c>
      <c r="G1841" s="389"/>
      <c r="H1841" s="389"/>
      <c r="I1841" s="389">
        <v>4.5999999999999996</v>
      </c>
      <c r="J1841" s="389">
        <f>F1841*I1841</f>
        <v>0</v>
      </c>
      <c r="K1841" s="389"/>
      <c r="L1841" s="389"/>
      <c r="M1841" s="389">
        <f>H1841+J1841+L1841</f>
        <v>0</v>
      </c>
      <c r="N1841" s="348"/>
      <c r="O1841" s="799"/>
      <c r="P1841" s="800"/>
      <c r="Q1841" s="800"/>
      <c r="R1841" s="800"/>
      <c r="S1841" s="800"/>
      <c r="T1841" s="800"/>
      <c r="U1841" s="800"/>
      <c r="V1841" s="800"/>
      <c r="W1841" s="800"/>
      <c r="X1841" s="800"/>
      <c r="Y1841" s="800"/>
      <c r="Z1841" s="800"/>
      <c r="AA1841" s="799"/>
      <c r="AB1841" s="799"/>
      <c r="AC1841" s="799"/>
      <c r="AD1841" s="799"/>
      <c r="AE1841" s="799"/>
      <c r="AF1841" s="799"/>
      <c r="AG1841" s="799"/>
      <c r="AH1841" s="799"/>
      <c r="AI1841" s="799"/>
      <c r="AJ1841" s="799"/>
      <c r="AK1841" s="799"/>
      <c r="AL1841" s="799"/>
      <c r="AM1841" s="799"/>
      <c r="AN1841" s="799"/>
      <c r="AO1841" s="799"/>
      <c r="AP1841" s="799"/>
      <c r="AQ1841" s="799"/>
      <c r="AR1841" s="799"/>
      <c r="AS1841" s="799"/>
      <c r="AT1841" s="799"/>
      <c r="AU1841" s="799"/>
      <c r="AV1841" s="799"/>
      <c r="AW1841" s="799"/>
      <c r="AX1841" s="799"/>
      <c r="AY1841" s="799"/>
      <c r="AZ1841" s="799"/>
      <c r="BA1841" s="799"/>
      <c r="BB1841" s="799"/>
      <c r="BC1841" s="799"/>
      <c r="BD1841" s="799"/>
      <c r="BE1841" s="799"/>
      <c r="BF1841" s="799"/>
      <c r="BG1841" s="799"/>
      <c r="BH1841" s="799"/>
      <c r="BI1841" s="799"/>
      <c r="BJ1841" s="799"/>
      <c r="BK1841" s="799"/>
      <c r="BL1841" s="799"/>
      <c r="BM1841" s="799"/>
      <c r="BN1841" s="799"/>
      <c r="BO1841" s="799"/>
      <c r="BP1841" s="799"/>
      <c r="BQ1841" s="799"/>
      <c r="BR1841" s="799"/>
      <c r="BS1841" s="799"/>
      <c r="BT1841" s="799"/>
      <c r="BU1841" s="799"/>
      <c r="BV1841" s="799"/>
      <c r="BW1841" s="799"/>
      <c r="BX1841" s="799"/>
      <c r="BY1841" s="799"/>
      <c r="BZ1841" s="799"/>
      <c r="CA1841" s="799"/>
      <c r="CB1841" s="799"/>
      <c r="CC1841" s="799"/>
      <c r="CD1841" s="799"/>
      <c r="CE1841" s="799"/>
      <c r="CF1841" s="799"/>
      <c r="CG1841" s="799"/>
      <c r="CH1841" s="799"/>
      <c r="CI1841" s="799"/>
      <c r="CJ1841" s="799"/>
      <c r="CK1841" s="799"/>
      <c r="CL1841" s="799"/>
      <c r="CM1841" s="799"/>
      <c r="CN1841" s="799"/>
      <c r="CO1841" s="799"/>
      <c r="CP1841" s="799"/>
      <c r="CQ1841" s="799"/>
      <c r="CR1841" s="799"/>
      <c r="CS1841" s="799"/>
      <c r="CT1841" s="799"/>
      <c r="CU1841" s="799"/>
      <c r="CV1841" s="799"/>
      <c r="CW1841" s="799"/>
      <c r="CX1841" s="799"/>
      <c r="CY1841" s="799"/>
      <c r="CZ1841" s="799"/>
      <c r="DA1841" s="799"/>
      <c r="DB1841" s="799"/>
      <c r="DC1841" s="799"/>
      <c r="DD1841" s="799"/>
      <c r="DE1841" s="799"/>
      <c r="DF1841" s="799"/>
      <c r="DG1841" s="799"/>
      <c r="DH1841" s="799"/>
      <c r="DI1841" s="799"/>
      <c r="DJ1841" s="799"/>
      <c r="DK1841" s="799"/>
      <c r="DL1841" s="799"/>
      <c r="DM1841" s="799"/>
      <c r="DN1841" s="799"/>
      <c r="DO1841" s="799"/>
      <c r="DP1841" s="799"/>
      <c r="DQ1841" s="799"/>
      <c r="DR1841" s="799"/>
      <c r="DS1841" s="799"/>
      <c r="DT1841" s="799"/>
      <c r="DU1841" s="799"/>
      <c r="DV1841" s="799"/>
      <c r="DW1841" s="799"/>
      <c r="DX1841" s="799"/>
      <c r="DY1841" s="799"/>
      <c r="DZ1841" s="799"/>
      <c r="EA1841" s="799"/>
      <c r="EB1841" s="799"/>
      <c r="EC1841" s="799"/>
      <c r="ED1841" s="799"/>
      <c r="EE1841" s="799"/>
      <c r="EF1841" s="799"/>
      <c r="EG1841" s="799"/>
      <c r="EH1841" s="799"/>
      <c r="EI1841" s="799"/>
      <c r="EJ1841" s="799"/>
      <c r="EK1841" s="799"/>
      <c r="EL1841" s="799"/>
      <c r="EM1841" s="799"/>
      <c r="EN1841" s="799"/>
      <c r="EO1841" s="799"/>
      <c r="EP1841" s="799"/>
      <c r="EQ1841" s="799"/>
      <c r="ER1841" s="799"/>
      <c r="ES1841" s="799"/>
      <c r="ET1841" s="799"/>
      <c r="EU1841" s="799"/>
      <c r="EV1841" s="799"/>
      <c r="EW1841" s="799"/>
      <c r="EX1841" s="799"/>
      <c r="EY1841" s="799"/>
      <c r="EZ1841" s="799"/>
      <c r="FA1841" s="799"/>
      <c r="FB1841" s="799"/>
      <c r="FC1841" s="799"/>
      <c r="FD1841" s="799"/>
      <c r="FE1841" s="799"/>
      <c r="FF1841" s="799"/>
      <c r="FG1841" s="799"/>
      <c r="FH1841" s="799"/>
      <c r="FI1841" s="799"/>
      <c r="FJ1841" s="799"/>
      <c r="FK1841" s="799"/>
      <c r="FL1841" s="799"/>
      <c r="FM1841" s="799"/>
      <c r="FN1841" s="799"/>
      <c r="FO1841" s="799"/>
      <c r="FP1841" s="799"/>
      <c r="FQ1841" s="799"/>
      <c r="FR1841" s="799"/>
      <c r="FS1841" s="799"/>
      <c r="FT1841" s="799"/>
      <c r="FU1841" s="799"/>
      <c r="FV1841" s="799"/>
      <c r="FW1841" s="799"/>
      <c r="FX1841" s="799"/>
      <c r="FY1841" s="799"/>
      <c r="FZ1841" s="799"/>
      <c r="GA1841" s="799"/>
      <c r="GB1841" s="799"/>
      <c r="GC1841" s="799"/>
      <c r="GD1841" s="799"/>
      <c r="GE1841" s="799"/>
      <c r="GF1841" s="799"/>
      <c r="GG1841" s="799"/>
      <c r="GH1841" s="799"/>
      <c r="GI1841" s="799"/>
      <c r="GJ1841" s="799"/>
      <c r="GK1841" s="799"/>
      <c r="GL1841" s="799"/>
      <c r="GM1841" s="799"/>
      <c r="GN1841" s="799"/>
      <c r="GO1841" s="799"/>
      <c r="GP1841" s="799"/>
      <c r="GQ1841" s="799"/>
      <c r="GR1841" s="799"/>
      <c r="GS1841" s="799"/>
      <c r="GT1841" s="799"/>
      <c r="GU1841" s="799"/>
      <c r="GV1841" s="799"/>
      <c r="GW1841" s="799"/>
      <c r="GX1841" s="799"/>
      <c r="GY1841" s="799"/>
      <c r="GZ1841" s="799"/>
      <c r="HA1841" s="799"/>
      <c r="HB1841" s="799"/>
      <c r="HC1841" s="799"/>
      <c r="HD1841" s="799"/>
      <c r="HE1841" s="799"/>
      <c r="HF1841" s="799"/>
      <c r="HG1841" s="799"/>
      <c r="HH1841" s="799"/>
      <c r="HI1841" s="799"/>
      <c r="HJ1841" s="799"/>
      <c r="HK1841" s="799"/>
      <c r="HL1841" s="799"/>
      <c r="HM1841" s="799"/>
      <c r="HN1841" s="799"/>
      <c r="HO1841" s="799"/>
      <c r="HP1841" s="799"/>
      <c r="HQ1841" s="799"/>
      <c r="HR1841" s="799"/>
      <c r="HS1841" s="799"/>
      <c r="HT1841" s="799"/>
      <c r="HU1841" s="799"/>
      <c r="HV1841" s="799"/>
      <c r="HW1841" s="799"/>
      <c r="HX1841" s="799"/>
      <c r="HY1841" s="799"/>
      <c r="HZ1841" s="799"/>
      <c r="IA1841" s="799"/>
      <c r="IB1841" s="799"/>
      <c r="IC1841" s="799"/>
      <c r="ID1841" s="799"/>
      <c r="IE1841" s="799"/>
      <c r="IF1841" s="799"/>
      <c r="IG1841" s="799"/>
      <c r="IH1841" s="799"/>
      <c r="II1841" s="799"/>
      <c r="IJ1841" s="799"/>
      <c r="IK1841" s="799"/>
      <c r="IL1841" s="799"/>
      <c r="IM1841" s="799"/>
      <c r="IN1841" s="799"/>
      <c r="IO1841" s="799"/>
      <c r="IP1841" s="799"/>
      <c r="IQ1841" s="799"/>
      <c r="IR1841" s="799"/>
      <c r="IS1841" s="799"/>
      <c r="IT1841" s="799"/>
      <c r="IU1841" s="799"/>
    </row>
    <row r="1842" spans="1:255" s="463" customFormat="1" ht="18" hidden="1" customHeight="1">
      <c r="A1842" s="419"/>
      <c r="B1842" s="417"/>
      <c r="C1842" s="551" t="s">
        <v>1199</v>
      </c>
      <c r="D1842" s="342" t="s">
        <v>217</v>
      </c>
      <c r="E1842" s="857">
        <v>0.13</v>
      </c>
      <c r="F1842" s="392">
        <f>F1840*E1842</f>
        <v>0</v>
      </c>
      <c r="G1842" s="392"/>
      <c r="H1842" s="392"/>
      <c r="I1842" s="392"/>
      <c r="J1842" s="392"/>
      <c r="K1842" s="392">
        <v>2</v>
      </c>
      <c r="L1842" s="392">
        <f>K1842*F1842</f>
        <v>0</v>
      </c>
      <c r="M1842" s="392">
        <f>H1842+J1842+L1842</f>
        <v>0</v>
      </c>
      <c r="N1842" s="348"/>
      <c r="O1842" s="799"/>
      <c r="P1842" s="800"/>
      <c r="Q1842" s="800"/>
      <c r="R1842" s="800"/>
      <c r="S1842" s="800"/>
      <c r="T1842" s="800"/>
      <c r="U1842" s="800"/>
      <c r="V1842" s="800"/>
      <c r="W1842" s="800"/>
      <c r="X1842" s="800"/>
      <c r="Y1842" s="800"/>
      <c r="Z1842" s="800"/>
      <c r="AA1842" s="799"/>
      <c r="AB1842" s="799"/>
      <c r="AC1842" s="799"/>
      <c r="AD1842" s="799"/>
      <c r="AE1842" s="799"/>
      <c r="AF1842" s="799"/>
      <c r="AG1842" s="799"/>
      <c r="AH1842" s="799"/>
      <c r="AI1842" s="799"/>
      <c r="AJ1842" s="799"/>
      <c r="AK1842" s="799"/>
      <c r="AL1842" s="799"/>
      <c r="AM1842" s="799"/>
      <c r="AN1842" s="799"/>
      <c r="AO1842" s="799"/>
      <c r="AP1842" s="799"/>
      <c r="AQ1842" s="799"/>
      <c r="AR1842" s="799"/>
      <c r="AS1842" s="799"/>
      <c r="AT1842" s="799"/>
      <c r="AU1842" s="799"/>
      <c r="AV1842" s="799"/>
      <c r="AW1842" s="799"/>
      <c r="AX1842" s="799"/>
      <c r="AY1842" s="799"/>
      <c r="AZ1842" s="799"/>
      <c r="BA1842" s="799"/>
      <c r="BB1842" s="799"/>
      <c r="BC1842" s="799"/>
      <c r="BD1842" s="799"/>
      <c r="BE1842" s="799"/>
      <c r="BF1842" s="799"/>
      <c r="BG1842" s="799"/>
      <c r="BH1842" s="799"/>
      <c r="BI1842" s="799"/>
      <c r="BJ1842" s="799"/>
      <c r="BK1842" s="799"/>
      <c r="BL1842" s="799"/>
      <c r="BM1842" s="799"/>
      <c r="BN1842" s="799"/>
      <c r="BO1842" s="799"/>
      <c r="BP1842" s="799"/>
      <c r="BQ1842" s="799"/>
      <c r="BR1842" s="799"/>
      <c r="BS1842" s="799"/>
      <c r="BT1842" s="799"/>
      <c r="BU1842" s="799"/>
      <c r="BV1842" s="799"/>
      <c r="BW1842" s="799"/>
      <c r="BX1842" s="799"/>
      <c r="BY1842" s="799"/>
      <c r="BZ1842" s="799"/>
      <c r="CA1842" s="799"/>
      <c r="CB1842" s="799"/>
      <c r="CC1842" s="799"/>
      <c r="CD1842" s="799"/>
      <c r="CE1842" s="799"/>
      <c r="CF1842" s="799"/>
      <c r="CG1842" s="799"/>
      <c r="CH1842" s="799"/>
      <c r="CI1842" s="799"/>
      <c r="CJ1842" s="799"/>
      <c r="CK1842" s="799"/>
      <c r="CL1842" s="799"/>
      <c r="CM1842" s="799"/>
      <c r="CN1842" s="799"/>
      <c r="CO1842" s="799"/>
      <c r="CP1842" s="799"/>
      <c r="CQ1842" s="799"/>
      <c r="CR1842" s="799"/>
      <c r="CS1842" s="799"/>
      <c r="CT1842" s="799"/>
      <c r="CU1842" s="799"/>
      <c r="CV1842" s="799"/>
      <c r="CW1842" s="799"/>
      <c r="CX1842" s="799"/>
      <c r="CY1842" s="799"/>
      <c r="CZ1842" s="799"/>
      <c r="DA1842" s="799"/>
      <c r="DB1842" s="799"/>
      <c r="DC1842" s="799"/>
      <c r="DD1842" s="799"/>
      <c r="DE1842" s="799"/>
      <c r="DF1842" s="799"/>
      <c r="DG1842" s="799"/>
      <c r="DH1842" s="799"/>
      <c r="DI1842" s="799"/>
      <c r="DJ1842" s="799"/>
      <c r="DK1842" s="799"/>
      <c r="DL1842" s="799"/>
      <c r="DM1842" s="799"/>
      <c r="DN1842" s="799"/>
      <c r="DO1842" s="799"/>
      <c r="DP1842" s="799"/>
      <c r="DQ1842" s="799"/>
      <c r="DR1842" s="799"/>
      <c r="DS1842" s="799"/>
      <c r="DT1842" s="799"/>
      <c r="DU1842" s="799"/>
      <c r="DV1842" s="799"/>
      <c r="DW1842" s="799"/>
      <c r="DX1842" s="799"/>
      <c r="DY1842" s="799"/>
      <c r="DZ1842" s="799"/>
      <c r="EA1842" s="799"/>
      <c r="EB1842" s="799"/>
      <c r="EC1842" s="799"/>
      <c r="ED1842" s="799"/>
      <c r="EE1842" s="799"/>
      <c r="EF1842" s="799"/>
      <c r="EG1842" s="799"/>
      <c r="EH1842" s="799"/>
      <c r="EI1842" s="799"/>
      <c r="EJ1842" s="799"/>
      <c r="EK1842" s="799"/>
      <c r="EL1842" s="799"/>
      <c r="EM1842" s="799"/>
      <c r="EN1842" s="799"/>
      <c r="EO1842" s="799"/>
      <c r="EP1842" s="799"/>
      <c r="EQ1842" s="799"/>
      <c r="ER1842" s="799"/>
      <c r="ES1842" s="799"/>
      <c r="ET1842" s="799"/>
      <c r="EU1842" s="799"/>
      <c r="EV1842" s="799"/>
      <c r="EW1842" s="799"/>
      <c r="EX1842" s="799"/>
      <c r="EY1842" s="799"/>
      <c r="EZ1842" s="799"/>
      <c r="FA1842" s="799"/>
      <c r="FB1842" s="799"/>
      <c r="FC1842" s="799"/>
      <c r="FD1842" s="799"/>
      <c r="FE1842" s="799"/>
      <c r="FF1842" s="799"/>
      <c r="FG1842" s="799"/>
      <c r="FH1842" s="799"/>
      <c r="FI1842" s="799"/>
      <c r="FJ1842" s="799"/>
      <c r="FK1842" s="799"/>
      <c r="FL1842" s="799"/>
      <c r="FM1842" s="799"/>
      <c r="FN1842" s="799"/>
      <c r="FO1842" s="799"/>
      <c r="FP1842" s="799"/>
      <c r="FQ1842" s="799"/>
      <c r="FR1842" s="799"/>
      <c r="FS1842" s="799"/>
      <c r="FT1842" s="799"/>
      <c r="FU1842" s="799"/>
      <c r="FV1842" s="799"/>
      <c r="FW1842" s="799"/>
      <c r="FX1842" s="799"/>
      <c r="FY1842" s="799"/>
      <c r="FZ1842" s="799"/>
      <c r="GA1842" s="799"/>
      <c r="GB1842" s="799"/>
      <c r="GC1842" s="799"/>
      <c r="GD1842" s="799"/>
      <c r="GE1842" s="799"/>
      <c r="GF1842" s="799"/>
      <c r="GG1842" s="799"/>
      <c r="GH1842" s="799"/>
      <c r="GI1842" s="799"/>
      <c r="GJ1842" s="799"/>
      <c r="GK1842" s="799"/>
      <c r="GL1842" s="799"/>
      <c r="GM1842" s="799"/>
      <c r="GN1842" s="799"/>
      <c r="GO1842" s="799"/>
      <c r="GP1842" s="799"/>
      <c r="GQ1842" s="799"/>
      <c r="GR1842" s="799"/>
      <c r="GS1842" s="799"/>
      <c r="GT1842" s="799"/>
      <c r="GU1842" s="799"/>
      <c r="GV1842" s="799"/>
      <c r="GW1842" s="799"/>
      <c r="GX1842" s="799"/>
      <c r="GY1842" s="799"/>
      <c r="GZ1842" s="799"/>
      <c r="HA1842" s="799"/>
      <c r="HB1842" s="799"/>
      <c r="HC1842" s="799"/>
      <c r="HD1842" s="799"/>
      <c r="HE1842" s="799"/>
      <c r="HF1842" s="799"/>
      <c r="HG1842" s="799"/>
      <c r="HH1842" s="799"/>
      <c r="HI1842" s="799"/>
      <c r="HJ1842" s="799"/>
      <c r="HK1842" s="799"/>
      <c r="HL1842" s="799"/>
      <c r="HM1842" s="799"/>
      <c r="HN1842" s="799"/>
      <c r="HO1842" s="799"/>
      <c r="HP1842" s="799"/>
      <c r="HQ1842" s="799"/>
      <c r="HR1842" s="799"/>
      <c r="HS1842" s="799"/>
      <c r="HT1842" s="799"/>
      <c r="HU1842" s="799"/>
      <c r="HV1842" s="799"/>
      <c r="HW1842" s="799"/>
      <c r="HX1842" s="799"/>
      <c r="HY1842" s="799"/>
      <c r="HZ1842" s="799"/>
      <c r="IA1842" s="799"/>
      <c r="IB1842" s="799"/>
      <c r="IC1842" s="799"/>
      <c r="ID1842" s="799"/>
      <c r="IE1842" s="799"/>
      <c r="IF1842" s="799"/>
      <c r="IG1842" s="799"/>
      <c r="IH1842" s="799"/>
      <c r="II1842" s="799"/>
      <c r="IJ1842" s="799"/>
      <c r="IK1842" s="799"/>
      <c r="IL1842" s="799"/>
      <c r="IM1842" s="799"/>
      <c r="IN1842" s="799"/>
      <c r="IO1842" s="799"/>
      <c r="IP1842" s="799"/>
      <c r="IQ1842" s="799"/>
      <c r="IR1842" s="799"/>
      <c r="IS1842" s="799"/>
      <c r="IT1842" s="799"/>
      <c r="IU1842" s="799"/>
    </row>
    <row r="1843" spans="1:255" s="827" customFormat="1" ht="29.25" hidden="1" customHeight="1">
      <c r="A1843" s="336">
        <v>11</v>
      </c>
      <c r="B1843" s="540" t="s">
        <v>1415</v>
      </c>
      <c r="C1843" s="335" t="s">
        <v>1416</v>
      </c>
      <c r="D1843" s="486" t="s">
        <v>876</v>
      </c>
      <c r="E1843" s="863"/>
      <c r="F1843" s="868">
        <f>'დეფექტური აქტი'!E445</f>
        <v>0</v>
      </c>
      <c r="G1843" s="389"/>
      <c r="H1843" s="389"/>
      <c r="I1843" s="389"/>
      <c r="J1843" s="389"/>
      <c r="K1843" s="389"/>
      <c r="L1843" s="873"/>
      <c r="M1843" s="389"/>
      <c r="N1843" s="811"/>
    </row>
    <row r="1844" spans="1:255" s="827" customFormat="1" ht="15" hidden="1" customHeight="1">
      <c r="A1844" s="336"/>
      <c r="B1844" s="540"/>
      <c r="C1844" s="335" t="s">
        <v>128</v>
      </c>
      <c r="D1844" s="336" t="s">
        <v>80</v>
      </c>
      <c r="E1844" s="614">
        <v>9.5899999999999999E-2</v>
      </c>
      <c r="F1844" s="614">
        <f>F1843*E1844</f>
        <v>0</v>
      </c>
      <c r="G1844" s="542"/>
      <c r="H1844" s="636"/>
      <c r="I1844" s="389">
        <v>6</v>
      </c>
      <c r="J1844" s="389">
        <f>F1844*I1844</f>
        <v>0</v>
      </c>
      <c r="K1844" s="389"/>
      <c r="L1844" s="873"/>
      <c r="M1844" s="389">
        <f>H1844+J1844+L1844</f>
        <v>0</v>
      </c>
      <c r="N1844" s="811"/>
    </row>
    <row r="1845" spans="1:255" s="827" customFormat="1" ht="15" hidden="1" customHeight="1">
      <c r="A1845" s="336"/>
      <c r="B1845" s="543"/>
      <c r="C1845" s="335" t="s">
        <v>133</v>
      </c>
      <c r="D1845" s="486" t="s">
        <v>57</v>
      </c>
      <c r="E1845" s="863">
        <v>4.5199999999999997E-2</v>
      </c>
      <c r="F1845" s="614">
        <f>F1843*E1845</f>
        <v>0</v>
      </c>
      <c r="G1845" s="542"/>
      <c r="H1845" s="389"/>
      <c r="I1845" s="389"/>
      <c r="J1845" s="389"/>
      <c r="K1845" s="389">
        <v>3.2</v>
      </c>
      <c r="L1845" s="873">
        <f>F1845*K1845</f>
        <v>0</v>
      </c>
      <c r="M1845" s="389">
        <f>H1845+J1845+L1845</f>
        <v>0</v>
      </c>
      <c r="N1845" s="811"/>
    </row>
    <row r="1846" spans="1:255" s="827" customFormat="1" ht="15" hidden="1" customHeight="1">
      <c r="A1846" s="336"/>
      <c r="B1846" s="543"/>
      <c r="C1846" s="335" t="s">
        <v>210</v>
      </c>
      <c r="D1846" s="486"/>
      <c r="E1846" s="863"/>
      <c r="F1846" s="614"/>
      <c r="G1846" s="542"/>
      <c r="H1846" s="389"/>
      <c r="I1846" s="389"/>
      <c r="J1846" s="389"/>
      <c r="K1846" s="389"/>
      <c r="L1846" s="873"/>
      <c r="M1846" s="389"/>
      <c r="N1846" s="811"/>
    </row>
    <row r="1847" spans="1:255" s="827" customFormat="1" ht="15.75" hidden="1" customHeight="1">
      <c r="A1847" s="336"/>
      <c r="B1847" s="543"/>
      <c r="C1847" s="335" t="s">
        <v>760</v>
      </c>
      <c r="D1847" s="486" t="s">
        <v>876</v>
      </c>
      <c r="E1847" s="856">
        <v>1.01</v>
      </c>
      <c r="F1847" s="389">
        <f>F1843*E1847</f>
        <v>0</v>
      </c>
      <c r="G1847" s="389">
        <v>2.46</v>
      </c>
      <c r="H1847" s="389">
        <f>F1847*G1847</f>
        <v>0</v>
      </c>
      <c r="I1847" s="389"/>
      <c r="J1847" s="389"/>
      <c r="K1847" s="389"/>
      <c r="L1847" s="873"/>
      <c r="M1847" s="389">
        <f>H1847+J1847+L1847</f>
        <v>0</v>
      </c>
      <c r="N1847" s="811"/>
    </row>
    <row r="1848" spans="1:255" s="827" customFormat="1" ht="14.25" hidden="1" customHeight="1">
      <c r="A1848" s="342"/>
      <c r="B1848" s="556"/>
      <c r="C1848" s="551" t="s">
        <v>214</v>
      </c>
      <c r="D1848" s="552" t="s">
        <v>57</v>
      </c>
      <c r="E1848" s="864">
        <v>5.9999999999999995E-4</v>
      </c>
      <c r="F1848" s="861">
        <f>F1843*E1848</f>
        <v>0</v>
      </c>
      <c r="G1848" s="392">
        <v>3.2</v>
      </c>
      <c r="H1848" s="392">
        <f>F1848*G1848</f>
        <v>0</v>
      </c>
      <c r="I1848" s="392"/>
      <c r="J1848" s="392"/>
      <c r="K1848" s="392"/>
      <c r="L1848" s="874"/>
      <c r="M1848" s="392">
        <f>H1848+J1848+L1848</f>
        <v>0</v>
      </c>
      <c r="N1848" s="811"/>
    </row>
    <row r="1849" spans="1:255" s="799" customFormat="1" ht="27">
      <c r="A1849" s="1071">
        <v>12</v>
      </c>
      <c r="B1849" s="540" t="s">
        <v>1417</v>
      </c>
      <c r="C1849" s="335" t="s">
        <v>1522</v>
      </c>
      <c r="D1849" s="486" t="s">
        <v>122</v>
      </c>
      <c r="E1849" s="863"/>
      <c r="F1849" s="868">
        <f>'დეფექტური აქტი'!E446</f>
        <v>30</v>
      </c>
      <c r="G1849" s="389"/>
      <c r="H1849" s="389"/>
      <c r="I1849" s="389"/>
      <c r="J1849" s="389"/>
      <c r="K1849" s="389"/>
      <c r="L1849" s="389"/>
      <c r="M1849" s="389"/>
      <c r="N1849" s="811"/>
    </row>
    <row r="1850" spans="1:255" s="799" customFormat="1" ht="14.25" customHeight="1">
      <c r="A1850" s="1071"/>
      <c r="B1850" s="540"/>
      <c r="C1850" s="335" t="s">
        <v>209</v>
      </c>
      <c r="D1850" s="486" t="s">
        <v>80</v>
      </c>
      <c r="E1850" s="614">
        <v>0.11899999999999999</v>
      </c>
      <c r="F1850" s="389">
        <f>F1849*E1850</f>
        <v>3.57</v>
      </c>
      <c r="G1850" s="542"/>
      <c r="H1850" s="636"/>
      <c r="I1850" s="389"/>
      <c r="J1850" s="389"/>
      <c r="K1850" s="389"/>
      <c r="L1850" s="389"/>
      <c r="M1850" s="389"/>
      <c r="N1850" s="811"/>
    </row>
    <row r="1851" spans="1:255" s="799" customFormat="1" ht="13.5" customHeight="1">
      <c r="A1851" s="1071"/>
      <c r="B1851" s="543"/>
      <c r="C1851" s="335" t="s">
        <v>181</v>
      </c>
      <c r="D1851" s="336" t="s">
        <v>57</v>
      </c>
      <c r="E1851" s="863">
        <v>6.7500000000000004E-2</v>
      </c>
      <c r="F1851" s="389">
        <f>F1849*E1851</f>
        <v>2.0250000000000004</v>
      </c>
      <c r="G1851" s="542"/>
      <c r="H1851" s="389"/>
      <c r="I1851" s="389"/>
      <c r="J1851" s="389"/>
      <c r="K1851" s="389"/>
      <c r="L1851" s="389"/>
      <c r="M1851" s="389"/>
      <c r="N1851" s="811"/>
    </row>
    <row r="1852" spans="1:255" s="799" customFormat="1" ht="16.5" hidden="1" customHeight="1">
      <c r="A1852" s="336"/>
      <c r="B1852" s="543"/>
      <c r="C1852" s="335" t="s">
        <v>210</v>
      </c>
      <c r="D1852" s="486"/>
      <c r="E1852" s="863"/>
      <c r="F1852" s="614"/>
      <c r="G1852" s="542"/>
      <c r="H1852" s="389"/>
      <c r="I1852" s="389"/>
      <c r="J1852" s="389"/>
      <c r="K1852" s="389"/>
      <c r="L1852" s="389"/>
      <c r="M1852" s="389"/>
      <c r="N1852" s="811"/>
    </row>
    <row r="1853" spans="1:255" s="799" customFormat="1" ht="14.25" customHeight="1">
      <c r="A1853" s="1071"/>
      <c r="B1853" s="543"/>
      <c r="C1853" s="335" t="s">
        <v>1830</v>
      </c>
      <c r="D1853" s="486" t="s">
        <v>122</v>
      </c>
      <c r="E1853" s="863">
        <v>1.01</v>
      </c>
      <c r="F1853" s="614">
        <f>F1849*E1853</f>
        <v>30.3</v>
      </c>
      <c r="G1853" s="1078"/>
      <c r="H1853" s="389"/>
      <c r="I1853" s="389"/>
      <c r="J1853" s="389"/>
      <c r="K1853" s="389"/>
      <c r="L1853" s="389"/>
      <c r="M1853" s="389"/>
      <c r="N1853" s="811"/>
    </row>
    <row r="1854" spans="1:255" s="799" customFormat="1">
      <c r="A1854" s="1080"/>
      <c r="B1854" s="556"/>
      <c r="C1854" s="551" t="s">
        <v>214</v>
      </c>
      <c r="D1854" s="342" t="s">
        <v>57</v>
      </c>
      <c r="E1854" s="864">
        <v>2E-3</v>
      </c>
      <c r="F1854" s="861">
        <f>F1849*E1854</f>
        <v>0.06</v>
      </c>
      <c r="G1854" s="392"/>
      <c r="H1854" s="392"/>
      <c r="I1854" s="392"/>
      <c r="J1854" s="392"/>
      <c r="K1854" s="392"/>
      <c r="L1854" s="392"/>
      <c r="M1854" s="392"/>
      <c r="N1854" s="811"/>
    </row>
    <row r="1855" spans="1:255" s="833" customFormat="1" ht="27">
      <c r="A1855" s="1071">
        <v>15</v>
      </c>
      <c r="B1855" s="540" t="s">
        <v>1523</v>
      </c>
      <c r="C1855" s="816" t="s">
        <v>1527</v>
      </c>
      <c r="D1855" s="336" t="s">
        <v>88</v>
      </c>
      <c r="E1855" s="336"/>
      <c r="F1855" s="868">
        <f>'დეფექტური აქტი'!E447</f>
        <v>2</v>
      </c>
      <c r="G1855" s="330"/>
      <c r="H1855" s="331"/>
      <c r="I1855" s="414"/>
      <c r="J1855" s="331"/>
      <c r="K1855" s="414"/>
      <c r="L1855" s="331"/>
      <c r="M1855" s="331"/>
      <c r="N1855" s="904"/>
      <c r="O1855" s="905"/>
    </row>
    <row r="1856" spans="1:255" s="833" customFormat="1">
      <c r="A1856" s="1071"/>
      <c r="B1856" s="540"/>
      <c r="C1856" s="335" t="s">
        <v>209</v>
      </c>
      <c r="D1856" s="336" t="s">
        <v>80</v>
      </c>
      <c r="E1856" s="330">
        <v>12.6</v>
      </c>
      <c r="F1856" s="331">
        <f>F1855*E1856</f>
        <v>25.2</v>
      </c>
      <c r="G1856" s="329"/>
      <c r="H1856" s="906"/>
      <c r="I1856" s="331"/>
      <c r="J1856" s="331"/>
      <c r="K1856" s="414"/>
      <c r="L1856" s="331"/>
      <c r="M1856" s="331"/>
      <c r="N1856" s="830"/>
    </row>
    <row r="1857" spans="1:14" s="833" customFormat="1">
      <c r="A1857" s="1071"/>
      <c r="B1857" s="543"/>
      <c r="C1857" s="335" t="s">
        <v>81</v>
      </c>
      <c r="D1857" s="336" t="s">
        <v>57</v>
      </c>
      <c r="E1857" s="336">
        <v>5.08</v>
      </c>
      <c r="F1857" s="907">
        <f>F1855*E1857</f>
        <v>10.16</v>
      </c>
      <c r="G1857" s="330"/>
      <c r="H1857" s="331"/>
      <c r="I1857" s="414"/>
      <c r="J1857" s="331"/>
      <c r="K1857" s="331"/>
      <c r="L1857" s="331"/>
      <c r="M1857" s="331"/>
      <c r="N1857" s="830"/>
    </row>
    <row r="1858" spans="1:14" s="833" customFormat="1" hidden="1">
      <c r="A1858" s="336"/>
      <c r="B1858" s="562"/>
      <c r="C1858" s="335" t="s">
        <v>210</v>
      </c>
      <c r="D1858" s="336"/>
      <c r="E1858" s="336"/>
      <c r="F1858" s="330"/>
      <c r="G1858" s="330"/>
      <c r="H1858" s="331"/>
      <c r="I1858" s="414"/>
      <c r="J1858" s="331"/>
      <c r="K1858" s="414"/>
      <c r="L1858" s="331"/>
      <c r="M1858" s="331"/>
      <c r="N1858" s="830"/>
    </row>
    <row r="1859" spans="1:14" s="833" customFormat="1">
      <c r="A1859" s="1071"/>
      <c r="B1859" s="562"/>
      <c r="C1859" s="335" t="s">
        <v>1524</v>
      </c>
      <c r="D1859" s="486" t="s">
        <v>122</v>
      </c>
      <c r="E1859" s="336">
        <v>1.49</v>
      </c>
      <c r="F1859" s="331">
        <f>F1855*E1859</f>
        <v>2.98</v>
      </c>
      <c r="G1859" s="331"/>
      <c r="H1859" s="331"/>
      <c r="I1859" s="414"/>
      <c r="J1859" s="331"/>
      <c r="K1859" s="414"/>
      <c r="L1859" s="331"/>
      <c r="M1859" s="331"/>
      <c r="N1859" s="830"/>
    </row>
    <row r="1860" spans="1:14" s="833" customFormat="1">
      <c r="A1860" s="1071"/>
      <c r="C1860" s="335" t="s">
        <v>1525</v>
      </c>
      <c r="D1860" s="336" t="s">
        <v>88</v>
      </c>
      <c r="E1860" s="336">
        <v>0.193</v>
      </c>
      <c r="F1860" s="331">
        <f>F1855*E1860</f>
        <v>0.38600000000000001</v>
      </c>
      <c r="G1860" s="331"/>
      <c r="H1860" s="331"/>
      <c r="I1860" s="414"/>
      <c r="J1860" s="331"/>
      <c r="K1860" s="414"/>
      <c r="L1860" s="331"/>
      <c r="M1860" s="331"/>
      <c r="N1860" s="830"/>
    </row>
    <row r="1861" spans="1:14" s="833" customFormat="1">
      <c r="A1861" s="1071"/>
      <c r="B1861" s="562"/>
      <c r="C1861" s="335" t="s">
        <v>1343</v>
      </c>
      <c r="D1861" s="336" t="s">
        <v>97</v>
      </c>
      <c r="E1861" s="336">
        <v>16</v>
      </c>
      <c r="F1861" s="331">
        <f>F1855*E1861</f>
        <v>32</v>
      </c>
      <c r="G1861" s="331"/>
      <c r="H1861" s="331"/>
      <c r="I1861" s="414"/>
      <c r="J1861" s="331"/>
      <c r="K1861" s="414"/>
      <c r="L1861" s="331"/>
      <c r="M1861" s="331"/>
      <c r="N1861" s="830"/>
    </row>
    <row r="1862" spans="1:14" s="833" customFormat="1">
      <c r="A1862" s="1071"/>
      <c r="B1862" s="562"/>
      <c r="C1862" s="335" t="s">
        <v>1526</v>
      </c>
      <c r="D1862" s="336" t="s">
        <v>88</v>
      </c>
      <c r="E1862" s="336">
        <v>0.41299999999999998</v>
      </c>
      <c r="F1862" s="331">
        <f>F1855*E1862</f>
        <v>0.82599999999999996</v>
      </c>
      <c r="G1862" s="331"/>
      <c r="H1862" s="331"/>
      <c r="I1862" s="414"/>
      <c r="J1862" s="331"/>
      <c r="K1862" s="414"/>
      <c r="L1862" s="331"/>
      <c r="M1862" s="331"/>
      <c r="N1862" s="830"/>
    </row>
    <row r="1863" spans="1:14" s="833" customFormat="1">
      <c r="A1863" s="1071"/>
      <c r="B1863" s="562"/>
      <c r="C1863" s="335" t="s">
        <v>214</v>
      </c>
      <c r="D1863" s="336" t="s">
        <v>57</v>
      </c>
      <c r="E1863" s="336">
        <v>7.01</v>
      </c>
      <c r="F1863" s="331">
        <f>F1855*E1863</f>
        <v>14.02</v>
      </c>
      <c r="G1863" s="331"/>
      <c r="H1863" s="331"/>
      <c r="I1863" s="414"/>
      <c r="J1863" s="331"/>
      <c r="K1863" s="414"/>
      <c r="L1863" s="331"/>
      <c r="M1863" s="331"/>
      <c r="N1863" s="830"/>
    </row>
    <row r="1864" spans="1:14" s="833" customFormat="1" ht="15" customHeight="1">
      <c r="A1864" s="1080"/>
      <c r="B1864" s="875"/>
      <c r="C1864" s="908" t="s">
        <v>1345</v>
      </c>
      <c r="D1864" s="342" t="s">
        <v>816</v>
      </c>
      <c r="E1864" s="342"/>
      <c r="F1864" s="909">
        <f>'დეფექტური აქტი'!E447</f>
        <v>2</v>
      </c>
      <c r="G1864" s="418"/>
      <c r="H1864" s="418"/>
      <c r="I1864" s="895"/>
      <c r="J1864" s="418"/>
      <c r="K1864" s="895"/>
      <c r="L1864" s="418"/>
      <c r="M1864" s="418"/>
      <c r="N1864" s="830"/>
    </row>
    <row r="1865" spans="1:14" s="831" customFormat="1" ht="15" hidden="1" customHeight="1">
      <c r="A1865" s="336">
        <v>14</v>
      </c>
      <c r="B1865" s="540" t="s">
        <v>1418</v>
      </c>
      <c r="C1865" s="357" t="s">
        <v>1375</v>
      </c>
      <c r="D1865" s="336" t="s">
        <v>816</v>
      </c>
      <c r="E1865" s="330"/>
      <c r="F1865" s="868">
        <f>'დეფექტური აქტი'!E448</f>
        <v>0</v>
      </c>
      <c r="G1865" s="542"/>
      <c r="H1865" s="636"/>
      <c r="I1865" s="389"/>
      <c r="J1865" s="389"/>
      <c r="K1865" s="389"/>
      <c r="L1865" s="389"/>
      <c r="M1865" s="389"/>
      <c r="N1865" s="811"/>
    </row>
    <row r="1866" spans="1:14" s="831" customFormat="1" ht="15" hidden="1" customHeight="1">
      <c r="A1866" s="336"/>
      <c r="B1866" s="540"/>
      <c r="C1866" s="335" t="s">
        <v>209</v>
      </c>
      <c r="D1866" s="486" t="s">
        <v>80</v>
      </c>
      <c r="E1866" s="541">
        <v>16.8</v>
      </c>
      <c r="F1866" s="614">
        <f>F1865*E1866</f>
        <v>0</v>
      </c>
      <c r="G1866" s="542"/>
      <c r="H1866" s="636"/>
      <c r="I1866" s="389">
        <v>4.5999999999999996</v>
      </c>
      <c r="J1866" s="389">
        <f>F1866*I1866</f>
        <v>0</v>
      </c>
      <c r="K1866" s="389"/>
      <c r="L1866" s="389"/>
      <c r="M1866" s="389">
        <f>H1866+J1866+L1866</f>
        <v>0</v>
      </c>
      <c r="N1866" s="811"/>
    </row>
    <row r="1867" spans="1:14" s="831" customFormat="1" ht="13.5" hidden="1" customHeight="1">
      <c r="A1867" s="336"/>
      <c r="B1867" s="543"/>
      <c r="C1867" s="335" t="s">
        <v>210</v>
      </c>
      <c r="D1867" s="486"/>
      <c r="E1867" s="544"/>
      <c r="F1867" s="614"/>
      <c r="G1867" s="542"/>
      <c r="H1867" s="389"/>
      <c r="I1867" s="389"/>
      <c r="J1867" s="389"/>
      <c r="K1867" s="389"/>
      <c r="L1867" s="389"/>
      <c r="M1867" s="389"/>
      <c r="N1867" s="811"/>
    </row>
    <row r="1868" spans="1:14" s="831" customFormat="1" ht="14.25" hidden="1" customHeight="1">
      <c r="A1868" s="336"/>
      <c r="B1868" s="543"/>
      <c r="C1868" s="335" t="s">
        <v>296</v>
      </c>
      <c r="D1868" s="336" t="s">
        <v>88</v>
      </c>
      <c r="E1868" s="544">
        <v>0.05</v>
      </c>
      <c r="F1868" s="614">
        <f>F1865*E1868</f>
        <v>0</v>
      </c>
      <c r="G1868" s="389">
        <v>93</v>
      </c>
      <c r="H1868" s="389">
        <f>F1868*G1868</f>
        <v>0</v>
      </c>
      <c r="I1868" s="389"/>
      <c r="J1868" s="389"/>
      <c r="K1868" s="389"/>
      <c r="L1868" s="389"/>
      <c r="M1868" s="389">
        <f>H1868+J1868+L1868</f>
        <v>0</v>
      </c>
      <c r="N1868" s="811"/>
    </row>
    <row r="1869" spans="1:14" s="831" customFormat="1" ht="14.25" hidden="1" customHeight="1">
      <c r="A1869" s="336"/>
      <c r="B1869" s="543"/>
      <c r="C1869" s="335" t="s">
        <v>354</v>
      </c>
      <c r="D1869" s="336" t="s">
        <v>88</v>
      </c>
      <c r="E1869" s="544">
        <v>0.2</v>
      </c>
      <c r="F1869" s="614">
        <f>F1865*E1869</f>
        <v>0</v>
      </c>
      <c r="G1869" s="389">
        <v>25.4</v>
      </c>
      <c r="H1869" s="389">
        <f>F1869*G1869</f>
        <v>0</v>
      </c>
      <c r="I1869" s="389"/>
      <c r="J1869" s="389"/>
      <c r="K1869" s="389"/>
      <c r="L1869" s="389"/>
      <c r="M1869" s="389">
        <f>H1869+J1869+L1869</f>
        <v>0</v>
      </c>
      <c r="N1869" s="811"/>
    </row>
    <row r="1870" spans="1:14" s="833" customFormat="1" ht="15" hidden="1" customHeight="1">
      <c r="A1870" s="342"/>
      <c r="B1870" s="875"/>
      <c r="C1870" s="551" t="s">
        <v>214</v>
      </c>
      <c r="D1870" s="342" t="s">
        <v>57</v>
      </c>
      <c r="E1870" s="342">
        <v>1.07</v>
      </c>
      <c r="F1870" s="392">
        <f>F1865*E1870</f>
        <v>0</v>
      </c>
      <c r="G1870" s="392">
        <v>3.2</v>
      </c>
      <c r="H1870" s="392">
        <f>F1870*G1870</f>
        <v>0</v>
      </c>
      <c r="I1870" s="392"/>
      <c r="J1870" s="392"/>
      <c r="K1870" s="392"/>
      <c r="L1870" s="392"/>
      <c r="M1870" s="392">
        <f>H1870+J1870+L1870</f>
        <v>0</v>
      </c>
      <c r="N1870" s="830"/>
    </row>
    <row r="1871" spans="1:14" s="831" customFormat="1" ht="15" hidden="1" customHeight="1">
      <c r="A1871" s="336">
        <v>15</v>
      </c>
      <c r="B1871" s="540" t="s">
        <v>1419</v>
      </c>
      <c r="C1871" s="357" t="s">
        <v>1597</v>
      </c>
      <c r="D1871" s="336" t="s">
        <v>816</v>
      </c>
      <c r="E1871" s="330"/>
      <c r="F1871" s="868">
        <f>'დეფექტური აქტი'!E449</f>
        <v>0</v>
      </c>
      <c r="G1871" s="542"/>
      <c r="H1871" s="636"/>
      <c r="I1871" s="389"/>
      <c r="J1871" s="389"/>
      <c r="K1871" s="389"/>
      <c r="L1871" s="389"/>
      <c r="M1871" s="389"/>
      <c r="N1871" s="811"/>
    </row>
    <row r="1872" spans="1:14" s="831" customFormat="1" ht="15" hidden="1" customHeight="1">
      <c r="A1872" s="336"/>
      <c r="B1872" s="540"/>
      <c r="C1872" s="335" t="s">
        <v>209</v>
      </c>
      <c r="D1872" s="486" t="s">
        <v>80</v>
      </c>
      <c r="E1872" s="541">
        <v>1.54</v>
      </c>
      <c r="F1872" s="614">
        <f>F1871*E1872</f>
        <v>0</v>
      </c>
      <c r="G1872" s="542"/>
      <c r="H1872" s="636"/>
      <c r="I1872" s="389">
        <v>6</v>
      </c>
      <c r="J1872" s="389">
        <f>F1872*I1872</f>
        <v>0</v>
      </c>
      <c r="K1872" s="389"/>
      <c r="L1872" s="389"/>
      <c r="M1872" s="389">
        <f>H1872+J1872+L1872</f>
        <v>0</v>
      </c>
      <c r="N1872" s="811"/>
    </row>
    <row r="1873" spans="1:14" s="831" customFormat="1" ht="14.25" hidden="1" customHeight="1">
      <c r="A1873" s="336"/>
      <c r="B1873" s="543"/>
      <c r="C1873" s="335" t="s">
        <v>133</v>
      </c>
      <c r="D1873" s="486" t="s">
        <v>57</v>
      </c>
      <c r="E1873" s="544">
        <v>0.09</v>
      </c>
      <c r="F1873" s="614">
        <f>F1871*E1873</f>
        <v>0</v>
      </c>
      <c r="G1873" s="542"/>
      <c r="H1873" s="389"/>
      <c r="I1873" s="389"/>
      <c r="J1873" s="389"/>
      <c r="K1873" s="389">
        <v>3.2</v>
      </c>
      <c r="L1873" s="389">
        <f>F1873*K1873</f>
        <v>0</v>
      </c>
      <c r="M1873" s="389">
        <f>H1873+J1873+L1873</f>
        <v>0</v>
      </c>
      <c r="N1873" s="811"/>
    </row>
    <row r="1874" spans="1:14" s="831" customFormat="1" ht="13.5" hidden="1" customHeight="1">
      <c r="A1874" s="336"/>
      <c r="B1874" s="543"/>
      <c r="C1874" s="335" t="s">
        <v>210</v>
      </c>
      <c r="D1874" s="486"/>
      <c r="E1874" s="544"/>
      <c r="F1874" s="614"/>
      <c r="G1874" s="542"/>
      <c r="H1874" s="389"/>
      <c r="I1874" s="389"/>
      <c r="J1874" s="389"/>
      <c r="K1874" s="389"/>
      <c r="L1874" s="389"/>
      <c r="M1874" s="389"/>
      <c r="N1874" s="811"/>
    </row>
    <row r="1875" spans="1:14" s="831" customFormat="1" ht="14.25" hidden="1" customHeight="1">
      <c r="A1875" s="336"/>
      <c r="B1875" s="543"/>
      <c r="C1875" s="335" t="s">
        <v>1421</v>
      </c>
      <c r="D1875" s="336" t="s">
        <v>816</v>
      </c>
      <c r="E1875" s="544">
        <v>1</v>
      </c>
      <c r="F1875" s="614">
        <f>F1871*E1875</f>
        <v>0</v>
      </c>
      <c r="G1875" s="511">
        <v>316</v>
      </c>
      <c r="H1875" s="389">
        <f>F1875*G1875</f>
        <v>0</v>
      </c>
      <c r="I1875" s="389"/>
      <c r="J1875" s="389"/>
      <c r="K1875" s="389"/>
      <c r="L1875" s="389"/>
      <c r="M1875" s="389">
        <f>H1875+J1875+L1875</f>
        <v>0</v>
      </c>
      <c r="N1875" s="811"/>
    </row>
    <row r="1876" spans="1:14" s="831" customFormat="1" ht="14.25" hidden="1" customHeight="1">
      <c r="A1876" s="342"/>
      <c r="B1876" s="556"/>
      <c r="C1876" s="551" t="s">
        <v>527</v>
      </c>
      <c r="D1876" s="552" t="s">
        <v>88</v>
      </c>
      <c r="E1876" s="557">
        <v>1.4E-2</v>
      </c>
      <c r="F1876" s="861">
        <f>F1871*E1876</f>
        <v>0</v>
      </c>
      <c r="G1876" s="392">
        <v>85</v>
      </c>
      <c r="H1876" s="392">
        <f>F1876*G1876</f>
        <v>0</v>
      </c>
      <c r="I1876" s="392"/>
      <c r="J1876" s="392"/>
      <c r="K1876" s="392"/>
      <c r="L1876" s="392"/>
      <c r="M1876" s="392">
        <f>H1876+J1876+L1876</f>
        <v>0</v>
      </c>
      <c r="N1876" s="811"/>
    </row>
    <row r="1877" spans="1:14" s="831" customFormat="1" ht="29.25" hidden="1" customHeight="1">
      <c r="A1877" s="336">
        <v>16</v>
      </c>
      <c r="B1877" s="540"/>
      <c r="C1877" s="357" t="s">
        <v>1422</v>
      </c>
      <c r="D1877" s="788" t="s">
        <v>876</v>
      </c>
      <c r="E1877" s="330"/>
      <c r="F1877" s="868">
        <f>'დეფექტური აქტი'!E450</f>
        <v>0</v>
      </c>
      <c r="G1877" s="542"/>
      <c r="H1877" s="636"/>
      <c r="I1877" s="389"/>
      <c r="J1877" s="389"/>
      <c r="K1877" s="389"/>
      <c r="L1877" s="389"/>
      <c r="M1877" s="389"/>
      <c r="N1877" s="811"/>
    </row>
    <row r="1878" spans="1:14" s="831" customFormat="1" ht="14.25" hidden="1" customHeight="1">
      <c r="A1878" s="342"/>
      <c r="B1878" s="419" t="s">
        <v>99</v>
      </c>
      <c r="C1878" s="813" t="s">
        <v>1423</v>
      </c>
      <c r="D1878" s="814" t="s">
        <v>1424</v>
      </c>
      <c r="E1878" s="553">
        <v>0.04</v>
      </c>
      <c r="F1878" s="861">
        <f>F1877*E1878</f>
        <v>0</v>
      </c>
      <c r="G1878" s="554"/>
      <c r="H1878" s="392"/>
      <c r="I1878" s="392"/>
      <c r="J1878" s="392"/>
      <c r="K1878" s="921">
        <v>420</v>
      </c>
      <c r="L1878" s="392">
        <f>F1878*K1878</f>
        <v>0</v>
      </c>
      <c r="M1878" s="392">
        <f>H1878+J1878+L1878</f>
        <v>0</v>
      </c>
      <c r="N1878" s="811"/>
    </row>
    <row r="1879" spans="1:14" s="817" customFormat="1">
      <c r="A1879" s="1195"/>
      <c r="B1879" s="479"/>
      <c r="C1879" s="481" t="s">
        <v>110</v>
      </c>
      <c r="D1879" s="466"/>
      <c r="E1879" s="558"/>
      <c r="F1879" s="835"/>
      <c r="G1879" s="466"/>
      <c r="H1879" s="480"/>
      <c r="I1879" s="480"/>
      <c r="J1879" s="480"/>
      <c r="K1879" s="480"/>
      <c r="L1879" s="480"/>
      <c r="M1879" s="480"/>
    </row>
    <row r="1880" spans="1:14" s="817" customFormat="1">
      <c r="A1880" s="1196"/>
      <c r="B1880" s="838"/>
      <c r="C1880" s="846" t="s">
        <v>1156</v>
      </c>
      <c r="D1880" s="483">
        <f>'დეფექტური აქტი'!E452%</f>
        <v>0.1</v>
      </c>
      <c r="E1880" s="526"/>
      <c r="F1880" s="847"/>
      <c r="G1880" s="836"/>
      <c r="H1880" s="480"/>
      <c r="I1880" s="480"/>
      <c r="J1880" s="480"/>
      <c r="K1880" s="480"/>
      <c r="L1880" s="480"/>
      <c r="M1880" s="480"/>
    </row>
    <row r="1881" spans="1:14" s="817" customFormat="1">
      <c r="A1881" s="1196"/>
      <c r="B1881" s="838"/>
      <c r="C1881" s="481" t="s">
        <v>110</v>
      </c>
      <c r="D1881" s="838"/>
      <c r="E1881" s="838"/>
      <c r="F1881" s="848"/>
      <c r="G1881" s="838"/>
      <c r="H1881" s="855"/>
      <c r="I1881" s="855"/>
      <c r="J1881" s="855"/>
      <c r="K1881" s="855"/>
      <c r="L1881" s="855"/>
      <c r="M1881" s="855"/>
    </row>
    <row r="1882" spans="1:14" s="849" customFormat="1">
      <c r="A1882" s="1196"/>
      <c r="B1882" s="838"/>
      <c r="C1882" s="846" t="s">
        <v>116</v>
      </c>
      <c r="D1882" s="529">
        <f>'დეფექტური აქტი'!E454%</f>
        <v>0.08</v>
      </c>
      <c r="E1882" s="838"/>
      <c r="F1882" s="848"/>
      <c r="G1882" s="838"/>
      <c r="H1882" s="855"/>
      <c r="I1882" s="855"/>
      <c r="J1882" s="855"/>
      <c r="K1882" s="855"/>
      <c r="L1882" s="855"/>
      <c r="M1882" s="855"/>
    </row>
    <row r="1883" spans="1:14" s="853" customFormat="1" ht="15">
      <c r="A1883" s="1196"/>
      <c r="B1883" s="850"/>
      <c r="C1883" s="481" t="s">
        <v>1874</v>
      </c>
      <c r="D1883" s="850"/>
      <c r="E1883" s="850"/>
      <c r="F1883" s="851"/>
      <c r="G1883" s="850"/>
      <c r="H1883" s="876"/>
      <c r="I1883" s="876"/>
      <c r="J1883" s="876"/>
      <c r="K1883" s="876"/>
      <c r="L1883" s="876"/>
      <c r="M1883" s="876"/>
      <c r="N1883" s="852"/>
    </row>
    <row r="1884" spans="1:14" hidden="1">
      <c r="A1884" s="131"/>
      <c r="B1884" s="132"/>
      <c r="C1884" s="176" t="s">
        <v>1441</v>
      </c>
      <c r="D1884" s="97"/>
      <c r="E1884" s="5"/>
      <c r="F1884" s="402"/>
      <c r="G1884" s="402"/>
      <c r="H1884" s="402"/>
      <c r="I1884" s="402"/>
      <c r="J1884" s="402"/>
      <c r="K1884" s="402"/>
      <c r="L1884" s="402"/>
      <c r="M1884" s="402"/>
    </row>
    <row r="1885" spans="1:14" s="93" customFormat="1" ht="27" hidden="1">
      <c r="A1885" s="140">
        <v>1</v>
      </c>
      <c r="B1885" s="1456" t="s">
        <v>577</v>
      </c>
      <c r="C1885" s="151" t="s">
        <v>1273</v>
      </c>
      <c r="D1885" s="140" t="s">
        <v>113</v>
      </c>
      <c r="E1885" s="218"/>
      <c r="F1885" s="384">
        <f>'დეფექტური აქტი'!E457</f>
        <v>0</v>
      </c>
      <c r="G1885" s="422"/>
      <c r="H1885" s="422"/>
      <c r="I1885" s="422"/>
      <c r="J1885" s="422"/>
      <c r="K1885" s="422"/>
      <c r="L1885" s="422"/>
      <c r="M1885" s="422"/>
    </row>
    <row r="1886" spans="1:14" s="92" customFormat="1" hidden="1">
      <c r="A1886" s="83"/>
      <c r="B1886" s="1457"/>
      <c r="C1886" s="226" t="s">
        <v>209</v>
      </c>
      <c r="D1886" s="211" t="s">
        <v>80</v>
      </c>
      <c r="E1886" s="264">
        <v>3</v>
      </c>
      <c r="F1886" s="386">
        <f>F1885*E1886</f>
        <v>0</v>
      </c>
      <c r="G1886" s="225"/>
      <c r="H1886" s="225"/>
      <c r="I1886" s="225">
        <v>6</v>
      </c>
      <c r="J1886" s="225">
        <f>F1886*I1886</f>
        <v>0</v>
      </c>
      <c r="K1886" s="225"/>
      <c r="L1886" s="225"/>
      <c r="M1886" s="225">
        <f>J1886+H1886+L1886</f>
        <v>0</v>
      </c>
    </row>
    <row r="1887" spans="1:14" s="85" customFormat="1" hidden="1">
      <c r="A1887" s="83"/>
      <c r="B1887" s="1457"/>
      <c r="C1887" s="226" t="s">
        <v>133</v>
      </c>
      <c r="D1887" s="83" t="s">
        <v>57</v>
      </c>
      <c r="E1887" s="265">
        <v>0.31</v>
      </c>
      <c r="F1887" s="386">
        <f>F1885*E1887</f>
        <v>0</v>
      </c>
      <c r="G1887" s="225"/>
      <c r="H1887" s="225"/>
      <c r="I1887" s="225"/>
      <c r="J1887" s="225"/>
      <c r="K1887" s="225">
        <v>3.2</v>
      </c>
      <c r="L1887" s="225">
        <f>F1887*K1887</f>
        <v>0</v>
      </c>
      <c r="M1887" s="225">
        <f>J1887+H1887+L1887</f>
        <v>0</v>
      </c>
    </row>
    <row r="1888" spans="1:14" s="88" customFormat="1" hidden="1">
      <c r="A1888" s="83"/>
      <c r="B1888" s="1457"/>
      <c r="C1888" s="15" t="s">
        <v>210</v>
      </c>
      <c r="D1888" s="211"/>
      <c r="E1888" s="264"/>
      <c r="F1888" s="386"/>
      <c r="G1888" s="225"/>
      <c r="H1888" s="225"/>
      <c r="I1888" s="225"/>
      <c r="J1888" s="225"/>
      <c r="K1888" s="225"/>
      <c r="L1888" s="225"/>
      <c r="M1888" s="225"/>
    </row>
    <row r="1889" spans="1:14" s="88" customFormat="1" ht="27" hidden="1">
      <c r="A1889" s="83"/>
      <c r="B1889" s="1457"/>
      <c r="C1889" s="84" t="s">
        <v>1273</v>
      </c>
      <c r="D1889" s="83" t="s">
        <v>113</v>
      </c>
      <c r="E1889" s="264">
        <v>1</v>
      </c>
      <c r="F1889" s="386">
        <f>F1885*E1889</f>
        <v>0</v>
      </c>
      <c r="G1889" s="225">
        <v>669</v>
      </c>
      <c r="H1889" s="225">
        <f>F1889*G1889</f>
        <v>0</v>
      </c>
      <c r="I1889" s="225"/>
      <c r="J1889" s="225"/>
      <c r="K1889" s="225"/>
      <c r="L1889" s="225"/>
      <c r="M1889" s="225">
        <f>J1889+H1889+L1889</f>
        <v>0</v>
      </c>
    </row>
    <row r="1890" spans="1:14" s="88" customFormat="1" hidden="1">
      <c r="A1890" s="83"/>
      <c r="B1890" s="1458"/>
      <c r="C1890" s="226" t="s">
        <v>214</v>
      </c>
      <c r="D1890" s="86" t="s">
        <v>57</v>
      </c>
      <c r="E1890" s="264">
        <v>2.89</v>
      </c>
      <c r="F1890" s="386">
        <f>F1885*E1890</f>
        <v>0</v>
      </c>
      <c r="G1890" s="225">
        <v>3.2</v>
      </c>
      <c r="H1890" s="225">
        <f>F1890*G1890</f>
        <v>0</v>
      </c>
      <c r="I1890" s="225"/>
      <c r="J1890" s="225"/>
      <c r="K1890" s="225"/>
      <c r="L1890" s="225"/>
      <c r="M1890" s="225">
        <f>J1890+H1890+L1890</f>
        <v>0</v>
      </c>
    </row>
    <row r="1891" spans="1:14" s="85" customFormat="1" ht="54" hidden="1">
      <c r="A1891" s="140">
        <v>2</v>
      </c>
      <c r="B1891" s="1456" t="s">
        <v>596</v>
      </c>
      <c r="C1891" s="266" t="s">
        <v>1593</v>
      </c>
      <c r="D1891" s="83" t="s">
        <v>113</v>
      </c>
      <c r="E1891" s="267"/>
      <c r="F1891" s="384">
        <f>'დეფექტური აქტი'!E458</f>
        <v>0</v>
      </c>
      <c r="G1891" s="422"/>
      <c r="H1891" s="422"/>
      <c r="I1891" s="422"/>
      <c r="J1891" s="422"/>
      <c r="K1891" s="422"/>
      <c r="L1891" s="422"/>
      <c r="M1891" s="422"/>
    </row>
    <row r="1892" spans="1:14" s="92" customFormat="1" hidden="1">
      <c r="A1892" s="83"/>
      <c r="B1892" s="1457"/>
      <c r="C1892" s="226" t="s">
        <v>209</v>
      </c>
      <c r="D1892" s="211" t="s">
        <v>80</v>
      </c>
      <c r="E1892" s="264">
        <v>3.37</v>
      </c>
      <c r="F1892" s="386">
        <f>F1891*E1892</f>
        <v>0</v>
      </c>
      <c r="G1892" s="225"/>
      <c r="H1892" s="225"/>
      <c r="I1892" s="225">
        <v>4.5999999999999996</v>
      </c>
      <c r="J1892" s="225">
        <f>F1892*I1892</f>
        <v>0</v>
      </c>
      <c r="K1892" s="225"/>
      <c r="L1892" s="225"/>
      <c r="M1892" s="225">
        <f>J1892+H1892+L1892</f>
        <v>0</v>
      </c>
    </row>
    <row r="1893" spans="1:14" s="85" customFormat="1" hidden="1">
      <c r="A1893" s="83"/>
      <c r="B1893" s="1457"/>
      <c r="C1893" s="226" t="s">
        <v>181</v>
      </c>
      <c r="D1893" s="83" t="s">
        <v>57</v>
      </c>
      <c r="E1893" s="265">
        <v>9.5000000000000001E-2</v>
      </c>
      <c r="F1893" s="386">
        <f>F1891*E1893</f>
        <v>0</v>
      </c>
      <c r="G1893" s="225"/>
      <c r="H1893" s="225"/>
      <c r="I1893" s="225"/>
      <c r="J1893" s="225"/>
      <c r="K1893" s="225">
        <v>3.2</v>
      </c>
      <c r="L1893" s="225">
        <f>F1893*K1893</f>
        <v>0</v>
      </c>
      <c r="M1893" s="225">
        <f>J1893+H1893+L1893</f>
        <v>0</v>
      </c>
    </row>
    <row r="1894" spans="1:14" s="88" customFormat="1" hidden="1">
      <c r="A1894" s="83"/>
      <c r="B1894" s="1457"/>
      <c r="C1894" s="15" t="s">
        <v>210</v>
      </c>
      <c r="D1894" s="211"/>
      <c r="E1894" s="264"/>
      <c r="F1894" s="386"/>
      <c r="G1894" s="225"/>
      <c r="H1894" s="225"/>
      <c r="I1894" s="225"/>
      <c r="J1894" s="225"/>
      <c r="K1894" s="225"/>
      <c r="L1894" s="225"/>
      <c r="M1894" s="225"/>
    </row>
    <row r="1895" spans="1:14" s="88" customFormat="1" hidden="1">
      <c r="A1895" s="83"/>
      <c r="B1895" s="1457"/>
      <c r="C1895" s="84" t="s">
        <v>597</v>
      </c>
      <c r="D1895" s="83" t="s">
        <v>113</v>
      </c>
      <c r="E1895" s="264">
        <v>1</v>
      </c>
      <c r="F1895" s="386">
        <f>F1891*E1895</f>
        <v>0</v>
      </c>
      <c r="G1895" s="225">
        <v>461</v>
      </c>
      <c r="H1895" s="225">
        <f>F1895*G1895</f>
        <v>0</v>
      </c>
      <c r="I1895" s="225"/>
      <c r="J1895" s="225"/>
      <c r="K1895" s="225"/>
      <c r="L1895" s="225"/>
      <c r="M1895" s="225">
        <f>J1895+H1895+L1895</f>
        <v>0</v>
      </c>
      <c r="N1895" s="793">
        <f>60+388+13.8</f>
        <v>461.8</v>
      </c>
    </row>
    <row r="1896" spans="1:14" s="88" customFormat="1" hidden="1">
      <c r="A1896" s="83"/>
      <c r="B1896" s="1458"/>
      <c r="C1896" s="226" t="s">
        <v>214</v>
      </c>
      <c r="D1896" s="83" t="s">
        <v>57</v>
      </c>
      <c r="E1896" s="264">
        <v>0.98499999999999999</v>
      </c>
      <c r="F1896" s="386">
        <f>F1891*E1896</f>
        <v>0</v>
      </c>
      <c r="G1896" s="225">
        <v>3.2</v>
      </c>
      <c r="H1896" s="225">
        <f>F1896*G1896</f>
        <v>0</v>
      </c>
      <c r="I1896" s="225"/>
      <c r="J1896" s="225"/>
      <c r="K1896" s="225"/>
      <c r="L1896" s="225"/>
      <c r="M1896" s="225">
        <f>J1896+H1896+L1896</f>
        <v>0</v>
      </c>
    </row>
    <row r="1897" spans="1:14" s="85" customFormat="1" ht="27" hidden="1">
      <c r="A1897" s="140">
        <v>3</v>
      </c>
      <c r="B1897" s="1456" t="s">
        <v>99</v>
      </c>
      <c r="C1897" s="180" t="s">
        <v>587</v>
      </c>
      <c r="D1897" s="140" t="s">
        <v>113</v>
      </c>
      <c r="E1897" s="449"/>
      <c r="F1897" s="384">
        <f>'დეფექტური აქტი'!E459</f>
        <v>0</v>
      </c>
      <c r="G1897" s="422"/>
      <c r="H1897" s="422"/>
      <c r="I1897" s="422"/>
      <c r="J1897" s="422"/>
      <c r="K1897" s="422"/>
      <c r="L1897" s="422"/>
      <c r="M1897" s="422"/>
    </row>
    <row r="1898" spans="1:14" s="92" customFormat="1" hidden="1">
      <c r="A1898" s="83"/>
      <c r="B1898" s="1457"/>
      <c r="C1898" s="226" t="s">
        <v>209</v>
      </c>
      <c r="D1898" s="83" t="s">
        <v>113</v>
      </c>
      <c r="E1898" s="264">
        <v>1</v>
      </c>
      <c r="F1898" s="386">
        <f>F1897*E1898</f>
        <v>0</v>
      </c>
      <c r="G1898" s="225"/>
      <c r="H1898" s="225"/>
      <c r="I1898" s="225">
        <v>15</v>
      </c>
      <c r="J1898" s="225">
        <f>F1898*I1898</f>
        <v>0</v>
      </c>
      <c r="K1898" s="225"/>
      <c r="L1898" s="225"/>
      <c r="M1898" s="225">
        <f>J1898+H1898+L1898</f>
        <v>0</v>
      </c>
    </row>
    <row r="1899" spans="1:14" s="85" customFormat="1" hidden="1">
      <c r="A1899" s="83"/>
      <c r="B1899" s="1457"/>
      <c r="C1899" s="15" t="s">
        <v>210</v>
      </c>
      <c r="D1899" s="211"/>
      <c r="E1899" s="264"/>
      <c r="F1899" s="386"/>
      <c r="G1899" s="225"/>
      <c r="H1899" s="225"/>
      <c r="I1899" s="225"/>
      <c r="J1899" s="225"/>
      <c r="K1899" s="225"/>
      <c r="L1899" s="225"/>
      <c r="M1899" s="225"/>
    </row>
    <row r="1900" spans="1:14" s="88" customFormat="1" ht="27" hidden="1">
      <c r="A1900" s="83"/>
      <c r="B1900" s="1458"/>
      <c r="C1900" s="84" t="s">
        <v>587</v>
      </c>
      <c r="D1900" s="83" t="s">
        <v>113</v>
      </c>
      <c r="E1900" s="264">
        <v>1</v>
      </c>
      <c r="F1900" s="386">
        <f>F1897*E1900</f>
        <v>0</v>
      </c>
      <c r="G1900" s="610">
        <v>123</v>
      </c>
      <c r="H1900" s="225">
        <f>F1900*G1900</f>
        <v>0</v>
      </c>
      <c r="I1900" s="225"/>
      <c r="J1900" s="225"/>
      <c r="K1900" s="225"/>
      <c r="L1900" s="225"/>
      <c r="M1900" s="225">
        <f>J1900+H1900+L1900</f>
        <v>0</v>
      </c>
    </row>
    <row r="1901" spans="1:14" s="88" customFormat="1" ht="27" hidden="1">
      <c r="A1901" s="140">
        <v>4</v>
      </c>
      <c r="B1901" s="1456" t="s">
        <v>99</v>
      </c>
      <c r="C1901" s="180" t="s">
        <v>588</v>
      </c>
      <c r="D1901" s="140" t="s">
        <v>113</v>
      </c>
      <c r="E1901" s="449"/>
      <c r="F1901" s="384">
        <f>'დეფექტური აქტი'!E460</f>
        <v>0</v>
      </c>
      <c r="G1901" s="422"/>
      <c r="H1901" s="422"/>
      <c r="I1901" s="422"/>
      <c r="J1901" s="422"/>
      <c r="K1901" s="422"/>
      <c r="L1901" s="422"/>
      <c r="M1901" s="422"/>
    </row>
    <row r="1902" spans="1:14" s="88" customFormat="1" hidden="1">
      <c r="A1902" s="83"/>
      <c r="B1902" s="1457"/>
      <c r="C1902" s="226" t="s">
        <v>209</v>
      </c>
      <c r="D1902" s="83" t="s">
        <v>113</v>
      </c>
      <c r="E1902" s="264">
        <v>1</v>
      </c>
      <c r="F1902" s="386">
        <f>F1901*E1902</f>
        <v>0</v>
      </c>
      <c r="G1902" s="225"/>
      <c r="H1902" s="225"/>
      <c r="I1902" s="225">
        <v>15</v>
      </c>
      <c r="J1902" s="225">
        <f>F1902*I1902</f>
        <v>0</v>
      </c>
      <c r="K1902" s="225"/>
      <c r="L1902" s="225"/>
      <c r="M1902" s="225">
        <f>J1902+H1902+L1902</f>
        <v>0</v>
      </c>
    </row>
    <row r="1903" spans="1:14" s="93" customFormat="1" hidden="1">
      <c r="A1903" s="83"/>
      <c r="B1903" s="1457"/>
      <c r="C1903" s="15" t="s">
        <v>210</v>
      </c>
      <c r="D1903" s="211"/>
      <c r="E1903" s="264"/>
      <c r="F1903" s="386"/>
      <c r="G1903" s="225"/>
      <c r="H1903" s="225"/>
      <c r="I1903" s="225"/>
      <c r="J1903" s="225"/>
      <c r="K1903" s="225"/>
      <c r="L1903" s="225"/>
      <c r="M1903" s="225"/>
    </row>
    <row r="1904" spans="1:14" s="93" customFormat="1" ht="27" hidden="1">
      <c r="A1904" s="83"/>
      <c r="B1904" s="1458"/>
      <c r="C1904" s="84" t="s">
        <v>588</v>
      </c>
      <c r="D1904" s="86" t="s">
        <v>113</v>
      </c>
      <c r="E1904" s="264">
        <v>1</v>
      </c>
      <c r="F1904" s="386">
        <f>F1901*E1904</f>
        <v>0</v>
      </c>
      <c r="G1904" s="439">
        <v>110</v>
      </c>
      <c r="H1904" s="225">
        <f>F1904*G1904</f>
        <v>0</v>
      </c>
      <c r="I1904" s="225"/>
      <c r="J1904" s="225"/>
      <c r="K1904" s="225"/>
      <c r="L1904" s="225"/>
      <c r="M1904" s="225">
        <f>J1904+H1904+L1904</f>
        <v>0</v>
      </c>
    </row>
    <row r="1905" spans="1:13" s="93" customFormat="1" ht="27" hidden="1">
      <c r="A1905" s="140">
        <v>5</v>
      </c>
      <c r="B1905" s="1456" t="s">
        <v>358</v>
      </c>
      <c r="C1905" s="151" t="s">
        <v>1104</v>
      </c>
      <c r="D1905" s="140" t="s">
        <v>113</v>
      </c>
      <c r="E1905" s="218"/>
      <c r="F1905" s="384">
        <f>'დეფექტური აქტი'!E461</f>
        <v>0</v>
      </c>
      <c r="G1905" s="422"/>
      <c r="H1905" s="422"/>
      <c r="I1905" s="422"/>
      <c r="J1905" s="422"/>
      <c r="K1905" s="422"/>
      <c r="L1905" s="422"/>
      <c r="M1905" s="422"/>
    </row>
    <row r="1906" spans="1:13" s="89" customFormat="1" hidden="1">
      <c r="A1906" s="83"/>
      <c r="B1906" s="1457"/>
      <c r="C1906" s="226" t="s">
        <v>128</v>
      </c>
      <c r="D1906" s="211" t="s">
        <v>80</v>
      </c>
      <c r="E1906" s="264">
        <v>0.34</v>
      </c>
      <c r="F1906" s="386">
        <f>F1905*E1906</f>
        <v>0</v>
      </c>
      <c r="G1906" s="225"/>
      <c r="H1906" s="225"/>
      <c r="I1906" s="225">
        <v>6</v>
      </c>
      <c r="J1906" s="225">
        <f>F1906*I1906</f>
        <v>0</v>
      </c>
      <c r="K1906" s="225"/>
      <c r="L1906" s="225"/>
      <c r="M1906" s="225">
        <f>J1906+H1906+L1906</f>
        <v>0</v>
      </c>
    </row>
    <row r="1907" spans="1:13" s="93" customFormat="1" hidden="1">
      <c r="A1907" s="83"/>
      <c r="B1907" s="1457"/>
      <c r="C1907" s="226" t="s">
        <v>133</v>
      </c>
      <c r="D1907" s="83" t="s">
        <v>57</v>
      </c>
      <c r="E1907" s="265">
        <v>1.2999999999999999E-2</v>
      </c>
      <c r="F1907" s="386">
        <f>F1905*E1907</f>
        <v>0</v>
      </c>
      <c r="G1907" s="225"/>
      <c r="H1907" s="225"/>
      <c r="I1907" s="225"/>
      <c r="J1907" s="225"/>
      <c r="K1907" s="225">
        <v>3.2</v>
      </c>
      <c r="L1907" s="225">
        <f>F1907*K1907</f>
        <v>0</v>
      </c>
      <c r="M1907" s="225">
        <f>J1907+H1907+L1907</f>
        <v>0</v>
      </c>
    </row>
    <row r="1908" spans="1:13" s="93" customFormat="1" hidden="1">
      <c r="A1908" s="83"/>
      <c r="B1908" s="1457"/>
      <c r="C1908" s="15" t="s">
        <v>210</v>
      </c>
      <c r="D1908" s="211"/>
      <c r="E1908" s="264"/>
      <c r="F1908" s="386"/>
      <c r="G1908" s="225"/>
      <c r="H1908" s="225"/>
      <c r="I1908" s="225"/>
      <c r="J1908" s="225"/>
      <c r="K1908" s="225"/>
      <c r="L1908" s="225"/>
      <c r="M1908" s="225"/>
    </row>
    <row r="1909" spans="1:13" s="93" customFormat="1" ht="27" hidden="1">
      <c r="A1909" s="83"/>
      <c r="B1909" s="1457"/>
      <c r="C1909" s="84" t="s">
        <v>1104</v>
      </c>
      <c r="D1909" s="83" t="s">
        <v>113</v>
      </c>
      <c r="E1909" s="264">
        <v>1</v>
      </c>
      <c r="F1909" s="386">
        <f>F1905*E1909</f>
        <v>0</v>
      </c>
      <c r="G1909" s="386">
        <v>3.5</v>
      </c>
      <c r="H1909" s="225">
        <f>F1909*G1909</f>
        <v>0</v>
      </c>
      <c r="I1909" s="225"/>
      <c r="J1909" s="225"/>
      <c r="K1909" s="225"/>
      <c r="L1909" s="225"/>
      <c r="M1909" s="225">
        <f>J1909+H1909+L1909</f>
        <v>0</v>
      </c>
    </row>
    <row r="1910" spans="1:13" s="93" customFormat="1" hidden="1">
      <c r="A1910" s="83"/>
      <c r="B1910" s="1458"/>
      <c r="C1910" s="226" t="s">
        <v>214</v>
      </c>
      <c r="D1910" s="86" t="s">
        <v>57</v>
      </c>
      <c r="E1910" s="264">
        <v>9.4E-2</v>
      </c>
      <c r="F1910" s="386">
        <f>F1905*E1910</f>
        <v>0</v>
      </c>
      <c r="G1910" s="225">
        <v>3.2</v>
      </c>
      <c r="H1910" s="225">
        <f>F1910*G1910</f>
        <v>0</v>
      </c>
      <c r="I1910" s="225"/>
      <c r="J1910" s="225"/>
      <c r="K1910" s="225"/>
      <c r="L1910" s="225"/>
      <c r="M1910" s="225">
        <f>J1910+H1910+L1910</f>
        <v>0</v>
      </c>
    </row>
    <row r="1911" spans="1:13" s="93" customFormat="1" hidden="1">
      <c r="A1911" s="24">
        <v>6</v>
      </c>
      <c r="B1911" s="24"/>
      <c r="C1911" s="268" t="s">
        <v>902</v>
      </c>
      <c r="D1911" s="24" t="s">
        <v>113</v>
      </c>
      <c r="E1911" s="269"/>
      <c r="F1911" s="397">
        <f>'დეფექტური აქტი'!E462</f>
        <v>0</v>
      </c>
      <c r="G1911" s="607">
        <v>0.9</v>
      </c>
      <c r="H1911" s="607">
        <f>F1911*G1911</f>
        <v>0</v>
      </c>
      <c r="I1911" s="607"/>
      <c r="J1911" s="607"/>
      <c r="K1911" s="607"/>
      <c r="L1911" s="607"/>
      <c r="M1911" s="607">
        <f>J1911+H1911+L1911</f>
        <v>0</v>
      </c>
    </row>
    <row r="1912" spans="1:13" s="89" customFormat="1" hidden="1">
      <c r="A1912" s="140">
        <v>7</v>
      </c>
      <c r="B1912" s="1456" t="s">
        <v>563</v>
      </c>
      <c r="C1912" s="151" t="s">
        <v>1080</v>
      </c>
      <c r="D1912" s="47" t="s">
        <v>122</v>
      </c>
      <c r="E1912" s="218"/>
      <c r="F1912" s="384">
        <f>'დეფექტური აქტი'!E463</f>
        <v>0</v>
      </c>
      <c r="G1912" s="422"/>
      <c r="H1912" s="422"/>
      <c r="I1912" s="422"/>
      <c r="J1912" s="422"/>
      <c r="K1912" s="422"/>
      <c r="L1912" s="422"/>
      <c r="M1912" s="422"/>
    </row>
    <row r="1913" spans="1:13" s="93" customFormat="1" hidden="1">
      <c r="A1913" s="83"/>
      <c r="B1913" s="1457"/>
      <c r="C1913" s="226" t="s">
        <v>128</v>
      </c>
      <c r="D1913" s="211" t="s">
        <v>80</v>
      </c>
      <c r="E1913" s="264">
        <v>0.11</v>
      </c>
      <c r="F1913" s="386">
        <f>F1912*E1913</f>
        <v>0</v>
      </c>
      <c r="G1913" s="225"/>
      <c r="H1913" s="225"/>
      <c r="I1913" s="225">
        <v>4.5999999999999996</v>
      </c>
      <c r="J1913" s="225">
        <f>F1913*I1913</f>
        <v>0</v>
      </c>
      <c r="K1913" s="225"/>
      <c r="L1913" s="225"/>
      <c r="M1913" s="225">
        <f>J1913+H1913+L1913</f>
        <v>0</v>
      </c>
    </row>
    <row r="1914" spans="1:13" s="93" customFormat="1" hidden="1">
      <c r="A1914" s="83"/>
      <c r="B1914" s="1457"/>
      <c r="C1914" s="226" t="s">
        <v>181</v>
      </c>
      <c r="D1914" s="83" t="s">
        <v>57</v>
      </c>
      <c r="E1914" s="265">
        <v>3.0000000000000001E-3</v>
      </c>
      <c r="F1914" s="386">
        <f>F1912*E1914</f>
        <v>0</v>
      </c>
      <c r="G1914" s="225"/>
      <c r="H1914" s="225"/>
      <c r="I1914" s="225"/>
      <c r="J1914" s="225"/>
      <c r="K1914" s="225">
        <v>3.2</v>
      </c>
      <c r="L1914" s="225">
        <f>F1914*K1914</f>
        <v>0</v>
      </c>
      <c r="M1914" s="225">
        <f>J1914+H1914+L1914</f>
        <v>0</v>
      </c>
    </row>
    <row r="1915" spans="1:13" s="93" customFormat="1" hidden="1">
      <c r="A1915" s="83"/>
      <c r="B1915" s="1457"/>
      <c r="C1915" s="15" t="s">
        <v>210</v>
      </c>
      <c r="D1915" s="211"/>
      <c r="E1915" s="264"/>
      <c r="F1915" s="386"/>
      <c r="G1915" s="225"/>
      <c r="H1915" s="225"/>
      <c r="I1915" s="225"/>
      <c r="J1915" s="225"/>
      <c r="K1915" s="225"/>
      <c r="L1915" s="225"/>
      <c r="M1915" s="225"/>
    </row>
    <row r="1916" spans="1:13" s="93" customFormat="1" ht="27" hidden="1">
      <c r="A1916" s="83"/>
      <c r="B1916" s="1457"/>
      <c r="C1916" s="84" t="s">
        <v>1670</v>
      </c>
      <c r="D1916" s="41" t="s">
        <v>122</v>
      </c>
      <c r="E1916" s="264">
        <v>1</v>
      </c>
      <c r="F1916" s="388">
        <f>F1912*E1916</f>
        <v>0</v>
      </c>
      <c r="G1916" s="386">
        <v>3.05</v>
      </c>
      <c r="H1916" s="225">
        <f>F1916*G1916</f>
        <v>0</v>
      </c>
      <c r="I1916" s="225"/>
      <c r="J1916" s="225"/>
      <c r="K1916" s="225"/>
      <c r="L1916" s="225"/>
      <c r="M1916" s="225">
        <f>J1916+H1916+L1916</f>
        <v>0</v>
      </c>
    </row>
    <row r="1917" spans="1:13" s="89" customFormat="1" hidden="1">
      <c r="A1917" s="86"/>
      <c r="B1917" s="1458"/>
      <c r="C1917" s="229" t="s">
        <v>214</v>
      </c>
      <c r="D1917" s="86" t="s">
        <v>57</v>
      </c>
      <c r="E1917" s="270">
        <v>3.49E-2</v>
      </c>
      <c r="F1917" s="387">
        <f>F1912*E1917</f>
        <v>0</v>
      </c>
      <c r="G1917" s="387">
        <v>3.2</v>
      </c>
      <c r="H1917" s="393">
        <f>F1917*G1917</f>
        <v>0</v>
      </c>
      <c r="I1917" s="393"/>
      <c r="J1917" s="393"/>
      <c r="K1917" s="393"/>
      <c r="L1917" s="393"/>
      <c r="M1917" s="393">
        <f>J1917+H1917+L1917</f>
        <v>0</v>
      </c>
    </row>
    <row r="1918" spans="1:13" s="89" customFormat="1" hidden="1">
      <c r="A1918" s="83">
        <v>8</v>
      </c>
      <c r="B1918" s="1457" t="s">
        <v>563</v>
      </c>
      <c r="C1918" s="84" t="s">
        <v>1080</v>
      </c>
      <c r="D1918" s="41" t="s">
        <v>122</v>
      </c>
      <c r="E1918" s="265"/>
      <c r="F1918" s="388">
        <f>'დეფექტური აქტი'!E464</f>
        <v>0</v>
      </c>
      <c r="G1918" s="225"/>
      <c r="H1918" s="225"/>
      <c r="I1918" s="225"/>
      <c r="J1918" s="225"/>
      <c r="K1918" s="225"/>
      <c r="L1918" s="225"/>
      <c r="M1918" s="225"/>
    </row>
    <row r="1919" spans="1:13" s="93" customFormat="1" hidden="1">
      <c r="A1919" s="83"/>
      <c r="B1919" s="1457"/>
      <c r="C1919" s="226" t="s">
        <v>128</v>
      </c>
      <c r="D1919" s="211" t="s">
        <v>80</v>
      </c>
      <c r="E1919" s="264">
        <v>0.11</v>
      </c>
      <c r="F1919" s="386">
        <f>F1918*E1919</f>
        <v>0</v>
      </c>
      <c r="G1919" s="225"/>
      <c r="H1919" s="225"/>
      <c r="I1919" s="225">
        <v>4.5999999999999996</v>
      </c>
      <c r="J1919" s="225">
        <f>F1919*I1919</f>
        <v>0</v>
      </c>
      <c r="K1919" s="225"/>
      <c r="L1919" s="225"/>
      <c r="M1919" s="225">
        <f>J1919+H1919+L1919</f>
        <v>0</v>
      </c>
    </row>
    <row r="1920" spans="1:13" s="93" customFormat="1" hidden="1">
      <c r="A1920" s="83"/>
      <c r="B1920" s="1457"/>
      <c r="C1920" s="226" t="s">
        <v>181</v>
      </c>
      <c r="D1920" s="83" t="s">
        <v>57</v>
      </c>
      <c r="E1920" s="265">
        <v>3.0000000000000001E-3</v>
      </c>
      <c r="F1920" s="386">
        <f>F1918*E1920</f>
        <v>0</v>
      </c>
      <c r="G1920" s="225"/>
      <c r="H1920" s="225"/>
      <c r="I1920" s="225"/>
      <c r="J1920" s="225"/>
      <c r="K1920" s="225">
        <v>3.2</v>
      </c>
      <c r="L1920" s="225">
        <f>F1920*K1920</f>
        <v>0</v>
      </c>
      <c r="M1920" s="225">
        <f>J1920+H1920+L1920</f>
        <v>0</v>
      </c>
    </row>
    <row r="1921" spans="1:13" s="93" customFormat="1" hidden="1">
      <c r="A1921" s="83"/>
      <c r="B1921" s="1457"/>
      <c r="C1921" s="15" t="s">
        <v>210</v>
      </c>
      <c r="D1921" s="211"/>
      <c r="E1921" s="264"/>
      <c r="F1921" s="386"/>
      <c r="G1921" s="225"/>
      <c r="H1921" s="225"/>
      <c r="I1921" s="225"/>
      <c r="J1921" s="225"/>
      <c r="K1921" s="225"/>
      <c r="L1921" s="225"/>
      <c r="M1921" s="225"/>
    </row>
    <row r="1922" spans="1:13" s="93" customFormat="1" ht="27" hidden="1">
      <c r="A1922" s="83"/>
      <c r="B1922" s="1457"/>
      <c r="C1922" s="84" t="s">
        <v>1671</v>
      </c>
      <c r="D1922" s="41" t="s">
        <v>122</v>
      </c>
      <c r="E1922" s="264">
        <v>1</v>
      </c>
      <c r="F1922" s="388">
        <f>F1918*E1922</f>
        <v>0</v>
      </c>
      <c r="G1922" s="386">
        <v>5.08</v>
      </c>
      <c r="H1922" s="225">
        <f>F1922*G1922</f>
        <v>0</v>
      </c>
      <c r="I1922" s="225"/>
      <c r="J1922" s="225"/>
      <c r="K1922" s="225"/>
      <c r="L1922" s="225"/>
      <c r="M1922" s="225">
        <f>J1922+H1922+L1922</f>
        <v>0</v>
      </c>
    </row>
    <row r="1923" spans="1:13" s="89" customFormat="1" hidden="1">
      <c r="A1923" s="83"/>
      <c r="B1923" s="1458"/>
      <c r="C1923" s="226" t="s">
        <v>214</v>
      </c>
      <c r="D1923" s="86" t="s">
        <v>57</v>
      </c>
      <c r="E1923" s="264">
        <v>3.49E-2</v>
      </c>
      <c r="F1923" s="386">
        <f>F1918*E1923</f>
        <v>0</v>
      </c>
      <c r="G1923" s="386">
        <v>3.2</v>
      </c>
      <c r="H1923" s="225">
        <f>F1923*G1923</f>
        <v>0</v>
      </c>
      <c r="I1923" s="225"/>
      <c r="J1923" s="225"/>
      <c r="K1923" s="225"/>
      <c r="L1923" s="225"/>
      <c r="M1923" s="225">
        <f>J1923+H1923+L1923</f>
        <v>0</v>
      </c>
    </row>
    <row r="1924" spans="1:13" s="93" customFormat="1" hidden="1">
      <c r="A1924" s="140">
        <v>9</v>
      </c>
      <c r="B1924" s="1456" t="s">
        <v>565</v>
      </c>
      <c r="C1924" s="151" t="s">
        <v>1673</v>
      </c>
      <c r="D1924" s="47" t="s">
        <v>122</v>
      </c>
      <c r="E1924" s="218"/>
      <c r="F1924" s="384">
        <f>'დეფექტური აქტი'!E465</f>
        <v>0</v>
      </c>
      <c r="G1924" s="422"/>
      <c r="H1924" s="422"/>
      <c r="I1924" s="422"/>
      <c r="J1924" s="422"/>
      <c r="K1924" s="422"/>
      <c r="L1924" s="422"/>
      <c r="M1924" s="422"/>
    </row>
    <row r="1925" spans="1:13" s="93" customFormat="1" hidden="1">
      <c r="A1925" s="83"/>
      <c r="B1925" s="1457"/>
      <c r="C1925" s="226" t="s">
        <v>209</v>
      </c>
      <c r="D1925" s="211" t="s">
        <v>80</v>
      </c>
      <c r="E1925" s="264">
        <v>0.26</v>
      </c>
      <c r="F1925" s="386">
        <f>F1924*E1925</f>
        <v>0</v>
      </c>
      <c r="G1925" s="225"/>
      <c r="H1925" s="225"/>
      <c r="I1925" s="225">
        <v>4.5999999999999996</v>
      </c>
      <c r="J1925" s="225">
        <f>F1925*I1925</f>
        <v>0</v>
      </c>
      <c r="K1925" s="225"/>
      <c r="L1925" s="225"/>
      <c r="M1925" s="225">
        <f>J1925+H1925+L1925</f>
        <v>0</v>
      </c>
    </row>
    <row r="1926" spans="1:13" s="92" customFormat="1" hidden="1">
      <c r="A1926" s="83"/>
      <c r="B1926" s="1457"/>
      <c r="C1926" s="226" t="s">
        <v>181</v>
      </c>
      <c r="D1926" s="83" t="s">
        <v>57</v>
      </c>
      <c r="E1926" s="265">
        <v>0.122</v>
      </c>
      <c r="F1926" s="386">
        <f>F1924*E1926</f>
        <v>0</v>
      </c>
      <c r="G1926" s="225"/>
      <c r="H1926" s="225"/>
      <c r="I1926" s="225"/>
      <c r="J1926" s="225"/>
      <c r="K1926" s="225">
        <v>3.2</v>
      </c>
      <c r="L1926" s="225">
        <f>F1926*K1926</f>
        <v>0</v>
      </c>
      <c r="M1926" s="225">
        <f>J1926+H1926+L1926</f>
        <v>0</v>
      </c>
    </row>
    <row r="1927" spans="1:13" s="92" customFormat="1" hidden="1">
      <c r="A1927" s="83"/>
      <c r="B1927" s="1457"/>
      <c r="C1927" s="15" t="s">
        <v>210</v>
      </c>
      <c r="D1927" s="211"/>
      <c r="E1927" s="264"/>
      <c r="F1927" s="386"/>
      <c r="G1927" s="225"/>
      <c r="H1927" s="225"/>
      <c r="I1927" s="225"/>
      <c r="J1927" s="225"/>
      <c r="K1927" s="225"/>
      <c r="L1927" s="225"/>
      <c r="M1927" s="225"/>
    </row>
    <row r="1928" spans="1:13" s="85" customFormat="1" hidden="1">
      <c r="A1928" s="83"/>
      <c r="B1928" s="1457"/>
      <c r="C1928" s="84" t="s">
        <v>1673</v>
      </c>
      <c r="D1928" s="41" t="s">
        <v>122</v>
      </c>
      <c r="E1928" s="264">
        <v>1</v>
      </c>
      <c r="F1928" s="386">
        <f>F1924*E1928</f>
        <v>0</v>
      </c>
      <c r="G1928" s="386">
        <v>0.42</v>
      </c>
      <c r="H1928" s="225">
        <f>F1928*G1928</f>
        <v>0</v>
      </c>
      <c r="I1928" s="225"/>
      <c r="J1928" s="225"/>
      <c r="K1928" s="225"/>
      <c r="L1928" s="225"/>
      <c r="M1928" s="225">
        <f>J1928+H1928+L1928</f>
        <v>0</v>
      </c>
    </row>
    <row r="1929" spans="1:13" s="88" customFormat="1" hidden="1">
      <c r="A1929" s="83"/>
      <c r="B1929" s="1458"/>
      <c r="C1929" s="226" t="s">
        <v>214</v>
      </c>
      <c r="D1929" s="86" t="s">
        <v>57</v>
      </c>
      <c r="E1929" s="264">
        <v>8.2000000000000003E-2</v>
      </c>
      <c r="F1929" s="386">
        <f>F1924*E1929</f>
        <v>0</v>
      </c>
      <c r="G1929" s="386">
        <v>3.2</v>
      </c>
      <c r="H1929" s="225">
        <f>F1929*G1929</f>
        <v>0</v>
      </c>
      <c r="I1929" s="225"/>
      <c r="J1929" s="225"/>
      <c r="K1929" s="225"/>
      <c r="L1929" s="225"/>
      <c r="M1929" s="225">
        <f>J1929+H1929+L1929</f>
        <v>0</v>
      </c>
    </row>
    <row r="1930" spans="1:13" s="88" customFormat="1" hidden="1">
      <c r="A1930" s="140">
        <v>10</v>
      </c>
      <c r="B1930" s="1456" t="s">
        <v>598</v>
      </c>
      <c r="C1930" s="151" t="s">
        <v>1103</v>
      </c>
      <c r="D1930" s="47" t="s">
        <v>122</v>
      </c>
      <c r="E1930" s="218"/>
      <c r="F1930" s="384">
        <f>'დეფექტური აქტი'!E466</f>
        <v>0</v>
      </c>
      <c r="G1930" s="422"/>
      <c r="H1930" s="422"/>
      <c r="I1930" s="422"/>
      <c r="J1930" s="422"/>
      <c r="K1930" s="422"/>
      <c r="L1930" s="422"/>
      <c r="M1930" s="422"/>
    </row>
    <row r="1931" spans="1:13" s="88" customFormat="1" hidden="1">
      <c r="A1931" s="83"/>
      <c r="B1931" s="1457"/>
      <c r="C1931" s="226" t="s">
        <v>209</v>
      </c>
      <c r="D1931" s="211" t="s">
        <v>80</v>
      </c>
      <c r="E1931" s="264">
        <v>0.32</v>
      </c>
      <c r="F1931" s="386">
        <f>F1930*E1931</f>
        <v>0</v>
      </c>
      <c r="G1931" s="225"/>
      <c r="H1931" s="225"/>
      <c r="I1931" s="225">
        <v>4.5999999999999996</v>
      </c>
      <c r="J1931" s="225">
        <f>F1931*I1931</f>
        <v>0</v>
      </c>
      <c r="K1931" s="225"/>
      <c r="L1931" s="225"/>
      <c r="M1931" s="225">
        <f>J1931+H1931+L1931</f>
        <v>0</v>
      </c>
    </row>
    <row r="1932" spans="1:13" s="92" customFormat="1" hidden="1">
      <c r="A1932" s="83"/>
      <c r="B1932" s="1457"/>
      <c r="C1932" s="226" t="s">
        <v>81</v>
      </c>
      <c r="D1932" s="83" t="s">
        <v>57</v>
      </c>
      <c r="E1932" s="265">
        <v>0.192</v>
      </c>
      <c r="F1932" s="386">
        <f>F1930*E1932</f>
        <v>0</v>
      </c>
      <c r="G1932" s="225"/>
      <c r="H1932" s="225"/>
      <c r="I1932" s="225"/>
      <c r="J1932" s="225"/>
      <c r="K1932" s="225">
        <v>3.2</v>
      </c>
      <c r="L1932" s="225">
        <f>F1932*K1932</f>
        <v>0</v>
      </c>
      <c r="M1932" s="225">
        <f>J1932+H1932+L1932</f>
        <v>0</v>
      </c>
    </row>
    <row r="1933" spans="1:13" s="92" customFormat="1" hidden="1">
      <c r="A1933" s="83"/>
      <c r="B1933" s="1457"/>
      <c r="C1933" s="15" t="s">
        <v>210</v>
      </c>
      <c r="D1933" s="211"/>
      <c r="E1933" s="264"/>
      <c r="F1933" s="386"/>
      <c r="G1933" s="225"/>
      <c r="H1933" s="225"/>
      <c r="I1933" s="225"/>
      <c r="J1933" s="225"/>
      <c r="K1933" s="225"/>
      <c r="L1933" s="225"/>
      <c r="M1933" s="225"/>
    </row>
    <row r="1934" spans="1:13" s="85" customFormat="1" hidden="1">
      <c r="A1934" s="83"/>
      <c r="B1934" s="1457"/>
      <c r="C1934" s="84" t="s">
        <v>593</v>
      </c>
      <c r="D1934" s="41" t="s">
        <v>122</v>
      </c>
      <c r="E1934" s="264">
        <v>1</v>
      </c>
      <c r="F1934" s="386">
        <f>F1930*E1934</f>
        <v>0</v>
      </c>
      <c r="G1934" s="386">
        <v>0.59</v>
      </c>
      <c r="H1934" s="225">
        <f>F1934*G1934</f>
        <v>0</v>
      </c>
      <c r="I1934" s="225"/>
      <c r="J1934" s="225"/>
      <c r="K1934" s="225"/>
      <c r="L1934" s="225"/>
      <c r="M1934" s="225">
        <f>J1934+H1934+L1934</f>
        <v>0</v>
      </c>
    </row>
    <row r="1935" spans="1:13" s="88" customFormat="1" hidden="1">
      <c r="A1935" s="83"/>
      <c r="B1935" s="1458"/>
      <c r="C1935" s="226" t="s">
        <v>214</v>
      </c>
      <c r="D1935" s="86" t="s">
        <v>57</v>
      </c>
      <c r="E1935" s="264">
        <v>0.128</v>
      </c>
      <c r="F1935" s="386">
        <f>F1930*E1935</f>
        <v>0</v>
      </c>
      <c r="G1935" s="386">
        <v>3.2</v>
      </c>
      <c r="H1935" s="225">
        <f>F1935*G1935</f>
        <v>0</v>
      </c>
      <c r="I1935" s="225"/>
      <c r="J1935" s="225"/>
      <c r="K1935" s="225"/>
      <c r="L1935" s="225"/>
      <c r="M1935" s="393">
        <f>J1935+H1935+L1935</f>
        <v>0</v>
      </c>
    </row>
    <row r="1936" spans="1:13" s="88" customFormat="1" ht="27" hidden="1">
      <c r="A1936" s="140">
        <v>11</v>
      </c>
      <c r="B1936" s="1456" t="s">
        <v>599</v>
      </c>
      <c r="C1936" s="151" t="s">
        <v>988</v>
      </c>
      <c r="D1936" s="140" t="s">
        <v>594</v>
      </c>
      <c r="E1936" s="218"/>
      <c r="F1936" s="384">
        <f>'დეფექტური აქტი'!E467</f>
        <v>0</v>
      </c>
      <c r="G1936" s="422"/>
      <c r="H1936" s="422"/>
      <c r="I1936" s="422"/>
      <c r="J1936" s="422"/>
      <c r="K1936" s="422"/>
      <c r="L1936" s="422"/>
      <c r="M1936" s="422"/>
    </row>
    <row r="1937" spans="1:13" s="88" customFormat="1" hidden="1">
      <c r="A1937" s="83"/>
      <c r="B1937" s="1457"/>
      <c r="C1937" s="226" t="s">
        <v>209</v>
      </c>
      <c r="D1937" s="211" t="s">
        <v>80</v>
      </c>
      <c r="E1937" s="264">
        <v>11</v>
      </c>
      <c r="F1937" s="386">
        <f>E1937*F1936</f>
        <v>0</v>
      </c>
      <c r="G1937" s="225"/>
      <c r="H1937" s="225"/>
      <c r="I1937" s="225">
        <v>4.5999999999999996</v>
      </c>
      <c r="J1937" s="225">
        <f>F1937*I1937</f>
        <v>0</v>
      </c>
      <c r="K1937" s="225"/>
      <c r="L1937" s="225"/>
      <c r="M1937" s="225">
        <f>J1937+H1937+L1937</f>
        <v>0</v>
      </c>
    </row>
    <row r="1938" spans="1:13" s="93" customFormat="1" hidden="1">
      <c r="A1938" s="83"/>
      <c r="B1938" s="1457"/>
      <c r="C1938" s="226" t="s">
        <v>81</v>
      </c>
      <c r="D1938" s="83" t="s">
        <v>57</v>
      </c>
      <c r="E1938" s="265">
        <v>12.6</v>
      </c>
      <c r="F1938" s="386">
        <f>E1938*F1936</f>
        <v>0</v>
      </c>
      <c r="G1938" s="225"/>
      <c r="H1938" s="225"/>
      <c r="I1938" s="225"/>
      <c r="J1938" s="225"/>
      <c r="K1938" s="225">
        <v>3.2</v>
      </c>
      <c r="L1938" s="225">
        <f>F1938*K1938</f>
        <v>0</v>
      </c>
      <c r="M1938" s="225">
        <f>J1938+H1938+L1938</f>
        <v>0</v>
      </c>
    </row>
    <row r="1939" spans="1:13" s="93" customFormat="1" hidden="1">
      <c r="A1939" s="83"/>
      <c r="B1939" s="1457"/>
      <c r="C1939" s="15" t="s">
        <v>210</v>
      </c>
      <c r="D1939" s="211"/>
      <c r="E1939" s="264"/>
      <c r="F1939" s="386"/>
      <c r="G1939" s="225"/>
      <c r="H1939" s="225"/>
      <c r="I1939" s="225"/>
      <c r="J1939" s="225"/>
      <c r="K1939" s="225"/>
      <c r="L1939" s="225"/>
      <c r="M1939" s="225"/>
    </row>
    <row r="1940" spans="1:13" s="93" customFormat="1" ht="27" hidden="1">
      <c r="A1940" s="83"/>
      <c r="B1940" s="1457"/>
      <c r="C1940" s="84" t="s">
        <v>1315</v>
      </c>
      <c r="D1940" s="41" t="s">
        <v>122</v>
      </c>
      <c r="E1940" s="264">
        <v>1000</v>
      </c>
      <c r="F1940" s="386">
        <f>E1940*F1936</f>
        <v>0</v>
      </c>
      <c r="G1940" s="386">
        <v>79.349999999999994</v>
      </c>
      <c r="H1940" s="225">
        <f>F1940*G1940</f>
        <v>0</v>
      </c>
      <c r="I1940" s="225"/>
      <c r="J1940" s="225"/>
      <c r="K1940" s="225"/>
      <c r="L1940" s="225"/>
      <c r="M1940" s="225">
        <f>J1940+H1940+L1940</f>
        <v>0</v>
      </c>
    </row>
    <row r="1941" spans="1:13" s="93" customFormat="1" hidden="1">
      <c r="A1941" s="83"/>
      <c r="B1941" s="1458"/>
      <c r="C1941" s="226" t="s">
        <v>214</v>
      </c>
      <c r="D1941" s="86" t="s">
        <v>57</v>
      </c>
      <c r="E1941" s="264">
        <v>8.81</v>
      </c>
      <c r="F1941" s="386">
        <f>E1941*F1936</f>
        <v>0</v>
      </c>
      <c r="G1941" s="225">
        <v>3.2</v>
      </c>
      <c r="H1941" s="225">
        <f>F1941*G1941</f>
        <v>0</v>
      </c>
      <c r="I1941" s="225"/>
      <c r="J1941" s="225"/>
      <c r="K1941" s="225"/>
      <c r="L1941" s="225"/>
      <c r="M1941" s="225">
        <f>J1941+H1941+L1941</f>
        <v>0</v>
      </c>
    </row>
    <row r="1942" spans="1:13" s="93" customFormat="1" ht="27" hidden="1">
      <c r="A1942" s="140">
        <v>12</v>
      </c>
      <c r="B1942" s="443"/>
      <c r="C1942" s="260" t="s">
        <v>595</v>
      </c>
      <c r="D1942" s="24" t="s">
        <v>113</v>
      </c>
      <c r="E1942" s="444"/>
      <c r="F1942" s="397">
        <f>'დეფექტური აქტი'!E468</f>
        <v>0</v>
      </c>
      <c r="G1942" s="607"/>
      <c r="H1942" s="607"/>
      <c r="I1942" s="607">
        <v>5</v>
      </c>
      <c r="J1942" s="607">
        <f>F1942*I1942</f>
        <v>0</v>
      </c>
      <c r="K1942" s="607"/>
      <c r="L1942" s="607"/>
      <c r="M1942" s="607">
        <f>J1942+H1942+L1942</f>
        <v>0</v>
      </c>
    </row>
    <row r="1943" spans="1:13" hidden="1">
      <c r="A1943" s="133"/>
      <c r="B1943" s="442"/>
      <c r="C1943" s="112" t="s">
        <v>110</v>
      </c>
      <c r="D1943" s="189"/>
      <c r="E1943" s="6"/>
      <c r="F1943" s="398"/>
      <c r="G1943" s="398"/>
      <c r="H1943" s="611">
        <f>SUM(H1886:H1942)</f>
        <v>0</v>
      </c>
      <c r="I1943" s="611"/>
      <c r="J1943" s="611">
        <f>SUM(J1886:J1942)</f>
        <v>0</v>
      </c>
      <c r="K1943" s="611"/>
      <c r="L1943" s="611">
        <f>SUM(L1886:L1942)</f>
        <v>0</v>
      </c>
      <c r="M1943" s="611">
        <f>SUM(M1886:M1942)</f>
        <v>0</v>
      </c>
    </row>
    <row r="1944" spans="1:13" hidden="1">
      <c r="A1944" s="81"/>
      <c r="B1944" s="81"/>
      <c r="C1944" s="69" t="s">
        <v>658</v>
      </c>
      <c r="D1944" s="97"/>
      <c r="E1944" s="6"/>
      <c r="F1944" s="398"/>
      <c r="G1944" s="398"/>
      <c r="H1944" s="401">
        <f>H1889+H1895</f>
        <v>0</v>
      </c>
      <c r="I1944" s="401"/>
      <c r="J1944" s="401"/>
      <c r="K1944" s="401"/>
      <c r="L1944" s="401"/>
      <c r="M1944" s="401">
        <f>H1944</f>
        <v>0</v>
      </c>
    </row>
    <row r="1945" spans="1:13" hidden="1">
      <c r="A1945" s="81"/>
      <c r="B1945" s="81"/>
      <c r="C1945" s="70" t="s">
        <v>115</v>
      </c>
      <c r="D1945" s="124">
        <f>'დეფექტური აქტი'!E471%</f>
        <v>0.75</v>
      </c>
      <c r="E1945" s="6"/>
      <c r="F1945" s="398"/>
      <c r="G1945" s="398"/>
      <c r="H1945" s="401"/>
      <c r="I1945" s="401"/>
      <c r="J1945" s="401">
        <f>J1943*D1945</f>
        <v>0</v>
      </c>
      <c r="K1945" s="382"/>
      <c r="L1945" s="401"/>
      <c r="M1945" s="401">
        <f>J1945</f>
        <v>0</v>
      </c>
    </row>
    <row r="1946" spans="1:13" hidden="1">
      <c r="A1946" s="81"/>
      <c r="B1946" s="81"/>
      <c r="C1946" s="112" t="s">
        <v>110</v>
      </c>
      <c r="D1946" s="97"/>
      <c r="E1946" s="6"/>
      <c r="F1946" s="398"/>
      <c r="G1946" s="398"/>
      <c r="H1946" s="401">
        <f t="shared" ref="H1946:M1946" si="39">H1943+H1945</f>
        <v>0</v>
      </c>
      <c r="I1946" s="401">
        <f t="shared" si="39"/>
        <v>0</v>
      </c>
      <c r="J1946" s="401">
        <f t="shared" si="39"/>
        <v>0</v>
      </c>
      <c r="K1946" s="401">
        <f t="shared" si="39"/>
        <v>0</v>
      </c>
      <c r="L1946" s="401">
        <f t="shared" si="39"/>
        <v>0</v>
      </c>
      <c r="M1946" s="401">
        <f t="shared" si="39"/>
        <v>0</v>
      </c>
    </row>
    <row r="1947" spans="1:13" hidden="1">
      <c r="A1947" s="81"/>
      <c r="B1947" s="81"/>
      <c r="C1947" s="71" t="s">
        <v>116</v>
      </c>
      <c r="D1947" s="124">
        <f>'დეფექტური აქტი'!E473%</f>
        <v>0.08</v>
      </c>
      <c r="E1947" s="6"/>
      <c r="F1947" s="398"/>
      <c r="G1947" s="398"/>
      <c r="H1947" s="401">
        <f>(H1946-H1944)*D1947</f>
        <v>0</v>
      </c>
      <c r="I1947" s="401">
        <f>(I1946-I1944)*E1947</f>
        <v>0</v>
      </c>
      <c r="J1947" s="401">
        <f>(J1946-J1944)*D1947</f>
        <v>0</v>
      </c>
      <c r="K1947" s="401">
        <f>(K1946-K1944)*G1947</f>
        <v>0</v>
      </c>
      <c r="L1947" s="401">
        <f>(L1946-L1944)*D1947</f>
        <v>0</v>
      </c>
      <c r="M1947" s="401">
        <f>(M1946-M1944)*D1947</f>
        <v>0</v>
      </c>
    </row>
    <row r="1948" spans="1:13" hidden="1">
      <c r="A1948" s="81"/>
      <c r="B1948" s="81"/>
      <c r="C1948" s="112" t="s">
        <v>1218</v>
      </c>
      <c r="D1948" s="97"/>
      <c r="E1948" s="6"/>
      <c r="F1948" s="398"/>
      <c r="G1948" s="398"/>
      <c r="H1948" s="401">
        <f t="shared" ref="H1948:M1948" si="40">H1946+H1947</f>
        <v>0</v>
      </c>
      <c r="I1948" s="401">
        <f t="shared" si="40"/>
        <v>0</v>
      </c>
      <c r="J1948" s="401">
        <f t="shared" si="40"/>
        <v>0</v>
      </c>
      <c r="K1948" s="401">
        <f t="shared" si="40"/>
        <v>0</v>
      </c>
      <c r="L1948" s="401">
        <f t="shared" si="40"/>
        <v>0</v>
      </c>
      <c r="M1948" s="401">
        <f t="shared" si="40"/>
        <v>0</v>
      </c>
    </row>
    <row r="1949" spans="1:13">
      <c r="A1949" s="1197"/>
      <c r="B1949" s="149"/>
      <c r="C1949" s="176" t="s">
        <v>1875</v>
      </c>
      <c r="D1949" s="97"/>
      <c r="E1949" s="5"/>
      <c r="F1949" s="402"/>
      <c r="G1949" s="402"/>
      <c r="H1949" s="612"/>
      <c r="I1949" s="612"/>
      <c r="J1949" s="612"/>
      <c r="K1949" s="612"/>
      <c r="L1949" s="612"/>
      <c r="M1949" s="612"/>
    </row>
    <row r="1950" spans="1:13" s="93" customFormat="1" ht="67.5" hidden="1">
      <c r="A1950" s="140">
        <v>1</v>
      </c>
      <c r="B1950" s="1456" t="s">
        <v>355</v>
      </c>
      <c r="C1950" s="1039" t="s">
        <v>1677</v>
      </c>
      <c r="D1950" s="140" t="s">
        <v>113</v>
      </c>
      <c r="E1950" s="271"/>
      <c r="F1950" s="384">
        <f>'დეფექტური აქტი'!E476</f>
        <v>0</v>
      </c>
      <c r="G1950" s="422"/>
      <c r="H1950" s="422"/>
      <c r="I1950" s="422"/>
      <c r="J1950" s="422"/>
      <c r="K1950" s="422"/>
      <c r="L1950" s="422"/>
      <c r="M1950" s="422"/>
    </row>
    <row r="1951" spans="1:13" s="92" customFormat="1" hidden="1">
      <c r="A1951" s="83"/>
      <c r="B1951" s="1457"/>
      <c r="C1951" s="226" t="s">
        <v>128</v>
      </c>
      <c r="D1951" s="211" t="s">
        <v>80</v>
      </c>
      <c r="E1951" s="211">
        <v>2.71</v>
      </c>
      <c r="F1951" s="386">
        <f>F1950*E1951</f>
        <v>0</v>
      </c>
      <c r="G1951" s="225"/>
      <c r="H1951" s="225"/>
      <c r="I1951" s="225">
        <v>6</v>
      </c>
      <c r="J1951" s="225">
        <f>F1951*I1951</f>
        <v>0</v>
      </c>
      <c r="K1951" s="225"/>
      <c r="L1951" s="225"/>
      <c r="M1951" s="225">
        <f>H1951+J1951+L1951</f>
        <v>0</v>
      </c>
    </row>
    <row r="1952" spans="1:13" s="85" customFormat="1" hidden="1">
      <c r="A1952" s="83"/>
      <c r="B1952" s="1457"/>
      <c r="C1952" s="226" t="s">
        <v>81</v>
      </c>
      <c r="D1952" s="83" t="s">
        <v>57</v>
      </c>
      <c r="E1952" s="83">
        <v>0.06</v>
      </c>
      <c r="F1952" s="386">
        <f>F1950*E1952</f>
        <v>0</v>
      </c>
      <c r="G1952" s="225"/>
      <c r="H1952" s="225"/>
      <c r="I1952" s="225"/>
      <c r="J1952" s="225"/>
      <c r="K1952" s="225">
        <v>3.2</v>
      </c>
      <c r="L1952" s="225">
        <f>F1952*K1952</f>
        <v>0</v>
      </c>
      <c r="M1952" s="225">
        <f>H1952+J1952+L1952</f>
        <v>0</v>
      </c>
    </row>
    <row r="1953" spans="1:14" s="88" customFormat="1" hidden="1">
      <c r="A1953" s="83"/>
      <c r="B1953" s="1457"/>
      <c r="C1953" s="15" t="s">
        <v>210</v>
      </c>
      <c r="D1953" s="211"/>
      <c r="E1953" s="211"/>
      <c r="F1953" s="386"/>
      <c r="G1953" s="225"/>
      <c r="H1953" s="225"/>
      <c r="I1953" s="225"/>
      <c r="J1953" s="225"/>
      <c r="K1953" s="225"/>
      <c r="L1953" s="225"/>
      <c r="M1953" s="225">
        <f>H1953+J1953+L1953</f>
        <v>0</v>
      </c>
    </row>
    <row r="1954" spans="1:14" s="88" customFormat="1" hidden="1">
      <c r="A1954" s="83"/>
      <c r="B1954" s="1457"/>
      <c r="C1954" s="84" t="s">
        <v>356</v>
      </c>
      <c r="D1954" s="41" t="s">
        <v>4</v>
      </c>
      <c r="E1954" s="211">
        <v>1</v>
      </c>
      <c r="F1954" s="386">
        <f>F1950*E1954</f>
        <v>0</v>
      </c>
      <c r="G1954" s="610">
        <f>28+442+25.4+25.4</f>
        <v>520.79999999999995</v>
      </c>
      <c r="H1954" s="225">
        <f>F1954*G1954</f>
        <v>0</v>
      </c>
      <c r="I1954" s="225"/>
      <c r="J1954" s="225"/>
      <c r="K1954" s="225"/>
      <c r="L1954" s="225"/>
      <c r="M1954" s="225">
        <f>H1954+J1954+L1954</f>
        <v>0</v>
      </c>
      <c r="N1954" s="88">
        <f>60+26.3+25.4*2+120</f>
        <v>257.10000000000002</v>
      </c>
    </row>
    <row r="1955" spans="1:14" s="88" customFormat="1" hidden="1">
      <c r="A1955" s="83"/>
      <c r="B1955" s="1458"/>
      <c r="C1955" s="226" t="s">
        <v>214</v>
      </c>
      <c r="D1955" s="86" t="s">
        <v>57</v>
      </c>
      <c r="E1955" s="234">
        <v>0.94</v>
      </c>
      <c r="F1955" s="386">
        <f>F1950*E1955</f>
        <v>0</v>
      </c>
      <c r="G1955" s="225">
        <v>3.2</v>
      </c>
      <c r="H1955" s="225">
        <f>F1955*G1955</f>
        <v>0</v>
      </c>
      <c r="I1955" s="225"/>
      <c r="J1955" s="225"/>
      <c r="K1955" s="225"/>
      <c r="L1955" s="225"/>
      <c r="M1955" s="225">
        <f>H1955+J1955+L1955</f>
        <v>0</v>
      </c>
    </row>
    <row r="1956" spans="1:14" s="85" customFormat="1" ht="67.5" hidden="1">
      <c r="A1956" s="140">
        <v>2</v>
      </c>
      <c r="B1956" s="152" t="s">
        <v>355</v>
      </c>
      <c r="C1956" s="266" t="s">
        <v>1720</v>
      </c>
      <c r="D1956" s="140" t="s">
        <v>113</v>
      </c>
      <c r="E1956" s="271"/>
      <c r="F1956" s="384">
        <f>'დეფექტური აქტი'!E477</f>
        <v>0</v>
      </c>
      <c r="G1956" s="422"/>
      <c r="H1956" s="422"/>
      <c r="I1956" s="422"/>
      <c r="J1956" s="422"/>
      <c r="K1956" s="422"/>
      <c r="L1956" s="422"/>
      <c r="M1956" s="422"/>
      <c r="N1956" s="85">
        <f>60+25.4+7.4*2+6.8*4</f>
        <v>127.4</v>
      </c>
    </row>
    <row r="1957" spans="1:14" s="92" customFormat="1" hidden="1">
      <c r="A1957" s="83"/>
      <c r="B1957" s="90"/>
      <c r="C1957" s="226" t="s">
        <v>128</v>
      </c>
      <c r="D1957" s="211" t="s">
        <v>80</v>
      </c>
      <c r="E1957" s="211">
        <v>2.71</v>
      </c>
      <c r="F1957" s="386">
        <f>F1956*E1957</f>
        <v>0</v>
      </c>
      <c r="G1957" s="225"/>
      <c r="H1957" s="225"/>
      <c r="I1957" s="225">
        <v>6</v>
      </c>
      <c r="J1957" s="225">
        <f>F1957*I1957</f>
        <v>0</v>
      </c>
      <c r="K1957" s="225"/>
      <c r="L1957" s="225"/>
      <c r="M1957" s="225">
        <f>H1957+J1957+L1957</f>
        <v>0</v>
      </c>
    </row>
    <row r="1958" spans="1:14" s="85" customFormat="1" hidden="1">
      <c r="A1958" s="83"/>
      <c r="B1958" s="90"/>
      <c r="C1958" s="226" t="s">
        <v>81</v>
      </c>
      <c r="D1958" s="83" t="s">
        <v>57</v>
      </c>
      <c r="E1958" s="83">
        <v>0.06</v>
      </c>
      <c r="F1958" s="386">
        <f>F1956*E1958</f>
        <v>0</v>
      </c>
      <c r="G1958" s="225"/>
      <c r="H1958" s="225"/>
      <c r="I1958" s="225"/>
      <c r="J1958" s="225"/>
      <c r="K1958" s="225">
        <v>3.2</v>
      </c>
      <c r="L1958" s="225">
        <f>F1958*K1958</f>
        <v>0</v>
      </c>
      <c r="M1958" s="225">
        <f>H1958+J1958+L1958</f>
        <v>0</v>
      </c>
    </row>
    <row r="1959" spans="1:14" s="88" customFormat="1" hidden="1">
      <c r="A1959" s="83"/>
      <c r="B1959" s="90"/>
      <c r="C1959" s="15" t="s">
        <v>210</v>
      </c>
      <c r="D1959" s="211"/>
      <c r="E1959" s="211"/>
      <c r="F1959" s="386"/>
      <c r="G1959" s="225"/>
      <c r="H1959" s="225"/>
      <c r="I1959" s="225"/>
      <c r="J1959" s="225"/>
      <c r="K1959" s="225"/>
      <c r="L1959" s="225"/>
      <c r="M1959" s="225">
        <f>H1959+J1959+L1959</f>
        <v>0</v>
      </c>
    </row>
    <row r="1960" spans="1:14" s="88" customFormat="1" hidden="1">
      <c r="A1960" s="83"/>
      <c r="B1960" s="90"/>
      <c r="C1960" s="84" t="s">
        <v>356</v>
      </c>
      <c r="D1960" s="41" t="s">
        <v>4</v>
      </c>
      <c r="E1960" s="211">
        <v>1</v>
      </c>
      <c r="F1960" s="386">
        <f>F1956*E1960</f>
        <v>0</v>
      </c>
      <c r="G1960" s="225">
        <v>257</v>
      </c>
      <c r="H1960" s="225">
        <f>F1960*G1960</f>
        <v>0</v>
      </c>
      <c r="I1960" s="225"/>
      <c r="J1960" s="225"/>
      <c r="K1960" s="225"/>
      <c r="L1960" s="225"/>
      <c r="M1960" s="225">
        <f>H1960+J1960+L1960</f>
        <v>0</v>
      </c>
    </row>
    <row r="1961" spans="1:14" s="88" customFormat="1" hidden="1">
      <c r="A1961" s="83"/>
      <c r="B1961" s="156"/>
      <c r="C1961" s="226" t="s">
        <v>214</v>
      </c>
      <c r="D1961" s="86" t="s">
        <v>57</v>
      </c>
      <c r="E1961" s="234">
        <v>0.94</v>
      </c>
      <c r="F1961" s="386">
        <f>F1956*E1961</f>
        <v>0</v>
      </c>
      <c r="G1961" s="225">
        <v>3.2</v>
      </c>
      <c r="H1961" s="225">
        <f>F1961*G1961</f>
        <v>0</v>
      </c>
      <c r="I1961" s="225"/>
      <c r="J1961" s="225"/>
      <c r="K1961" s="225"/>
      <c r="L1961" s="225"/>
      <c r="M1961" s="225">
        <f>H1961+J1961+L1961</f>
        <v>0</v>
      </c>
    </row>
    <row r="1962" spans="1:14" s="85" customFormat="1" ht="67.5" hidden="1">
      <c r="A1962" s="140">
        <v>2</v>
      </c>
      <c r="B1962" s="152" t="s">
        <v>355</v>
      </c>
      <c r="C1962" s="266" t="s">
        <v>1721</v>
      </c>
      <c r="D1962" s="140" t="s">
        <v>113</v>
      </c>
      <c r="E1962" s="271"/>
      <c r="F1962" s="384">
        <f>'დეფექტური აქტი'!E478</f>
        <v>0</v>
      </c>
      <c r="G1962" s="422"/>
      <c r="H1962" s="422"/>
      <c r="I1962" s="422"/>
      <c r="J1962" s="422"/>
      <c r="K1962" s="422"/>
      <c r="L1962" s="422"/>
      <c r="M1962" s="422"/>
      <c r="N1962" s="85">
        <f>60+25.4+7.4*2+6.8*4</f>
        <v>127.4</v>
      </c>
    </row>
    <row r="1963" spans="1:14" s="92" customFormat="1" hidden="1">
      <c r="A1963" s="83"/>
      <c r="B1963" s="90"/>
      <c r="C1963" s="226" t="s">
        <v>128</v>
      </c>
      <c r="D1963" s="211" t="s">
        <v>80</v>
      </c>
      <c r="E1963" s="211">
        <v>2.71</v>
      </c>
      <c r="F1963" s="386">
        <f>F1962*E1963</f>
        <v>0</v>
      </c>
      <c r="G1963" s="225"/>
      <c r="H1963" s="225"/>
      <c r="I1963" s="225">
        <v>6</v>
      </c>
      <c r="J1963" s="225">
        <f>F1963*I1963</f>
        <v>0</v>
      </c>
      <c r="K1963" s="225"/>
      <c r="L1963" s="225"/>
      <c r="M1963" s="225">
        <f>H1963+J1963+L1963</f>
        <v>0</v>
      </c>
    </row>
    <row r="1964" spans="1:14" s="85" customFormat="1" hidden="1">
      <c r="A1964" s="83"/>
      <c r="B1964" s="90"/>
      <c r="C1964" s="226" t="s">
        <v>81</v>
      </c>
      <c r="D1964" s="83" t="s">
        <v>57</v>
      </c>
      <c r="E1964" s="83">
        <v>0.06</v>
      </c>
      <c r="F1964" s="386">
        <f>F1962*E1964</f>
        <v>0</v>
      </c>
      <c r="G1964" s="225"/>
      <c r="H1964" s="225"/>
      <c r="I1964" s="225"/>
      <c r="J1964" s="225"/>
      <c r="K1964" s="225">
        <v>3.2</v>
      </c>
      <c r="L1964" s="225">
        <f>F1964*K1964</f>
        <v>0</v>
      </c>
      <c r="M1964" s="225">
        <f>H1964+J1964+L1964</f>
        <v>0</v>
      </c>
    </row>
    <row r="1965" spans="1:14" s="88" customFormat="1" hidden="1">
      <c r="A1965" s="83"/>
      <c r="B1965" s="90"/>
      <c r="C1965" s="15" t="s">
        <v>210</v>
      </c>
      <c r="D1965" s="211"/>
      <c r="E1965" s="211"/>
      <c r="F1965" s="386"/>
      <c r="G1965" s="225"/>
      <c r="H1965" s="225"/>
      <c r="I1965" s="225"/>
      <c r="J1965" s="225"/>
      <c r="K1965" s="225"/>
      <c r="L1965" s="225"/>
      <c r="M1965" s="225">
        <f>H1965+J1965+L1965</f>
        <v>0</v>
      </c>
    </row>
    <row r="1966" spans="1:14" s="88" customFormat="1" hidden="1">
      <c r="A1966" s="83"/>
      <c r="B1966" s="90"/>
      <c r="C1966" s="84" t="s">
        <v>356</v>
      </c>
      <c r="D1966" s="41" t="s">
        <v>4</v>
      </c>
      <c r="E1966" s="211">
        <v>1</v>
      </c>
      <c r="F1966" s="386">
        <f>F1962*E1966</f>
        <v>0</v>
      </c>
      <c r="G1966" s="225">
        <v>127</v>
      </c>
      <c r="H1966" s="225">
        <f>F1966*G1966</f>
        <v>0</v>
      </c>
      <c r="I1966" s="225"/>
      <c r="J1966" s="225"/>
      <c r="K1966" s="225"/>
      <c r="L1966" s="225"/>
      <c r="M1966" s="225">
        <f>H1966+J1966+L1966</f>
        <v>0</v>
      </c>
    </row>
    <row r="1967" spans="1:14" s="88" customFormat="1" hidden="1">
      <c r="A1967" s="83"/>
      <c r="B1967" s="156"/>
      <c r="C1967" s="229" t="s">
        <v>214</v>
      </c>
      <c r="D1967" s="86" t="s">
        <v>57</v>
      </c>
      <c r="E1967" s="1055">
        <v>0.94</v>
      </c>
      <c r="F1967" s="387">
        <f>F1962*E1967</f>
        <v>0</v>
      </c>
      <c r="G1967" s="393">
        <v>3.2</v>
      </c>
      <c r="H1967" s="393">
        <f>F1967*G1967</f>
        <v>0</v>
      </c>
      <c r="I1967" s="393"/>
      <c r="J1967" s="393"/>
      <c r="K1967" s="393"/>
      <c r="L1967" s="393"/>
      <c r="M1967" s="393">
        <f>H1967+J1967+L1967</f>
        <v>0</v>
      </c>
    </row>
    <row r="1968" spans="1:14" s="93" customFormat="1" ht="17.25" customHeight="1">
      <c r="A1968" s="1100">
        <v>3</v>
      </c>
      <c r="B1968" s="1456" t="s">
        <v>479</v>
      </c>
      <c r="C1968" s="151" t="s">
        <v>461</v>
      </c>
      <c r="D1968" s="140" t="s">
        <v>113</v>
      </c>
      <c r="E1968" s="140"/>
      <c r="F1968" s="384">
        <f>'დეფექტური აქტი'!E479</f>
        <v>6</v>
      </c>
      <c r="G1968" s="422"/>
      <c r="H1968" s="422"/>
      <c r="I1968" s="422"/>
      <c r="J1968" s="422"/>
      <c r="K1968" s="422"/>
      <c r="L1968" s="422"/>
      <c r="M1968" s="422"/>
    </row>
    <row r="1969" spans="1:13" s="93" customFormat="1">
      <c r="A1969" s="438"/>
      <c r="B1969" s="1457"/>
      <c r="C1969" s="226" t="s">
        <v>209</v>
      </c>
      <c r="D1969" s="211" t="s">
        <v>80</v>
      </c>
      <c r="E1969" s="211">
        <v>1</v>
      </c>
      <c r="F1969" s="386">
        <f>F1968*E1969</f>
        <v>6</v>
      </c>
      <c r="G1969" s="225"/>
      <c r="H1969" s="225"/>
      <c r="I1969" s="225"/>
      <c r="J1969" s="225"/>
      <c r="K1969" s="225"/>
      <c r="L1969" s="225"/>
      <c r="M1969" s="225"/>
    </row>
    <row r="1970" spans="1:13" s="93" customFormat="1">
      <c r="A1970" s="438"/>
      <c r="B1970" s="1457"/>
      <c r="C1970" s="226" t="s">
        <v>133</v>
      </c>
      <c r="D1970" s="83" t="s">
        <v>57</v>
      </c>
      <c r="E1970" s="83">
        <v>0.05</v>
      </c>
      <c r="F1970" s="386">
        <f>F1968*E1970</f>
        <v>0.30000000000000004</v>
      </c>
      <c r="G1970" s="225"/>
      <c r="H1970" s="225"/>
      <c r="I1970" s="225"/>
      <c r="J1970" s="225"/>
      <c r="K1970" s="225"/>
      <c r="L1970" s="225"/>
      <c r="M1970" s="225"/>
    </row>
    <row r="1971" spans="1:13" s="93" customFormat="1" hidden="1">
      <c r="A1971" s="83"/>
      <c r="B1971" s="1457"/>
      <c r="C1971" s="15" t="s">
        <v>210</v>
      </c>
      <c r="D1971" s="211"/>
      <c r="E1971" s="211"/>
      <c r="F1971" s="386"/>
      <c r="G1971" s="225"/>
      <c r="H1971" s="225"/>
      <c r="I1971" s="225"/>
      <c r="J1971" s="225"/>
      <c r="K1971" s="225"/>
      <c r="L1971" s="225"/>
      <c r="M1971" s="225"/>
    </row>
    <row r="1972" spans="1:13" s="93" customFormat="1">
      <c r="A1972" s="438"/>
      <c r="B1972" s="1457"/>
      <c r="C1972" s="226" t="s">
        <v>480</v>
      </c>
      <c r="D1972" s="83" t="s">
        <v>113</v>
      </c>
      <c r="E1972" s="211">
        <v>1</v>
      </c>
      <c r="F1972" s="386">
        <f>F1968*E1972</f>
        <v>6</v>
      </c>
      <c r="G1972" s="225"/>
      <c r="H1972" s="225"/>
      <c r="I1972" s="225"/>
      <c r="J1972" s="225"/>
      <c r="K1972" s="225"/>
      <c r="L1972" s="225"/>
      <c r="M1972" s="225"/>
    </row>
    <row r="1973" spans="1:13" s="93" customFormat="1">
      <c r="A1973" s="438"/>
      <c r="B1973" s="1458"/>
      <c r="C1973" s="226" t="s">
        <v>214</v>
      </c>
      <c r="D1973" s="86" t="s">
        <v>57</v>
      </c>
      <c r="E1973" s="211">
        <v>1.07</v>
      </c>
      <c r="F1973" s="386">
        <f>F1968*E1973</f>
        <v>6.42</v>
      </c>
      <c r="G1973" s="225"/>
      <c r="H1973" s="225"/>
      <c r="I1973" s="225"/>
      <c r="J1973" s="225"/>
      <c r="K1973" s="225"/>
      <c r="L1973" s="225"/>
      <c r="M1973" s="225"/>
    </row>
    <row r="1974" spans="1:13" s="93" customFormat="1" ht="27" hidden="1">
      <c r="A1974" s="140">
        <v>4</v>
      </c>
      <c r="B1974" s="1456" t="s">
        <v>481</v>
      </c>
      <c r="C1974" s="266" t="s">
        <v>731</v>
      </c>
      <c r="D1974" s="140" t="s">
        <v>113</v>
      </c>
      <c r="E1974" s="271"/>
      <c r="F1974" s="384">
        <f>'დეფექტური აქტი'!E480</f>
        <v>0</v>
      </c>
      <c r="G1974" s="422"/>
      <c r="H1974" s="422"/>
      <c r="I1974" s="422"/>
      <c r="J1974" s="422"/>
      <c r="K1974" s="422"/>
      <c r="L1974" s="422"/>
      <c r="M1974" s="422"/>
    </row>
    <row r="1975" spans="1:13" s="93" customFormat="1" hidden="1">
      <c r="A1975" s="83"/>
      <c r="B1975" s="1457"/>
      <c r="C1975" s="226" t="s">
        <v>209</v>
      </c>
      <c r="D1975" s="211" t="s">
        <v>80</v>
      </c>
      <c r="E1975" s="211">
        <v>0.97</v>
      </c>
      <c r="F1975" s="386">
        <f>F1974*E1975</f>
        <v>0</v>
      </c>
      <c r="G1975" s="225"/>
      <c r="H1975" s="225"/>
      <c r="I1975" s="225">
        <v>6</v>
      </c>
      <c r="J1975" s="225">
        <f>F1975*I1975</f>
        <v>0</v>
      </c>
      <c r="K1975" s="225"/>
      <c r="L1975" s="225"/>
      <c r="M1975" s="225">
        <f>H1975+J1975+L1975</f>
        <v>0</v>
      </c>
    </row>
    <row r="1976" spans="1:13" s="93" customFormat="1" hidden="1">
      <c r="A1976" s="83"/>
      <c r="B1976" s="1457"/>
      <c r="C1976" s="226" t="s">
        <v>133</v>
      </c>
      <c r="D1976" s="83" t="s">
        <v>57</v>
      </c>
      <c r="E1976" s="83">
        <v>0.34899999999999998</v>
      </c>
      <c r="F1976" s="386">
        <f>F1974*E1976</f>
        <v>0</v>
      </c>
      <c r="G1976" s="225"/>
      <c r="H1976" s="225"/>
      <c r="I1976" s="225"/>
      <c r="J1976" s="225"/>
      <c r="K1976" s="225">
        <v>3.2</v>
      </c>
      <c r="L1976" s="225">
        <f>F1976*K1976</f>
        <v>0</v>
      </c>
      <c r="M1976" s="225">
        <f>H1976+J1976+L1976</f>
        <v>0</v>
      </c>
    </row>
    <row r="1977" spans="1:13" s="89" customFormat="1" hidden="1">
      <c r="A1977" s="83"/>
      <c r="B1977" s="1457"/>
      <c r="C1977" s="15" t="s">
        <v>210</v>
      </c>
      <c r="D1977" s="211"/>
      <c r="E1977" s="211"/>
      <c r="F1977" s="386"/>
      <c r="G1977" s="225"/>
      <c r="H1977" s="225"/>
      <c r="I1977" s="225"/>
      <c r="J1977" s="225"/>
      <c r="K1977" s="225"/>
      <c r="L1977" s="225"/>
      <c r="M1977" s="225"/>
    </row>
    <row r="1978" spans="1:13" s="93" customFormat="1" hidden="1">
      <c r="A1978" s="83"/>
      <c r="B1978" s="1457"/>
      <c r="C1978" s="84" t="s">
        <v>1316</v>
      </c>
      <c r="D1978" s="83" t="s">
        <v>113</v>
      </c>
      <c r="E1978" s="211">
        <v>1</v>
      </c>
      <c r="F1978" s="386">
        <f>F1974*E1978</f>
        <v>0</v>
      </c>
      <c r="G1978" s="225">
        <v>15</v>
      </c>
      <c r="H1978" s="225">
        <f>F1978*G1978</f>
        <v>0</v>
      </c>
      <c r="I1978" s="225"/>
      <c r="J1978" s="225"/>
      <c r="K1978" s="225"/>
      <c r="L1978" s="225"/>
      <c r="M1978" s="225">
        <f>H1978+J1978+L1978</f>
        <v>0</v>
      </c>
    </row>
    <row r="1979" spans="1:13" s="93" customFormat="1" hidden="1">
      <c r="A1979" s="83"/>
      <c r="B1979" s="1458"/>
      <c r="C1979" s="226" t="s">
        <v>214</v>
      </c>
      <c r="D1979" s="86" t="s">
        <v>57</v>
      </c>
      <c r="E1979" s="211">
        <v>0.38200000000000001</v>
      </c>
      <c r="F1979" s="386">
        <f>F1974*E1979</f>
        <v>0</v>
      </c>
      <c r="G1979" s="225">
        <v>3.2</v>
      </c>
      <c r="H1979" s="225">
        <f>F1979*G1979</f>
        <v>0</v>
      </c>
      <c r="I1979" s="225"/>
      <c r="J1979" s="225"/>
      <c r="K1979" s="225"/>
      <c r="L1979" s="225"/>
      <c r="M1979" s="225">
        <f>H1979+J1979+L1979</f>
        <v>0</v>
      </c>
    </row>
    <row r="1980" spans="1:13" s="93" customFormat="1" ht="27" hidden="1">
      <c r="A1980" s="140">
        <v>5</v>
      </c>
      <c r="B1980" s="1456" t="s">
        <v>481</v>
      </c>
      <c r="C1980" s="266" t="s">
        <v>732</v>
      </c>
      <c r="D1980" s="140" t="s">
        <v>113</v>
      </c>
      <c r="E1980" s="271"/>
      <c r="F1980" s="384">
        <f>'დეფექტური აქტი'!E481</f>
        <v>0</v>
      </c>
      <c r="G1980" s="422"/>
      <c r="H1980" s="422"/>
      <c r="I1980" s="422"/>
      <c r="J1980" s="422"/>
      <c r="K1980" s="422"/>
      <c r="L1980" s="422"/>
      <c r="M1980" s="422"/>
    </row>
    <row r="1981" spans="1:13" s="93" customFormat="1" hidden="1">
      <c r="A1981" s="83"/>
      <c r="B1981" s="1457"/>
      <c r="C1981" s="226" t="s">
        <v>209</v>
      </c>
      <c r="D1981" s="211" t="s">
        <v>80</v>
      </c>
      <c r="E1981" s="211">
        <v>0.97</v>
      </c>
      <c r="F1981" s="386">
        <f>F1980*E1981</f>
        <v>0</v>
      </c>
      <c r="G1981" s="225"/>
      <c r="H1981" s="225"/>
      <c r="I1981" s="225">
        <v>6</v>
      </c>
      <c r="J1981" s="225">
        <f>F1981*I1981</f>
        <v>0</v>
      </c>
      <c r="K1981" s="225"/>
      <c r="L1981" s="225"/>
      <c r="M1981" s="225">
        <f>H1981+J1981+L1981</f>
        <v>0</v>
      </c>
    </row>
    <row r="1982" spans="1:13" s="93" customFormat="1" hidden="1">
      <c r="A1982" s="83"/>
      <c r="B1982" s="1457"/>
      <c r="C1982" s="226" t="s">
        <v>133</v>
      </c>
      <c r="D1982" s="83" t="s">
        <v>57</v>
      </c>
      <c r="E1982" s="83">
        <v>0.34899999999999998</v>
      </c>
      <c r="F1982" s="386">
        <f>F1980*E1982</f>
        <v>0</v>
      </c>
      <c r="G1982" s="225"/>
      <c r="H1982" s="225"/>
      <c r="I1982" s="225"/>
      <c r="J1982" s="225"/>
      <c r="K1982" s="225">
        <v>3.2</v>
      </c>
      <c r="L1982" s="225">
        <f>F1982*K1982</f>
        <v>0</v>
      </c>
      <c r="M1982" s="225">
        <f>H1982+J1982+L1982</f>
        <v>0</v>
      </c>
    </row>
    <row r="1983" spans="1:13" s="89" customFormat="1" hidden="1">
      <c r="A1983" s="83"/>
      <c r="B1983" s="1457"/>
      <c r="C1983" s="15" t="s">
        <v>210</v>
      </c>
      <c r="D1983" s="211"/>
      <c r="E1983" s="211"/>
      <c r="F1983" s="386"/>
      <c r="G1983" s="225"/>
      <c r="H1983" s="225"/>
      <c r="I1983" s="225"/>
      <c r="J1983" s="225"/>
      <c r="K1983" s="225"/>
      <c r="L1983" s="225"/>
      <c r="M1983" s="225"/>
    </row>
    <row r="1984" spans="1:13" s="93" customFormat="1" hidden="1">
      <c r="A1984" s="83"/>
      <c r="B1984" s="1457"/>
      <c r="C1984" s="84" t="s">
        <v>1316</v>
      </c>
      <c r="D1984" s="83" t="s">
        <v>113</v>
      </c>
      <c r="E1984" s="211">
        <v>1</v>
      </c>
      <c r="F1984" s="386">
        <f>F1980*E1984</f>
        <v>0</v>
      </c>
      <c r="G1984" s="225">
        <v>25</v>
      </c>
      <c r="H1984" s="225">
        <f>F1984*G1984</f>
        <v>0</v>
      </c>
      <c r="I1984" s="225"/>
      <c r="J1984" s="225"/>
      <c r="K1984" s="225"/>
      <c r="L1984" s="225"/>
      <c r="M1984" s="225">
        <f>H1984+J1984+L1984</f>
        <v>0</v>
      </c>
    </row>
    <row r="1985" spans="1:13" s="93" customFormat="1" hidden="1">
      <c r="A1985" s="83"/>
      <c r="B1985" s="1458"/>
      <c r="C1985" s="226" t="s">
        <v>214</v>
      </c>
      <c r="D1985" s="86" t="s">
        <v>57</v>
      </c>
      <c r="E1985" s="211">
        <v>0.38200000000000001</v>
      </c>
      <c r="F1985" s="386">
        <f>F1980*E1985</f>
        <v>0</v>
      </c>
      <c r="G1985" s="225">
        <v>3.2</v>
      </c>
      <c r="H1985" s="225">
        <f>F1985*G1985</f>
        <v>0</v>
      </c>
      <c r="I1985" s="225"/>
      <c r="J1985" s="225"/>
      <c r="K1985" s="225"/>
      <c r="L1985" s="225"/>
      <c r="M1985" s="225">
        <f>H1985+J1985+L1985</f>
        <v>0</v>
      </c>
    </row>
    <row r="1986" spans="1:13" s="93" customFormat="1" ht="27">
      <c r="A1986" s="1100">
        <v>6</v>
      </c>
      <c r="B1986" s="1456" t="s">
        <v>788</v>
      </c>
      <c r="C1986" s="266" t="s">
        <v>1520</v>
      </c>
      <c r="D1986" s="140" t="s">
        <v>113</v>
      </c>
      <c r="E1986" s="271"/>
      <c r="F1986" s="384">
        <f>'დეფექტური აქტი'!E482</f>
        <v>20</v>
      </c>
      <c r="G1986" s="422"/>
      <c r="H1986" s="422"/>
      <c r="I1986" s="422"/>
      <c r="J1986" s="422"/>
      <c r="K1986" s="422"/>
      <c r="L1986" s="422"/>
      <c r="M1986" s="422"/>
    </row>
    <row r="1987" spans="1:13" s="93" customFormat="1">
      <c r="A1987" s="438"/>
      <c r="B1987" s="1457"/>
      <c r="C1987" s="226" t="s">
        <v>209</v>
      </c>
      <c r="D1987" s="211" t="s">
        <v>80</v>
      </c>
      <c r="E1987" s="211">
        <v>1.54</v>
      </c>
      <c r="F1987" s="386">
        <f>F1986*E1987</f>
        <v>30.8</v>
      </c>
      <c r="G1987" s="225"/>
      <c r="H1987" s="225"/>
      <c r="I1987" s="225"/>
      <c r="J1987" s="225"/>
      <c r="K1987" s="225"/>
      <c r="L1987" s="225"/>
      <c r="M1987" s="225"/>
    </row>
    <row r="1988" spans="1:13" s="93" customFormat="1">
      <c r="A1988" s="438"/>
      <c r="B1988" s="1457"/>
      <c r="C1988" s="226" t="s">
        <v>133</v>
      </c>
      <c r="D1988" s="83" t="s">
        <v>57</v>
      </c>
      <c r="E1988" s="83">
        <v>0.28999999999999998</v>
      </c>
      <c r="F1988" s="386">
        <f>F1986*E1988</f>
        <v>5.8</v>
      </c>
      <c r="G1988" s="225"/>
      <c r="H1988" s="225"/>
      <c r="I1988" s="225"/>
      <c r="J1988" s="225"/>
      <c r="K1988" s="225"/>
      <c r="L1988" s="225"/>
      <c r="M1988" s="225"/>
    </row>
    <row r="1989" spans="1:13" s="89" customFormat="1" hidden="1">
      <c r="A1989" s="83"/>
      <c r="B1989" s="1457"/>
      <c r="C1989" s="15" t="s">
        <v>210</v>
      </c>
      <c r="D1989" s="211"/>
      <c r="E1989" s="211"/>
      <c r="F1989" s="386"/>
      <c r="G1989" s="225"/>
      <c r="H1989" s="225"/>
      <c r="I1989" s="225"/>
      <c r="J1989" s="225"/>
      <c r="K1989" s="225"/>
      <c r="L1989" s="225"/>
      <c r="M1989" s="225"/>
    </row>
    <row r="1990" spans="1:13" s="93" customFormat="1">
      <c r="A1990" s="438"/>
      <c r="B1990" s="1457"/>
      <c r="C1990" s="84" t="s">
        <v>1316</v>
      </c>
      <c r="D1990" s="83" t="s">
        <v>113</v>
      </c>
      <c r="E1990" s="211">
        <v>1</v>
      </c>
      <c r="F1990" s="386">
        <f>F1986*E1990</f>
        <v>20</v>
      </c>
      <c r="G1990" s="225"/>
      <c r="H1990" s="225"/>
      <c r="I1990" s="225"/>
      <c r="J1990" s="225"/>
      <c r="K1990" s="225"/>
      <c r="L1990" s="225"/>
      <c r="M1990" s="225"/>
    </row>
    <row r="1991" spans="1:13" s="93" customFormat="1">
      <c r="A1991" s="438"/>
      <c r="B1991" s="1458"/>
      <c r="C1991" s="226" t="s">
        <v>214</v>
      </c>
      <c r="D1991" s="86" t="s">
        <v>57</v>
      </c>
      <c r="E1991" s="211">
        <v>0.57999999999999996</v>
      </c>
      <c r="F1991" s="386">
        <f>F1986*E1991</f>
        <v>11.6</v>
      </c>
      <c r="G1991" s="225"/>
      <c r="H1991" s="225"/>
      <c r="I1991" s="225"/>
      <c r="J1991" s="225"/>
      <c r="K1991" s="225"/>
      <c r="L1991" s="225"/>
      <c r="M1991" s="225"/>
    </row>
    <row r="1992" spans="1:13" s="93" customFormat="1" hidden="1">
      <c r="A1992" s="140">
        <v>7</v>
      </c>
      <c r="B1992" s="1456" t="s">
        <v>790</v>
      </c>
      <c r="C1992" s="266" t="s">
        <v>789</v>
      </c>
      <c r="D1992" s="140" t="s">
        <v>113</v>
      </c>
      <c r="E1992" s="271"/>
      <c r="F1992" s="384">
        <f>'დეფექტური აქტი'!E483</f>
        <v>0</v>
      </c>
      <c r="G1992" s="422"/>
      <c r="H1992" s="422"/>
      <c r="I1992" s="422"/>
      <c r="J1992" s="422"/>
      <c r="K1992" s="422"/>
      <c r="L1992" s="422"/>
      <c r="M1992" s="422"/>
    </row>
    <row r="1993" spans="1:13" s="93" customFormat="1" hidden="1">
      <c r="A1993" s="83"/>
      <c r="B1993" s="1457"/>
      <c r="C1993" s="226" t="s">
        <v>209</v>
      </c>
      <c r="D1993" s="211" t="s">
        <v>80</v>
      </c>
      <c r="E1993" s="233">
        <v>1.03</v>
      </c>
      <c r="F1993" s="386">
        <f>F1992*E1993</f>
        <v>0</v>
      </c>
      <c r="G1993" s="225"/>
      <c r="H1993" s="225"/>
      <c r="I1993" s="225">
        <v>6</v>
      </c>
      <c r="J1993" s="225">
        <f>F1993*I1993</f>
        <v>0</v>
      </c>
      <c r="K1993" s="225"/>
      <c r="L1993" s="225"/>
      <c r="M1993" s="225">
        <f>H1993+J1993+L1993</f>
        <v>0</v>
      </c>
    </row>
    <row r="1994" spans="1:13" s="93" customFormat="1" hidden="1">
      <c r="A1994" s="83"/>
      <c r="B1994" s="1457"/>
      <c r="C1994" s="226" t="s">
        <v>133</v>
      </c>
      <c r="D1994" s="83" t="s">
        <v>57</v>
      </c>
      <c r="E1994" s="83">
        <v>0.58399999999999996</v>
      </c>
      <c r="F1994" s="386">
        <f>F1992*E1994</f>
        <v>0</v>
      </c>
      <c r="G1994" s="225"/>
      <c r="H1994" s="225"/>
      <c r="I1994" s="225"/>
      <c r="J1994" s="225"/>
      <c r="K1994" s="225">
        <v>3.2</v>
      </c>
      <c r="L1994" s="225">
        <f>F1994*K1994</f>
        <v>0</v>
      </c>
      <c r="M1994" s="225">
        <f>H1994+J1994+L1994</f>
        <v>0</v>
      </c>
    </row>
    <row r="1995" spans="1:13" s="93" customFormat="1" hidden="1">
      <c r="A1995" s="83"/>
      <c r="B1995" s="1457"/>
      <c r="C1995" s="15" t="s">
        <v>210</v>
      </c>
      <c r="D1995" s="211"/>
      <c r="E1995" s="211"/>
      <c r="F1995" s="386"/>
      <c r="G1995" s="225"/>
      <c r="H1995" s="225"/>
      <c r="I1995" s="225"/>
      <c r="J1995" s="225"/>
      <c r="K1995" s="225"/>
      <c r="L1995" s="225"/>
      <c r="M1995" s="225"/>
    </row>
    <row r="1996" spans="1:13" s="93" customFormat="1" hidden="1">
      <c r="A1996" s="83"/>
      <c r="B1996" s="1457"/>
      <c r="C1996" s="226" t="s">
        <v>791</v>
      </c>
      <c r="D1996" s="83" t="s">
        <v>113</v>
      </c>
      <c r="E1996" s="211">
        <v>1</v>
      </c>
      <c r="F1996" s="386">
        <f>F1992*E1996</f>
        <v>0</v>
      </c>
      <c r="G1996" s="225">
        <v>20</v>
      </c>
      <c r="H1996" s="225">
        <f>F1996*G1996</f>
        <v>0</v>
      </c>
      <c r="I1996" s="225"/>
      <c r="J1996" s="225"/>
      <c r="K1996" s="225"/>
      <c r="L1996" s="225"/>
      <c r="M1996" s="225">
        <f>H1996+J1996+L1996</f>
        <v>0</v>
      </c>
    </row>
    <row r="1997" spans="1:13" s="93" customFormat="1" hidden="1">
      <c r="A1997" s="83"/>
      <c r="B1997" s="1458"/>
      <c r="C1997" s="226" t="s">
        <v>214</v>
      </c>
      <c r="D1997" s="86" t="s">
        <v>57</v>
      </c>
      <c r="E1997" s="211">
        <v>1.62</v>
      </c>
      <c r="F1997" s="386">
        <f>F1992*E1997</f>
        <v>0</v>
      </c>
      <c r="G1997" s="225">
        <v>3.2</v>
      </c>
      <c r="H1997" s="225">
        <f>F1997*G1997</f>
        <v>0</v>
      </c>
      <c r="I1997" s="225"/>
      <c r="J1997" s="225"/>
      <c r="K1997" s="225"/>
      <c r="L1997" s="225"/>
      <c r="M1997" s="225">
        <f>H1997+J1997+L1997</f>
        <v>0</v>
      </c>
    </row>
    <row r="1998" spans="1:13" s="93" customFormat="1" hidden="1">
      <c r="A1998" s="140">
        <v>8</v>
      </c>
      <c r="B1998" s="1456" t="s">
        <v>793</v>
      </c>
      <c r="C1998" s="266" t="s">
        <v>792</v>
      </c>
      <c r="D1998" s="140" t="s">
        <v>113</v>
      </c>
      <c r="E1998" s="271"/>
      <c r="F1998" s="384">
        <f>'დეფექტური აქტი'!E484</f>
        <v>0</v>
      </c>
      <c r="G1998" s="422"/>
      <c r="H1998" s="422"/>
      <c r="I1998" s="422"/>
      <c r="J1998" s="422"/>
      <c r="K1998" s="422"/>
      <c r="L1998" s="422"/>
      <c r="M1998" s="422"/>
    </row>
    <row r="1999" spans="1:13" s="93" customFormat="1" hidden="1">
      <c r="A1999" s="83"/>
      <c r="B1999" s="1457"/>
      <c r="C1999" s="226" t="s">
        <v>209</v>
      </c>
      <c r="D1999" s="211" t="s">
        <v>80</v>
      </c>
      <c r="E1999" s="233">
        <v>0.61</v>
      </c>
      <c r="F1999" s="386">
        <f>F1998*E1999</f>
        <v>0</v>
      </c>
      <c r="G1999" s="225"/>
      <c r="H1999" s="225"/>
      <c r="I1999" s="225">
        <v>6</v>
      </c>
      <c r="J1999" s="225">
        <f>F1999*I1999</f>
        <v>0</v>
      </c>
      <c r="K1999" s="225"/>
      <c r="L1999" s="225"/>
      <c r="M1999" s="225">
        <f>H1999+J1999+L1999</f>
        <v>0</v>
      </c>
    </row>
    <row r="2000" spans="1:13" s="93" customFormat="1" hidden="1">
      <c r="A2000" s="83"/>
      <c r="B2000" s="1457"/>
      <c r="C2000" s="226" t="s">
        <v>133</v>
      </c>
      <c r="D2000" s="83" t="s">
        <v>57</v>
      </c>
      <c r="E2000" s="83">
        <v>0.245</v>
      </c>
      <c r="F2000" s="386">
        <f>F1998*E2000</f>
        <v>0</v>
      </c>
      <c r="G2000" s="225"/>
      <c r="H2000" s="225"/>
      <c r="I2000" s="225"/>
      <c r="J2000" s="225"/>
      <c r="K2000" s="225">
        <v>3.2</v>
      </c>
      <c r="L2000" s="225">
        <f>F2000*K2000</f>
        <v>0</v>
      </c>
      <c r="M2000" s="225">
        <f>H2000+J2000+L2000</f>
        <v>0</v>
      </c>
    </row>
    <row r="2001" spans="1:13" s="93" customFormat="1" hidden="1">
      <c r="A2001" s="83"/>
      <c r="B2001" s="1457"/>
      <c r="C2001" s="15" t="s">
        <v>210</v>
      </c>
      <c r="D2001" s="211"/>
      <c r="E2001" s="211"/>
      <c r="F2001" s="386"/>
      <c r="G2001" s="225"/>
      <c r="H2001" s="225"/>
      <c r="I2001" s="225"/>
      <c r="J2001" s="225"/>
      <c r="K2001" s="225"/>
      <c r="L2001" s="225"/>
      <c r="M2001" s="225"/>
    </row>
    <row r="2002" spans="1:13" s="93" customFormat="1" hidden="1">
      <c r="A2002" s="83"/>
      <c r="B2002" s="1457"/>
      <c r="C2002" s="226" t="s">
        <v>791</v>
      </c>
      <c r="D2002" s="83" t="s">
        <v>113</v>
      </c>
      <c r="E2002" s="211">
        <v>1</v>
      </c>
      <c r="F2002" s="386">
        <f>F1998*E2002</f>
        <v>0</v>
      </c>
      <c r="G2002" s="225">
        <v>15</v>
      </c>
      <c r="H2002" s="225">
        <f>F2002*G2002</f>
        <v>0</v>
      </c>
      <c r="I2002" s="225"/>
      <c r="J2002" s="225"/>
      <c r="K2002" s="225"/>
      <c r="L2002" s="225"/>
      <c r="M2002" s="225">
        <f>H2002+J2002+L2002</f>
        <v>0</v>
      </c>
    </row>
    <row r="2003" spans="1:13" s="93" customFormat="1" hidden="1">
      <c r="A2003" s="83"/>
      <c r="B2003" s="1458"/>
      <c r="C2003" s="226" t="s">
        <v>214</v>
      </c>
      <c r="D2003" s="86" t="s">
        <v>57</v>
      </c>
      <c r="E2003" s="211">
        <v>0.33700000000000002</v>
      </c>
      <c r="F2003" s="386">
        <f>F1998*E2003</f>
        <v>0</v>
      </c>
      <c r="G2003" s="225">
        <v>3.2</v>
      </c>
      <c r="H2003" s="225">
        <f>F2003*G2003</f>
        <v>0</v>
      </c>
      <c r="I2003" s="225"/>
      <c r="J2003" s="225"/>
      <c r="K2003" s="225"/>
      <c r="L2003" s="225"/>
      <c r="M2003" s="225">
        <f>H2003+J2003+L2003</f>
        <v>0</v>
      </c>
    </row>
    <row r="2004" spans="1:13" s="93" customFormat="1" ht="27" hidden="1">
      <c r="A2004" s="140">
        <v>9</v>
      </c>
      <c r="B2004" s="1456" t="s">
        <v>482</v>
      </c>
      <c r="C2004" s="266" t="s">
        <v>464</v>
      </c>
      <c r="D2004" s="140" t="s">
        <v>113</v>
      </c>
      <c r="E2004" s="271"/>
      <c r="F2004" s="384">
        <f>'დეფექტური აქტი'!E485</f>
        <v>0</v>
      </c>
      <c r="G2004" s="422"/>
      <c r="H2004" s="422"/>
      <c r="I2004" s="422"/>
      <c r="J2004" s="422"/>
      <c r="K2004" s="422"/>
      <c r="L2004" s="422"/>
      <c r="M2004" s="422"/>
    </row>
    <row r="2005" spans="1:13" s="93" customFormat="1" hidden="1">
      <c r="A2005" s="83"/>
      <c r="B2005" s="1457"/>
      <c r="C2005" s="226" t="s">
        <v>209</v>
      </c>
      <c r="D2005" s="211" t="s">
        <v>80</v>
      </c>
      <c r="E2005" s="233">
        <v>0.72</v>
      </c>
      <c r="F2005" s="386">
        <f>F2004*E2005</f>
        <v>0</v>
      </c>
      <c r="G2005" s="225"/>
      <c r="H2005" s="225"/>
      <c r="I2005" s="225">
        <v>6</v>
      </c>
      <c r="J2005" s="225">
        <f>F2005*I2005</f>
        <v>0</v>
      </c>
      <c r="K2005" s="225"/>
      <c r="L2005" s="225"/>
      <c r="M2005" s="225">
        <f>H2005+J2005+L2005</f>
        <v>0</v>
      </c>
    </row>
    <row r="2006" spans="1:13" s="93" customFormat="1" hidden="1">
      <c r="A2006" s="83"/>
      <c r="B2006" s="1457"/>
      <c r="C2006" s="226" t="s">
        <v>133</v>
      </c>
      <c r="D2006" s="83" t="s">
        <v>57</v>
      </c>
      <c r="E2006" s="83">
        <v>0.311</v>
      </c>
      <c r="F2006" s="386">
        <f>F2004*E2006</f>
        <v>0</v>
      </c>
      <c r="G2006" s="225"/>
      <c r="H2006" s="225"/>
      <c r="I2006" s="225"/>
      <c r="J2006" s="225"/>
      <c r="K2006" s="225">
        <v>3.2</v>
      </c>
      <c r="L2006" s="225">
        <f>F2006*K2006</f>
        <v>0</v>
      </c>
      <c r="M2006" s="225">
        <f>H2006+J2006+L2006</f>
        <v>0</v>
      </c>
    </row>
    <row r="2007" spans="1:13" s="93" customFormat="1" hidden="1">
      <c r="A2007" s="83"/>
      <c r="B2007" s="1457"/>
      <c r="C2007" s="15" t="s">
        <v>210</v>
      </c>
      <c r="D2007" s="211"/>
      <c r="E2007" s="211"/>
      <c r="F2007" s="386"/>
      <c r="G2007" s="225"/>
      <c r="H2007" s="225"/>
      <c r="I2007" s="225"/>
      <c r="J2007" s="225"/>
      <c r="K2007" s="225"/>
      <c r="L2007" s="225"/>
      <c r="M2007" s="225"/>
    </row>
    <row r="2008" spans="1:13" s="93" customFormat="1" hidden="1">
      <c r="A2008" s="83"/>
      <c r="B2008" s="1457"/>
      <c r="C2008" s="226" t="s">
        <v>560</v>
      </c>
      <c r="D2008" s="83" t="s">
        <v>113</v>
      </c>
      <c r="E2008" s="211">
        <v>1</v>
      </c>
      <c r="F2008" s="386">
        <f>F2004*E2008</f>
        <v>0</v>
      </c>
      <c r="G2008" s="225">
        <v>20</v>
      </c>
      <c r="H2008" s="225">
        <f>F2008*G2008</f>
        <v>0</v>
      </c>
      <c r="I2008" s="225"/>
      <c r="J2008" s="225"/>
      <c r="K2008" s="225"/>
      <c r="L2008" s="225"/>
      <c r="M2008" s="225">
        <f>H2008+J2008+L2008</f>
        <v>0</v>
      </c>
    </row>
    <row r="2009" spans="1:13" s="93" customFormat="1" hidden="1">
      <c r="A2009" s="83"/>
      <c r="B2009" s="1458"/>
      <c r="C2009" s="226" t="s">
        <v>214</v>
      </c>
      <c r="D2009" s="86" t="s">
        <v>57</v>
      </c>
      <c r="E2009" s="211">
        <v>0.113</v>
      </c>
      <c r="F2009" s="386">
        <f>F2004*E2009</f>
        <v>0</v>
      </c>
      <c r="G2009" s="225">
        <v>3.2</v>
      </c>
      <c r="H2009" s="225">
        <f>F2009*G2009</f>
        <v>0</v>
      </c>
      <c r="I2009" s="225"/>
      <c r="J2009" s="225"/>
      <c r="K2009" s="225"/>
      <c r="L2009" s="225"/>
      <c r="M2009" s="225">
        <f>H2009+J2009+L2009</f>
        <v>0</v>
      </c>
    </row>
    <row r="2010" spans="1:13" s="93" customFormat="1" ht="27">
      <c r="A2010" s="1100">
        <v>10</v>
      </c>
      <c r="B2010" s="1456" t="s">
        <v>358</v>
      </c>
      <c r="C2010" s="151" t="s">
        <v>1082</v>
      </c>
      <c r="D2010" s="140" t="s">
        <v>113</v>
      </c>
      <c r="E2010" s="140"/>
      <c r="F2010" s="384">
        <f>'დეფექტური აქტი'!E486</f>
        <v>8</v>
      </c>
      <c r="G2010" s="422"/>
      <c r="H2010" s="422"/>
      <c r="I2010" s="422"/>
      <c r="J2010" s="422"/>
      <c r="K2010" s="422"/>
      <c r="L2010" s="422"/>
      <c r="M2010" s="422"/>
    </row>
    <row r="2011" spans="1:13" s="93" customFormat="1">
      <c r="A2011" s="438"/>
      <c r="B2011" s="1457"/>
      <c r="C2011" s="226" t="s">
        <v>209</v>
      </c>
      <c r="D2011" s="211" t="s">
        <v>80</v>
      </c>
      <c r="E2011" s="211">
        <v>0.34</v>
      </c>
      <c r="F2011" s="386">
        <f>F2010*E2011</f>
        <v>2.72</v>
      </c>
      <c r="G2011" s="225"/>
      <c r="H2011" s="225"/>
      <c r="I2011" s="225"/>
      <c r="J2011" s="225"/>
      <c r="K2011" s="225"/>
      <c r="L2011" s="225"/>
      <c r="M2011" s="225"/>
    </row>
    <row r="2012" spans="1:13" s="93" customFormat="1">
      <c r="A2012" s="438"/>
      <c r="B2012" s="1457"/>
      <c r="C2012" s="226" t="s">
        <v>133</v>
      </c>
      <c r="D2012" s="83" t="s">
        <v>57</v>
      </c>
      <c r="E2012" s="83">
        <v>1.2999999999999999E-2</v>
      </c>
      <c r="F2012" s="386">
        <f>F2010*E2012</f>
        <v>0.104</v>
      </c>
      <c r="G2012" s="225"/>
      <c r="H2012" s="225"/>
      <c r="I2012" s="225"/>
      <c r="J2012" s="225"/>
      <c r="K2012" s="225"/>
      <c r="L2012" s="225"/>
      <c r="M2012" s="225"/>
    </row>
    <row r="2013" spans="1:13" s="93" customFormat="1" hidden="1">
      <c r="A2013" s="83"/>
      <c r="B2013" s="1457"/>
      <c r="C2013" s="15" t="s">
        <v>210</v>
      </c>
      <c r="D2013" s="211"/>
      <c r="E2013" s="211"/>
      <c r="F2013" s="386"/>
      <c r="G2013" s="225"/>
      <c r="H2013" s="225"/>
      <c r="I2013" s="225"/>
      <c r="J2013" s="225"/>
      <c r="K2013" s="225"/>
      <c r="L2013" s="225"/>
      <c r="M2013" s="225"/>
    </row>
    <row r="2014" spans="1:13" s="93" customFormat="1" ht="27">
      <c r="A2014" s="438"/>
      <c r="B2014" s="1457"/>
      <c r="C2014" s="84" t="s">
        <v>1081</v>
      </c>
      <c r="D2014" s="83" t="s">
        <v>113</v>
      </c>
      <c r="E2014" s="211">
        <v>1</v>
      </c>
      <c r="F2014" s="386">
        <f>F2010*E2014</f>
        <v>8</v>
      </c>
      <c r="G2014" s="225"/>
      <c r="H2014" s="225"/>
      <c r="I2014" s="225"/>
      <c r="J2014" s="225"/>
      <c r="K2014" s="225"/>
      <c r="L2014" s="225"/>
      <c r="M2014" s="225"/>
    </row>
    <row r="2015" spans="1:13" s="93" customFormat="1">
      <c r="A2015" s="438"/>
      <c r="B2015" s="1458"/>
      <c r="C2015" s="226" t="s">
        <v>214</v>
      </c>
      <c r="D2015" s="86" t="s">
        <v>57</v>
      </c>
      <c r="E2015" s="211">
        <v>9.4E-2</v>
      </c>
      <c r="F2015" s="386">
        <f>F2010*E2015</f>
        <v>0.752</v>
      </c>
      <c r="G2015" s="225"/>
      <c r="H2015" s="225"/>
      <c r="I2015" s="225"/>
      <c r="J2015" s="225"/>
      <c r="K2015" s="225"/>
      <c r="L2015" s="225"/>
      <c r="M2015" s="225"/>
    </row>
    <row r="2016" spans="1:13" s="93" customFormat="1" ht="27">
      <c r="A2016" s="1100">
        <v>11</v>
      </c>
      <c r="B2016" s="1456" t="s">
        <v>357</v>
      </c>
      <c r="C2016" s="151" t="s">
        <v>466</v>
      </c>
      <c r="D2016" s="140" t="s">
        <v>113</v>
      </c>
      <c r="E2016" s="140"/>
      <c r="F2016" s="384">
        <f>'დეფექტური აქტი'!E487</f>
        <v>10</v>
      </c>
      <c r="G2016" s="422"/>
      <c r="H2016" s="422"/>
      <c r="I2016" s="422"/>
      <c r="J2016" s="422"/>
      <c r="K2016" s="422"/>
      <c r="L2016" s="422"/>
      <c r="M2016" s="422"/>
    </row>
    <row r="2017" spans="1:13" s="93" customFormat="1">
      <c r="A2017" s="438"/>
      <c r="B2017" s="1457"/>
      <c r="C2017" s="226" t="s">
        <v>209</v>
      </c>
      <c r="D2017" s="211" t="s">
        <v>80</v>
      </c>
      <c r="E2017" s="211">
        <v>0.68</v>
      </c>
      <c r="F2017" s="386">
        <f>F2016*E2017</f>
        <v>6.8000000000000007</v>
      </c>
      <c r="G2017" s="225"/>
      <c r="H2017" s="225"/>
      <c r="I2017" s="225"/>
      <c r="J2017" s="225"/>
      <c r="K2017" s="225"/>
      <c r="L2017" s="225"/>
      <c r="M2017" s="225"/>
    </row>
    <row r="2018" spans="1:13" s="93" customFormat="1">
      <c r="A2018" s="438"/>
      <c r="B2018" s="1457"/>
      <c r="C2018" s="226" t="s">
        <v>133</v>
      </c>
      <c r="D2018" s="83" t="s">
        <v>57</v>
      </c>
      <c r="E2018" s="83">
        <v>1.0999999999999999E-2</v>
      </c>
      <c r="F2018" s="386">
        <f>F2016*E2018</f>
        <v>0.10999999999999999</v>
      </c>
      <c r="G2018" s="225"/>
      <c r="H2018" s="225"/>
      <c r="I2018" s="225"/>
      <c r="J2018" s="225"/>
      <c r="K2018" s="225"/>
      <c r="L2018" s="225"/>
      <c r="M2018" s="225"/>
    </row>
    <row r="2019" spans="1:13" s="93" customFormat="1" hidden="1">
      <c r="A2019" s="83"/>
      <c r="B2019" s="1457"/>
      <c r="C2019" s="15" t="s">
        <v>210</v>
      </c>
      <c r="D2019" s="211"/>
      <c r="E2019" s="211"/>
      <c r="F2019" s="386"/>
      <c r="G2019" s="225"/>
      <c r="H2019" s="225"/>
      <c r="I2019" s="225"/>
      <c r="J2019" s="225"/>
      <c r="K2019" s="225"/>
      <c r="L2019" s="225"/>
      <c r="M2019" s="225"/>
    </row>
    <row r="2020" spans="1:13" s="93" customFormat="1">
      <c r="A2020" s="438"/>
      <c r="B2020" s="1457"/>
      <c r="C2020" s="226" t="s">
        <v>561</v>
      </c>
      <c r="D2020" s="83" t="s">
        <v>113</v>
      </c>
      <c r="E2020" s="211">
        <v>1</v>
      </c>
      <c r="F2020" s="386">
        <f>F2016*E2020</f>
        <v>10</v>
      </c>
      <c r="G2020" s="225"/>
      <c r="H2020" s="225"/>
      <c r="I2020" s="225"/>
      <c r="J2020" s="225"/>
      <c r="K2020" s="225"/>
      <c r="L2020" s="225"/>
      <c r="M2020" s="225"/>
    </row>
    <row r="2021" spans="1:13" s="93" customFormat="1">
      <c r="A2021" s="438"/>
      <c r="B2021" s="1458"/>
      <c r="C2021" s="226" t="s">
        <v>214</v>
      </c>
      <c r="D2021" s="86" t="s">
        <v>57</v>
      </c>
      <c r="E2021" s="211">
        <v>0.10299999999999999</v>
      </c>
      <c r="F2021" s="386">
        <f>F2016*E2021</f>
        <v>1.03</v>
      </c>
      <c r="G2021" s="225"/>
      <c r="H2021" s="225"/>
      <c r="I2021" s="225"/>
      <c r="J2021" s="225"/>
      <c r="K2021" s="225"/>
      <c r="L2021" s="225"/>
      <c r="M2021" s="225"/>
    </row>
    <row r="2022" spans="1:13" s="93" customFormat="1" ht="27" hidden="1">
      <c r="A2022" s="140">
        <v>12</v>
      </c>
      <c r="B2022" s="1456" t="s">
        <v>357</v>
      </c>
      <c r="C2022" s="151" t="s">
        <v>467</v>
      </c>
      <c r="D2022" s="140" t="s">
        <v>113</v>
      </c>
      <c r="E2022" s="140"/>
      <c r="F2022" s="384">
        <f>'დეფექტური აქტი'!E488</f>
        <v>0</v>
      </c>
      <c r="G2022" s="422"/>
      <c r="H2022" s="422"/>
      <c r="I2022" s="422"/>
      <c r="J2022" s="422"/>
      <c r="K2022" s="422"/>
      <c r="L2022" s="422"/>
      <c r="M2022" s="422"/>
    </row>
    <row r="2023" spans="1:13" s="93" customFormat="1" hidden="1">
      <c r="A2023" s="83"/>
      <c r="B2023" s="1457"/>
      <c r="C2023" s="226" t="s">
        <v>209</v>
      </c>
      <c r="D2023" s="211" t="s">
        <v>80</v>
      </c>
      <c r="E2023" s="211">
        <v>0.68</v>
      </c>
      <c r="F2023" s="386">
        <f>F2022*E2023</f>
        <v>0</v>
      </c>
      <c r="G2023" s="225"/>
      <c r="H2023" s="225"/>
      <c r="I2023" s="225">
        <v>6</v>
      </c>
      <c r="J2023" s="225">
        <f>F2023*I2023</f>
        <v>0</v>
      </c>
      <c r="K2023" s="225"/>
      <c r="L2023" s="225"/>
      <c r="M2023" s="225">
        <f>H2023+J2023+L2023</f>
        <v>0</v>
      </c>
    </row>
    <row r="2024" spans="1:13" s="93" customFormat="1" hidden="1">
      <c r="A2024" s="83"/>
      <c r="B2024" s="1457"/>
      <c r="C2024" s="226" t="s">
        <v>133</v>
      </c>
      <c r="D2024" s="83" t="s">
        <v>57</v>
      </c>
      <c r="E2024" s="83">
        <v>1.0999999999999999E-2</v>
      </c>
      <c r="F2024" s="386">
        <f>F2022*E2024</f>
        <v>0</v>
      </c>
      <c r="G2024" s="225"/>
      <c r="H2024" s="225"/>
      <c r="I2024" s="225"/>
      <c r="J2024" s="225"/>
      <c r="K2024" s="225">
        <v>3.2</v>
      </c>
      <c r="L2024" s="225">
        <f>F2024*K2024</f>
        <v>0</v>
      </c>
      <c r="M2024" s="225">
        <f>H2024+J2024+L2024</f>
        <v>0</v>
      </c>
    </row>
    <row r="2025" spans="1:13" s="93" customFormat="1" hidden="1">
      <c r="A2025" s="83"/>
      <c r="B2025" s="1457"/>
      <c r="C2025" s="15" t="s">
        <v>210</v>
      </c>
      <c r="D2025" s="211"/>
      <c r="E2025" s="211"/>
      <c r="F2025" s="386"/>
      <c r="G2025" s="225"/>
      <c r="H2025" s="225"/>
      <c r="I2025" s="225"/>
      <c r="J2025" s="225"/>
      <c r="K2025" s="225"/>
      <c r="L2025" s="225"/>
      <c r="M2025" s="225"/>
    </row>
    <row r="2026" spans="1:13" s="93" customFormat="1" hidden="1">
      <c r="A2026" s="83"/>
      <c r="B2026" s="1457"/>
      <c r="C2026" s="226" t="s">
        <v>561</v>
      </c>
      <c r="D2026" s="83" t="s">
        <v>113</v>
      </c>
      <c r="E2026" s="211">
        <v>1</v>
      </c>
      <c r="F2026" s="386">
        <f>F2022*E2026</f>
        <v>0</v>
      </c>
      <c r="G2026" s="225">
        <v>4.5</v>
      </c>
      <c r="H2026" s="225">
        <f>F2026*G2026</f>
        <v>0</v>
      </c>
      <c r="I2026" s="225"/>
      <c r="J2026" s="225"/>
      <c r="K2026" s="225"/>
      <c r="L2026" s="225"/>
      <c r="M2026" s="225">
        <f>H2026+J2026+L2026</f>
        <v>0</v>
      </c>
    </row>
    <row r="2027" spans="1:13" s="93" customFormat="1" hidden="1">
      <c r="A2027" s="83"/>
      <c r="B2027" s="1458"/>
      <c r="C2027" s="226" t="s">
        <v>214</v>
      </c>
      <c r="D2027" s="86" t="s">
        <v>57</v>
      </c>
      <c r="E2027" s="211">
        <v>0.10299999999999999</v>
      </c>
      <c r="F2027" s="386">
        <f>F2022*E2027</f>
        <v>0</v>
      </c>
      <c r="G2027" s="225">
        <v>3.2</v>
      </c>
      <c r="H2027" s="225">
        <f>F2027*G2027</f>
        <v>0</v>
      </c>
      <c r="I2027" s="225"/>
      <c r="J2027" s="225"/>
      <c r="K2027" s="225"/>
      <c r="L2027" s="225"/>
      <c r="M2027" s="225">
        <f>H2027+J2027+L2027</f>
        <v>0</v>
      </c>
    </row>
    <row r="2028" spans="1:13" s="93" customFormat="1" hidden="1">
      <c r="A2028" s="24">
        <v>13</v>
      </c>
      <c r="B2028" s="247"/>
      <c r="C2028" s="260" t="s">
        <v>1317</v>
      </c>
      <c r="D2028" s="24" t="s">
        <v>113</v>
      </c>
      <c r="E2028" s="158"/>
      <c r="F2028" s="384">
        <f>'დეფექტური აქტი'!E489</f>
        <v>0</v>
      </c>
      <c r="G2028" s="607">
        <v>2.5</v>
      </c>
      <c r="H2028" s="607">
        <f>F2028*G2028</f>
        <v>0</v>
      </c>
      <c r="I2028" s="607"/>
      <c r="J2028" s="607"/>
      <c r="K2028" s="607"/>
      <c r="L2028" s="607"/>
      <c r="M2028" s="607">
        <f>H2028+J2028+L2028</f>
        <v>0</v>
      </c>
    </row>
    <row r="2029" spans="1:13" s="93" customFormat="1">
      <c r="A2029" s="1165">
        <v>14</v>
      </c>
      <c r="B2029" s="247"/>
      <c r="C2029" s="260" t="s">
        <v>1521</v>
      </c>
      <c r="D2029" s="24" t="s">
        <v>113</v>
      </c>
      <c r="E2029" s="158"/>
      <c r="F2029" s="384">
        <f>'დეფექტური აქტი'!E490</f>
        <v>60</v>
      </c>
      <c r="G2029" s="607"/>
      <c r="H2029" s="607"/>
      <c r="I2029" s="607"/>
      <c r="J2029" s="607"/>
      <c r="K2029" s="607"/>
      <c r="L2029" s="607"/>
      <c r="M2029" s="607"/>
    </row>
    <row r="2030" spans="1:13" s="93" customFormat="1" hidden="1">
      <c r="A2030" s="24">
        <v>15</v>
      </c>
      <c r="B2030" s="272"/>
      <c r="C2030" s="260" t="s">
        <v>469</v>
      </c>
      <c r="D2030" s="24" t="s">
        <v>113</v>
      </c>
      <c r="E2030" s="158"/>
      <c r="F2030" s="384">
        <f>'დეფექტური აქტი'!E491</f>
        <v>0</v>
      </c>
      <c r="G2030" s="607">
        <v>0.5</v>
      </c>
      <c r="H2030" s="607">
        <f>F2030*G2030</f>
        <v>0</v>
      </c>
      <c r="I2030" s="607"/>
      <c r="J2030" s="607"/>
      <c r="K2030" s="607"/>
      <c r="L2030" s="607"/>
      <c r="M2030" s="607">
        <f>H2030+J2030+L2030</f>
        <v>0</v>
      </c>
    </row>
    <row r="2031" spans="1:13" s="93" customFormat="1" ht="18" customHeight="1">
      <c r="A2031" s="438">
        <v>16</v>
      </c>
      <c r="B2031" s="1456" t="s">
        <v>372</v>
      </c>
      <c r="C2031" s="84" t="s">
        <v>1606</v>
      </c>
      <c r="D2031" s="47" t="s">
        <v>122</v>
      </c>
      <c r="E2031" s="83"/>
      <c r="F2031" s="384">
        <f>SUM(F2035:F2036)</f>
        <v>150</v>
      </c>
      <c r="G2031" s="225"/>
      <c r="H2031" s="225"/>
      <c r="I2031" s="225"/>
      <c r="J2031" s="225"/>
      <c r="K2031" s="225"/>
      <c r="L2031" s="225"/>
      <c r="M2031" s="225"/>
    </row>
    <row r="2032" spans="1:13" s="93" customFormat="1">
      <c r="A2032" s="438"/>
      <c r="B2032" s="1457"/>
      <c r="C2032" s="226" t="s">
        <v>209</v>
      </c>
      <c r="D2032" s="211" t="s">
        <v>80</v>
      </c>
      <c r="E2032" s="211">
        <v>0.13</v>
      </c>
      <c r="F2032" s="386">
        <f>F2031*E2032</f>
        <v>19.5</v>
      </c>
      <c r="G2032" s="225"/>
      <c r="H2032" s="225"/>
      <c r="I2032" s="225"/>
      <c r="J2032" s="225"/>
      <c r="K2032" s="225"/>
      <c r="L2032" s="225"/>
      <c r="M2032" s="225"/>
    </row>
    <row r="2033" spans="1:16" s="93" customFormat="1">
      <c r="A2033" s="438"/>
      <c r="B2033" s="1457"/>
      <c r="C2033" s="226" t="s">
        <v>133</v>
      </c>
      <c r="D2033" s="83" t="s">
        <v>57</v>
      </c>
      <c r="E2033" s="83">
        <v>3.7100000000000001E-2</v>
      </c>
      <c r="F2033" s="386">
        <f>F2031*E2033</f>
        <v>5.5650000000000004</v>
      </c>
      <c r="G2033" s="225"/>
      <c r="H2033" s="225"/>
      <c r="I2033" s="225"/>
      <c r="J2033" s="225"/>
      <c r="K2033" s="225"/>
      <c r="L2033" s="225"/>
      <c r="M2033" s="225"/>
    </row>
    <row r="2034" spans="1:16" s="93" customFormat="1" hidden="1">
      <c r="A2034" s="83"/>
      <c r="B2034" s="1457"/>
      <c r="C2034" s="15" t="s">
        <v>210</v>
      </c>
      <c r="D2034" s="211"/>
      <c r="E2034" s="211"/>
      <c r="F2034" s="386"/>
      <c r="G2034" s="225"/>
      <c r="H2034" s="225"/>
      <c r="I2034" s="225"/>
      <c r="J2034" s="225"/>
      <c r="K2034" s="225"/>
      <c r="L2034" s="225"/>
      <c r="M2034" s="225"/>
    </row>
    <row r="2035" spans="1:16" s="93" customFormat="1" ht="15.75" customHeight="1">
      <c r="A2035" s="438"/>
      <c r="B2035" s="1457"/>
      <c r="C2035" s="84" t="s">
        <v>1305</v>
      </c>
      <c r="D2035" s="41" t="s">
        <v>122</v>
      </c>
      <c r="E2035" s="211">
        <v>1</v>
      </c>
      <c r="F2035" s="388">
        <f>'დეფექტური აქტი'!E492</f>
        <v>100</v>
      </c>
      <c r="G2035" s="610"/>
      <c r="H2035" s="225"/>
      <c r="I2035" s="225"/>
      <c r="J2035" s="225"/>
      <c r="K2035" s="225"/>
      <c r="L2035" s="225"/>
      <c r="M2035" s="225"/>
    </row>
    <row r="2036" spans="1:16" s="93" customFormat="1">
      <c r="A2036" s="438"/>
      <c r="B2036" s="1457"/>
      <c r="C2036" s="84" t="s">
        <v>1306</v>
      </c>
      <c r="D2036" s="41" t="s">
        <v>122</v>
      </c>
      <c r="E2036" s="211">
        <v>1</v>
      </c>
      <c r="F2036" s="388">
        <f>'დეფექტური აქტი'!E493</f>
        <v>50</v>
      </c>
      <c r="G2036" s="610"/>
      <c r="H2036" s="225"/>
      <c r="I2036" s="225"/>
      <c r="J2036" s="225"/>
      <c r="K2036" s="225"/>
      <c r="L2036" s="225"/>
      <c r="M2036" s="225"/>
    </row>
    <row r="2037" spans="1:16" s="93" customFormat="1">
      <c r="A2037" s="438"/>
      <c r="B2037" s="1458"/>
      <c r="C2037" s="226" t="s">
        <v>214</v>
      </c>
      <c r="D2037" s="86" t="s">
        <v>57</v>
      </c>
      <c r="E2037" s="211">
        <v>1.44E-2</v>
      </c>
      <c r="F2037" s="386">
        <f>F2031*E2037</f>
        <v>2.16</v>
      </c>
      <c r="G2037" s="225"/>
      <c r="H2037" s="225"/>
      <c r="I2037" s="225"/>
      <c r="J2037" s="225"/>
      <c r="K2037" s="225"/>
      <c r="L2037" s="225"/>
      <c r="M2037" s="225"/>
    </row>
    <row r="2038" spans="1:16" s="92" customFormat="1" ht="27" hidden="1">
      <c r="A2038" s="140">
        <v>17</v>
      </c>
      <c r="B2038" s="1517" t="s">
        <v>563</v>
      </c>
      <c r="C2038" s="151" t="s">
        <v>798</v>
      </c>
      <c r="D2038" s="47" t="s">
        <v>122</v>
      </c>
      <c r="E2038" s="140"/>
      <c r="F2038" s="384">
        <f>SUM(F2042:F2046)</f>
        <v>0</v>
      </c>
      <c r="G2038" s="422"/>
      <c r="H2038" s="422"/>
      <c r="I2038" s="422"/>
      <c r="J2038" s="422"/>
      <c r="K2038" s="422"/>
      <c r="L2038" s="422"/>
      <c r="M2038" s="422"/>
      <c r="P2038" s="273"/>
    </row>
    <row r="2039" spans="1:16" s="92" customFormat="1" hidden="1">
      <c r="A2039" s="83"/>
      <c r="B2039" s="1518"/>
      <c r="C2039" s="226" t="s">
        <v>209</v>
      </c>
      <c r="D2039" s="211" t="s">
        <v>80</v>
      </c>
      <c r="E2039" s="211">
        <v>0.11</v>
      </c>
      <c r="F2039" s="386">
        <f>F2038*E2039</f>
        <v>0</v>
      </c>
      <c r="G2039" s="225"/>
      <c r="H2039" s="225"/>
      <c r="I2039" s="225">
        <v>4.5999999999999996</v>
      </c>
      <c r="J2039" s="225">
        <f>F2039*I2039</f>
        <v>0</v>
      </c>
      <c r="K2039" s="225"/>
      <c r="L2039" s="225"/>
      <c r="M2039" s="225">
        <f>H2039+J2039+L2039</f>
        <v>0</v>
      </c>
    </row>
    <row r="2040" spans="1:16" s="85" customFormat="1" hidden="1">
      <c r="A2040" s="83"/>
      <c r="B2040" s="1518"/>
      <c r="C2040" s="226" t="s">
        <v>81</v>
      </c>
      <c r="D2040" s="83" t="s">
        <v>57</v>
      </c>
      <c r="E2040" s="83">
        <v>2.7000000000000001E-3</v>
      </c>
      <c r="F2040" s="386">
        <f>F2038*E2040</f>
        <v>0</v>
      </c>
      <c r="G2040" s="225"/>
      <c r="H2040" s="225"/>
      <c r="I2040" s="225"/>
      <c r="J2040" s="225"/>
      <c r="K2040" s="225">
        <v>3.2</v>
      </c>
      <c r="L2040" s="225">
        <f>F2040*K2040</f>
        <v>0</v>
      </c>
      <c r="M2040" s="225">
        <f>H2040+J2040+L2040</f>
        <v>0</v>
      </c>
    </row>
    <row r="2041" spans="1:16" s="88" customFormat="1" hidden="1">
      <c r="A2041" s="83"/>
      <c r="B2041" s="1518"/>
      <c r="C2041" s="15" t="s">
        <v>210</v>
      </c>
      <c r="D2041" s="211"/>
      <c r="E2041" s="211"/>
      <c r="F2041" s="386"/>
      <c r="G2041" s="225"/>
      <c r="H2041" s="225"/>
      <c r="I2041" s="225"/>
      <c r="J2041" s="225"/>
      <c r="K2041" s="225"/>
      <c r="L2041" s="225"/>
      <c r="M2041" s="225"/>
    </row>
    <row r="2042" spans="1:16" s="93" customFormat="1" ht="15.75" hidden="1" customHeight="1">
      <c r="A2042" s="83"/>
      <c r="B2042" s="1518"/>
      <c r="C2042" s="84" t="s">
        <v>794</v>
      </c>
      <c r="D2042" s="41" t="s">
        <v>122</v>
      </c>
      <c r="E2042" s="211"/>
      <c r="F2042" s="388">
        <f>'დეფექტური აქტი'!E494</f>
        <v>0</v>
      </c>
      <c r="G2042" s="610">
        <v>1.19</v>
      </c>
      <c r="H2042" s="225">
        <f t="shared" ref="H2042:H2047" si="41">F2042*G2042</f>
        <v>0</v>
      </c>
      <c r="I2042" s="225"/>
      <c r="J2042" s="225"/>
      <c r="K2042" s="225"/>
      <c r="L2042" s="225"/>
      <c r="M2042" s="225">
        <f t="shared" ref="M2042:M2047" si="42">H2042+J2042+L2042</f>
        <v>0</v>
      </c>
    </row>
    <row r="2043" spans="1:16" s="93" customFormat="1" ht="27" hidden="1">
      <c r="A2043" s="83"/>
      <c r="B2043" s="1518"/>
      <c r="C2043" s="84" t="s">
        <v>795</v>
      </c>
      <c r="D2043" s="41" t="s">
        <v>122</v>
      </c>
      <c r="E2043" s="211"/>
      <c r="F2043" s="388">
        <f>'დეფექტური აქტი'!E495</f>
        <v>0</v>
      </c>
      <c r="G2043" s="610">
        <v>1.53</v>
      </c>
      <c r="H2043" s="225">
        <f t="shared" si="41"/>
        <v>0</v>
      </c>
      <c r="I2043" s="225"/>
      <c r="J2043" s="225"/>
      <c r="K2043" s="225"/>
      <c r="L2043" s="225"/>
      <c r="M2043" s="225">
        <f t="shared" si="42"/>
        <v>0</v>
      </c>
    </row>
    <row r="2044" spans="1:16" s="88" customFormat="1" ht="17.25" hidden="1" customHeight="1">
      <c r="A2044" s="83"/>
      <c r="B2044" s="1518"/>
      <c r="C2044" s="90" t="s">
        <v>564</v>
      </c>
      <c r="D2044" s="41" t="s">
        <v>122</v>
      </c>
      <c r="E2044" s="211"/>
      <c r="F2044" s="388">
        <f>'დეფექტური აქტი'!E496</f>
        <v>0</v>
      </c>
      <c r="G2044" s="225">
        <v>3.98</v>
      </c>
      <c r="H2044" s="225">
        <f t="shared" si="41"/>
        <v>0</v>
      </c>
      <c r="I2044" s="225"/>
      <c r="J2044" s="225"/>
      <c r="K2044" s="225"/>
      <c r="L2044" s="225"/>
      <c r="M2044" s="225">
        <f t="shared" si="42"/>
        <v>0</v>
      </c>
    </row>
    <row r="2045" spans="1:16" s="88" customFormat="1" ht="17.25" hidden="1" customHeight="1">
      <c r="A2045" s="83"/>
      <c r="B2045" s="1518"/>
      <c r="C2045" s="90" t="s">
        <v>796</v>
      </c>
      <c r="D2045" s="41" t="s">
        <v>122</v>
      </c>
      <c r="E2045" s="211"/>
      <c r="F2045" s="388">
        <f>'დეფექტური აქტი'!E497</f>
        <v>0</v>
      </c>
      <c r="G2045" s="225">
        <v>5.93</v>
      </c>
      <c r="H2045" s="225">
        <f t="shared" si="41"/>
        <v>0</v>
      </c>
      <c r="I2045" s="225"/>
      <c r="J2045" s="225"/>
      <c r="K2045" s="225"/>
      <c r="L2045" s="225"/>
      <c r="M2045" s="225">
        <f t="shared" si="42"/>
        <v>0</v>
      </c>
    </row>
    <row r="2046" spans="1:16" s="88" customFormat="1" ht="17.25" hidden="1" customHeight="1">
      <c r="A2046" s="83"/>
      <c r="B2046" s="1518"/>
      <c r="C2046" s="90" t="s">
        <v>1669</v>
      </c>
      <c r="D2046" s="41" t="s">
        <v>122</v>
      </c>
      <c r="E2046" s="211"/>
      <c r="F2046" s="388">
        <f>'დეფექტური აქტი'!E498</f>
        <v>0</v>
      </c>
      <c r="G2046" s="225">
        <v>35.590000000000003</v>
      </c>
      <c r="H2046" s="225">
        <f t="shared" si="41"/>
        <v>0</v>
      </c>
      <c r="I2046" s="225"/>
      <c r="J2046" s="225"/>
      <c r="K2046" s="225"/>
      <c r="L2046" s="225"/>
      <c r="M2046" s="225">
        <f t="shared" si="42"/>
        <v>0</v>
      </c>
    </row>
    <row r="2047" spans="1:16" s="88" customFormat="1" hidden="1">
      <c r="A2047" s="83"/>
      <c r="B2047" s="1519"/>
      <c r="C2047" s="226" t="s">
        <v>214</v>
      </c>
      <c r="D2047" s="86" t="s">
        <v>57</v>
      </c>
      <c r="E2047" s="211">
        <v>3.49E-2</v>
      </c>
      <c r="F2047" s="386">
        <f>F2038*E2047</f>
        <v>0</v>
      </c>
      <c r="G2047" s="225">
        <v>3.2</v>
      </c>
      <c r="H2047" s="225">
        <f t="shared" si="41"/>
        <v>0</v>
      </c>
      <c r="I2047" s="225"/>
      <c r="J2047" s="225"/>
      <c r="K2047" s="225"/>
      <c r="L2047" s="225"/>
      <c r="M2047" s="225">
        <f t="shared" si="42"/>
        <v>0</v>
      </c>
    </row>
    <row r="2048" spans="1:16" s="92" customFormat="1" ht="15.75" hidden="1" customHeight="1">
      <c r="A2048" s="140">
        <v>18</v>
      </c>
      <c r="B2048" s="1523" t="s">
        <v>565</v>
      </c>
      <c r="C2048" s="151" t="s">
        <v>808</v>
      </c>
      <c r="D2048" s="47" t="s">
        <v>122</v>
      </c>
      <c r="E2048" s="140"/>
      <c r="F2048" s="384">
        <f>SUM(F2052:F2054)</f>
        <v>0</v>
      </c>
      <c r="G2048" s="422"/>
      <c r="H2048" s="422"/>
      <c r="I2048" s="422"/>
      <c r="J2048" s="422"/>
      <c r="K2048" s="422"/>
      <c r="L2048" s="422"/>
      <c r="M2048" s="422"/>
    </row>
    <row r="2049" spans="1:13" s="92" customFormat="1" hidden="1">
      <c r="A2049" s="83"/>
      <c r="B2049" s="1524"/>
      <c r="C2049" s="226" t="s">
        <v>209</v>
      </c>
      <c r="D2049" s="211" t="s">
        <v>80</v>
      </c>
      <c r="E2049" s="211">
        <v>0.26</v>
      </c>
      <c r="F2049" s="386">
        <f>F2048*E2049</f>
        <v>0</v>
      </c>
      <c r="G2049" s="225"/>
      <c r="H2049" s="225"/>
      <c r="I2049" s="225">
        <v>4.5999999999999996</v>
      </c>
      <c r="J2049" s="225">
        <f>F2049*I2049</f>
        <v>0</v>
      </c>
      <c r="K2049" s="225"/>
      <c r="L2049" s="225"/>
      <c r="M2049" s="225">
        <f>H2049+J2049+L2049</f>
        <v>0</v>
      </c>
    </row>
    <row r="2050" spans="1:13" s="85" customFormat="1" hidden="1">
      <c r="A2050" s="83"/>
      <c r="B2050" s="1524"/>
      <c r="C2050" s="226" t="s">
        <v>133</v>
      </c>
      <c r="D2050" s="83" t="s">
        <v>57</v>
      </c>
      <c r="E2050" s="83">
        <v>0.122</v>
      </c>
      <c r="F2050" s="386">
        <f>F2048*E2050</f>
        <v>0</v>
      </c>
      <c r="G2050" s="225"/>
      <c r="H2050" s="225"/>
      <c r="I2050" s="225"/>
      <c r="J2050" s="225"/>
      <c r="K2050" s="225">
        <v>3.2</v>
      </c>
      <c r="L2050" s="225">
        <f>F2050*K2050</f>
        <v>0</v>
      </c>
      <c r="M2050" s="225">
        <f>H2050+J2050+L2050</f>
        <v>0</v>
      </c>
    </row>
    <row r="2051" spans="1:13" s="88" customFormat="1" hidden="1">
      <c r="A2051" s="83"/>
      <c r="B2051" s="1524"/>
      <c r="C2051" s="15" t="s">
        <v>210</v>
      </c>
      <c r="D2051" s="211"/>
      <c r="E2051" s="211"/>
      <c r="F2051" s="386"/>
      <c r="G2051" s="225"/>
      <c r="H2051" s="225"/>
      <c r="I2051" s="225"/>
      <c r="J2051" s="225"/>
      <c r="K2051" s="225"/>
      <c r="L2051" s="225"/>
      <c r="M2051" s="225"/>
    </row>
    <row r="2052" spans="1:13" s="88" customFormat="1" hidden="1">
      <c r="A2052" s="83"/>
      <c r="B2052" s="1524"/>
      <c r="C2052" s="84" t="s">
        <v>809</v>
      </c>
      <c r="D2052" s="41" t="s">
        <v>122</v>
      </c>
      <c r="E2052" s="211"/>
      <c r="F2052" s="388">
        <f>'დეფექტური აქტი'!E499</f>
        <v>0</v>
      </c>
      <c r="G2052" s="225">
        <v>0.34</v>
      </c>
      <c r="H2052" s="225">
        <f>F2052*G2052</f>
        <v>0</v>
      </c>
      <c r="I2052" s="225"/>
      <c r="J2052" s="225"/>
      <c r="K2052" s="225"/>
      <c r="L2052" s="225"/>
      <c r="M2052" s="225">
        <f>H2052+J2052+L2052</f>
        <v>0</v>
      </c>
    </row>
    <row r="2053" spans="1:13" s="88" customFormat="1" hidden="1">
      <c r="A2053" s="83"/>
      <c r="B2053" s="1524"/>
      <c r="C2053" s="84" t="s">
        <v>797</v>
      </c>
      <c r="D2053" s="41" t="s">
        <v>122</v>
      </c>
      <c r="E2053" s="211"/>
      <c r="F2053" s="388">
        <f>'დეფექტური აქტი'!E500</f>
        <v>0</v>
      </c>
      <c r="G2053" s="225">
        <v>0.42</v>
      </c>
      <c r="H2053" s="225">
        <f>F2053*G2053</f>
        <v>0</v>
      </c>
      <c r="I2053" s="225"/>
      <c r="J2053" s="225"/>
      <c r="K2053" s="225"/>
      <c r="L2053" s="225"/>
      <c r="M2053" s="225">
        <f>H2053+J2053+L2053</f>
        <v>0</v>
      </c>
    </row>
    <row r="2054" spans="1:13" s="88" customFormat="1" hidden="1">
      <c r="A2054" s="83"/>
      <c r="B2054" s="1524"/>
      <c r="C2054" s="84" t="s">
        <v>1675</v>
      </c>
      <c r="D2054" s="41" t="s">
        <v>122</v>
      </c>
      <c r="E2054" s="211"/>
      <c r="F2054" s="388">
        <f>'დეფექტური აქტი'!E501</f>
        <v>0</v>
      </c>
      <c r="G2054" s="225">
        <v>1.02</v>
      </c>
      <c r="H2054" s="225">
        <f>F2054*G2054</f>
        <v>0</v>
      </c>
      <c r="I2054" s="225"/>
      <c r="J2054" s="225"/>
      <c r="K2054" s="225"/>
      <c r="L2054" s="225"/>
      <c r="M2054" s="225">
        <f>H2054+J2054+L2054</f>
        <v>0</v>
      </c>
    </row>
    <row r="2055" spans="1:13" s="88" customFormat="1" hidden="1">
      <c r="A2055" s="83"/>
      <c r="B2055" s="1524"/>
      <c r="C2055" s="226" t="s">
        <v>214</v>
      </c>
      <c r="D2055" s="83" t="s">
        <v>57</v>
      </c>
      <c r="E2055" s="211">
        <v>8.2000000000000003E-2</v>
      </c>
      <c r="F2055" s="386">
        <f>F2048*E2055</f>
        <v>0</v>
      </c>
      <c r="G2055" s="225">
        <v>3.2</v>
      </c>
      <c r="H2055" s="225">
        <f>F2055*G2055</f>
        <v>0</v>
      </c>
      <c r="I2055" s="225"/>
      <c r="J2055" s="225"/>
      <c r="K2055" s="225"/>
      <c r="L2055" s="225"/>
      <c r="M2055" s="225">
        <f>H2055+J2055+L2055</f>
        <v>0</v>
      </c>
    </row>
    <row r="2056" spans="1:13" s="88" customFormat="1" hidden="1">
      <c r="A2056" s="24">
        <v>19</v>
      </c>
      <c r="B2056" s="298"/>
      <c r="C2056" s="260" t="s">
        <v>902</v>
      </c>
      <c r="D2056" s="24" t="s">
        <v>113</v>
      </c>
      <c r="E2056" s="158"/>
      <c r="F2056" s="384">
        <f>'დეფექტური აქტი'!E502</f>
        <v>0</v>
      </c>
      <c r="G2056" s="607">
        <v>0.9</v>
      </c>
      <c r="H2056" s="607">
        <f>G2056*F2056</f>
        <v>0</v>
      </c>
      <c r="I2056" s="607"/>
      <c r="J2056" s="607"/>
      <c r="K2056" s="607"/>
      <c r="L2056" s="607"/>
      <c r="M2056" s="607">
        <f>H2056+J2056+L2056</f>
        <v>0</v>
      </c>
    </row>
    <row r="2057" spans="1:13" s="93" customFormat="1" hidden="1">
      <c r="A2057" s="140">
        <v>20</v>
      </c>
      <c r="B2057" s="1517" t="s">
        <v>566</v>
      </c>
      <c r="C2057" s="151" t="s">
        <v>478</v>
      </c>
      <c r="D2057" s="140" t="s">
        <v>113</v>
      </c>
      <c r="E2057" s="140"/>
      <c r="F2057" s="384">
        <f>'დეფექტური აქტი'!E503/2.5</f>
        <v>0</v>
      </c>
      <c r="G2057" s="422"/>
      <c r="H2057" s="422"/>
      <c r="I2057" s="422"/>
      <c r="J2057" s="422"/>
      <c r="K2057" s="422"/>
      <c r="L2057" s="422"/>
      <c r="M2057" s="422"/>
    </row>
    <row r="2058" spans="1:13" s="93" customFormat="1" hidden="1">
      <c r="A2058" s="83"/>
      <c r="B2058" s="1518"/>
      <c r="C2058" s="226" t="s">
        <v>209</v>
      </c>
      <c r="D2058" s="211" t="s">
        <v>80</v>
      </c>
      <c r="E2058" s="211">
        <v>1.04</v>
      </c>
      <c r="F2058" s="386">
        <f>F2057*E2058</f>
        <v>0</v>
      </c>
      <c r="G2058" s="225"/>
      <c r="H2058" s="225"/>
      <c r="I2058" s="225">
        <v>4.5999999999999996</v>
      </c>
      <c r="J2058" s="225">
        <f>F2058*I2058</f>
        <v>0</v>
      </c>
      <c r="K2058" s="225"/>
      <c r="L2058" s="225"/>
      <c r="M2058" s="225">
        <f>H2058+J2058+L2058</f>
        <v>0</v>
      </c>
    </row>
    <row r="2059" spans="1:13" s="93" customFormat="1" hidden="1">
      <c r="A2059" s="83"/>
      <c r="B2059" s="1518"/>
      <c r="C2059" s="226" t="s">
        <v>133</v>
      </c>
      <c r="D2059" s="83" t="s">
        <v>57</v>
      </c>
      <c r="E2059" s="83">
        <v>0.09</v>
      </c>
      <c r="F2059" s="386">
        <f>F2057*E2059</f>
        <v>0</v>
      </c>
      <c r="G2059" s="225"/>
      <c r="H2059" s="225"/>
      <c r="I2059" s="225"/>
      <c r="J2059" s="225"/>
      <c r="K2059" s="225">
        <v>3.2</v>
      </c>
      <c r="L2059" s="225">
        <f>F2059*K2059</f>
        <v>0</v>
      </c>
      <c r="M2059" s="225">
        <f>H2059+J2059+L2059</f>
        <v>0</v>
      </c>
    </row>
    <row r="2060" spans="1:13" s="93" customFormat="1" hidden="1">
      <c r="A2060" s="83"/>
      <c r="B2060" s="1518"/>
      <c r="C2060" s="15" t="s">
        <v>210</v>
      </c>
      <c r="D2060" s="211"/>
      <c r="E2060" s="211"/>
      <c r="F2060" s="386"/>
      <c r="G2060" s="225"/>
      <c r="H2060" s="225"/>
      <c r="I2060" s="225"/>
      <c r="J2060" s="225"/>
      <c r="K2060" s="225"/>
      <c r="L2060" s="225"/>
      <c r="M2060" s="225"/>
    </row>
    <row r="2061" spans="1:13" s="93" customFormat="1" hidden="1">
      <c r="A2061" s="83"/>
      <c r="B2061" s="1518"/>
      <c r="C2061" s="226" t="s">
        <v>474</v>
      </c>
      <c r="D2061" s="41" t="s">
        <v>122</v>
      </c>
      <c r="E2061" s="211">
        <v>2.5</v>
      </c>
      <c r="F2061" s="388">
        <f>F2057*E2061</f>
        <v>0</v>
      </c>
      <c r="G2061" s="225">
        <v>5.3</v>
      </c>
      <c r="H2061" s="225">
        <f>F2061*G2061</f>
        <v>0</v>
      </c>
      <c r="I2061" s="225"/>
      <c r="J2061" s="225"/>
      <c r="K2061" s="225"/>
      <c r="L2061" s="225"/>
      <c r="M2061" s="225">
        <f>H2061+J2061+L2061</f>
        <v>0</v>
      </c>
    </row>
    <row r="2062" spans="1:13" s="93" customFormat="1" hidden="1">
      <c r="A2062" s="83"/>
      <c r="B2062" s="1519"/>
      <c r="C2062" s="226" t="s">
        <v>214</v>
      </c>
      <c r="D2062" s="86" t="s">
        <v>57</v>
      </c>
      <c r="E2062" s="211">
        <v>1.4</v>
      </c>
      <c r="F2062" s="386">
        <f>F2057*E2062</f>
        <v>0</v>
      </c>
      <c r="G2062" s="225">
        <v>3.2</v>
      </c>
      <c r="H2062" s="225">
        <f>F2062*G2062</f>
        <v>0</v>
      </c>
      <c r="I2062" s="225"/>
      <c r="J2062" s="225"/>
      <c r="K2062" s="225"/>
      <c r="L2062" s="225"/>
      <c r="M2062" s="225">
        <f>H2062+J2062+L2062</f>
        <v>0</v>
      </c>
    </row>
    <row r="2063" spans="1:13" s="93" customFormat="1" hidden="1">
      <c r="A2063" s="140">
        <v>21</v>
      </c>
      <c r="B2063" s="1517" t="s">
        <v>567</v>
      </c>
      <c r="C2063" s="151" t="s">
        <v>475</v>
      </c>
      <c r="D2063" s="47" t="s">
        <v>122</v>
      </c>
      <c r="E2063" s="140"/>
      <c r="F2063" s="384">
        <f>'დეფექტური აქტი'!E504</f>
        <v>0</v>
      </c>
      <c r="G2063" s="422"/>
      <c r="H2063" s="422"/>
      <c r="I2063" s="422"/>
      <c r="J2063" s="422"/>
      <c r="K2063" s="422"/>
      <c r="L2063" s="422"/>
      <c r="M2063" s="422"/>
    </row>
    <row r="2064" spans="1:13" s="93" customFormat="1" hidden="1">
      <c r="A2064" s="83"/>
      <c r="B2064" s="1518"/>
      <c r="C2064" s="226" t="s">
        <v>209</v>
      </c>
      <c r="D2064" s="211" t="s">
        <v>80</v>
      </c>
      <c r="E2064" s="211">
        <v>0.39</v>
      </c>
      <c r="F2064" s="386">
        <f>F2063*E2064</f>
        <v>0</v>
      </c>
      <c r="G2064" s="225"/>
      <c r="H2064" s="225"/>
      <c r="I2064" s="225">
        <v>4.5999999999999996</v>
      </c>
      <c r="J2064" s="225">
        <f>F2064*I2064</f>
        <v>0</v>
      </c>
      <c r="K2064" s="225"/>
      <c r="L2064" s="225"/>
      <c r="M2064" s="225">
        <f>H2064+J2064+L2064</f>
        <v>0</v>
      </c>
    </row>
    <row r="2065" spans="1:17" s="93" customFormat="1" hidden="1">
      <c r="A2065" s="83"/>
      <c r="B2065" s="1518"/>
      <c r="C2065" s="226" t="s">
        <v>133</v>
      </c>
      <c r="D2065" s="83" t="s">
        <v>57</v>
      </c>
      <c r="E2065" s="83">
        <v>2.1999999999999999E-2</v>
      </c>
      <c r="F2065" s="386">
        <f>F2063*E2065</f>
        <v>0</v>
      </c>
      <c r="G2065" s="225"/>
      <c r="H2065" s="225"/>
      <c r="I2065" s="225"/>
      <c r="J2065" s="225"/>
      <c r="K2065" s="225">
        <v>3.2</v>
      </c>
      <c r="L2065" s="225">
        <f>F2065*K2065</f>
        <v>0</v>
      </c>
      <c r="M2065" s="225">
        <f>H2065+J2065+L2065</f>
        <v>0</v>
      </c>
    </row>
    <row r="2066" spans="1:17" s="93" customFormat="1" hidden="1">
      <c r="A2066" s="83"/>
      <c r="B2066" s="1518"/>
      <c r="C2066" s="15" t="s">
        <v>210</v>
      </c>
      <c r="D2066" s="211"/>
      <c r="E2066" s="211"/>
      <c r="F2066" s="386"/>
      <c r="G2066" s="225"/>
      <c r="H2066" s="225"/>
      <c r="I2066" s="225"/>
      <c r="J2066" s="225"/>
      <c r="K2066" s="225"/>
      <c r="L2066" s="225"/>
      <c r="M2066" s="225"/>
    </row>
    <row r="2067" spans="1:17" s="93" customFormat="1" hidden="1">
      <c r="A2067" s="83"/>
      <c r="B2067" s="1518"/>
      <c r="C2067" s="226" t="s">
        <v>957</v>
      </c>
      <c r="D2067" s="41" t="s">
        <v>122</v>
      </c>
      <c r="E2067" s="211">
        <v>1</v>
      </c>
      <c r="F2067" s="386">
        <f>F2063*E2067</f>
        <v>0</v>
      </c>
      <c r="G2067" s="225">
        <v>1.78</v>
      </c>
      <c r="H2067" s="225">
        <f>F2067*G2067</f>
        <v>0</v>
      </c>
      <c r="I2067" s="225"/>
      <c r="J2067" s="225"/>
      <c r="K2067" s="225"/>
      <c r="L2067" s="225"/>
      <c r="M2067" s="225">
        <f>H2067+J2067+L2067</f>
        <v>0</v>
      </c>
    </row>
    <row r="2068" spans="1:17" s="93" customFormat="1" hidden="1">
      <c r="A2068" s="83"/>
      <c r="B2068" s="1519"/>
      <c r="C2068" s="226" t="s">
        <v>214</v>
      </c>
      <c r="D2068" s="86" t="s">
        <v>57</v>
      </c>
      <c r="E2068" s="211">
        <v>0.159</v>
      </c>
      <c r="F2068" s="386">
        <f>F2063*E2068</f>
        <v>0</v>
      </c>
      <c r="G2068" s="225">
        <v>3.2</v>
      </c>
      <c r="H2068" s="225">
        <f>F2068*G2068</f>
        <v>0</v>
      </c>
      <c r="I2068" s="225"/>
      <c r="J2068" s="225"/>
      <c r="K2068" s="225"/>
      <c r="L2068" s="225"/>
      <c r="M2068" s="225">
        <f>H2068+J2068+L2068</f>
        <v>0</v>
      </c>
    </row>
    <row r="2069" spans="1:17" s="93" customFormat="1" hidden="1">
      <c r="A2069" s="140">
        <v>22</v>
      </c>
      <c r="B2069" s="168" t="s">
        <v>568</v>
      </c>
      <c r="C2069" s="152" t="s">
        <v>476</v>
      </c>
      <c r="D2069" s="47" t="s">
        <v>122</v>
      </c>
      <c r="E2069" s="140"/>
      <c r="F2069" s="384">
        <f>'დეფექტური აქტი'!E505</f>
        <v>0</v>
      </c>
      <c r="G2069" s="422"/>
      <c r="H2069" s="422"/>
      <c r="I2069" s="422"/>
      <c r="J2069" s="422"/>
      <c r="K2069" s="422"/>
      <c r="L2069" s="422"/>
      <c r="M2069" s="422"/>
    </row>
    <row r="2070" spans="1:17" s="93" customFormat="1" hidden="1">
      <c r="A2070" s="83"/>
      <c r="B2070" s="222"/>
      <c r="C2070" s="90" t="s">
        <v>209</v>
      </c>
      <c r="D2070" s="83" t="s">
        <v>80</v>
      </c>
      <c r="E2070" s="83">
        <v>0.26</v>
      </c>
      <c r="F2070" s="386">
        <f>F2069*E2070</f>
        <v>0</v>
      </c>
      <c r="G2070" s="225"/>
      <c r="H2070" s="225"/>
      <c r="I2070" s="225">
        <v>4.5999999999999996</v>
      </c>
      <c r="J2070" s="225">
        <f>F2070*I2070</f>
        <v>0</v>
      </c>
      <c r="K2070" s="225"/>
      <c r="L2070" s="225"/>
      <c r="M2070" s="225">
        <f>H2070+J2070+L2070</f>
        <v>0</v>
      </c>
    </row>
    <row r="2071" spans="1:17" s="93" customFormat="1" hidden="1">
      <c r="A2071" s="83"/>
      <c r="B2071" s="83"/>
      <c r="C2071" s="90" t="s">
        <v>133</v>
      </c>
      <c r="D2071" s="83" t="s">
        <v>57</v>
      </c>
      <c r="E2071" s="83">
        <v>1.6E-2</v>
      </c>
      <c r="F2071" s="386">
        <f>F2069*E2071</f>
        <v>0</v>
      </c>
      <c r="G2071" s="225"/>
      <c r="H2071" s="225"/>
      <c r="I2071" s="225"/>
      <c r="J2071" s="225"/>
      <c r="K2071" s="225">
        <v>3.2</v>
      </c>
      <c r="L2071" s="225">
        <f>F2071*K2071</f>
        <v>0</v>
      </c>
      <c r="M2071" s="225">
        <f>H2071+J2071+L2071</f>
        <v>0</v>
      </c>
    </row>
    <row r="2072" spans="1:17" s="93" customFormat="1" hidden="1">
      <c r="A2072" s="83"/>
      <c r="B2072" s="222"/>
      <c r="C2072" s="15" t="s">
        <v>210</v>
      </c>
      <c r="D2072" s="83"/>
      <c r="E2072" s="83"/>
      <c r="F2072" s="386"/>
      <c r="G2072" s="225"/>
      <c r="H2072" s="225"/>
      <c r="I2072" s="225"/>
      <c r="J2072" s="225"/>
      <c r="K2072" s="225"/>
      <c r="L2072" s="225"/>
      <c r="M2072" s="225"/>
    </row>
    <row r="2073" spans="1:17" s="93" customFormat="1" hidden="1">
      <c r="A2073" s="83"/>
      <c r="B2073" s="222"/>
      <c r="C2073" s="90" t="s">
        <v>476</v>
      </c>
      <c r="D2073" s="41" t="s">
        <v>122</v>
      </c>
      <c r="E2073" s="83">
        <v>1</v>
      </c>
      <c r="F2073" s="386">
        <f>F2069*E2073</f>
        <v>0</v>
      </c>
      <c r="G2073" s="225">
        <v>0.53</v>
      </c>
      <c r="H2073" s="225">
        <f>F2073*G2073</f>
        <v>0</v>
      </c>
      <c r="I2073" s="225"/>
      <c r="J2073" s="225"/>
      <c r="K2073" s="225"/>
      <c r="L2073" s="225"/>
      <c r="M2073" s="225">
        <f>H2073+J2073+L2073</f>
        <v>0</v>
      </c>
    </row>
    <row r="2074" spans="1:17" s="93" customFormat="1" hidden="1">
      <c r="A2074" s="83"/>
      <c r="B2074" s="222"/>
      <c r="C2074" s="90" t="s">
        <v>214</v>
      </c>
      <c r="D2074" s="86" t="s">
        <v>57</v>
      </c>
      <c r="E2074" s="83">
        <v>0.35299999999999998</v>
      </c>
      <c r="F2074" s="386">
        <f>F2069*E2074</f>
        <v>0</v>
      </c>
      <c r="G2074" s="225">
        <v>3.2</v>
      </c>
      <c r="H2074" s="225">
        <f>F2074*G2074</f>
        <v>0</v>
      </c>
      <c r="I2074" s="225"/>
      <c r="J2074" s="225"/>
      <c r="K2074" s="225"/>
      <c r="L2074" s="225"/>
      <c r="M2074" s="225">
        <f>H2074+J2074+L2074</f>
        <v>0</v>
      </c>
    </row>
    <row r="2075" spans="1:17">
      <c r="A2075" s="1193"/>
      <c r="B2075" s="81"/>
      <c r="C2075" s="113" t="s">
        <v>110</v>
      </c>
      <c r="D2075" s="141"/>
      <c r="E2075" s="13"/>
      <c r="F2075" s="401"/>
      <c r="G2075" s="401"/>
      <c r="H2075" s="401"/>
      <c r="I2075" s="401"/>
      <c r="J2075" s="401"/>
      <c r="K2075" s="401"/>
      <c r="L2075" s="401"/>
      <c r="M2075" s="401"/>
    </row>
    <row r="2076" spans="1:17" s="93" customFormat="1">
      <c r="A2076" s="1193"/>
      <c r="B2076" s="81"/>
      <c r="C2076" s="109" t="s">
        <v>458</v>
      </c>
      <c r="D2076" s="124">
        <f>'დეფექტური აქტი'!E507%</f>
        <v>0.75</v>
      </c>
      <c r="E2076" s="274"/>
      <c r="F2076" s="403"/>
      <c r="G2076" s="613"/>
      <c r="H2076" s="613"/>
      <c r="I2076" s="613"/>
      <c r="J2076" s="613"/>
      <c r="K2076" s="613"/>
      <c r="L2076" s="613"/>
      <c r="M2076" s="613"/>
    </row>
    <row r="2077" spans="1:17" s="93" customFormat="1">
      <c r="A2077" s="1193"/>
      <c r="B2077" s="81"/>
      <c r="C2077" s="30" t="s">
        <v>359</v>
      </c>
      <c r="D2077" s="141"/>
      <c r="E2077" s="274"/>
      <c r="F2077" s="403"/>
      <c r="G2077" s="613"/>
      <c r="H2077" s="613"/>
      <c r="I2077" s="613"/>
      <c r="J2077" s="613"/>
      <c r="K2077" s="613"/>
      <c r="L2077" s="613"/>
      <c r="M2077" s="613"/>
    </row>
    <row r="2078" spans="1:17" s="93" customFormat="1">
      <c r="A2078" s="1193"/>
      <c r="B2078" s="81"/>
      <c r="C2078" s="110" t="s">
        <v>116</v>
      </c>
      <c r="D2078" s="124">
        <f>'დეფექტური აქტი'!E509%</f>
        <v>0.08</v>
      </c>
      <c r="E2078" s="275"/>
      <c r="F2078" s="403"/>
      <c r="G2078" s="613"/>
      <c r="H2078" s="613"/>
      <c r="I2078" s="613"/>
      <c r="J2078" s="613"/>
      <c r="K2078" s="613"/>
      <c r="L2078" s="613"/>
      <c r="M2078" s="613"/>
      <c r="Q2078" s="276"/>
    </row>
    <row r="2079" spans="1:17" s="93" customFormat="1">
      <c r="A2079" s="1193"/>
      <c r="B2079" s="81"/>
      <c r="C2079" s="170" t="s">
        <v>1218</v>
      </c>
      <c r="D2079" s="277"/>
      <c r="E2079" s="275"/>
      <c r="F2079" s="403"/>
      <c r="G2079" s="613"/>
      <c r="H2079" s="613"/>
      <c r="I2079" s="613"/>
      <c r="J2079" s="613"/>
      <c r="K2079" s="613"/>
      <c r="L2079" s="613"/>
      <c r="M2079" s="613"/>
    </row>
    <row r="2080" spans="1:17" s="93" customFormat="1" hidden="1">
      <c r="A2080" s="81"/>
      <c r="B2080" s="81"/>
      <c r="C2080" s="110"/>
      <c r="D2080" s="24"/>
      <c r="E2080" s="259"/>
      <c r="F2080" s="390"/>
      <c r="G2080" s="607"/>
      <c r="H2080" s="607"/>
      <c r="I2080" s="607"/>
      <c r="J2080" s="607"/>
      <c r="K2080" s="607"/>
      <c r="L2080" s="607"/>
      <c r="M2080" s="607"/>
    </row>
    <row r="2081" spans="1:255" s="93" customFormat="1" hidden="1">
      <c r="A2081" s="81"/>
      <c r="B2081" s="81"/>
      <c r="C2081" s="194" t="s">
        <v>1427</v>
      </c>
      <c r="D2081" s="24"/>
      <c r="E2081" s="259"/>
      <c r="F2081" s="390"/>
      <c r="G2081" s="607"/>
      <c r="H2081" s="607"/>
      <c r="I2081" s="607"/>
      <c r="J2081" s="607"/>
      <c r="K2081" s="607"/>
      <c r="L2081" s="607"/>
      <c r="M2081" s="607"/>
    </row>
    <row r="2082" spans="1:255" s="88" customFormat="1" hidden="1">
      <c r="A2082" s="140">
        <v>1</v>
      </c>
      <c r="B2082" s="1429" t="s">
        <v>530</v>
      </c>
      <c r="C2082" s="227" t="s">
        <v>519</v>
      </c>
      <c r="D2082" s="228" t="s">
        <v>88</v>
      </c>
      <c r="E2082" s="248"/>
      <c r="F2082" s="384">
        <f>'დეფექტური აქტი'!E512</f>
        <v>0</v>
      </c>
      <c r="G2082" s="422"/>
      <c r="H2082" s="422"/>
      <c r="I2082" s="422"/>
      <c r="J2082" s="422"/>
      <c r="K2082" s="422"/>
      <c r="L2082" s="422"/>
      <c r="M2082" s="422">
        <f t="shared" ref="M2082:M2088" si="43">H2082+J2082+L2082</f>
        <v>0</v>
      </c>
    </row>
    <row r="2083" spans="1:255" s="88" customFormat="1" hidden="1">
      <c r="A2083" s="83"/>
      <c r="B2083" s="1430"/>
      <c r="C2083" s="226" t="s">
        <v>79</v>
      </c>
      <c r="D2083" s="230" t="s">
        <v>80</v>
      </c>
      <c r="E2083" s="94">
        <v>2.06</v>
      </c>
      <c r="F2083" s="386">
        <f>F2082*E2083</f>
        <v>0</v>
      </c>
      <c r="G2083" s="225"/>
      <c r="H2083" s="604"/>
      <c r="I2083" s="225">
        <v>4.5999999999999996</v>
      </c>
      <c r="J2083" s="225">
        <f>F2083*I2083</f>
        <v>0</v>
      </c>
      <c r="K2083" s="225"/>
      <c r="L2083" s="225"/>
      <c r="M2083" s="225">
        <f t="shared" si="43"/>
        <v>0</v>
      </c>
    </row>
    <row r="2084" spans="1:255" s="88" customFormat="1" hidden="1">
      <c r="A2084" s="140">
        <v>2</v>
      </c>
      <c r="B2084" s="1429" t="s">
        <v>890</v>
      </c>
      <c r="C2084" s="227" t="s">
        <v>433</v>
      </c>
      <c r="D2084" s="228" t="s">
        <v>88</v>
      </c>
      <c r="E2084" s="248"/>
      <c r="F2084" s="384">
        <f>'დეფექტური აქტი'!E513</f>
        <v>0</v>
      </c>
      <c r="G2084" s="422"/>
      <c r="H2084" s="422"/>
      <c r="I2084" s="422"/>
      <c r="J2084" s="422"/>
      <c r="K2084" s="422"/>
      <c r="L2084" s="422"/>
      <c r="M2084" s="422">
        <f t="shared" si="43"/>
        <v>0</v>
      </c>
    </row>
    <row r="2085" spans="1:255" s="88" customFormat="1" hidden="1">
      <c r="A2085" s="83"/>
      <c r="B2085" s="1430"/>
      <c r="C2085" s="226" t="s">
        <v>209</v>
      </c>
      <c r="D2085" s="230" t="s">
        <v>80</v>
      </c>
      <c r="E2085" s="254">
        <v>1.21</v>
      </c>
      <c r="F2085" s="386">
        <f>F2084*E2085</f>
        <v>0</v>
      </c>
      <c r="G2085" s="225"/>
      <c r="H2085" s="604"/>
      <c r="I2085" s="225">
        <v>4.5999999999999996</v>
      </c>
      <c r="J2085" s="225">
        <f>F2085*I2085</f>
        <v>0</v>
      </c>
      <c r="K2085" s="225"/>
      <c r="L2085" s="225"/>
      <c r="M2085" s="225">
        <f t="shared" si="43"/>
        <v>0</v>
      </c>
    </row>
    <row r="2086" spans="1:255" s="88" customFormat="1" hidden="1">
      <c r="A2086" s="140">
        <v>6</v>
      </c>
      <c r="B2086" s="1429"/>
      <c r="C2086" s="227" t="s">
        <v>499</v>
      </c>
      <c r="D2086" s="228" t="s">
        <v>206</v>
      </c>
      <c r="E2086" s="858"/>
      <c r="F2086" s="384">
        <f>'დეფექტური აქტი'!E514*1.95</f>
        <v>0</v>
      </c>
      <c r="G2086" s="422"/>
      <c r="H2086" s="422"/>
      <c r="I2086" s="422"/>
      <c r="J2086" s="422"/>
      <c r="K2086" s="422"/>
      <c r="L2086" s="422"/>
      <c r="M2086" s="422">
        <f>H2086+J2086+L2086</f>
        <v>0</v>
      </c>
      <c r="N2086" s="801"/>
      <c r="O2086" s="801"/>
      <c r="P2086" s="802"/>
      <c r="Q2086" s="802"/>
      <c r="R2086" s="802"/>
      <c r="S2086" s="802"/>
      <c r="T2086" s="802"/>
      <c r="U2086" s="802"/>
      <c r="V2086" s="802"/>
      <c r="W2086" s="802"/>
      <c r="X2086" s="802"/>
      <c r="Y2086" s="802"/>
      <c r="Z2086" s="802"/>
      <c r="AA2086" s="801"/>
      <c r="AB2086" s="801"/>
      <c r="AC2086" s="801"/>
      <c r="AD2086" s="801"/>
      <c r="AE2086" s="801"/>
      <c r="AF2086" s="801"/>
      <c r="AG2086" s="801"/>
      <c r="AH2086" s="801"/>
      <c r="AI2086" s="801"/>
      <c r="AJ2086" s="801"/>
      <c r="AK2086" s="801"/>
      <c r="AL2086" s="801"/>
      <c r="AM2086" s="801"/>
      <c r="AN2086" s="801"/>
      <c r="AO2086" s="801"/>
      <c r="AP2086" s="801"/>
      <c r="AQ2086" s="801"/>
      <c r="AR2086" s="801"/>
      <c r="AS2086" s="801"/>
      <c r="AT2086" s="801"/>
      <c r="AU2086" s="801"/>
      <c r="AV2086" s="801"/>
      <c r="AW2086" s="801"/>
      <c r="AX2086" s="801"/>
      <c r="AY2086" s="801"/>
      <c r="AZ2086" s="801"/>
      <c r="BA2086" s="801"/>
      <c r="BB2086" s="801"/>
      <c r="BC2086" s="801"/>
      <c r="BD2086" s="801"/>
      <c r="BE2086" s="801"/>
      <c r="BF2086" s="801"/>
      <c r="BG2086" s="801"/>
      <c r="BH2086" s="801"/>
      <c r="BI2086" s="801"/>
      <c r="BJ2086" s="801"/>
      <c r="BK2086" s="801"/>
      <c r="BL2086" s="801"/>
      <c r="BM2086" s="801"/>
      <c r="BN2086" s="801"/>
      <c r="BO2086" s="801"/>
      <c r="BP2086" s="801"/>
      <c r="BQ2086" s="801"/>
      <c r="BR2086" s="801"/>
      <c r="BS2086" s="801"/>
      <c r="BT2086" s="801"/>
      <c r="BU2086" s="801"/>
      <c r="BV2086" s="801"/>
      <c r="BW2086" s="801"/>
      <c r="BX2086" s="801"/>
      <c r="BY2086" s="801"/>
      <c r="BZ2086" s="801"/>
      <c r="CA2086" s="801"/>
      <c r="CB2086" s="801"/>
      <c r="CC2086" s="801"/>
      <c r="CD2086" s="801"/>
      <c r="CE2086" s="801"/>
      <c r="CF2086" s="801"/>
      <c r="CG2086" s="801"/>
      <c r="CH2086" s="801"/>
      <c r="CI2086" s="801"/>
      <c r="CJ2086" s="801"/>
      <c r="CK2086" s="801"/>
      <c r="CL2086" s="801"/>
      <c r="CM2086" s="801"/>
      <c r="CN2086" s="801"/>
      <c r="CO2086" s="801"/>
      <c r="CP2086" s="801"/>
      <c r="CQ2086" s="801"/>
      <c r="CR2086" s="801"/>
      <c r="CS2086" s="801"/>
      <c r="CT2086" s="801"/>
      <c r="CU2086" s="801"/>
      <c r="CV2086" s="801"/>
      <c r="CW2086" s="801"/>
      <c r="CX2086" s="801"/>
      <c r="CY2086" s="801"/>
      <c r="CZ2086" s="801"/>
      <c r="DA2086" s="801"/>
      <c r="DB2086" s="801"/>
      <c r="DC2086" s="801"/>
      <c r="DD2086" s="801"/>
      <c r="DE2086" s="801"/>
      <c r="DF2086" s="801"/>
      <c r="DG2086" s="801"/>
      <c r="DH2086" s="801"/>
      <c r="DI2086" s="801"/>
      <c r="DJ2086" s="801"/>
      <c r="DK2086" s="801"/>
      <c r="DL2086" s="801"/>
      <c r="DM2086" s="801"/>
      <c r="DN2086" s="801"/>
      <c r="DO2086" s="801"/>
      <c r="DP2086" s="801"/>
      <c r="DQ2086" s="801"/>
      <c r="DR2086" s="801"/>
      <c r="DS2086" s="801"/>
      <c r="DT2086" s="801"/>
      <c r="DU2086" s="801"/>
      <c r="DV2086" s="801"/>
      <c r="DW2086" s="801"/>
      <c r="DX2086" s="801"/>
      <c r="DY2086" s="801"/>
      <c r="DZ2086" s="801"/>
      <c r="EA2086" s="801"/>
      <c r="EB2086" s="801"/>
      <c r="EC2086" s="801"/>
      <c r="ED2086" s="801"/>
      <c r="EE2086" s="801"/>
      <c r="EF2086" s="801"/>
      <c r="EG2086" s="801"/>
      <c r="EH2086" s="801"/>
      <c r="EI2086" s="801"/>
      <c r="EJ2086" s="801"/>
      <c r="EK2086" s="801"/>
      <c r="EL2086" s="801"/>
      <c r="EM2086" s="801"/>
      <c r="EN2086" s="801"/>
      <c r="EO2086" s="801"/>
      <c r="EP2086" s="801"/>
      <c r="EQ2086" s="801"/>
      <c r="ER2086" s="801"/>
      <c r="ES2086" s="801"/>
      <c r="ET2086" s="801"/>
      <c r="EU2086" s="801"/>
      <c r="EV2086" s="801"/>
      <c r="EW2086" s="801"/>
      <c r="EX2086" s="801"/>
      <c r="EY2086" s="801"/>
      <c r="EZ2086" s="801"/>
      <c r="FA2086" s="801"/>
      <c r="FB2086" s="801"/>
      <c r="FC2086" s="801"/>
      <c r="FD2086" s="801"/>
      <c r="FE2086" s="801"/>
      <c r="FF2086" s="801"/>
      <c r="FG2086" s="801"/>
      <c r="FH2086" s="801"/>
      <c r="FI2086" s="801"/>
      <c r="FJ2086" s="801"/>
      <c r="FK2086" s="801"/>
      <c r="FL2086" s="801"/>
      <c r="FM2086" s="801"/>
      <c r="FN2086" s="801"/>
      <c r="FO2086" s="801"/>
      <c r="FP2086" s="801"/>
      <c r="FQ2086" s="801"/>
      <c r="FR2086" s="801"/>
      <c r="FS2086" s="801"/>
      <c r="FT2086" s="801"/>
      <c r="FU2086" s="801"/>
      <c r="FV2086" s="801"/>
      <c r="FW2086" s="801"/>
      <c r="FX2086" s="801"/>
      <c r="FY2086" s="801"/>
      <c r="FZ2086" s="801"/>
      <c r="GA2086" s="801"/>
      <c r="GB2086" s="801"/>
      <c r="GC2086" s="801"/>
      <c r="GD2086" s="801"/>
      <c r="GE2086" s="801"/>
      <c r="GF2086" s="801"/>
      <c r="GG2086" s="801"/>
      <c r="GH2086" s="801"/>
      <c r="GI2086" s="801"/>
      <c r="GJ2086" s="801"/>
      <c r="GK2086" s="801"/>
      <c r="GL2086" s="801"/>
      <c r="GM2086" s="801"/>
      <c r="GN2086" s="801"/>
      <c r="GO2086" s="801"/>
      <c r="GP2086" s="801"/>
      <c r="GQ2086" s="801"/>
      <c r="GR2086" s="801"/>
      <c r="GS2086" s="801"/>
      <c r="GT2086" s="801"/>
      <c r="GU2086" s="801"/>
      <c r="GV2086" s="801"/>
      <c r="GW2086" s="801"/>
      <c r="GX2086" s="801"/>
      <c r="GY2086" s="801"/>
      <c r="GZ2086" s="801"/>
      <c r="HA2086" s="801"/>
      <c r="HB2086" s="801"/>
      <c r="HC2086" s="801"/>
      <c r="HD2086" s="801"/>
      <c r="HE2086" s="801"/>
      <c r="HF2086" s="801"/>
      <c r="HG2086" s="801"/>
      <c r="HH2086" s="801"/>
      <c r="HI2086" s="801"/>
      <c r="HJ2086" s="801"/>
      <c r="HK2086" s="801"/>
      <c r="HL2086" s="801"/>
      <c r="HM2086" s="801"/>
      <c r="HN2086" s="801"/>
      <c r="HO2086" s="801"/>
      <c r="HP2086" s="801"/>
      <c r="HQ2086" s="801"/>
      <c r="HR2086" s="801"/>
      <c r="HS2086" s="801"/>
      <c r="HT2086" s="801"/>
      <c r="HU2086" s="801"/>
      <c r="HV2086" s="801"/>
      <c r="HW2086" s="801"/>
      <c r="HX2086" s="801"/>
      <c r="HY2086" s="801"/>
      <c r="HZ2086" s="801"/>
      <c r="IA2086" s="801"/>
      <c r="IB2086" s="801"/>
      <c r="IC2086" s="801"/>
      <c r="ID2086" s="801"/>
      <c r="IE2086" s="801"/>
      <c r="IF2086" s="801"/>
      <c r="IG2086" s="801"/>
      <c r="IH2086" s="801"/>
      <c r="II2086" s="801"/>
      <c r="IJ2086" s="801"/>
      <c r="IK2086" s="801"/>
      <c r="IL2086" s="801"/>
      <c r="IM2086" s="801"/>
      <c r="IN2086" s="801"/>
      <c r="IO2086" s="801"/>
      <c r="IP2086" s="801"/>
      <c r="IQ2086" s="801"/>
      <c r="IR2086" s="801"/>
      <c r="IS2086" s="801"/>
      <c r="IT2086" s="801"/>
      <c r="IU2086" s="801"/>
    </row>
    <row r="2087" spans="1:255" s="88" customFormat="1" hidden="1">
      <c r="A2087" s="86"/>
      <c r="B2087" s="1430"/>
      <c r="C2087" s="229" t="s">
        <v>209</v>
      </c>
      <c r="D2087" s="230" t="s">
        <v>80</v>
      </c>
      <c r="E2087" s="387">
        <v>0.53</v>
      </c>
      <c r="F2087" s="387">
        <f>F2086*E2087</f>
        <v>0</v>
      </c>
      <c r="G2087" s="393"/>
      <c r="H2087" s="605"/>
      <c r="I2087" s="393">
        <v>4.5999999999999996</v>
      </c>
      <c r="J2087" s="393">
        <f>F2087*I2087</f>
        <v>0</v>
      </c>
      <c r="K2087" s="393"/>
      <c r="L2087" s="393"/>
      <c r="M2087" s="393">
        <f>H2087+J2087+L2087</f>
        <v>0</v>
      </c>
      <c r="N2087" s="801"/>
      <c r="O2087" s="801"/>
      <c r="P2087" s="802"/>
      <c r="Q2087" s="802"/>
      <c r="R2087" s="802"/>
      <c r="S2087" s="802"/>
      <c r="T2087" s="802"/>
      <c r="U2087" s="802"/>
      <c r="V2087" s="802"/>
      <c r="W2087" s="802"/>
      <c r="X2087" s="802"/>
      <c r="Y2087" s="802"/>
      <c r="Z2087" s="802"/>
      <c r="AA2087" s="801"/>
      <c r="AB2087" s="801"/>
      <c r="AC2087" s="801"/>
      <c r="AD2087" s="801"/>
      <c r="AE2087" s="801"/>
      <c r="AF2087" s="801"/>
      <c r="AG2087" s="801"/>
      <c r="AH2087" s="801"/>
      <c r="AI2087" s="801"/>
      <c r="AJ2087" s="801"/>
      <c r="AK2087" s="801"/>
      <c r="AL2087" s="801"/>
      <c r="AM2087" s="801"/>
      <c r="AN2087" s="801"/>
      <c r="AO2087" s="801"/>
      <c r="AP2087" s="801"/>
      <c r="AQ2087" s="801"/>
      <c r="AR2087" s="801"/>
      <c r="AS2087" s="801"/>
      <c r="AT2087" s="801"/>
      <c r="AU2087" s="801"/>
      <c r="AV2087" s="801"/>
      <c r="AW2087" s="801"/>
      <c r="AX2087" s="801"/>
      <c r="AY2087" s="801"/>
      <c r="AZ2087" s="801"/>
      <c r="BA2087" s="801"/>
      <c r="BB2087" s="801"/>
      <c r="BC2087" s="801"/>
      <c r="BD2087" s="801"/>
      <c r="BE2087" s="801"/>
      <c r="BF2087" s="801"/>
      <c r="BG2087" s="801"/>
      <c r="BH2087" s="801"/>
      <c r="BI2087" s="801"/>
      <c r="BJ2087" s="801"/>
      <c r="BK2087" s="801"/>
      <c r="BL2087" s="801"/>
      <c r="BM2087" s="801"/>
      <c r="BN2087" s="801"/>
      <c r="BO2087" s="801"/>
      <c r="BP2087" s="801"/>
      <c r="BQ2087" s="801"/>
      <c r="BR2087" s="801"/>
      <c r="BS2087" s="801"/>
      <c r="BT2087" s="801"/>
      <c r="BU2087" s="801"/>
      <c r="BV2087" s="801"/>
      <c r="BW2087" s="801"/>
      <c r="BX2087" s="801"/>
      <c r="BY2087" s="801"/>
      <c r="BZ2087" s="801"/>
      <c r="CA2087" s="801"/>
      <c r="CB2087" s="801"/>
      <c r="CC2087" s="801"/>
      <c r="CD2087" s="801"/>
      <c r="CE2087" s="801"/>
      <c r="CF2087" s="801"/>
      <c r="CG2087" s="801"/>
      <c r="CH2087" s="801"/>
      <c r="CI2087" s="801"/>
      <c r="CJ2087" s="801"/>
      <c r="CK2087" s="801"/>
      <c r="CL2087" s="801"/>
      <c r="CM2087" s="801"/>
      <c r="CN2087" s="801"/>
      <c r="CO2087" s="801"/>
      <c r="CP2087" s="801"/>
      <c r="CQ2087" s="801"/>
      <c r="CR2087" s="801"/>
      <c r="CS2087" s="801"/>
      <c r="CT2087" s="801"/>
      <c r="CU2087" s="801"/>
      <c r="CV2087" s="801"/>
      <c r="CW2087" s="801"/>
      <c r="CX2087" s="801"/>
      <c r="CY2087" s="801"/>
      <c r="CZ2087" s="801"/>
      <c r="DA2087" s="801"/>
      <c r="DB2087" s="801"/>
      <c r="DC2087" s="801"/>
      <c r="DD2087" s="801"/>
      <c r="DE2087" s="801"/>
      <c r="DF2087" s="801"/>
      <c r="DG2087" s="801"/>
      <c r="DH2087" s="801"/>
      <c r="DI2087" s="801"/>
      <c r="DJ2087" s="801"/>
      <c r="DK2087" s="801"/>
      <c r="DL2087" s="801"/>
      <c r="DM2087" s="801"/>
      <c r="DN2087" s="801"/>
      <c r="DO2087" s="801"/>
      <c r="DP2087" s="801"/>
      <c r="DQ2087" s="801"/>
      <c r="DR2087" s="801"/>
      <c r="DS2087" s="801"/>
      <c r="DT2087" s="801"/>
      <c r="DU2087" s="801"/>
      <c r="DV2087" s="801"/>
      <c r="DW2087" s="801"/>
      <c r="DX2087" s="801"/>
      <c r="DY2087" s="801"/>
      <c r="DZ2087" s="801"/>
      <c r="EA2087" s="801"/>
      <c r="EB2087" s="801"/>
      <c r="EC2087" s="801"/>
      <c r="ED2087" s="801"/>
      <c r="EE2087" s="801"/>
      <c r="EF2087" s="801"/>
      <c r="EG2087" s="801"/>
      <c r="EH2087" s="801"/>
      <c r="EI2087" s="801"/>
      <c r="EJ2087" s="801"/>
      <c r="EK2087" s="801"/>
      <c r="EL2087" s="801"/>
      <c r="EM2087" s="801"/>
      <c r="EN2087" s="801"/>
      <c r="EO2087" s="801"/>
      <c r="EP2087" s="801"/>
      <c r="EQ2087" s="801"/>
      <c r="ER2087" s="801"/>
      <c r="ES2087" s="801"/>
      <c r="ET2087" s="801"/>
      <c r="EU2087" s="801"/>
      <c r="EV2087" s="801"/>
      <c r="EW2087" s="801"/>
      <c r="EX2087" s="801"/>
      <c r="EY2087" s="801"/>
      <c r="EZ2087" s="801"/>
      <c r="FA2087" s="801"/>
      <c r="FB2087" s="801"/>
      <c r="FC2087" s="801"/>
      <c r="FD2087" s="801"/>
      <c r="FE2087" s="801"/>
      <c r="FF2087" s="801"/>
      <c r="FG2087" s="801"/>
      <c r="FH2087" s="801"/>
      <c r="FI2087" s="801"/>
      <c r="FJ2087" s="801"/>
      <c r="FK2087" s="801"/>
      <c r="FL2087" s="801"/>
      <c r="FM2087" s="801"/>
      <c r="FN2087" s="801"/>
      <c r="FO2087" s="801"/>
      <c r="FP2087" s="801"/>
      <c r="FQ2087" s="801"/>
      <c r="FR2087" s="801"/>
      <c r="FS2087" s="801"/>
      <c r="FT2087" s="801"/>
      <c r="FU2087" s="801"/>
      <c r="FV2087" s="801"/>
      <c r="FW2087" s="801"/>
      <c r="FX2087" s="801"/>
      <c r="FY2087" s="801"/>
      <c r="FZ2087" s="801"/>
      <c r="GA2087" s="801"/>
      <c r="GB2087" s="801"/>
      <c r="GC2087" s="801"/>
      <c r="GD2087" s="801"/>
      <c r="GE2087" s="801"/>
      <c r="GF2087" s="801"/>
      <c r="GG2087" s="801"/>
      <c r="GH2087" s="801"/>
      <c r="GI2087" s="801"/>
      <c r="GJ2087" s="801"/>
      <c r="GK2087" s="801"/>
      <c r="GL2087" s="801"/>
      <c r="GM2087" s="801"/>
      <c r="GN2087" s="801"/>
      <c r="GO2087" s="801"/>
      <c r="GP2087" s="801"/>
      <c r="GQ2087" s="801"/>
      <c r="GR2087" s="801"/>
      <c r="GS2087" s="801"/>
      <c r="GT2087" s="801"/>
      <c r="GU2087" s="801"/>
      <c r="GV2087" s="801"/>
      <c r="GW2087" s="801"/>
      <c r="GX2087" s="801"/>
      <c r="GY2087" s="801"/>
      <c r="GZ2087" s="801"/>
      <c r="HA2087" s="801"/>
      <c r="HB2087" s="801"/>
      <c r="HC2087" s="801"/>
      <c r="HD2087" s="801"/>
      <c r="HE2087" s="801"/>
      <c r="HF2087" s="801"/>
      <c r="HG2087" s="801"/>
      <c r="HH2087" s="801"/>
      <c r="HI2087" s="801"/>
      <c r="HJ2087" s="801"/>
      <c r="HK2087" s="801"/>
      <c r="HL2087" s="801"/>
      <c r="HM2087" s="801"/>
      <c r="HN2087" s="801"/>
      <c r="HO2087" s="801"/>
      <c r="HP2087" s="801"/>
      <c r="HQ2087" s="801"/>
      <c r="HR2087" s="801"/>
      <c r="HS2087" s="801"/>
      <c r="HT2087" s="801"/>
      <c r="HU2087" s="801"/>
      <c r="HV2087" s="801"/>
      <c r="HW2087" s="801"/>
      <c r="HX2087" s="801"/>
      <c r="HY2087" s="801"/>
      <c r="HZ2087" s="801"/>
      <c r="IA2087" s="801"/>
      <c r="IB2087" s="801"/>
      <c r="IC2087" s="801"/>
      <c r="ID2087" s="801"/>
      <c r="IE2087" s="801"/>
      <c r="IF2087" s="801"/>
      <c r="IG2087" s="801"/>
      <c r="IH2087" s="801"/>
      <c r="II2087" s="801"/>
      <c r="IJ2087" s="801"/>
      <c r="IK2087" s="801"/>
      <c r="IL2087" s="801"/>
      <c r="IM2087" s="801"/>
      <c r="IN2087" s="801"/>
      <c r="IO2087" s="801"/>
      <c r="IP2087" s="801"/>
      <c r="IQ2087" s="801"/>
      <c r="IR2087" s="801"/>
      <c r="IS2087" s="801"/>
      <c r="IT2087" s="801"/>
      <c r="IU2087" s="801"/>
    </row>
    <row r="2088" spans="1:255" s="92" customFormat="1" hidden="1">
      <c r="A2088" s="140">
        <v>4</v>
      </c>
      <c r="B2088" s="220"/>
      <c r="C2088" s="151" t="s">
        <v>736</v>
      </c>
      <c r="D2088" s="24" t="s">
        <v>206</v>
      </c>
      <c r="E2088" s="140"/>
      <c r="F2088" s="384">
        <f>'დეფექტური აქტი'!E515*1.95</f>
        <v>0</v>
      </c>
      <c r="G2088" s="422"/>
      <c r="H2088" s="422"/>
      <c r="I2088" s="422"/>
      <c r="J2088" s="422"/>
      <c r="K2088" s="422">
        <v>3.02</v>
      </c>
      <c r="L2088" s="422">
        <f>F2088*K2088</f>
        <v>0</v>
      </c>
      <c r="M2088" s="422">
        <f t="shared" si="43"/>
        <v>0</v>
      </c>
    </row>
    <row r="2089" spans="1:255" s="88" customFormat="1" ht="27" hidden="1">
      <c r="A2089" s="140">
        <v>5</v>
      </c>
      <c r="B2089" s="1446" t="s">
        <v>531</v>
      </c>
      <c r="C2089" s="151" t="s">
        <v>500</v>
      </c>
      <c r="D2089" s="140" t="s">
        <v>88</v>
      </c>
      <c r="E2089" s="140"/>
      <c r="F2089" s="384">
        <f>'დეფექტური აქტი'!E516</f>
        <v>0</v>
      </c>
      <c r="G2089" s="422"/>
      <c r="H2089" s="422"/>
      <c r="I2089" s="422"/>
      <c r="J2089" s="422"/>
      <c r="K2089" s="422"/>
      <c r="L2089" s="422"/>
      <c r="M2089" s="422"/>
    </row>
    <row r="2090" spans="1:255" s="88" customFormat="1" hidden="1">
      <c r="A2090" s="83"/>
      <c r="B2090" s="1432"/>
      <c r="C2090" s="223" t="s">
        <v>209</v>
      </c>
      <c r="D2090" s="211" t="s">
        <v>80</v>
      </c>
      <c r="E2090" s="211">
        <v>0.89</v>
      </c>
      <c r="F2090" s="386">
        <f>F2089*E2090</f>
        <v>0</v>
      </c>
      <c r="G2090" s="225"/>
      <c r="H2090" s="225"/>
      <c r="I2090" s="225">
        <v>6</v>
      </c>
      <c r="J2090" s="225">
        <f>F2090*I2090</f>
        <v>0</v>
      </c>
      <c r="K2090" s="225"/>
      <c r="L2090" s="225"/>
      <c r="M2090" s="225">
        <f>H2090+J2090+L2090</f>
        <v>0</v>
      </c>
    </row>
    <row r="2091" spans="1:255" s="88" customFormat="1" hidden="1">
      <c r="A2091" s="83"/>
      <c r="B2091" s="1432"/>
      <c r="C2091" s="223" t="s">
        <v>81</v>
      </c>
      <c r="D2091" s="83" t="s">
        <v>57</v>
      </c>
      <c r="E2091" s="211">
        <v>0.37</v>
      </c>
      <c r="F2091" s="386">
        <f>F2089*E2091</f>
        <v>0</v>
      </c>
      <c r="G2091" s="225"/>
      <c r="H2091" s="225"/>
      <c r="I2091" s="225"/>
      <c r="J2091" s="225"/>
      <c r="K2091" s="225">
        <v>3.2</v>
      </c>
      <c r="L2091" s="225">
        <f>F2091*K2091</f>
        <v>0</v>
      </c>
      <c r="M2091" s="225">
        <f>H2091+J2091+L2091</f>
        <v>0</v>
      </c>
    </row>
    <row r="2092" spans="1:255" s="88" customFormat="1" hidden="1">
      <c r="A2092" s="83"/>
      <c r="B2092" s="1432"/>
      <c r="C2092" s="15" t="s">
        <v>210</v>
      </c>
      <c r="D2092" s="211"/>
      <c r="E2092" s="211"/>
      <c r="F2092" s="386"/>
      <c r="G2092" s="225"/>
      <c r="H2092" s="225"/>
      <c r="I2092" s="225"/>
      <c r="J2092" s="225"/>
      <c r="K2092" s="225"/>
      <c r="L2092" s="225"/>
      <c r="M2092" s="225"/>
    </row>
    <row r="2093" spans="1:255" s="88" customFormat="1" hidden="1">
      <c r="A2093" s="83"/>
      <c r="B2093" s="1432"/>
      <c r="C2093" s="223" t="s">
        <v>532</v>
      </c>
      <c r="D2093" s="211" t="s">
        <v>88</v>
      </c>
      <c r="E2093" s="211">
        <v>1.1499999999999999</v>
      </c>
      <c r="F2093" s="386">
        <f>F2089*E2093</f>
        <v>0</v>
      </c>
      <c r="G2093" s="225">
        <v>16.100000000000001</v>
      </c>
      <c r="H2093" s="225">
        <f>F2093*G2093</f>
        <v>0</v>
      </c>
      <c r="I2093" s="225"/>
      <c r="J2093" s="225"/>
      <c r="K2093" s="225"/>
      <c r="L2093" s="225"/>
      <c r="M2093" s="225">
        <f>H2093+J2093+L2093</f>
        <v>0</v>
      </c>
    </row>
    <row r="2094" spans="1:255" s="88" customFormat="1" hidden="1">
      <c r="A2094" s="83"/>
      <c r="B2094" s="1437"/>
      <c r="C2094" s="223" t="s">
        <v>214</v>
      </c>
      <c r="D2094" s="86" t="s">
        <v>57</v>
      </c>
      <c r="E2094" s="211">
        <v>0.02</v>
      </c>
      <c r="F2094" s="386">
        <f>F2089*E2094</f>
        <v>0</v>
      </c>
      <c r="G2094" s="225">
        <v>3.2</v>
      </c>
      <c r="H2094" s="225">
        <f>F2094*G2094</f>
        <v>0</v>
      </c>
      <c r="I2094" s="225"/>
      <c r="J2094" s="225"/>
      <c r="K2094" s="225"/>
      <c r="L2094" s="225"/>
      <c r="M2094" s="225">
        <f>H2094+J2094+L2094</f>
        <v>0</v>
      </c>
    </row>
    <row r="2095" spans="1:255" s="427" customFormat="1" ht="15" hidden="1" customHeight="1">
      <c r="A2095" s="421">
        <v>4</v>
      </c>
      <c r="B2095" s="424" t="s">
        <v>420</v>
      </c>
      <c r="C2095" s="420" t="s">
        <v>1284</v>
      </c>
      <c r="D2095" s="421" t="s">
        <v>88</v>
      </c>
      <c r="E2095" s="421"/>
      <c r="F2095" s="384">
        <f>'დეფექტური აქტი'!E517</f>
        <v>0</v>
      </c>
      <c r="G2095" s="421"/>
      <c r="H2095" s="787"/>
      <c r="I2095" s="786"/>
      <c r="J2095" s="787"/>
      <c r="K2095" s="786"/>
      <c r="L2095" s="787"/>
      <c r="M2095" s="425"/>
      <c r="N2095" s="426"/>
    </row>
    <row r="2096" spans="1:255" s="427" customFormat="1" ht="15" hidden="1" customHeight="1">
      <c r="A2096" s="330"/>
      <c r="B2096" s="330"/>
      <c r="C2096" s="329" t="s">
        <v>209</v>
      </c>
      <c r="D2096" s="330" t="s">
        <v>80</v>
      </c>
      <c r="E2096" s="330">
        <v>1.37</v>
      </c>
      <c r="F2096" s="389">
        <f>F2095*E2096</f>
        <v>0</v>
      </c>
      <c r="G2096" s="330"/>
      <c r="H2096" s="331"/>
      <c r="I2096" s="350">
        <v>4.5999999999999996</v>
      </c>
      <c r="J2096" s="331">
        <f>F2096*I2096</f>
        <v>0</v>
      </c>
      <c r="K2096" s="414"/>
      <c r="L2096" s="331"/>
      <c r="M2096" s="389">
        <f>H2096+J2096+L2096</f>
        <v>0</v>
      </c>
      <c r="N2096" s="426"/>
    </row>
    <row r="2097" spans="1:14" s="427" customFormat="1" hidden="1">
      <c r="A2097" s="330"/>
      <c r="B2097" s="330"/>
      <c r="C2097" s="329" t="s">
        <v>81</v>
      </c>
      <c r="D2097" s="330" t="s">
        <v>57</v>
      </c>
      <c r="E2097" s="330">
        <v>0.28299999999999997</v>
      </c>
      <c r="F2097" s="389">
        <f>F2095*E2097</f>
        <v>0</v>
      </c>
      <c r="G2097" s="350"/>
      <c r="H2097" s="350"/>
      <c r="I2097" s="350"/>
      <c r="J2097" s="350"/>
      <c r="K2097" s="350">
        <v>3.2</v>
      </c>
      <c r="L2097" s="350">
        <f>F2097*K2097</f>
        <v>0</v>
      </c>
      <c r="M2097" s="389">
        <f>H2097+J2097+L2097</f>
        <v>0</v>
      </c>
      <c r="N2097" s="426"/>
    </row>
    <row r="2098" spans="1:14" s="427" customFormat="1" hidden="1">
      <c r="A2098" s="330"/>
      <c r="B2098" s="330"/>
      <c r="C2098" s="329" t="s">
        <v>210</v>
      </c>
      <c r="D2098" s="330"/>
      <c r="E2098" s="330"/>
      <c r="F2098" s="389">
        <f>E2098*2353</f>
        <v>0</v>
      </c>
      <c r="G2098" s="350"/>
      <c r="H2098" s="350"/>
      <c r="I2098" s="350"/>
      <c r="J2098" s="350"/>
      <c r="K2098" s="350"/>
      <c r="L2098" s="350"/>
      <c r="M2098" s="389"/>
      <c r="N2098" s="426"/>
    </row>
    <row r="2099" spans="1:14" s="427" customFormat="1" hidden="1">
      <c r="A2099" s="330"/>
      <c r="B2099" s="330"/>
      <c r="C2099" s="329" t="s">
        <v>980</v>
      </c>
      <c r="D2099" s="330" t="s">
        <v>88</v>
      </c>
      <c r="E2099" s="330">
        <v>1.02</v>
      </c>
      <c r="F2099" s="389">
        <f>F2095*E2099</f>
        <v>0</v>
      </c>
      <c r="G2099" s="350">
        <v>99</v>
      </c>
      <c r="H2099" s="350">
        <f>F2099*G2099</f>
        <v>0</v>
      </c>
      <c r="I2099" s="350"/>
      <c r="J2099" s="350"/>
      <c r="K2099" s="350"/>
      <c r="L2099" s="350"/>
      <c r="M2099" s="389">
        <f>H2099+J2099+L2099</f>
        <v>0</v>
      </c>
      <c r="N2099" s="426"/>
    </row>
    <row r="2100" spans="1:14" s="427" customFormat="1" hidden="1">
      <c r="A2100" s="330"/>
      <c r="B2100" s="330"/>
      <c r="C2100" s="329" t="s">
        <v>214</v>
      </c>
      <c r="D2100" s="330" t="s">
        <v>57</v>
      </c>
      <c r="E2100" s="330">
        <v>0.62</v>
      </c>
      <c r="F2100" s="389">
        <f>F2095*E2100</f>
        <v>0</v>
      </c>
      <c r="G2100" s="350">
        <v>3.2</v>
      </c>
      <c r="H2100" s="350">
        <f>F2100*G2100</f>
        <v>0</v>
      </c>
      <c r="I2100" s="350"/>
      <c r="J2100" s="350"/>
      <c r="K2100" s="350"/>
      <c r="L2100" s="350"/>
      <c r="M2100" s="389">
        <f>H2100+J2100+L2100</f>
        <v>0</v>
      </c>
      <c r="N2100" s="426"/>
    </row>
    <row r="2101" spans="1:14" s="88" customFormat="1" ht="27" hidden="1">
      <c r="A2101" s="140">
        <v>6</v>
      </c>
      <c r="B2101" s="1446" t="s">
        <v>533</v>
      </c>
      <c r="C2101" s="151" t="s">
        <v>1079</v>
      </c>
      <c r="D2101" s="140" t="s">
        <v>88</v>
      </c>
      <c r="E2101" s="140"/>
      <c r="F2101" s="384">
        <f>'დეფექტური აქტი'!E518</f>
        <v>0</v>
      </c>
      <c r="G2101" s="422"/>
      <c r="H2101" s="422"/>
      <c r="I2101" s="422"/>
      <c r="J2101" s="422"/>
      <c r="K2101" s="422"/>
      <c r="L2101" s="422"/>
      <c r="M2101" s="422"/>
    </row>
    <row r="2102" spans="1:14" s="88" customFormat="1" hidden="1">
      <c r="A2102" s="83"/>
      <c r="B2102" s="1432"/>
      <c r="C2102" s="223" t="s">
        <v>209</v>
      </c>
      <c r="D2102" s="211" t="s">
        <v>80</v>
      </c>
      <c r="E2102" s="211">
        <v>3.78</v>
      </c>
      <c r="F2102" s="386">
        <f>F2101*E2102</f>
        <v>0</v>
      </c>
      <c r="G2102" s="225"/>
      <c r="H2102" s="225"/>
      <c r="I2102" s="225">
        <v>4.5999999999999996</v>
      </c>
      <c r="J2102" s="225">
        <f>F2102*I2102</f>
        <v>0</v>
      </c>
      <c r="K2102" s="225"/>
      <c r="L2102" s="225"/>
      <c r="M2102" s="225">
        <f>H2102+J2102+L2102</f>
        <v>0</v>
      </c>
    </row>
    <row r="2103" spans="1:14" s="88" customFormat="1" hidden="1">
      <c r="A2103" s="83"/>
      <c r="B2103" s="1432"/>
      <c r="C2103" s="223" t="s">
        <v>81</v>
      </c>
      <c r="D2103" s="83" t="s">
        <v>57</v>
      </c>
      <c r="E2103" s="211">
        <v>0.92</v>
      </c>
      <c r="F2103" s="386">
        <f>F2101*E2103</f>
        <v>0</v>
      </c>
      <c r="G2103" s="225"/>
      <c r="H2103" s="225"/>
      <c r="I2103" s="225"/>
      <c r="J2103" s="225"/>
      <c r="K2103" s="225">
        <v>3.2</v>
      </c>
      <c r="L2103" s="225">
        <f>F2103*K2103</f>
        <v>0</v>
      </c>
      <c r="M2103" s="225">
        <f>H2103+J2103+L2103</f>
        <v>0</v>
      </c>
    </row>
    <row r="2104" spans="1:14" s="88" customFormat="1" hidden="1">
      <c r="A2104" s="83"/>
      <c r="B2104" s="1432"/>
      <c r="C2104" s="365" t="s">
        <v>210</v>
      </c>
      <c r="D2104" s="211"/>
      <c r="E2104" s="211"/>
      <c r="F2104" s="386"/>
      <c r="G2104" s="225"/>
      <c r="H2104" s="225"/>
      <c r="I2104" s="225"/>
      <c r="J2104" s="225"/>
      <c r="K2104" s="225"/>
      <c r="L2104" s="225"/>
      <c r="M2104" s="225"/>
    </row>
    <row r="2105" spans="1:14" s="88" customFormat="1" hidden="1">
      <c r="A2105" s="83"/>
      <c r="B2105" s="1432"/>
      <c r="C2105" s="223" t="s">
        <v>989</v>
      </c>
      <c r="D2105" s="211" t="s">
        <v>88</v>
      </c>
      <c r="E2105" s="211">
        <v>1.0149999999999999</v>
      </c>
      <c r="F2105" s="386">
        <f>F2101*E2105</f>
        <v>0</v>
      </c>
      <c r="G2105" s="386">
        <v>110</v>
      </c>
      <c r="H2105" s="225">
        <f t="shared" ref="H2105:H2110" si="44">F2105*G2105</f>
        <v>0</v>
      </c>
      <c r="I2105" s="225"/>
      <c r="J2105" s="225"/>
      <c r="K2105" s="225"/>
      <c r="L2105" s="225"/>
      <c r="M2105" s="225">
        <f t="shared" ref="M2105:M2110" si="45">H2105+J2105+L2105</f>
        <v>0</v>
      </c>
    </row>
    <row r="2106" spans="1:14" s="85" customFormat="1" hidden="1">
      <c r="A2106" s="83"/>
      <c r="B2106" s="1432"/>
      <c r="C2106" s="223" t="s">
        <v>301</v>
      </c>
      <c r="D2106" s="211" t="s">
        <v>78</v>
      </c>
      <c r="E2106" s="211">
        <v>0.70299999999999996</v>
      </c>
      <c r="F2106" s="386">
        <f>F2101*E2106</f>
        <v>0</v>
      </c>
      <c r="G2106" s="386">
        <v>10.5</v>
      </c>
      <c r="H2106" s="225">
        <f t="shared" si="44"/>
        <v>0</v>
      </c>
      <c r="I2106" s="225"/>
      <c r="J2106" s="225"/>
      <c r="K2106" s="225"/>
      <c r="L2106" s="225"/>
      <c r="M2106" s="225">
        <f t="shared" si="45"/>
        <v>0</v>
      </c>
    </row>
    <row r="2107" spans="1:14" s="85" customFormat="1" hidden="1">
      <c r="A2107" s="83"/>
      <c r="B2107" s="1432"/>
      <c r="C2107" s="223" t="s">
        <v>534</v>
      </c>
      <c r="D2107" s="211" t="s">
        <v>88</v>
      </c>
      <c r="E2107" s="211">
        <v>1.14E-2</v>
      </c>
      <c r="F2107" s="386">
        <f>F2101*E2107</f>
        <v>0</v>
      </c>
      <c r="G2107" s="386">
        <v>403</v>
      </c>
      <c r="H2107" s="225">
        <f t="shared" si="44"/>
        <v>0</v>
      </c>
      <c r="I2107" s="225"/>
      <c r="J2107" s="225"/>
      <c r="K2107" s="225"/>
      <c r="L2107" s="225"/>
      <c r="M2107" s="225">
        <f t="shared" si="45"/>
        <v>0</v>
      </c>
    </row>
    <row r="2108" spans="1:14" s="85" customFormat="1" hidden="1">
      <c r="A2108" s="83"/>
      <c r="B2108" s="1437"/>
      <c r="C2108" s="223" t="s">
        <v>214</v>
      </c>
      <c r="D2108" s="86" t="s">
        <v>57</v>
      </c>
      <c r="E2108" s="211">
        <v>0.6</v>
      </c>
      <c r="F2108" s="386">
        <f>F2101*E2108</f>
        <v>0</v>
      </c>
      <c r="G2108" s="386">
        <v>3.2</v>
      </c>
      <c r="H2108" s="225">
        <f t="shared" si="44"/>
        <v>0</v>
      </c>
      <c r="I2108" s="225"/>
      <c r="J2108" s="225"/>
      <c r="K2108" s="225"/>
      <c r="L2108" s="225"/>
      <c r="M2108" s="225">
        <f t="shared" si="45"/>
        <v>0</v>
      </c>
    </row>
    <row r="2109" spans="1:14" s="89" customFormat="1" hidden="1">
      <c r="A2109" s="24">
        <v>7</v>
      </c>
      <c r="B2109" s="175"/>
      <c r="C2109" s="260" t="s">
        <v>501</v>
      </c>
      <c r="D2109" s="158" t="s">
        <v>206</v>
      </c>
      <c r="E2109" s="158"/>
      <c r="F2109" s="384">
        <f>'დეფექტური აქტი'!E519</f>
        <v>0</v>
      </c>
      <c r="G2109" s="607">
        <v>953</v>
      </c>
      <c r="H2109" s="607">
        <f t="shared" si="44"/>
        <v>0</v>
      </c>
      <c r="I2109" s="607"/>
      <c r="J2109" s="607"/>
      <c r="K2109" s="607"/>
      <c r="L2109" s="607"/>
      <c r="M2109" s="607">
        <f t="shared" si="45"/>
        <v>0</v>
      </c>
    </row>
    <row r="2110" spans="1:14" s="89" customFormat="1" hidden="1">
      <c r="A2110" s="24">
        <v>7</v>
      </c>
      <c r="B2110" s="175"/>
      <c r="C2110" s="260" t="s">
        <v>884</v>
      </c>
      <c r="D2110" s="158" t="s">
        <v>206</v>
      </c>
      <c r="E2110" s="158"/>
      <c r="F2110" s="384">
        <f>'დეფექტური აქტი'!E520</f>
        <v>0</v>
      </c>
      <c r="G2110" s="607">
        <v>1019</v>
      </c>
      <c r="H2110" s="607">
        <f t="shared" si="44"/>
        <v>0</v>
      </c>
      <c r="I2110" s="607"/>
      <c r="J2110" s="607"/>
      <c r="K2110" s="607"/>
      <c r="L2110" s="607"/>
      <c r="M2110" s="607">
        <f t="shared" si="45"/>
        <v>0</v>
      </c>
    </row>
    <row r="2111" spans="1:14" s="89" customFormat="1" ht="27" hidden="1">
      <c r="A2111" s="83">
        <v>8</v>
      </c>
      <c r="B2111" s="1446" t="s">
        <v>533</v>
      </c>
      <c r="C2111" s="84" t="s">
        <v>1047</v>
      </c>
      <c r="D2111" s="140" t="s">
        <v>88</v>
      </c>
      <c r="E2111" s="83"/>
      <c r="F2111" s="384">
        <f>'დეფექტური აქტი'!E521</f>
        <v>0</v>
      </c>
      <c r="G2111" s="225"/>
      <c r="H2111" s="225"/>
      <c r="I2111" s="225"/>
      <c r="J2111" s="225"/>
      <c r="K2111" s="225"/>
      <c r="L2111" s="225"/>
      <c r="M2111" s="225"/>
    </row>
    <row r="2112" spans="1:14" s="89" customFormat="1" hidden="1">
      <c r="A2112" s="83"/>
      <c r="B2112" s="1432"/>
      <c r="C2112" s="223" t="s">
        <v>209</v>
      </c>
      <c r="D2112" s="211" t="s">
        <v>80</v>
      </c>
      <c r="E2112" s="211">
        <v>4.46</v>
      </c>
      <c r="F2112" s="386">
        <f>F2111*E2112</f>
        <v>0</v>
      </c>
      <c r="G2112" s="225"/>
      <c r="H2112" s="225"/>
      <c r="I2112" s="225">
        <v>4.5999999999999996</v>
      </c>
      <c r="J2112" s="225">
        <f>F2112*I2112</f>
        <v>0</v>
      </c>
      <c r="K2112" s="225"/>
      <c r="L2112" s="225"/>
      <c r="M2112" s="225">
        <f>H2112+J2112+L2112</f>
        <v>0</v>
      </c>
    </row>
    <row r="2113" spans="1:14" s="89" customFormat="1" hidden="1">
      <c r="A2113" s="83"/>
      <c r="B2113" s="1432"/>
      <c r="C2113" s="223" t="s">
        <v>81</v>
      </c>
      <c r="D2113" s="83" t="s">
        <v>57</v>
      </c>
      <c r="E2113" s="211">
        <v>1.21</v>
      </c>
      <c r="F2113" s="386">
        <f>F2111*E2113</f>
        <v>0</v>
      </c>
      <c r="G2113" s="225"/>
      <c r="H2113" s="225"/>
      <c r="I2113" s="225"/>
      <c r="J2113" s="225"/>
      <c r="K2113" s="225">
        <v>3.2</v>
      </c>
      <c r="L2113" s="225">
        <f>F2113*K2113</f>
        <v>0</v>
      </c>
      <c r="M2113" s="225">
        <f>H2113+J2113+L2113</f>
        <v>0</v>
      </c>
    </row>
    <row r="2114" spans="1:14" s="89" customFormat="1" hidden="1">
      <c r="A2114" s="83"/>
      <c r="B2114" s="1432"/>
      <c r="C2114" s="15" t="s">
        <v>210</v>
      </c>
      <c r="D2114" s="211"/>
      <c r="E2114" s="211"/>
      <c r="F2114" s="386"/>
      <c r="G2114" s="225"/>
      <c r="H2114" s="225"/>
      <c r="I2114" s="225"/>
      <c r="J2114" s="225"/>
      <c r="K2114" s="225"/>
      <c r="L2114" s="225"/>
      <c r="M2114" s="225"/>
    </row>
    <row r="2115" spans="1:14" s="89" customFormat="1" hidden="1">
      <c r="A2115" s="83"/>
      <c r="B2115" s="1432"/>
      <c r="C2115" s="223" t="s">
        <v>300</v>
      </c>
      <c r="D2115" s="211" t="s">
        <v>88</v>
      </c>
      <c r="E2115" s="211">
        <v>1.0149999999999999</v>
      </c>
      <c r="F2115" s="386">
        <f>F2111*E2115</f>
        <v>0</v>
      </c>
      <c r="G2115" s="225">
        <v>99</v>
      </c>
      <c r="H2115" s="225">
        <f>F2115*G2115</f>
        <v>0</v>
      </c>
      <c r="I2115" s="225"/>
      <c r="J2115" s="225"/>
      <c r="K2115" s="225"/>
      <c r="L2115" s="225"/>
      <c r="M2115" s="225">
        <f>H2115+J2115+L2115</f>
        <v>0</v>
      </c>
    </row>
    <row r="2116" spans="1:14" s="89" customFormat="1" hidden="1">
      <c r="A2116" s="83"/>
      <c r="B2116" s="1432"/>
      <c r="C2116" s="223" t="s">
        <v>301</v>
      </c>
      <c r="D2116" s="211" t="s">
        <v>78</v>
      </c>
      <c r="E2116" s="211">
        <v>1.1599999999999999</v>
      </c>
      <c r="F2116" s="386">
        <f>F2111*E2116</f>
        <v>0</v>
      </c>
      <c r="G2116" s="225">
        <v>10.5</v>
      </c>
      <c r="H2116" s="225">
        <f>F2116*G2116</f>
        <v>0</v>
      </c>
      <c r="I2116" s="225"/>
      <c r="J2116" s="225"/>
      <c r="K2116" s="225"/>
      <c r="L2116" s="225"/>
      <c r="M2116" s="225">
        <f>H2116+J2116+L2116</f>
        <v>0</v>
      </c>
    </row>
    <row r="2117" spans="1:14" s="89" customFormat="1" hidden="1">
      <c r="A2117" s="83"/>
      <c r="B2117" s="1432"/>
      <c r="C2117" s="223" t="s">
        <v>534</v>
      </c>
      <c r="D2117" s="211" t="s">
        <v>88</v>
      </c>
      <c r="E2117" s="211">
        <v>3.5999999999999997E-2</v>
      </c>
      <c r="F2117" s="386">
        <f>F2111*E2117</f>
        <v>0</v>
      </c>
      <c r="G2117" s="225">
        <v>403</v>
      </c>
      <c r="H2117" s="225">
        <f>F2117*G2117</f>
        <v>0</v>
      </c>
      <c r="I2117" s="225"/>
      <c r="J2117" s="225"/>
      <c r="K2117" s="225"/>
      <c r="L2117" s="225"/>
      <c r="M2117" s="225">
        <f>H2117+J2117+L2117</f>
        <v>0</v>
      </c>
    </row>
    <row r="2118" spans="1:14" s="89" customFormat="1" hidden="1">
      <c r="A2118" s="83"/>
      <c r="B2118" s="1437"/>
      <c r="C2118" s="223" t="s">
        <v>214</v>
      </c>
      <c r="D2118" s="86" t="s">
        <v>57</v>
      </c>
      <c r="E2118" s="211">
        <v>0.31</v>
      </c>
      <c r="F2118" s="386">
        <f>F2111*E2118</f>
        <v>0</v>
      </c>
      <c r="G2118" s="225">
        <v>3.2</v>
      </c>
      <c r="H2118" s="225">
        <f>F2118*G2118</f>
        <v>0</v>
      </c>
      <c r="I2118" s="225"/>
      <c r="J2118" s="225"/>
      <c r="K2118" s="225"/>
      <c r="L2118" s="225"/>
      <c r="M2118" s="225">
        <f>H2118+J2118+L2118</f>
        <v>0</v>
      </c>
    </row>
    <row r="2119" spans="1:14" s="85" customFormat="1" hidden="1">
      <c r="A2119" s="24">
        <v>9</v>
      </c>
      <c r="B2119" s="247"/>
      <c r="C2119" s="260" t="s">
        <v>501</v>
      </c>
      <c r="D2119" s="158" t="s">
        <v>206</v>
      </c>
      <c r="E2119" s="158"/>
      <c r="F2119" s="397">
        <f>'დეფექტური აქტი'!E522</f>
        <v>0</v>
      </c>
      <c r="G2119" s="1084">
        <v>953</v>
      </c>
      <c r="H2119" s="607">
        <f>F2119*G2119</f>
        <v>0</v>
      </c>
      <c r="I2119" s="607"/>
      <c r="J2119" s="607"/>
      <c r="K2119" s="607"/>
      <c r="L2119" s="607"/>
      <c r="M2119" s="607">
        <f>H2119+J2119+L2119</f>
        <v>0</v>
      </c>
    </row>
    <row r="2120" spans="1:14" s="89" customFormat="1" ht="40.5" hidden="1">
      <c r="A2120" s="140">
        <v>10</v>
      </c>
      <c r="B2120" s="1446" t="s">
        <v>535</v>
      </c>
      <c r="C2120" s="151" t="s">
        <v>1077</v>
      </c>
      <c r="D2120" s="140" t="s">
        <v>78</v>
      </c>
      <c r="E2120" s="140"/>
      <c r="F2120" s="384">
        <f>'დეფექტური აქტი'!E523</f>
        <v>0</v>
      </c>
      <c r="G2120" s="422"/>
      <c r="H2120" s="422"/>
      <c r="I2120" s="422"/>
      <c r="J2120" s="422"/>
      <c r="K2120" s="422"/>
      <c r="L2120" s="422"/>
      <c r="M2120" s="422"/>
    </row>
    <row r="2121" spans="1:14" s="92" customFormat="1" hidden="1">
      <c r="A2121" s="83"/>
      <c r="B2121" s="1432"/>
      <c r="C2121" s="223" t="s">
        <v>209</v>
      </c>
      <c r="D2121" s="211" t="s">
        <v>80</v>
      </c>
      <c r="E2121" s="211">
        <v>0.38100000000000001</v>
      </c>
      <c r="F2121" s="386">
        <f>F2120*E2121</f>
        <v>0</v>
      </c>
      <c r="G2121" s="225"/>
      <c r="H2121" s="225"/>
      <c r="I2121" s="225">
        <v>6</v>
      </c>
      <c r="J2121" s="225">
        <f>F2121*I2121</f>
        <v>0</v>
      </c>
      <c r="K2121" s="225"/>
      <c r="L2121" s="225"/>
      <c r="M2121" s="225">
        <f>H2121+J2121+L2121</f>
        <v>0</v>
      </c>
    </row>
    <row r="2122" spans="1:14" s="92" customFormat="1" hidden="1">
      <c r="A2122" s="83"/>
      <c r="B2122" s="1432"/>
      <c r="C2122" s="223" t="s">
        <v>81</v>
      </c>
      <c r="D2122" s="83" t="s">
        <v>57</v>
      </c>
      <c r="E2122" s="211">
        <v>1.4999999999999999E-2</v>
      </c>
      <c r="F2122" s="386">
        <f>F2120*E2122</f>
        <v>0</v>
      </c>
      <c r="G2122" s="225"/>
      <c r="H2122" s="225"/>
      <c r="I2122" s="225"/>
      <c r="J2122" s="225"/>
      <c r="K2122" s="225">
        <v>3.2</v>
      </c>
      <c r="L2122" s="225">
        <f>F2122*K2122</f>
        <v>0</v>
      </c>
      <c r="M2122" s="225">
        <f>H2122+J2122+L2122</f>
        <v>0</v>
      </c>
    </row>
    <row r="2123" spans="1:14" s="89" customFormat="1" hidden="1">
      <c r="A2123" s="83"/>
      <c r="B2123" s="1432"/>
      <c r="C2123" s="15" t="s">
        <v>210</v>
      </c>
      <c r="D2123" s="211"/>
      <c r="E2123" s="211"/>
      <c r="F2123" s="386"/>
      <c r="G2123" s="225"/>
      <c r="H2123" s="225"/>
      <c r="I2123" s="225"/>
      <c r="J2123" s="225"/>
      <c r="K2123" s="225"/>
      <c r="L2123" s="225"/>
      <c r="M2123" s="225"/>
    </row>
    <row r="2124" spans="1:14" s="89" customFormat="1" hidden="1">
      <c r="A2124" s="83"/>
      <c r="B2124" s="1432"/>
      <c r="C2124" s="223" t="s">
        <v>536</v>
      </c>
      <c r="D2124" s="211" t="s">
        <v>88</v>
      </c>
      <c r="E2124" s="211">
        <v>3.1E-2</v>
      </c>
      <c r="F2124" s="386">
        <f>F2120*E2124</f>
        <v>0</v>
      </c>
      <c r="G2124" s="225">
        <v>67</v>
      </c>
      <c r="H2124" s="225">
        <f>F2124*G2124</f>
        <v>0</v>
      </c>
      <c r="I2124" s="225"/>
      <c r="J2124" s="225"/>
      <c r="K2124" s="225"/>
      <c r="L2124" s="225"/>
      <c r="M2124" s="225">
        <f>H2124+J2124+L2124</f>
        <v>0</v>
      </c>
    </row>
    <row r="2125" spans="1:14" s="89" customFormat="1" hidden="1">
      <c r="A2125" s="83"/>
      <c r="B2125" s="1432"/>
      <c r="C2125" s="223" t="s">
        <v>537</v>
      </c>
      <c r="D2125" s="211" t="s">
        <v>97</v>
      </c>
      <c r="E2125" s="211">
        <v>0.5</v>
      </c>
      <c r="F2125" s="386">
        <f>F2120*E2125</f>
        <v>0</v>
      </c>
      <c r="G2125" s="610">
        <v>2</v>
      </c>
      <c r="H2125" s="225">
        <f>F2125*G2125</f>
        <v>0</v>
      </c>
      <c r="I2125" s="225"/>
      <c r="J2125" s="225"/>
      <c r="K2125" s="225"/>
      <c r="L2125" s="225"/>
      <c r="M2125" s="225">
        <f>H2125+J2125+L2125</f>
        <v>0</v>
      </c>
    </row>
    <row r="2126" spans="1:14" s="89" customFormat="1" hidden="1">
      <c r="A2126" s="86"/>
      <c r="B2126" s="1437"/>
      <c r="C2126" s="232" t="s">
        <v>214</v>
      </c>
      <c r="D2126" s="86" t="s">
        <v>57</v>
      </c>
      <c r="E2126" s="230">
        <v>3.5999999999999999E-3</v>
      </c>
      <c r="F2126" s="387">
        <f>F2120*E2126</f>
        <v>0</v>
      </c>
      <c r="G2126" s="393">
        <v>3.2</v>
      </c>
      <c r="H2126" s="393">
        <f>F2126*G2126</f>
        <v>0</v>
      </c>
      <c r="I2126" s="393"/>
      <c r="J2126" s="393"/>
      <c r="K2126" s="393"/>
      <c r="L2126" s="393"/>
      <c r="M2126" s="393">
        <f>H2126+J2126+L2126</f>
        <v>0</v>
      </c>
    </row>
    <row r="2127" spans="1:14" s="359" customFormat="1" ht="43.5" hidden="1" customHeight="1">
      <c r="A2127" s="330">
        <v>11</v>
      </c>
      <c r="B2127" s="328" t="s">
        <v>917</v>
      </c>
      <c r="C2127" s="329" t="s">
        <v>1078</v>
      </c>
      <c r="D2127" s="330" t="s">
        <v>88</v>
      </c>
      <c r="E2127" s="330"/>
      <c r="F2127" s="388">
        <f>'დეფექტური აქტი'!E524</f>
        <v>0</v>
      </c>
      <c r="G2127" s="389"/>
      <c r="H2127" s="389"/>
      <c r="I2127" s="389"/>
      <c r="J2127" s="389"/>
      <c r="K2127" s="389"/>
      <c r="L2127" s="389"/>
      <c r="M2127" s="389"/>
      <c r="N2127" s="358"/>
    </row>
    <row r="2128" spans="1:14" s="359" customFormat="1" ht="14.25" hidden="1" customHeight="1">
      <c r="A2128" s="330"/>
      <c r="B2128" s="328"/>
      <c r="C2128" s="341" t="s">
        <v>209</v>
      </c>
      <c r="D2128" s="336" t="s">
        <v>80</v>
      </c>
      <c r="E2128" s="336">
        <v>13.3</v>
      </c>
      <c r="F2128" s="389">
        <f>F2127*E2128</f>
        <v>0</v>
      </c>
      <c r="G2128" s="389"/>
      <c r="H2128" s="389"/>
      <c r="I2128" s="389">
        <v>4.5999999999999996</v>
      </c>
      <c r="J2128" s="389">
        <f>F2128*I2128</f>
        <v>0</v>
      </c>
      <c r="K2128" s="389"/>
      <c r="L2128" s="389"/>
      <c r="M2128" s="389">
        <f>H2128+J2128+L2128</f>
        <v>0</v>
      </c>
      <c r="N2128" s="358"/>
    </row>
    <row r="2129" spans="1:14" s="359" customFormat="1" hidden="1">
      <c r="A2129" s="330"/>
      <c r="B2129" s="328"/>
      <c r="C2129" s="341" t="s">
        <v>81</v>
      </c>
      <c r="D2129" s="336" t="s">
        <v>57</v>
      </c>
      <c r="E2129" s="336">
        <v>3.36</v>
      </c>
      <c r="F2129" s="389">
        <f>F2127*E2129</f>
        <v>0</v>
      </c>
      <c r="G2129" s="389"/>
      <c r="H2129" s="389"/>
      <c r="I2129" s="389"/>
      <c r="J2129" s="389"/>
      <c r="K2129" s="389">
        <v>3.2</v>
      </c>
      <c r="L2129" s="389">
        <f>F2129*K2129</f>
        <v>0</v>
      </c>
      <c r="M2129" s="389">
        <f>H2129+J2129+L2129</f>
        <v>0</v>
      </c>
      <c r="N2129" s="358"/>
    </row>
    <row r="2130" spans="1:14" s="359" customFormat="1" hidden="1">
      <c r="A2130" s="330"/>
      <c r="B2130" s="328"/>
      <c r="C2130" s="341" t="s">
        <v>210</v>
      </c>
      <c r="D2130" s="336"/>
      <c r="E2130" s="336"/>
      <c r="F2130" s="389">
        <f>E2130*2353</f>
        <v>0</v>
      </c>
      <c r="G2130" s="389"/>
      <c r="H2130" s="389"/>
      <c r="I2130" s="389"/>
      <c r="J2130" s="389"/>
      <c r="K2130" s="389"/>
      <c r="L2130" s="389"/>
      <c r="M2130" s="389"/>
      <c r="N2130" s="358"/>
    </row>
    <row r="2131" spans="1:14" s="359" customFormat="1" hidden="1">
      <c r="A2131" s="330"/>
      <c r="B2131" s="328"/>
      <c r="C2131" s="329" t="s">
        <v>1566</v>
      </c>
      <c r="D2131" s="336" t="s">
        <v>88</v>
      </c>
      <c r="E2131" s="336">
        <v>1.0149999999999999</v>
      </c>
      <c r="F2131" s="389">
        <f>F2127*E2131</f>
        <v>0</v>
      </c>
      <c r="G2131" s="389">
        <v>110</v>
      </c>
      <c r="H2131" s="389">
        <f t="shared" ref="H2131:H2137" si="46">F2131*G2131</f>
        <v>0</v>
      </c>
      <c r="I2131" s="389"/>
      <c r="J2131" s="389"/>
      <c r="K2131" s="389"/>
      <c r="L2131" s="389"/>
      <c r="M2131" s="389">
        <f t="shared" ref="M2131:M2137" si="47">H2131+J2131+L2131</f>
        <v>0</v>
      </c>
      <c r="N2131" s="358"/>
    </row>
    <row r="2132" spans="1:14" s="359" customFormat="1" hidden="1">
      <c r="A2132" s="330"/>
      <c r="B2132" s="328"/>
      <c r="C2132" s="341" t="s">
        <v>301</v>
      </c>
      <c r="D2132" s="336" t="s">
        <v>78</v>
      </c>
      <c r="E2132" s="336">
        <v>2.42</v>
      </c>
      <c r="F2132" s="389">
        <f>F2127*E2132</f>
        <v>0</v>
      </c>
      <c r="G2132" s="389">
        <v>10.5</v>
      </c>
      <c r="H2132" s="389">
        <f t="shared" si="46"/>
        <v>0</v>
      </c>
      <c r="I2132" s="389"/>
      <c r="J2132" s="389"/>
      <c r="K2132" s="389"/>
      <c r="L2132" s="389"/>
      <c r="M2132" s="389">
        <f t="shared" si="47"/>
        <v>0</v>
      </c>
      <c r="N2132" s="358"/>
    </row>
    <row r="2133" spans="1:14" s="359" customFormat="1" hidden="1">
      <c r="A2133" s="330"/>
      <c r="B2133" s="328"/>
      <c r="C2133" s="341" t="s">
        <v>539</v>
      </c>
      <c r="D2133" s="336" t="s">
        <v>88</v>
      </c>
      <c r="E2133" s="336">
        <v>5.8099999999999999E-2</v>
      </c>
      <c r="F2133" s="389">
        <f>F2127*E2133</f>
        <v>0</v>
      </c>
      <c r="G2133" s="389">
        <v>453</v>
      </c>
      <c r="H2133" s="389">
        <f t="shared" si="46"/>
        <v>0</v>
      </c>
      <c r="I2133" s="389"/>
      <c r="J2133" s="389"/>
      <c r="K2133" s="389"/>
      <c r="L2133" s="389"/>
      <c r="M2133" s="389">
        <f t="shared" si="47"/>
        <v>0</v>
      </c>
      <c r="N2133" s="358"/>
    </row>
    <row r="2134" spans="1:14" s="359" customFormat="1" hidden="1">
      <c r="A2134" s="330"/>
      <c r="B2134" s="328"/>
      <c r="C2134" s="341" t="s">
        <v>302</v>
      </c>
      <c r="D2134" s="336" t="s">
        <v>88</v>
      </c>
      <c r="E2134" s="336">
        <v>6.7000000000000002E-3</v>
      </c>
      <c r="F2134" s="389">
        <f>F2127*E2134</f>
        <v>0</v>
      </c>
      <c r="G2134" s="389">
        <v>403</v>
      </c>
      <c r="H2134" s="389">
        <f>F2134*G2134</f>
        <v>0</v>
      </c>
      <c r="I2134" s="389"/>
      <c r="J2134" s="389"/>
      <c r="K2134" s="389"/>
      <c r="L2134" s="389"/>
      <c r="M2134" s="389">
        <f>H2134+J2134+L2134</f>
        <v>0</v>
      </c>
      <c r="N2134" s="358"/>
    </row>
    <row r="2135" spans="1:14" s="359" customFormat="1" hidden="1">
      <c r="A2135" s="330"/>
      <c r="B2135" s="328"/>
      <c r="C2135" s="341" t="s">
        <v>307</v>
      </c>
      <c r="D2135" s="336" t="s">
        <v>97</v>
      </c>
      <c r="E2135" s="336">
        <v>1.5</v>
      </c>
      <c r="F2135" s="389">
        <f>F2127*E2135</f>
        <v>0</v>
      </c>
      <c r="G2135" s="389">
        <v>3.75</v>
      </c>
      <c r="H2135" s="389">
        <f>F2135*G2135</f>
        <v>0</v>
      </c>
      <c r="I2135" s="389"/>
      <c r="J2135" s="389"/>
      <c r="K2135" s="389"/>
      <c r="L2135" s="389"/>
      <c r="M2135" s="389">
        <f>H2135+J2135+L2135</f>
        <v>0</v>
      </c>
      <c r="N2135" s="358"/>
    </row>
    <row r="2136" spans="1:14" s="359" customFormat="1" hidden="1">
      <c r="A2136" s="330"/>
      <c r="B2136" s="328"/>
      <c r="C2136" s="341" t="s">
        <v>214</v>
      </c>
      <c r="D2136" s="336" t="s">
        <v>57</v>
      </c>
      <c r="E2136" s="336">
        <v>0.6</v>
      </c>
      <c r="F2136" s="389">
        <f>F2127*E2136</f>
        <v>0</v>
      </c>
      <c r="G2136" s="389">
        <v>3.2</v>
      </c>
      <c r="H2136" s="389">
        <f t="shared" si="46"/>
        <v>0</v>
      </c>
      <c r="I2136" s="389"/>
      <c r="J2136" s="389"/>
      <c r="K2136" s="389"/>
      <c r="L2136" s="389"/>
      <c r="M2136" s="389">
        <f t="shared" si="47"/>
        <v>0</v>
      </c>
      <c r="N2136" s="358"/>
    </row>
    <row r="2137" spans="1:14" s="88" customFormat="1" hidden="1">
      <c r="A2137" s="24">
        <v>12</v>
      </c>
      <c r="B2137" s="175"/>
      <c r="C2137" s="260" t="s">
        <v>501</v>
      </c>
      <c r="D2137" s="158" t="s">
        <v>206</v>
      </c>
      <c r="E2137" s="261"/>
      <c r="F2137" s="397">
        <f>'დეფექტური აქტი'!E525</f>
        <v>0</v>
      </c>
      <c r="G2137" s="607">
        <v>953</v>
      </c>
      <c r="H2137" s="607">
        <f t="shared" si="46"/>
        <v>0</v>
      </c>
      <c r="I2137" s="607"/>
      <c r="J2137" s="607"/>
      <c r="K2137" s="607"/>
      <c r="L2137" s="607"/>
      <c r="M2137" s="607">
        <f t="shared" si="47"/>
        <v>0</v>
      </c>
    </row>
    <row r="2138" spans="1:14" s="359" customFormat="1" hidden="1">
      <c r="A2138" s="24">
        <v>13</v>
      </c>
      <c r="B2138" s="175"/>
      <c r="C2138" s="260" t="s">
        <v>884</v>
      </c>
      <c r="D2138" s="158" t="s">
        <v>206</v>
      </c>
      <c r="E2138" s="261"/>
      <c r="F2138" s="397">
        <f>'დეფექტური აქტი'!E526</f>
        <v>0</v>
      </c>
      <c r="G2138" s="607">
        <v>1019</v>
      </c>
      <c r="H2138" s="607">
        <f>F2138*G2138</f>
        <v>0</v>
      </c>
      <c r="I2138" s="607"/>
      <c r="J2138" s="607"/>
      <c r="K2138" s="607"/>
      <c r="L2138" s="607"/>
      <c r="M2138" s="607">
        <f>H2138+J2138+L2138</f>
        <v>0</v>
      </c>
      <c r="N2138" s="358"/>
    </row>
    <row r="2139" spans="1:14" s="89" customFormat="1" ht="27" hidden="1">
      <c r="A2139" s="140">
        <v>14</v>
      </c>
      <c r="B2139" s="1446" t="s">
        <v>538</v>
      </c>
      <c r="C2139" s="151" t="s">
        <v>1020</v>
      </c>
      <c r="D2139" s="140" t="s">
        <v>88</v>
      </c>
      <c r="E2139" s="140"/>
      <c r="F2139" s="384">
        <f>'დეფექტური აქტი'!E527</f>
        <v>0</v>
      </c>
      <c r="G2139" s="422"/>
      <c r="H2139" s="422"/>
      <c r="I2139" s="422"/>
      <c r="J2139" s="422"/>
      <c r="K2139" s="422"/>
      <c r="L2139" s="422"/>
      <c r="M2139" s="422"/>
    </row>
    <row r="2140" spans="1:14" s="89" customFormat="1" hidden="1">
      <c r="A2140" s="83"/>
      <c r="B2140" s="1432"/>
      <c r="C2140" s="223" t="s">
        <v>209</v>
      </c>
      <c r="D2140" s="211" t="s">
        <v>80</v>
      </c>
      <c r="E2140" s="211">
        <v>8.5399999999999991</v>
      </c>
      <c r="F2140" s="386">
        <f>F2139*E2140</f>
        <v>0</v>
      </c>
      <c r="G2140" s="225"/>
      <c r="H2140" s="225"/>
      <c r="I2140" s="225">
        <v>4.5999999999999996</v>
      </c>
      <c r="J2140" s="225">
        <f>F2140*I2140</f>
        <v>0</v>
      </c>
      <c r="K2140" s="225"/>
      <c r="L2140" s="225"/>
      <c r="M2140" s="225">
        <f>H2140+J2140+L2140</f>
        <v>0</v>
      </c>
    </row>
    <row r="2141" spans="1:14" s="89" customFormat="1" hidden="1">
      <c r="A2141" s="83"/>
      <c r="B2141" s="1432"/>
      <c r="C2141" s="223" t="s">
        <v>81</v>
      </c>
      <c r="D2141" s="83" t="s">
        <v>57</v>
      </c>
      <c r="E2141" s="211">
        <v>1.06</v>
      </c>
      <c r="F2141" s="386">
        <f>F2139*E2141</f>
        <v>0</v>
      </c>
      <c r="G2141" s="225"/>
      <c r="H2141" s="225"/>
      <c r="I2141" s="225"/>
      <c r="J2141" s="225"/>
      <c r="K2141" s="225">
        <v>3.2</v>
      </c>
      <c r="L2141" s="225">
        <f>F2141*K2141</f>
        <v>0</v>
      </c>
      <c r="M2141" s="225">
        <f>H2141+J2141+L2141</f>
        <v>0</v>
      </c>
    </row>
    <row r="2142" spans="1:14" s="89" customFormat="1" hidden="1">
      <c r="A2142" s="83"/>
      <c r="B2142" s="1432"/>
      <c r="C2142" s="15" t="s">
        <v>210</v>
      </c>
      <c r="D2142" s="211"/>
      <c r="E2142" s="211"/>
      <c r="F2142" s="386"/>
      <c r="G2142" s="225"/>
      <c r="H2142" s="225"/>
      <c r="I2142" s="225"/>
      <c r="J2142" s="225"/>
      <c r="K2142" s="225"/>
      <c r="L2142" s="225"/>
      <c r="M2142" s="225"/>
    </row>
    <row r="2143" spans="1:14" s="89" customFormat="1" hidden="1">
      <c r="A2143" s="83"/>
      <c r="B2143" s="1432"/>
      <c r="C2143" s="329" t="s">
        <v>1566</v>
      </c>
      <c r="D2143" s="211" t="s">
        <v>88</v>
      </c>
      <c r="E2143" s="211">
        <v>1.0149999999999999</v>
      </c>
      <c r="F2143" s="386">
        <f>F2139*E2143</f>
        <v>0</v>
      </c>
      <c r="G2143" s="614">
        <v>110</v>
      </c>
      <c r="H2143" s="225">
        <f t="shared" ref="H2143:H2148" si="48">F2143*G2143</f>
        <v>0</v>
      </c>
      <c r="I2143" s="225"/>
      <c r="J2143" s="225"/>
      <c r="K2143" s="225"/>
      <c r="L2143" s="225"/>
      <c r="M2143" s="225">
        <f t="shared" ref="M2143:M2148" si="49">H2143+J2143+L2143</f>
        <v>0</v>
      </c>
    </row>
    <row r="2144" spans="1:14" s="89" customFormat="1" hidden="1">
      <c r="A2144" s="83"/>
      <c r="B2144" s="1432"/>
      <c r="C2144" s="223" t="s">
        <v>301</v>
      </c>
      <c r="D2144" s="211" t="s">
        <v>78</v>
      </c>
      <c r="E2144" s="211">
        <v>1.4</v>
      </c>
      <c r="F2144" s="386">
        <f>F2139*E2144</f>
        <v>0</v>
      </c>
      <c r="G2144" s="614">
        <v>10.5</v>
      </c>
      <c r="H2144" s="225">
        <f t="shared" si="48"/>
        <v>0</v>
      </c>
      <c r="I2144" s="225"/>
      <c r="J2144" s="225"/>
      <c r="K2144" s="225"/>
      <c r="L2144" s="225"/>
      <c r="M2144" s="225">
        <f t="shared" si="49"/>
        <v>0</v>
      </c>
    </row>
    <row r="2145" spans="1:14" s="89" customFormat="1" hidden="1">
      <c r="A2145" s="83"/>
      <c r="B2145" s="1432"/>
      <c r="C2145" s="223" t="s">
        <v>539</v>
      </c>
      <c r="D2145" s="211" t="s">
        <v>88</v>
      </c>
      <c r="E2145" s="211">
        <v>1.4500000000000001E-2</v>
      </c>
      <c r="F2145" s="386">
        <f>F2139*E2145</f>
        <v>0</v>
      </c>
      <c r="G2145" s="614">
        <v>453</v>
      </c>
      <c r="H2145" s="225">
        <f t="shared" si="48"/>
        <v>0</v>
      </c>
      <c r="I2145" s="225"/>
      <c r="J2145" s="225"/>
      <c r="K2145" s="225"/>
      <c r="L2145" s="225"/>
      <c r="M2145" s="225">
        <f t="shared" si="49"/>
        <v>0</v>
      </c>
    </row>
    <row r="2146" spans="1:14" s="89" customFormat="1" hidden="1">
      <c r="A2146" s="83"/>
      <c r="B2146" s="1432"/>
      <c r="C2146" s="223" t="s">
        <v>307</v>
      </c>
      <c r="D2146" s="211" t="s">
        <v>97</v>
      </c>
      <c r="E2146" s="211">
        <v>2.5</v>
      </c>
      <c r="F2146" s="386">
        <f>F2139*E2146</f>
        <v>0</v>
      </c>
      <c r="G2146" s="386">
        <v>3.75</v>
      </c>
      <c r="H2146" s="225">
        <f t="shared" si="48"/>
        <v>0</v>
      </c>
      <c r="I2146" s="225"/>
      <c r="J2146" s="225"/>
      <c r="K2146" s="225"/>
      <c r="L2146" s="225"/>
      <c r="M2146" s="225">
        <f t="shared" si="49"/>
        <v>0</v>
      </c>
    </row>
    <row r="2147" spans="1:14" s="85" customFormat="1" hidden="1">
      <c r="A2147" s="83"/>
      <c r="B2147" s="1437"/>
      <c r="C2147" s="223" t="s">
        <v>214</v>
      </c>
      <c r="D2147" s="86" t="s">
        <v>57</v>
      </c>
      <c r="E2147" s="211">
        <v>0.74</v>
      </c>
      <c r="F2147" s="386">
        <f>F2139*E2147</f>
        <v>0</v>
      </c>
      <c r="G2147" s="386">
        <v>3.2</v>
      </c>
      <c r="H2147" s="225">
        <f t="shared" si="48"/>
        <v>0</v>
      </c>
      <c r="I2147" s="225"/>
      <c r="J2147" s="225"/>
      <c r="K2147" s="225"/>
      <c r="L2147" s="225"/>
      <c r="M2147" s="225">
        <f t="shared" si="49"/>
        <v>0</v>
      </c>
    </row>
    <row r="2148" spans="1:14" s="89" customFormat="1" hidden="1">
      <c r="A2148" s="24">
        <v>15</v>
      </c>
      <c r="B2148" s="175"/>
      <c r="C2148" s="260" t="s">
        <v>501</v>
      </c>
      <c r="D2148" s="158" t="s">
        <v>206</v>
      </c>
      <c r="E2148" s="158"/>
      <c r="F2148" s="397">
        <f>'დეფექტური აქტი'!E528</f>
        <v>0</v>
      </c>
      <c r="G2148" s="607">
        <v>953</v>
      </c>
      <c r="H2148" s="607">
        <f t="shared" si="48"/>
        <v>0</v>
      </c>
      <c r="I2148" s="607"/>
      <c r="J2148" s="607"/>
      <c r="K2148" s="607"/>
      <c r="L2148" s="607"/>
      <c r="M2148" s="607">
        <f t="shared" si="49"/>
        <v>0</v>
      </c>
    </row>
    <row r="2149" spans="1:14" s="359" customFormat="1" hidden="1">
      <c r="A2149" s="24">
        <v>16</v>
      </c>
      <c r="B2149" s="175"/>
      <c r="C2149" s="260" t="s">
        <v>884</v>
      </c>
      <c r="D2149" s="158" t="s">
        <v>206</v>
      </c>
      <c r="E2149" s="261"/>
      <c r="F2149" s="397">
        <f>'დეფექტური აქტი'!E529</f>
        <v>0</v>
      </c>
      <c r="G2149" s="607">
        <v>1019</v>
      </c>
      <c r="H2149" s="607">
        <f>F2149*G2149</f>
        <v>0</v>
      </c>
      <c r="I2149" s="607"/>
      <c r="J2149" s="607"/>
      <c r="K2149" s="607"/>
      <c r="L2149" s="607"/>
      <c r="M2149" s="607">
        <f>H2149+J2149+L2149</f>
        <v>0</v>
      </c>
      <c r="N2149" s="358"/>
    </row>
    <row r="2150" spans="1:14" s="89" customFormat="1" ht="27" hidden="1">
      <c r="A2150" s="83">
        <v>17</v>
      </c>
      <c r="B2150" s="1446" t="s">
        <v>410</v>
      </c>
      <c r="C2150" s="84" t="s">
        <v>998</v>
      </c>
      <c r="D2150" s="83" t="s">
        <v>88</v>
      </c>
      <c r="E2150" s="83"/>
      <c r="F2150" s="388">
        <f>'დეფექტური აქტი'!E530</f>
        <v>0</v>
      </c>
      <c r="G2150" s="225"/>
      <c r="H2150" s="225"/>
      <c r="I2150" s="225"/>
      <c r="J2150" s="225"/>
      <c r="K2150" s="225"/>
      <c r="L2150" s="225"/>
      <c r="M2150" s="225"/>
    </row>
    <row r="2151" spans="1:14" s="89" customFormat="1" hidden="1">
      <c r="A2151" s="83"/>
      <c r="B2151" s="1432"/>
      <c r="C2151" s="223" t="s">
        <v>209</v>
      </c>
      <c r="D2151" s="211" t="s">
        <v>80</v>
      </c>
      <c r="E2151" s="211">
        <v>3.36</v>
      </c>
      <c r="F2151" s="386">
        <f>F2150*E2151</f>
        <v>0</v>
      </c>
      <c r="G2151" s="225"/>
      <c r="H2151" s="225"/>
      <c r="I2151" s="225">
        <v>6</v>
      </c>
      <c r="J2151" s="225">
        <f>F2151*I2151</f>
        <v>0</v>
      </c>
      <c r="K2151" s="225"/>
      <c r="L2151" s="225"/>
      <c r="M2151" s="225">
        <f>H2151+J2151+L2151</f>
        <v>0</v>
      </c>
    </row>
    <row r="2152" spans="1:14" s="89" customFormat="1" hidden="1">
      <c r="A2152" s="83"/>
      <c r="B2152" s="1432"/>
      <c r="C2152" s="223" t="s">
        <v>81</v>
      </c>
      <c r="D2152" s="83" t="s">
        <v>57</v>
      </c>
      <c r="E2152" s="211">
        <v>0.92</v>
      </c>
      <c r="F2152" s="386">
        <f>F2150*E2152</f>
        <v>0</v>
      </c>
      <c r="G2152" s="225"/>
      <c r="H2152" s="225"/>
      <c r="I2152" s="225"/>
      <c r="J2152" s="225"/>
      <c r="K2152" s="225">
        <v>3.2</v>
      </c>
      <c r="L2152" s="225">
        <f>F2152*K2152</f>
        <v>0</v>
      </c>
      <c r="M2152" s="225">
        <f>H2152+J2152+L2152</f>
        <v>0</v>
      </c>
    </row>
    <row r="2153" spans="1:14" s="89" customFormat="1" hidden="1">
      <c r="A2153" s="83"/>
      <c r="B2153" s="1432"/>
      <c r="C2153" s="15" t="s">
        <v>210</v>
      </c>
      <c r="D2153" s="211"/>
      <c r="E2153" s="211"/>
      <c r="F2153" s="386"/>
      <c r="G2153" s="225"/>
      <c r="H2153" s="225"/>
      <c r="I2153" s="225"/>
      <c r="J2153" s="225"/>
      <c r="K2153" s="225"/>
      <c r="L2153" s="225"/>
      <c r="M2153" s="225"/>
    </row>
    <row r="2154" spans="1:14" s="89" customFormat="1" hidden="1">
      <c r="A2154" s="83"/>
      <c r="B2154" s="1432"/>
      <c r="C2154" s="223" t="s">
        <v>513</v>
      </c>
      <c r="D2154" s="211" t="s">
        <v>88</v>
      </c>
      <c r="E2154" s="211">
        <v>0.11</v>
      </c>
      <c r="F2154" s="386">
        <f>F2150*E2154</f>
        <v>0</v>
      </c>
      <c r="G2154" s="386">
        <v>77</v>
      </c>
      <c r="H2154" s="225">
        <f>F2154*G2154</f>
        <v>0</v>
      </c>
      <c r="I2154" s="225"/>
      <c r="J2154" s="225"/>
      <c r="K2154" s="225"/>
      <c r="L2154" s="225"/>
      <c r="M2154" s="225">
        <f>H2154+J2154+L2154</f>
        <v>0</v>
      </c>
    </row>
    <row r="2155" spans="1:14" s="89" customFormat="1" hidden="1">
      <c r="A2155" s="83"/>
      <c r="B2155" s="1432"/>
      <c r="C2155" s="223" t="s">
        <v>412</v>
      </c>
      <c r="D2155" s="83" t="s">
        <v>113</v>
      </c>
      <c r="E2155" s="211">
        <v>65.346000000000004</v>
      </c>
      <c r="F2155" s="386">
        <f>F2150*E2155</f>
        <v>0</v>
      </c>
      <c r="G2155" s="386">
        <v>0.97</v>
      </c>
      <c r="H2155" s="225">
        <f>F2155*G2155</f>
        <v>0</v>
      </c>
      <c r="I2155" s="225"/>
      <c r="J2155" s="225"/>
      <c r="K2155" s="225"/>
      <c r="L2155" s="225"/>
      <c r="M2155" s="225">
        <f>H2155+J2155+L2155</f>
        <v>0</v>
      </c>
    </row>
    <row r="2156" spans="1:14" s="85" customFormat="1" hidden="1">
      <c r="A2156" s="83"/>
      <c r="B2156" s="1437"/>
      <c r="C2156" s="223" t="s">
        <v>214</v>
      </c>
      <c r="D2156" s="86" t="s">
        <v>57</v>
      </c>
      <c r="E2156" s="211">
        <v>0.16</v>
      </c>
      <c r="F2156" s="386">
        <f>F2150*E2156</f>
        <v>0</v>
      </c>
      <c r="G2156" s="386">
        <v>3.2</v>
      </c>
      <c r="H2156" s="225">
        <f>F2156*G2156</f>
        <v>0</v>
      </c>
      <c r="I2156" s="225"/>
      <c r="J2156" s="225"/>
      <c r="K2156" s="225"/>
      <c r="L2156" s="225"/>
      <c r="M2156" s="225">
        <f>H2156+J2156+L2156</f>
        <v>0</v>
      </c>
    </row>
    <row r="2157" spans="1:14" s="89" customFormat="1" hidden="1">
      <c r="A2157" s="140">
        <v>18</v>
      </c>
      <c r="B2157" s="1446" t="s">
        <v>262</v>
      </c>
      <c r="C2157" s="278" t="s">
        <v>502</v>
      </c>
      <c r="D2157" s="140" t="s">
        <v>88</v>
      </c>
      <c r="E2157" s="140"/>
      <c r="F2157" s="384">
        <f>'დეფექტური აქტი'!E531</f>
        <v>0</v>
      </c>
      <c r="G2157" s="422"/>
      <c r="H2157" s="422"/>
      <c r="I2157" s="422"/>
      <c r="J2157" s="422"/>
      <c r="K2157" s="422"/>
      <c r="L2157" s="422"/>
      <c r="M2157" s="422"/>
    </row>
    <row r="2158" spans="1:14" s="89" customFormat="1" hidden="1">
      <c r="A2158" s="83"/>
      <c r="B2158" s="1432"/>
      <c r="C2158" s="226" t="s">
        <v>209</v>
      </c>
      <c r="D2158" s="211" t="s">
        <v>80</v>
      </c>
      <c r="E2158" s="211">
        <v>23.8</v>
      </c>
      <c r="F2158" s="386">
        <f>F2157*E2158</f>
        <v>0</v>
      </c>
      <c r="G2158" s="225"/>
      <c r="H2158" s="225"/>
      <c r="I2158" s="225">
        <v>4.5999999999999996</v>
      </c>
      <c r="J2158" s="225">
        <f>F2158*I2158</f>
        <v>0</v>
      </c>
      <c r="K2158" s="225"/>
      <c r="L2158" s="225"/>
      <c r="M2158" s="225">
        <f>H2158+J2158+L2158</f>
        <v>0</v>
      </c>
    </row>
    <row r="2159" spans="1:14" s="89" customFormat="1" hidden="1">
      <c r="A2159" s="83"/>
      <c r="B2159" s="1432"/>
      <c r="C2159" s="226" t="s">
        <v>81</v>
      </c>
      <c r="D2159" s="83" t="s">
        <v>57</v>
      </c>
      <c r="E2159" s="211">
        <v>2.1</v>
      </c>
      <c r="F2159" s="386">
        <f>F2157*E2159</f>
        <v>0</v>
      </c>
      <c r="G2159" s="225"/>
      <c r="H2159" s="225"/>
      <c r="I2159" s="225"/>
      <c r="J2159" s="225"/>
      <c r="K2159" s="225">
        <v>3.2</v>
      </c>
      <c r="L2159" s="225">
        <f>F2159*K2159</f>
        <v>0</v>
      </c>
      <c r="M2159" s="225">
        <f>H2159+J2159+L2159</f>
        <v>0</v>
      </c>
    </row>
    <row r="2160" spans="1:14" s="89" customFormat="1" hidden="1">
      <c r="A2160" s="83"/>
      <c r="B2160" s="1432"/>
      <c r="C2160" s="15" t="s">
        <v>210</v>
      </c>
      <c r="D2160" s="211"/>
      <c r="E2160" s="211"/>
      <c r="F2160" s="386"/>
      <c r="G2160" s="225"/>
      <c r="H2160" s="225"/>
      <c r="I2160" s="225"/>
      <c r="J2160" s="225"/>
      <c r="K2160" s="225"/>
      <c r="L2160" s="225"/>
      <c r="M2160" s="225"/>
    </row>
    <row r="2161" spans="1:13" s="89" customFormat="1" hidden="1">
      <c r="A2161" s="83"/>
      <c r="B2161" s="1432"/>
      <c r="C2161" s="226" t="s">
        <v>264</v>
      </c>
      <c r="D2161" s="211" t="s">
        <v>88</v>
      </c>
      <c r="E2161" s="211">
        <v>0.22</v>
      </c>
      <c r="F2161" s="386">
        <f>F2157*E2161</f>
        <v>0</v>
      </c>
      <c r="G2161" s="225">
        <v>490</v>
      </c>
      <c r="H2161" s="225">
        <f t="shared" ref="H2161:H2167" si="50">F2161*G2161</f>
        <v>0</v>
      </c>
      <c r="I2161" s="225"/>
      <c r="J2161" s="225"/>
      <c r="K2161" s="225"/>
      <c r="L2161" s="225"/>
      <c r="M2161" s="225">
        <f t="shared" ref="M2161:M2167" si="51">H2161+J2161+L2161</f>
        <v>0</v>
      </c>
    </row>
    <row r="2162" spans="1:13" s="89" customFormat="1" hidden="1">
      <c r="A2162" s="83"/>
      <c r="B2162" s="1432"/>
      <c r="C2162" s="226" t="s">
        <v>540</v>
      </c>
      <c r="D2162" s="211" t="s">
        <v>88</v>
      </c>
      <c r="E2162" s="211">
        <v>0.83</v>
      </c>
      <c r="F2162" s="386">
        <f>F2157*E2162</f>
        <v>0</v>
      </c>
      <c r="G2162" s="225">
        <v>485</v>
      </c>
      <c r="H2162" s="225">
        <f t="shared" si="50"/>
        <v>0</v>
      </c>
      <c r="I2162" s="225"/>
      <c r="J2162" s="225"/>
      <c r="K2162" s="225"/>
      <c r="L2162" s="225"/>
      <c r="M2162" s="225">
        <f t="shared" si="51"/>
        <v>0</v>
      </c>
    </row>
    <row r="2163" spans="1:13" s="89" customFormat="1" hidden="1">
      <c r="A2163" s="83"/>
      <c r="B2163" s="1432"/>
      <c r="C2163" s="226" t="s">
        <v>265</v>
      </c>
      <c r="D2163" s="211" t="s">
        <v>97</v>
      </c>
      <c r="E2163" s="211">
        <v>7.2</v>
      </c>
      <c r="F2163" s="386">
        <f>F2157*E2163</f>
        <v>0</v>
      </c>
      <c r="G2163" s="225">
        <v>2.4</v>
      </c>
      <c r="H2163" s="225">
        <f t="shared" si="50"/>
        <v>0</v>
      </c>
      <c r="I2163" s="225"/>
      <c r="J2163" s="225"/>
      <c r="K2163" s="225"/>
      <c r="L2163" s="225"/>
      <c r="M2163" s="225">
        <f t="shared" si="51"/>
        <v>0</v>
      </c>
    </row>
    <row r="2164" spans="1:13" s="89" customFormat="1" hidden="1">
      <c r="A2164" s="83"/>
      <c r="B2164" s="1432"/>
      <c r="C2164" s="226" t="s">
        <v>435</v>
      </c>
      <c r="D2164" s="211" t="s">
        <v>97</v>
      </c>
      <c r="E2164" s="211">
        <v>1.96</v>
      </c>
      <c r="F2164" s="386">
        <f>F2157*E2164</f>
        <v>0</v>
      </c>
      <c r="G2164" s="225">
        <v>5.5</v>
      </c>
      <c r="H2164" s="225">
        <f t="shared" si="50"/>
        <v>0</v>
      </c>
      <c r="I2164" s="225"/>
      <c r="J2164" s="225"/>
      <c r="K2164" s="225"/>
      <c r="L2164" s="225"/>
      <c r="M2164" s="225">
        <f t="shared" si="51"/>
        <v>0</v>
      </c>
    </row>
    <row r="2165" spans="1:13" s="85" customFormat="1" hidden="1">
      <c r="A2165" s="83"/>
      <c r="B2165" s="1432"/>
      <c r="C2165" s="226" t="s">
        <v>184</v>
      </c>
      <c r="D2165" s="211" t="s">
        <v>78</v>
      </c>
      <c r="E2165" s="211">
        <v>3.38</v>
      </c>
      <c r="F2165" s="386">
        <f>F2157*E2165</f>
        <v>0</v>
      </c>
      <c r="G2165" s="225">
        <v>2.1</v>
      </c>
      <c r="H2165" s="225">
        <f t="shared" si="50"/>
        <v>0</v>
      </c>
      <c r="I2165" s="225"/>
      <c r="J2165" s="225"/>
      <c r="K2165" s="225"/>
      <c r="L2165" s="225"/>
      <c r="M2165" s="225">
        <f t="shared" si="51"/>
        <v>0</v>
      </c>
    </row>
    <row r="2166" spans="1:13" s="89" customFormat="1" hidden="1">
      <c r="A2166" s="83"/>
      <c r="B2166" s="1432"/>
      <c r="C2166" s="226" t="s">
        <v>266</v>
      </c>
      <c r="D2166" s="211" t="s">
        <v>97</v>
      </c>
      <c r="E2166" s="211">
        <v>4.38</v>
      </c>
      <c r="F2166" s="386">
        <f>F2157*E2166</f>
        <v>0</v>
      </c>
      <c r="G2166" s="886">
        <v>1.1020000000000001</v>
      </c>
      <c r="H2166" s="225">
        <f t="shared" si="50"/>
        <v>0</v>
      </c>
      <c r="I2166" s="225"/>
      <c r="J2166" s="225"/>
      <c r="K2166" s="225"/>
      <c r="L2166" s="225"/>
      <c r="M2166" s="225">
        <f t="shared" si="51"/>
        <v>0</v>
      </c>
    </row>
    <row r="2167" spans="1:13" s="89" customFormat="1" hidden="1">
      <c r="A2167" s="83"/>
      <c r="B2167" s="1437"/>
      <c r="C2167" s="226" t="s">
        <v>214</v>
      </c>
      <c r="D2167" s="86" t="s">
        <v>57</v>
      </c>
      <c r="E2167" s="211">
        <v>3.44</v>
      </c>
      <c r="F2167" s="386">
        <f>F2157*E2167</f>
        <v>0</v>
      </c>
      <c r="G2167" s="225">
        <v>3.2</v>
      </c>
      <c r="H2167" s="225">
        <f t="shared" si="50"/>
        <v>0</v>
      </c>
      <c r="I2167" s="225"/>
      <c r="J2167" s="225"/>
      <c r="K2167" s="225"/>
      <c r="L2167" s="225"/>
      <c r="M2167" s="225">
        <f t="shared" si="51"/>
        <v>0</v>
      </c>
    </row>
    <row r="2168" spans="1:13" s="89" customFormat="1" hidden="1">
      <c r="A2168" s="140">
        <v>19</v>
      </c>
      <c r="B2168" s="1446" t="s">
        <v>379</v>
      </c>
      <c r="C2168" s="151" t="s">
        <v>503</v>
      </c>
      <c r="D2168" s="140" t="s">
        <v>88</v>
      </c>
      <c r="E2168" s="140"/>
      <c r="F2168" s="384">
        <f>'დეფექტური აქტი'!E532</f>
        <v>0</v>
      </c>
      <c r="G2168" s="422"/>
      <c r="H2168" s="422"/>
      <c r="I2168" s="422"/>
      <c r="J2168" s="422"/>
      <c r="K2168" s="422"/>
      <c r="L2168" s="422"/>
      <c r="M2168" s="422"/>
    </row>
    <row r="2169" spans="1:13" s="89" customFormat="1" hidden="1">
      <c r="A2169" s="83"/>
      <c r="B2169" s="1432"/>
      <c r="C2169" s="226" t="s">
        <v>209</v>
      </c>
      <c r="D2169" s="211" t="s">
        <v>80</v>
      </c>
      <c r="E2169" s="211">
        <v>0.87</v>
      </c>
      <c r="F2169" s="386">
        <f>F2168*E2169</f>
        <v>0</v>
      </c>
      <c r="G2169" s="225"/>
      <c r="H2169" s="225"/>
      <c r="I2169" s="225">
        <v>4.5999999999999996</v>
      </c>
      <c r="J2169" s="225">
        <f>F2169*I2169</f>
        <v>0</v>
      </c>
      <c r="K2169" s="225"/>
      <c r="L2169" s="225"/>
      <c r="M2169" s="225">
        <f>H2169+J2169+L2169</f>
        <v>0</v>
      </c>
    </row>
    <row r="2170" spans="1:13" s="89" customFormat="1" hidden="1">
      <c r="A2170" s="83"/>
      <c r="B2170" s="1432"/>
      <c r="C2170" s="226" t="s">
        <v>81</v>
      </c>
      <c r="D2170" s="83" t="s">
        <v>57</v>
      </c>
      <c r="E2170" s="211">
        <v>0.13</v>
      </c>
      <c r="F2170" s="386">
        <f>F2168*E2170</f>
        <v>0</v>
      </c>
      <c r="G2170" s="225"/>
      <c r="H2170" s="225"/>
      <c r="I2170" s="225"/>
      <c r="J2170" s="225"/>
      <c r="K2170" s="225">
        <v>3.2</v>
      </c>
      <c r="L2170" s="225">
        <f>F2170*K2170</f>
        <v>0</v>
      </c>
      <c r="M2170" s="225">
        <f>H2170+J2170+L2170</f>
        <v>0</v>
      </c>
    </row>
    <row r="2171" spans="1:13" s="89" customFormat="1" hidden="1">
      <c r="A2171" s="83"/>
      <c r="B2171" s="1432"/>
      <c r="C2171" s="15" t="s">
        <v>210</v>
      </c>
      <c r="D2171" s="211"/>
      <c r="E2171" s="211"/>
      <c r="F2171" s="386"/>
      <c r="G2171" s="225"/>
      <c r="H2171" s="225"/>
      <c r="I2171" s="225"/>
      <c r="J2171" s="225"/>
      <c r="K2171" s="225"/>
      <c r="L2171" s="225"/>
      <c r="M2171" s="225"/>
    </row>
    <row r="2172" spans="1:13" s="89" customFormat="1" hidden="1">
      <c r="A2172" s="83"/>
      <c r="B2172" s="1432"/>
      <c r="C2172" s="226" t="s">
        <v>381</v>
      </c>
      <c r="D2172" s="211" t="s">
        <v>97</v>
      </c>
      <c r="E2172" s="211">
        <v>7.2</v>
      </c>
      <c r="F2172" s="386">
        <f>F2168*E2172</f>
        <v>0</v>
      </c>
      <c r="G2172" s="225">
        <v>0.8</v>
      </c>
      <c r="H2172" s="225">
        <f>F2172*G2172</f>
        <v>0</v>
      </c>
      <c r="I2172" s="225"/>
      <c r="J2172" s="225"/>
      <c r="K2172" s="225"/>
      <c r="L2172" s="225"/>
      <c r="M2172" s="225">
        <f>H2172+J2172+L2172</f>
        <v>0</v>
      </c>
    </row>
    <row r="2173" spans="1:13" s="85" customFormat="1" hidden="1">
      <c r="A2173" s="83"/>
      <c r="B2173" s="1432"/>
      <c r="C2173" s="226" t="s">
        <v>382</v>
      </c>
      <c r="D2173" s="211" t="s">
        <v>97</v>
      </c>
      <c r="E2173" s="211">
        <v>1.79</v>
      </c>
      <c r="F2173" s="386">
        <f>F2168*E2173</f>
        <v>0</v>
      </c>
      <c r="G2173" s="225">
        <v>0.3</v>
      </c>
      <c r="H2173" s="225">
        <f>F2173*G2173</f>
        <v>0</v>
      </c>
      <c r="I2173" s="225"/>
      <c r="J2173" s="225"/>
      <c r="K2173" s="225"/>
      <c r="L2173" s="225"/>
      <c r="M2173" s="225">
        <f>H2173+J2173+L2173</f>
        <v>0</v>
      </c>
    </row>
    <row r="2174" spans="1:13" s="85" customFormat="1" hidden="1">
      <c r="A2174" s="83"/>
      <c r="B2174" s="1432"/>
      <c r="C2174" s="226" t="s">
        <v>383</v>
      </c>
      <c r="D2174" s="211" t="s">
        <v>97</v>
      </c>
      <c r="E2174" s="211">
        <v>1.07</v>
      </c>
      <c r="F2174" s="386">
        <f>F2168*E2174</f>
        <v>0</v>
      </c>
      <c r="G2174" s="225">
        <v>0.4</v>
      </c>
      <c r="H2174" s="225">
        <f>F2174*G2174</f>
        <v>0</v>
      </c>
      <c r="I2174" s="225"/>
      <c r="J2174" s="225"/>
      <c r="K2174" s="225"/>
      <c r="L2174" s="225"/>
      <c r="M2174" s="225">
        <f>H2174+J2174+L2174</f>
        <v>0</v>
      </c>
    </row>
    <row r="2175" spans="1:13" s="92" customFormat="1" hidden="1">
      <c r="A2175" s="83"/>
      <c r="B2175" s="1437"/>
      <c r="C2175" s="226" t="s">
        <v>214</v>
      </c>
      <c r="D2175" s="86" t="s">
        <v>57</v>
      </c>
      <c r="E2175" s="211">
        <v>0.1</v>
      </c>
      <c r="F2175" s="386">
        <f>F2168*E2175</f>
        <v>0</v>
      </c>
      <c r="G2175" s="225">
        <v>3.2</v>
      </c>
      <c r="H2175" s="225">
        <f>F2175*G2175</f>
        <v>0</v>
      </c>
      <c r="I2175" s="225"/>
      <c r="J2175" s="225"/>
      <c r="K2175" s="225"/>
      <c r="L2175" s="225"/>
      <c r="M2175" s="225">
        <f>H2175+J2175+L2175</f>
        <v>0</v>
      </c>
    </row>
    <row r="2176" spans="1:13" s="92" customFormat="1" hidden="1">
      <c r="A2176" s="140">
        <v>20</v>
      </c>
      <c r="B2176" s="1446" t="s">
        <v>541</v>
      </c>
      <c r="C2176" s="278" t="s">
        <v>850</v>
      </c>
      <c r="D2176" s="140" t="s">
        <v>78</v>
      </c>
      <c r="E2176" s="140"/>
      <c r="F2176" s="384">
        <f>'დეფექტური აქტი'!E533</f>
        <v>0</v>
      </c>
      <c r="G2176" s="422"/>
      <c r="H2176" s="422"/>
      <c r="I2176" s="422"/>
      <c r="J2176" s="422"/>
      <c r="K2176" s="422"/>
      <c r="L2176" s="422"/>
      <c r="M2176" s="422"/>
    </row>
    <row r="2177" spans="1:13" s="92" customFormat="1" hidden="1">
      <c r="A2177" s="83"/>
      <c r="B2177" s="1432"/>
      <c r="C2177" s="226" t="s">
        <v>209</v>
      </c>
      <c r="D2177" s="211" t="s">
        <v>80</v>
      </c>
      <c r="E2177" s="211">
        <v>0.22700000000000001</v>
      </c>
      <c r="F2177" s="386">
        <f>F2176*E2177</f>
        <v>0</v>
      </c>
      <c r="G2177" s="225"/>
      <c r="H2177" s="225"/>
      <c r="I2177" s="225">
        <v>6</v>
      </c>
      <c r="J2177" s="225">
        <f>F2177*I2177</f>
        <v>0</v>
      </c>
      <c r="K2177" s="225"/>
      <c r="L2177" s="225"/>
      <c r="M2177" s="225">
        <f>H2177+J2177+L2177</f>
        <v>0</v>
      </c>
    </row>
    <row r="2178" spans="1:13" s="92" customFormat="1" hidden="1">
      <c r="A2178" s="83"/>
      <c r="B2178" s="1432"/>
      <c r="C2178" s="226" t="s">
        <v>81</v>
      </c>
      <c r="D2178" s="83" t="s">
        <v>57</v>
      </c>
      <c r="E2178" s="211">
        <v>2.76E-2</v>
      </c>
      <c r="F2178" s="386">
        <f>F2176*E2178</f>
        <v>0</v>
      </c>
      <c r="G2178" s="225"/>
      <c r="H2178" s="225"/>
      <c r="I2178" s="225"/>
      <c r="J2178" s="225"/>
      <c r="K2178" s="225">
        <v>3.2</v>
      </c>
      <c r="L2178" s="225">
        <f>F2178*K2178</f>
        <v>0</v>
      </c>
      <c r="M2178" s="225">
        <f>H2178+J2178+L2178</f>
        <v>0</v>
      </c>
    </row>
    <row r="2179" spans="1:13" s="92" customFormat="1" hidden="1">
      <c r="A2179" s="83"/>
      <c r="B2179" s="1432"/>
      <c r="C2179" s="15" t="s">
        <v>210</v>
      </c>
      <c r="D2179" s="211"/>
      <c r="E2179" s="211"/>
      <c r="F2179" s="386"/>
      <c r="G2179" s="225"/>
      <c r="H2179" s="225"/>
      <c r="I2179" s="225"/>
      <c r="J2179" s="225"/>
      <c r="K2179" s="225"/>
      <c r="L2179" s="225"/>
      <c r="M2179" s="225"/>
    </row>
    <row r="2180" spans="1:13" s="92" customFormat="1" hidden="1">
      <c r="A2180" s="83"/>
      <c r="B2180" s="1432"/>
      <c r="C2180" s="226" t="s">
        <v>819</v>
      </c>
      <c r="D2180" s="211" t="s">
        <v>88</v>
      </c>
      <c r="E2180" s="211">
        <v>2.1000000000000001E-2</v>
      </c>
      <c r="F2180" s="386">
        <f>F2176*E2180</f>
        <v>0</v>
      </c>
      <c r="G2180" s="225">
        <v>403</v>
      </c>
      <c r="H2180" s="225">
        <f>F2180*G2180</f>
        <v>0</v>
      </c>
      <c r="I2180" s="225"/>
      <c r="J2180" s="225"/>
      <c r="K2180" s="225"/>
      <c r="L2180" s="225"/>
      <c r="M2180" s="225">
        <f>H2180+J2180+L2180</f>
        <v>0</v>
      </c>
    </row>
    <row r="2181" spans="1:13" s="92" customFormat="1" hidden="1">
      <c r="A2181" s="83"/>
      <c r="B2181" s="1432"/>
      <c r="C2181" s="226" t="s">
        <v>270</v>
      </c>
      <c r="D2181" s="211" t="s">
        <v>97</v>
      </c>
      <c r="E2181" s="211">
        <v>7.0000000000000007E-2</v>
      </c>
      <c r="F2181" s="386">
        <f>F2176*E2181</f>
        <v>0</v>
      </c>
      <c r="G2181" s="386">
        <v>2.4</v>
      </c>
      <c r="H2181" s="225">
        <f>F2181*G2181</f>
        <v>0</v>
      </c>
      <c r="I2181" s="225"/>
      <c r="J2181" s="225"/>
      <c r="K2181" s="225"/>
      <c r="L2181" s="225"/>
      <c r="M2181" s="225">
        <f>H2181+J2181+L2181</f>
        <v>0</v>
      </c>
    </row>
    <row r="2182" spans="1:13" s="92" customFormat="1" hidden="1">
      <c r="A2182" s="83"/>
      <c r="B2182" s="1437"/>
      <c r="C2182" s="226" t="s">
        <v>214</v>
      </c>
      <c r="D2182" s="86" t="s">
        <v>57</v>
      </c>
      <c r="E2182" s="211">
        <v>4.4400000000000002E-2</v>
      </c>
      <c r="F2182" s="386">
        <f>F2176*E2182</f>
        <v>0</v>
      </c>
      <c r="G2182" s="225">
        <v>3.2</v>
      </c>
      <c r="H2182" s="225">
        <f>F2182*G2182</f>
        <v>0</v>
      </c>
      <c r="I2182" s="225"/>
      <c r="J2182" s="225"/>
      <c r="K2182" s="225"/>
      <c r="L2182" s="225"/>
      <c r="M2182" s="225">
        <f>H2182+J2182+L2182</f>
        <v>0</v>
      </c>
    </row>
    <row r="2183" spans="1:13" s="92" customFormat="1" hidden="1">
      <c r="A2183" s="140">
        <v>21</v>
      </c>
      <c r="B2183" s="1446" t="s">
        <v>384</v>
      </c>
      <c r="C2183" s="151" t="s">
        <v>385</v>
      </c>
      <c r="D2183" s="140" t="s">
        <v>78</v>
      </c>
      <c r="E2183" s="140"/>
      <c r="F2183" s="384">
        <f>'დეფექტური აქტი'!E534</f>
        <v>0</v>
      </c>
      <c r="G2183" s="422"/>
      <c r="H2183" s="422"/>
      <c r="I2183" s="422"/>
      <c r="J2183" s="422"/>
      <c r="K2183" s="422"/>
      <c r="L2183" s="422"/>
      <c r="M2183" s="422"/>
    </row>
    <row r="2184" spans="1:13" s="92" customFormat="1" hidden="1">
      <c r="A2184" s="83"/>
      <c r="B2184" s="1432"/>
      <c r="C2184" s="226" t="s">
        <v>209</v>
      </c>
      <c r="D2184" s="211" t="s">
        <v>80</v>
      </c>
      <c r="E2184" s="211">
        <v>3.0300000000000001E-2</v>
      </c>
      <c r="F2184" s="386">
        <f>F2183*E2184</f>
        <v>0</v>
      </c>
      <c r="G2184" s="225"/>
      <c r="H2184" s="225"/>
      <c r="I2184" s="225">
        <v>6</v>
      </c>
      <c r="J2184" s="225">
        <f>F2184*I2184</f>
        <v>0</v>
      </c>
      <c r="K2184" s="225"/>
      <c r="L2184" s="225"/>
      <c r="M2184" s="225">
        <f>H2184+J2184+L2184</f>
        <v>0</v>
      </c>
    </row>
    <row r="2185" spans="1:13" s="92" customFormat="1" hidden="1">
      <c r="A2185" s="83"/>
      <c r="B2185" s="1432"/>
      <c r="C2185" s="226" t="s">
        <v>81</v>
      </c>
      <c r="D2185" s="83" t="s">
        <v>57</v>
      </c>
      <c r="E2185" s="211">
        <v>4.1000000000000003E-3</v>
      </c>
      <c r="F2185" s="386">
        <f>F2183*E2185</f>
        <v>0</v>
      </c>
      <c r="G2185" s="225"/>
      <c r="H2185" s="225"/>
      <c r="I2185" s="225"/>
      <c r="J2185" s="225"/>
      <c r="K2185" s="225">
        <v>3.2</v>
      </c>
      <c r="L2185" s="225">
        <f>F2185*K2185</f>
        <v>0</v>
      </c>
      <c r="M2185" s="225">
        <f>H2185+J2185+L2185</f>
        <v>0</v>
      </c>
    </row>
    <row r="2186" spans="1:13" s="92" customFormat="1" hidden="1">
      <c r="A2186" s="83"/>
      <c r="B2186" s="1432"/>
      <c r="C2186" s="15" t="s">
        <v>210</v>
      </c>
      <c r="D2186" s="211"/>
      <c r="E2186" s="211"/>
      <c r="F2186" s="386"/>
      <c r="G2186" s="225"/>
      <c r="H2186" s="225"/>
      <c r="I2186" s="225"/>
      <c r="J2186" s="225"/>
      <c r="K2186" s="225"/>
      <c r="L2186" s="225"/>
      <c r="M2186" s="225"/>
    </row>
    <row r="2187" spans="1:13" s="92" customFormat="1" hidden="1">
      <c r="A2187" s="83"/>
      <c r="B2187" s="1432"/>
      <c r="C2187" s="226" t="s">
        <v>381</v>
      </c>
      <c r="D2187" s="211" t="s">
        <v>97</v>
      </c>
      <c r="E2187" s="211">
        <v>0.23100000000000001</v>
      </c>
      <c r="F2187" s="386">
        <f>F2183*E2187</f>
        <v>0</v>
      </c>
      <c r="G2187" s="225">
        <v>0.8</v>
      </c>
      <c r="H2187" s="225">
        <f>F2187*G2187</f>
        <v>0</v>
      </c>
      <c r="I2187" s="225"/>
      <c r="J2187" s="225"/>
      <c r="K2187" s="225"/>
      <c r="L2187" s="225"/>
      <c r="M2187" s="225">
        <f>H2187+J2187+L2187</f>
        <v>0</v>
      </c>
    </row>
    <row r="2188" spans="1:13" s="92" customFormat="1" hidden="1">
      <c r="A2188" s="83"/>
      <c r="B2188" s="1432"/>
      <c r="C2188" s="226" t="s">
        <v>382</v>
      </c>
      <c r="D2188" s="211" t="s">
        <v>97</v>
      </c>
      <c r="E2188" s="211">
        <v>5.8000000000000003E-2</v>
      </c>
      <c r="F2188" s="386">
        <f>F2183*E2188</f>
        <v>0</v>
      </c>
      <c r="G2188" s="225">
        <v>0.3</v>
      </c>
      <c r="H2188" s="225">
        <f>F2188*G2188</f>
        <v>0</v>
      </c>
      <c r="I2188" s="225"/>
      <c r="J2188" s="225"/>
      <c r="K2188" s="225"/>
      <c r="L2188" s="225"/>
      <c r="M2188" s="225">
        <f>H2188+J2188+L2188</f>
        <v>0</v>
      </c>
    </row>
    <row r="2189" spans="1:13" s="92" customFormat="1" hidden="1">
      <c r="A2189" s="83"/>
      <c r="B2189" s="1432"/>
      <c r="C2189" s="226" t="s">
        <v>383</v>
      </c>
      <c r="D2189" s="211" t="s">
        <v>97</v>
      </c>
      <c r="E2189" s="211">
        <v>3.5000000000000003E-2</v>
      </c>
      <c r="F2189" s="386">
        <f>F2183*E2189</f>
        <v>0</v>
      </c>
      <c r="G2189" s="225">
        <v>0.4</v>
      </c>
      <c r="H2189" s="225">
        <f>F2189*G2189</f>
        <v>0</v>
      </c>
      <c r="I2189" s="225"/>
      <c r="J2189" s="225"/>
      <c r="K2189" s="225"/>
      <c r="L2189" s="225"/>
      <c r="M2189" s="225">
        <f>H2189+J2189+L2189</f>
        <v>0</v>
      </c>
    </row>
    <row r="2190" spans="1:13" s="92" customFormat="1" hidden="1">
      <c r="A2190" s="83"/>
      <c r="B2190" s="1437"/>
      <c r="C2190" s="226" t="s">
        <v>214</v>
      </c>
      <c r="D2190" s="86" t="s">
        <v>57</v>
      </c>
      <c r="E2190" s="211">
        <v>4.0000000000000002E-4</v>
      </c>
      <c r="F2190" s="386">
        <f>F2183*E2190</f>
        <v>0</v>
      </c>
      <c r="G2190" s="225">
        <v>3.2</v>
      </c>
      <c r="H2190" s="225">
        <f>F2190*G2190</f>
        <v>0</v>
      </c>
      <c r="I2190" s="225"/>
      <c r="J2190" s="225"/>
      <c r="K2190" s="225"/>
      <c r="L2190" s="225"/>
      <c r="M2190" s="225">
        <f>H2190+J2190+L2190</f>
        <v>0</v>
      </c>
    </row>
    <row r="2191" spans="1:13" s="92" customFormat="1" hidden="1">
      <c r="A2191" s="140">
        <v>22</v>
      </c>
      <c r="B2191" s="1446" t="s">
        <v>1534</v>
      </c>
      <c r="C2191" s="151" t="s">
        <v>386</v>
      </c>
      <c r="D2191" s="140" t="s">
        <v>78</v>
      </c>
      <c r="E2191" s="140"/>
      <c r="F2191" s="384">
        <f>'დეფექტური აქტი'!E535</f>
        <v>0</v>
      </c>
      <c r="G2191" s="422"/>
      <c r="H2191" s="422"/>
      <c r="I2191" s="422"/>
      <c r="J2191" s="422"/>
      <c r="K2191" s="422"/>
      <c r="L2191" s="422"/>
      <c r="M2191" s="422"/>
    </row>
    <row r="2192" spans="1:13" s="92" customFormat="1" hidden="1">
      <c r="A2192" s="83"/>
      <c r="B2192" s="1432"/>
      <c r="C2192" s="226" t="s">
        <v>209</v>
      </c>
      <c r="D2192" s="211" t="s">
        <v>80</v>
      </c>
      <c r="E2192" s="211">
        <v>6.9199999999999998E-2</v>
      </c>
      <c r="F2192" s="386">
        <f>F2191*E2192</f>
        <v>0</v>
      </c>
      <c r="G2192" s="225"/>
      <c r="H2192" s="225"/>
      <c r="I2192" s="225">
        <v>6</v>
      </c>
      <c r="J2192" s="225">
        <f>F2192*I2192</f>
        <v>0</v>
      </c>
      <c r="K2192" s="225"/>
      <c r="L2192" s="225"/>
      <c r="M2192" s="225">
        <f>H2192+J2192+L2192</f>
        <v>0</v>
      </c>
    </row>
    <row r="2193" spans="1:14" s="92" customFormat="1" hidden="1">
      <c r="A2193" s="83"/>
      <c r="B2193" s="1432"/>
      <c r="C2193" s="226" t="s">
        <v>81</v>
      </c>
      <c r="D2193" s="83" t="s">
        <v>57</v>
      </c>
      <c r="E2193" s="211">
        <v>1.6000000000000001E-3</v>
      </c>
      <c r="F2193" s="386">
        <f>F2191*E2193</f>
        <v>0</v>
      </c>
      <c r="G2193" s="225"/>
      <c r="H2193" s="225"/>
      <c r="I2193" s="225"/>
      <c r="J2193" s="225"/>
      <c r="K2193" s="225">
        <v>3.2</v>
      </c>
      <c r="L2193" s="225">
        <f>F2193*K2193</f>
        <v>0</v>
      </c>
      <c r="M2193" s="225">
        <f>H2193+J2193+L2193</f>
        <v>0</v>
      </c>
    </row>
    <row r="2194" spans="1:14" s="92" customFormat="1" hidden="1">
      <c r="A2194" s="83"/>
      <c r="B2194" s="1432"/>
      <c r="C2194" s="15" t="s">
        <v>210</v>
      </c>
      <c r="D2194" s="211"/>
      <c r="E2194" s="211"/>
      <c r="F2194" s="386"/>
      <c r="G2194" s="225"/>
      <c r="H2194" s="225"/>
      <c r="I2194" s="225"/>
      <c r="J2194" s="225"/>
      <c r="K2194" s="225"/>
      <c r="L2194" s="225"/>
      <c r="M2194" s="225"/>
    </row>
    <row r="2195" spans="1:14" s="92" customFormat="1" hidden="1">
      <c r="A2195" s="83"/>
      <c r="B2195" s="1437"/>
      <c r="C2195" s="226" t="s">
        <v>387</v>
      </c>
      <c r="D2195" s="230" t="s">
        <v>97</v>
      </c>
      <c r="E2195" s="211">
        <v>0.4</v>
      </c>
      <c r="F2195" s="386">
        <f>F2191*E2195</f>
        <v>0</v>
      </c>
      <c r="G2195" s="225">
        <v>5.5</v>
      </c>
      <c r="H2195" s="225">
        <f>F2195*G2195</f>
        <v>0</v>
      </c>
      <c r="I2195" s="225"/>
      <c r="J2195" s="225"/>
      <c r="K2195" s="225"/>
      <c r="L2195" s="225"/>
      <c r="M2195" s="225">
        <f>H2195+J2195+L2195</f>
        <v>0</v>
      </c>
    </row>
    <row r="2196" spans="1:14" s="88" customFormat="1" hidden="1">
      <c r="A2196" s="140">
        <v>13</v>
      </c>
      <c r="B2196" s="1446" t="s">
        <v>697</v>
      </c>
      <c r="C2196" s="151" t="s">
        <v>698</v>
      </c>
      <c r="D2196" s="140" t="s">
        <v>78</v>
      </c>
      <c r="E2196" s="140"/>
      <c r="F2196" s="384">
        <f>'დეფექტური აქტი'!E536</f>
        <v>0</v>
      </c>
      <c r="G2196" s="422"/>
      <c r="H2196" s="422"/>
      <c r="I2196" s="422"/>
      <c r="J2196" s="422"/>
      <c r="K2196" s="422"/>
      <c r="L2196" s="422"/>
      <c r="M2196" s="422"/>
    </row>
    <row r="2197" spans="1:14" s="88" customFormat="1" hidden="1">
      <c r="A2197" s="83"/>
      <c r="B2197" s="1432"/>
      <c r="C2197" s="223" t="s">
        <v>209</v>
      </c>
      <c r="D2197" s="211" t="s">
        <v>80</v>
      </c>
      <c r="E2197" s="211">
        <v>0.23599999999999999</v>
      </c>
      <c r="F2197" s="386">
        <f>F2196*E2197</f>
        <v>0</v>
      </c>
      <c r="G2197" s="225"/>
      <c r="H2197" s="225"/>
      <c r="I2197" s="386">
        <v>6</v>
      </c>
      <c r="J2197" s="225">
        <f>F2197*I2197</f>
        <v>0</v>
      </c>
      <c r="K2197" s="225"/>
      <c r="L2197" s="225"/>
      <c r="M2197" s="225">
        <f>H2197+J2197+L2197</f>
        <v>0</v>
      </c>
    </row>
    <row r="2198" spans="1:14" s="88" customFormat="1" hidden="1">
      <c r="A2198" s="83"/>
      <c r="B2198" s="1432"/>
      <c r="C2198" s="84" t="s">
        <v>81</v>
      </c>
      <c r="D2198" s="83" t="s">
        <v>57</v>
      </c>
      <c r="E2198" s="83">
        <v>2.5000000000000001E-2</v>
      </c>
      <c r="F2198" s="386">
        <f>F2196*E2198</f>
        <v>0</v>
      </c>
      <c r="G2198" s="225"/>
      <c r="H2198" s="225"/>
      <c r="I2198" s="225"/>
      <c r="J2198" s="225"/>
      <c r="K2198" s="225">
        <v>3.2</v>
      </c>
      <c r="L2198" s="225">
        <f>F2198*K2198</f>
        <v>0</v>
      </c>
      <c r="M2198" s="225">
        <f>H2198+J2198+L2198</f>
        <v>0</v>
      </c>
    </row>
    <row r="2199" spans="1:14" s="88" customFormat="1" hidden="1">
      <c r="A2199" s="96"/>
      <c r="B2199" s="1432"/>
      <c r="C2199" s="226" t="s">
        <v>210</v>
      </c>
      <c r="D2199" s="211"/>
      <c r="E2199" s="211"/>
      <c r="F2199" s="225"/>
      <c r="G2199" s="225"/>
      <c r="H2199" s="225"/>
      <c r="I2199" s="225"/>
      <c r="J2199" s="225"/>
      <c r="K2199" s="225"/>
      <c r="L2199" s="225"/>
      <c r="M2199" s="225"/>
      <c r="N2199" s="236"/>
    </row>
    <row r="2200" spans="1:14" s="88" customFormat="1" hidden="1">
      <c r="A2200" s="83"/>
      <c r="B2200" s="1432"/>
      <c r="C2200" s="84" t="s">
        <v>977</v>
      </c>
      <c r="D2200" s="83" t="s">
        <v>88</v>
      </c>
      <c r="E2200" s="83">
        <v>1.8599999999999998E-2</v>
      </c>
      <c r="F2200" s="386">
        <f>F2196*E2200</f>
        <v>0</v>
      </c>
      <c r="G2200" s="386">
        <v>481</v>
      </c>
      <c r="H2200" s="225">
        <f>F2200*G2200</f>
        <v>0</v>
      </c>
      <c r="I2200" s="225"/>
      <c r="J2200" s="225"/>
      <c r="K2200" s="225"/>
      <c r="L2200" s="225"/>
      <c r="M2200" s="225">
        <f>H2200+J2200+L2200</f>
        <v>0</v>
      </c>
    </row>
    <row r="2201" spans="1:14" s="88" customFormat="1" hidden="1">
      <c r="A2201" s="86"/>
      <c r="B2201" s="1437"/>
      <c r="C2201" s="87" t="s">
        <v>214</v>
      </c>
      <c r="D2201" s="86" t="s">
        <v>57</v>
      </c>
      <c r="E2201" s="86">
        <v>1.2800000000000001E-2</v>
      </c>
      <c r="F2201" s="387">
        <f>F2196*E2201</f>
        <v>0</v>
      </c>
      <c r="G2201" s="393">
        <v>3.2</v>
      </c>
      <c r="H2201" s="393">
        <f>F2201*G2201</f>
        <v>0</v>
      </c>
      <c r="I2201" s="393"/>
      <c r="J2201" s="393"/>
      <c r="K2201" s="393"/>
      <c r="L2201" s="393"/>
      <c r="M2201" s="393">
        <f>H2201+J2201+L2201</f>
        <v>0</v>
      </c>
    </row>
    <row r="2202" spans="1:14" s="359" customFormat="1" hidden="1">
      <c r="A2202" s="330"/>
      <c r="B2202" s="328" t="s">
        <v>978</v>
      </c>
      <c r="C2202" s="329" t="s">
        <v>1022</v>
      </c>
      <c r="D2202" s="330" t="s">
        <v>78</v>
      </c>
      <c r="E2202" s="330"/>
      <c r="F2202" s="414">
        <f>'დეფექტური აქტი'!E537</f>
        <v>0</v>
      </c>
      <c r="G2202" s="389"/>
      <c r="H2202" s="389"/>
      <c r="I2202" s="389"/>
      <c r="J2202" s="389"/>
      <c r="K2202" s="389"/>
      <c r="L2202" s="389"/>
      <c r="M2202" s="389"/>
      <c r="N2202" s="358"/>
    </row>
    <row r="2203" spans="1:14" s="359" customFormat="1" hidden="1">
      <c r="A2203" s="330"/>
      <c r="B2203" s="328"/>
      <c r="C2203" s="341" t="s">
        <v>209</v>
      </c>
      <c r="D2203" s="336" t="s">
        <v>80</v>
      </c>
      <c r="E2203" s="336">
        <v>7.6999999999999999E-2</v>
      </c>
      <c r="F2203" s="331">
        <f>F2202*E2203</f>
        <v>0</v>
      </c>
      <c r="G2203" s="389"/>
      <c r="H2203" s="389"/>
      <c r="I2203" s="389">
        <v>6</v>
      </c>
      <c r="J2203" s="389">
        <f>F2203*I2203</f>
        <v>0</v>
      </c>
      <c r="K2203" s="389"/>
      <c r="L2203" s="389"/>
      <c r="M2203" s="389">
        <f>H2203+J2203+L2203</f>
        <v>0</v>
      </c>
      <c r="N2203" s="358"/>
    </row>
    <row r="2204" spans="1:14" s="359" customFormat="1" hidden="1">
      <c r="A2204" s="330"/>
      <c r="B2204" s="328"/>
      <c r="C2204" s="341" t="s">
        <v>81</v>
      </c>
      <c r="D2204" s="336" t="s">
        <v>57</v>
      </c>
      <c r="E2204" s="336">
        <v>1.4E-2</v>
      </c>
      <c r="F2204" s="331">
        <f>F2202*E2204</f>
        <v>0</v>
      </c>
      <c r="G2204" s="389"/>
      <c r="H2204" s="389"/>
      <c r="I2204" s="389"/>
      <c r="J2204" s="389"/>
      <c r="K2204" s="389">
        <v>3.2</v>
      </c>
      <c r="L2204" s="389">
        <f>F2204*K2204</f>
        <v>0</v>
      </c>
      <c r="M2204" s="389">
        <f>H2204+J2204+L2204</f>
        <v>0</v>
      </c>
      <c r="N2204" s="358"/>
    </row>
    <row r="2205" spans="1:14" s="359" customFormat="1" hidden="1">
      <c r="A2205" s="330"/>
      <c r="B2205" s="328"/>
      <c r="C2205" s="341" t="s">
        <v>210</v>
      </c>
      <c r="D2205" s="336"/>
      <c r="E2205" s="336"/>
      <c r="F2205" s="331">
        <f>F2202*E2205</f>
        <v>0</v>
      </c>
      <c r="G2205" s="389"/>
      <c r="H2205" s="389"/>
      <c r="I2205" s="389"/>
      <c r="J2205" s="389"/>
      <c r="K2205" s="389"/>
      <c r="L2205" s="389"/>
      <c r="M2205" s="389"/>
      <c r="N2205" s="358"/>
    </row>
    <row r="2206" spans="1:14" s="359" customFormat="1" hidden="1">
      <c r="A2206" s="330"/>
      <c r="B2206" s="328"/>
      <c r="C2206" s="341" t="s">
        <v>274</v>
      </c>
      <c r="D2206" s="336" t="s">
        <v>97</v>
      </c>
      <c r="E2206" s="336">
        <v>0.11</v>
      </c>
      <c r="F2206" s="331">
        <f>F2202*E2206</f>
        <v>0</v>
      </c>
      <c r="G2206" s="389">
        <v>6</v>
      </c>
      <c r="H2206" s="389">
        <f>F2206*G2206</f>
        <v>0</v>
      </c>
      <c r="I2206" s="389"/>
      <c r="J2206" s="389"/>
      <c r="K2206" s="389"/>
      <c r="L2206" s="389"/>
      <c r="M2206" s="389">
        <f>H2206+J2206+L2206</f>
        <v>0</v>
      </c>
      <c r="N2206" s="358"/>
    </row>
    <row r="2207" spans="1:14" s="359" customFormat="1" hidden="1">
      <c r="A2207" s="419"/>
      <c r="B2207" s="417"/>
      <c r="C2207" s="344" t="s">
        <v>214</v>
      </c>
      <c r="D2207" s="342" t="s">
        <v>57</v>
      </c>
      <c r="E2207" s="342">
        <v>1E-3</v>
      </c>
      <c r="F2207" s="418">
        <f>F2202*E2207</f>
        <v>0</v>
      </c>
      <c r="G2207" s="392">
        <v>3.2</v>
      </c>
      <c r="H2207" s="392">
        <f>F2207*G2207</f>
        <v>0</v>
      </c>
      <c r="I2207" s="392"/>
      <c r="J2207" s="392"/>
      <c r="K2207" s="392"/>
      <c r="L2207" s="392"/>
      <c r="M2207" s="392">
        <f>H2207+J2207+L2207</f>
        <v>0</v>
      </c>
      <c r="N2207" s="358"/>
    </row>
    <row r="2208" spans="1:14" s="92" customFormat="1" ht="27" hidden="1">
      <c r="A2208" s="140">
        <v>23</v>
      </c>
      <c r="B2208" s="1446" t="s">
        <v>194</v>
      </c>
      <c r="C2208" s="151" t="s">
        <v>1307</v>
      </c>
      <c r="D2208" s="140" t="s">
        <v>78</v>
      </c>
      <c r="E2208" s="140"/>
      <c r="F2208" s="384">
        <f>'დეფექტური აქტი'!E538</f>
        <v>0</v>
      </c>
      <c r="G2208" s="422"/>
      <c r="H2208" s="422"/>
      <c r="I2208" s="422"/>
      <c r="J2208" s="422"/>
      <c r="K2208" s="422"/>
      <c r="L2208" s="422"/>
      <c r="M2208" s="422"/>
    </row>
    <row r="2209" spans="1:13" s="92" customFormat="1" hidden="1">
      <c r="A2209" s="83"/>
      <c r="B2209" s="1432"/>
      <c r="C2209" s="223" t="s">
        <v>209</v>
      </c>
      <c r="D2209" s="211" t="s">
        <v>80</v>
      </c>
      <c r="E2209" s="211">
        <v>0.83</v>
      </c>
      <c r="F2209" s="386">
        <f>F2208*E2209</f>
        <v>0</v>
      </c>
      <c r="G2209" s="225"/>
      <c r="H2209" s="225"/>
      <c r="I2209" s="225">
        <v>6</v>
      </c>
      <c r="J2209" s="225">
        <f>F2209*I2209</f>
        <v>0</v>
      </c>
      <c r="K2209" s="225"/>
      <c r="L2209" s="225"/>
      <c r="M2209" s="225">
        <f>H2209+J2209+L2209</f>
        <v>0</v>
      </c>
    </row>
    <row r="2210" spans="1:13" s="92" customFormat="1" hidden="1">
      <c r="A2210" s="83"/>
      <c r="B2210" s="1432"/>
      <c r="C2210" s="223" t="s">
        <v>81</v>
      </c>
      <c r="D2210" s="83" t="s">
        <v>57</v>
      </c>
      <c r="E2210" s="211">
        <v>4.1000000000000003E-3</v>
      </c>
      <c r="F2210" s="386">
        <f>F2208*E2210</f>
        <v>0</v>
      </c>
      <c r="G2210" s="225"/>
      <c r="H2210" s="225"/>
      <c r="I2210" s="225"/>
      <c r="J2210" s="225"/>
      <c r="K2210" s="225">
        <v>3.2</v>
      </c>
      <c r="L2210" s="225">
        <f>F2210*K2210</f>
        <v>0</v>
      </c>
      <c r="M2210" s="225">
        <f>H2210+J2210+L2210</f>
        <v>0</v>
      </c>
    </row>
    <row r="2211" spans="1:13" s="92" customFormat="1" hidden="1">
      <c r="A2211" s="83"/>
      <c r="B2211" s="1432"/>
      <c r="C2211" s="15" t="s">
        <v>210</v>
      </c>
      <c r="D2211" s="211"/>
      <c r="E2211" s="211"/>
      <c r="F2211" s="386"/>
      <c r="G2211" s="225"/>
      <c r="H2211" s="225"/>
      <c r="I2211" s="225"/>
      <c r="J2211" s="225"/>
      <c r="K2211" s="225"/>
      <c r="L2211" s="225"/>
      <c r="M2211" s="225"/>
    </row>
    <row r="2212" spans="1:13" s="92" customFormat="1" hidden="1">
      <c r="A2212" s="83"/>
      <c r="B2212" s="1432"/>
      <c r="C2212" s="223" t="s">
        <v>1308</v>
      </c>
      <c r="D2212" s="211" t="s">
        <v>78</v>
      </c>
      <c r="E2212" s="211">
        <v>1.22</v>
      </c>
      <c r="F2212" s="386">
        <f>F2208*E2212</f>
        <v>0</v>
      </c>
      <c r="G2212" s="386">
        <v>9.9</v>
      </c>
      <c r="H2212" s="225">
        <f>F2212*G2212</f>
        <v>0</v>
      </c>
      <c r="I2212" s="225"/>
      <c r="J2212" s="225"/>
      <c r="K2212" s="225"/>
      <c r="L2212" s="225"/>
      <c r="M2212" s="225">
        <f>H2212+J2212+L2212</f>
        <v>0</v>
      </c>
    </row>
    <row r="2213" spans="1:13" s="92" customFormat="1" hidden="1">
      <c r="A2213" s="83"/>
      <c r="B2213" s="1437"/>
      <c r="C2213" s="223" t="s">
        <v>214</v>
      </c>
      <c r="D2213" s="86" t="s">
        <v>57</v>
      </c>
      <c r="E2213" s="211">
        <v>7.8E-2</v>
      </c>
      <c r="F2213" s="386">
        <f>F2208*E2213</f>
        <v>0</v>
      </c>
      <c r="G2213" s="386">
        <v>3.2</v>
      </c>
      <c r="H2213" s="225">
        <f>F2213*G2213</f>
        <v>0</v>
      </c>
      <c r="I2213" s="225"/>
      <c r="J2213" s="225"/>
      <c r="K2213" s="225"/>
      <c r="L2213" s="225"/>
      <c r="M2213" s="225">
        <f>H2213+J2213+L2213</f>
        <v>0</v>
      </c>
    </row>
    <row r="2214" spans="1:13" s="63" customFormat="1" ht="27" hidden="1" customHeight="1">
      <c r="A2214" s="47">
        <v>24</v>
      </c>
      <c r="B2214" s="1433" t="s">
        <v>187</v>
      </c>
      <c r="C2214" s="46" t="s">
        <v>188</v>
      </c>
      <c r="D2214" s="47" t="s">
        <v>78</v>
      </c>
      <c r="E2214" s="47"/>
      <c r="F2214" s="384">
        <f>'დეფექტური აქტი'!E539</f>
        <v>0</v>
      </c>
      <c r="G2214" s="385"/>
      <c r="H2214" s="385"/>
      <c r="I2214" s="385"/>
      <c r="J2214" s="385"/>
      <c r="K2214" s="385"/>
      <c r="L2214" s="385"/>
      <c r="M2214" s="385"/>
    </row>
    <row r="2215" spans="1:13" s="63" customFormat="1" hidden="1">
      <c r="A2215" s="41"/>
      <c r="B2215" s="1434"/>
      <c r="C2215" s="15" t="s">
        <v>209</v>
      </c>
      <c r="D2215" s="41" t="s">
        <v>80</v>
      </c>
      <c r="E2215" s="41">
        <v>2.72</v>
      </c>
      <c r="F2215" s="386">
        <f>F2214*E2215</f>
        <v>0</v>
      </c>
      <c r="G2215" s="386"/>
      <c r="H2215" s="386"/>
      <c r="I2215" s="386">
        <v>4.5999999999999996</v>
      </c>
      <c r="J2215" s="386">
        <f>F2215*I2215</f>
        <v>0</v>
      </c>
      <c r="K2215" s="386"/>
      <c r="L2215" s="386"/>
      <c r="M2215" s="386">
        <f>H2215+J2215+L2215</f>
        <v>0</v>
      </c>
    </row>
    <row r="2216" spans="1:13" s="63" customFormat="1" hidden="1">
      <c r="A2216" s="41"/>
      <c r="B2216" s="1434"/>
      <c r="C2216" s="66" t="s">
        <v>81</v>
      </c>
      <c r="D2216" s="83" t="s">
        <v>57</v>
      </c>
      <c r="E2216" s="41">
        <v>0.67</v>
      </c>
      <c r="F2216" s="386">
        <f>F2214*E2216</f>
        <v>0</v>
      </c>
      <c r="G2216" s="386"/>
      <c r="H2216" s="386"/>
      <c r="I2216" s="386"/>
      <c r="J2216" s="386"/>
      <c r="K2216" s="386">
        <v>3.2</v>
      </c>
      <c r="L2216" s="386">
        <f>F2216*K2216</f>
        <v>0</v>
      </c>
      <c r="M2216" s="386">
        <f>H2216+J2216+L2216</f>
        <v>0</v>
      </c>
    </row>
    <row r="2217" spans="1:13" s="63" customFormat="1" hidden="1">
      <c r="A2217" s="41"/>
      <c r="B2217" s="1434"/>
      <c r="C2217" s="15" t="s">
        <v>210</v>
      </c>
      <c r="D2217" s="41"/>
      <c r="E2217" s="41"/>
      <c r="F2217" s="386"/>
      <c r="G2217" s="386"/>
      <c r="H2217" s="386"/>
      <c r="I2217" s="386"/>
      <c r="J2217" s="386"/>
      <c r="K2217" s="386"/>
      <c r="L2217" s="386"/>
      <c r="M2217" s="386"/>
    </row>
    <row r="2218" spans="1:13" s="63" customFormat="1" hidden="1">
      <c r="A2218" s="41"/>
      <c r="B2218" s="1434"/>
      <c r="C2218" s="15" t="s">
        <v>189</v>
      </c>
      <c r="D2218" s="41" t="s">
        <v>78</v>
      </c>
      <c r="E2218" s="41">
        <v>1</v>
      </c>
      <c r="F2218" s="386">
        <f>F2214*E2218</f>
        <v>0</v>
      </c>
      <c r="G2218" s="386">
        <v>115</v>
      </c>
      <c r="H2218" s="386">
        <f>F2218*G2218</f>
        <v>0</v>
      </c>
      <c r="I2218" s="386"/>
      <c r="J2218" s="386"/>
      <c r="K2218" s="386"/>
      <c r="L2218" s="386"/>
      <c r="M2218" s="386">
        <f>H2218+J2218+L2218</f>
        <v>0</v>
      </c>
    </row>
    <row r="2219" spans="1:13" s="63" customFormat="1" hidden="1">
      <c r="A2219" s="41"/>
      <c r="B2219" s="1434"/>
      <c r="C2219" s="15" t="s">
        <v>214</v>
      </c>
      <c r="D2219" s="86" t="s">
        <v>57</v>
      </c>
      <c r="E2219" s="41">
        <v>0.65600000000000003</v>
      </c>
      <c r="F2219" s="386">
        <f>F2214*E2219</f>
        <v>0</v>
      </c>
      <c r="G2219" s="386">
        <v>3.2</v>
      </c>
      <c r="H2219" s="386">
        <f>F2219*G2219</f>
        <v>0</v>
      </c>
      <c r="I2219" s="386"/>
      <c r="J2219" s="386"/>
      <c r="K2219" s="386"/>
      <c r="L2219" s="386"/>
      <c r="M2219" s="386">
        <f>H2219+J2219+L2219</f>
        <v>0</v>
      </c>
    </row>
    <row r="2220" spans="1:13" s="92" customFormat="1" hidden="1">
      <c r="A2220" s="140">
        <v>25</v>
      </c>
      <c r="B2220" s="1446" t="s">
        <v>543</v>
      </c>
      <c r="C2220" s="151" t="s">
        <v>958</v>
      </c>
      <c r="D2220" s="140" t="s">
        <v>113</v>
      </c>
      <c r="E2220" s="140"/>
      <c r="F2220" s="384">
        <f>'დეფექტური აქტი'!E540</f>
        <v>0</v>
      </c>
      <c r="G2220" s="422"/>
      <c r="H2220" s="422"/>
      <c r="I2220" s="422"/>
      <c r="J2220" s="422"/>
      <c r="K2220" s="422"/>
      <c r="L2220" s="422"/>
      <c r="M2220" s="422"/>
    </row>
    <row r="2221" spans="1:13" s="92" customFormat="1" hidden="1">
      <c r="A2221" s="91"/>
      <c r="B2221" s="1432"/>
      <c r="C2221" s="223" t="s">
        <v>209</v>
      </c>
      <c r="D2221" s="211" t="s">
        <v>80</v>
      </c>
      <c r="E2221" s="211">
        <v>1.63</v>
      </c>
      <c r="F2221" s="386">
        <f>F2220*E2221</f>
        <v>0</v>
      </c>
      <c r="G2221" s="225"/>
      <c r="H2221" s="225"/>
      <c r="I2221" s="225">
        <v>4.5999999999999996</v>
      </c>
      <c r="J2221" s="225">
        <f>F2221*I2221</f>
        <v>0</v>
      </c>
      <c r="K2221" s="225"/>
      <c r="L2221" s="225"/>
      <c r="M2221" s="225">
        <f>H2221+J2221+L2221</f>
        <v>0</v>
      </c>
    </row>
    <row r="2222" spans="1:13" s="92" customFormat="1" hidden="1">
      <c r="A2222" s="91"/>
      <c r="B2222" s="1432"/>
      <c r="C2222" s="223" t="s">
        <v>81</v>
      </c>
      <c r="D2222" s="83" t="s">
        <v>57</v>
      </c>
      <c r="E2222" s="211">
        <v>0.1</v>
      </c>
      <c r="F2222" s="386">
        <f>F2220*E2222</f>
        <v>0</v>
      </c>
      <c r="G2222" s="225"/>
      <c r="H2222" s="225"/>
      <c r="I2222" s="225"/>
      <c r="J2222" s="225"/>
      <c r="K2222" s="225">
        <v>3.2</v>
      </c>
      <c r="L2222" s="225">
        <f>F2222*K2222</f>
        <v>0</v>
      </c>
      <c r="M2222" s="225">
        <f>H2222+J2222+L2222</f>
        <v>0</v>
      </c>
    </row>
    <row r="2223" spans="1:13" s="92" customFormat="1" hidden="1">
      <c r="A2223" s="91"/>
      <c r="B2223" s="1432"/>
      <c r="C2223" s="15" t="s">
        <v>210</v>
      </c>
      <c r="D2223" s="211"/>
      <c r="E2223" s="211"/>
      <c r="F2223" s="386"/>
      <c r="G2223" s="225"/>
      <c r="H2223" s="225"/>
      <c r="I2223" s="225"/>
      <c r="J2223" s="225"/>
      <c r="K2223" s="225"/>
      <c r="L2223" s="225"/>
      <c r="M2223" s="225"/>
    </row>
    <row r="2224" spans="1:13" s="92" customFormat="1" hidden="1">
      <c r="A2224" s="91"/>
      <c r="B2224" s="1432"/>
      <c r="C2224" s="223" t="s">
        <v>544</v>
      </c>
      <c r="D2224" s="211" t="s">
        <v>78</v>
      </c>
      <c r="E2224" s="211">
        <v>0.42</v>
      </c>
      <c r="F2224" s="388">
        <f>E2224*F2220</f>
        <v>0</v>
      </c>
      <c r="G2224" s="225">
        <v>75</v>
      </c>
      <c r="H2224" s="225">
        <f>F2224*G2224</f>
        <v>0</v>
      </c>
      <c r="I2224" s="225"/>
      <c r="J2224" s="225"/>
      <c r="K2224" s="225"/>
      <c r="L2224" s="225"/>
      <c r="M2224" s="225">
        <f>H2224+J2224+L2224</f>
        <v>0</v>
      </c>
    </row>
    <row r="2225" spans="1:13" s="92" customFormat="1" hidden="1">
      <c r="A2225" s="91"/>
      <c r="B2225" s="1437"/>
      <c r="C2225" s="223" t="s">
        <v>214</v>
      </c>
      <c r="D2225" s="86" t="s">
        <v>57</v>
      </c>
      <c r="E2225" s="211">
        <v>0.38</v>
      </c>
      <c r="F2225" s="386">
        <f>F2220*E2225</f>
        <v>0</v>
      </c>
      <c r="G2225" s="225">
        <v>3.2</v>
      </c>
      <c r="H2225" s="225">
        <f>F2225*G2225</f>
        <v>0</v>
      </c>
      <c r="I2225" s="225"/>
      <c r="J2225" s="225"/>
      <c r="K2225" s="225"/>
      <c r="L2225" s="225"/>
      <c r="M2225" s="225">
        <f>H2225+J2225+L2225</f>
        <v>0</v>
      </c>
    </row>
    <row r="2226" spans="1:13" s="92" customFormat="1" ht="27" hidden="1">
      <c r="A2226" s="140">
        <v>26</v>
      </c>
      <c r="B2226" s="220" t="s">
        <v>325</v>
      </c>
      <c r="C2226" s="151" t="s">
        <v>1025</v>
      </c>
      <c r="D2226" s="140" t="s">
        <v>78</v>
      </c>
      <c r="E2226" s="140"/>
      <c r="F2226" s="384">
        <f>'დეფექტური აქტი'!E541</f>
        <v>0</v>
      </c>
      <c r="G2226" s="422"/>
      <c r="H2226" s="422"/>
      <c r="I2226" s="422"/>
      <c r="J2226" s="422"/>
      <c r="K2226" s="422"/>
      <c r="L2226" s="422"/>
      <c r="M2226" s="422"/>
    </row>
    <row r="2227" spans="1:13" s="89" customFormat="1" hidden="1">
      <c r="A2227" s="83"/>
      <c r="B2227" s="1457"/>
      <c r="C2227" s="223" t="s">
        <v>209</v>
      </c>
      <c r="D2227" s="211" t="s">
        <v>80</v>
      </c>
      <c r="E2227" s="211">
        <v>0.68</v>
      </c>
      <c r="F2227" s="386">
        <f>F2226*E2227</f>
        <v>0</v>
      </c>
      <c r="G2227" s="225"/>
      <c r="H2227" s="225"/>
      <c r="I2227" s="225">
        <v>6</v>
      </c>
      <c r="J2227" s="225">
        <f>F2227*I2227</f>
        <v>0</v>
      </c>
      <c r="K2227" s="225"/>
      <c r="L2227" s="225"/>
      <c r="M2227" s="225">
        <f>H2227+J2227+L2227</f>
        <v>0</v>
      </c>
    </row>
    <row r="2228" spans="1:13" s="92" customFormat="1" hidden="1">
      <c r="A2228" s="83"/>
      <c r="B2228" s="1457"/>
      <c r="C2228" s="223" t="s">
        <v>81</v>
      </c>
      <c r="D2228" s="83" t="s">
        <v>57</v>
      </c>
      <c r="E2228" s="211">
        <v>2.9999999999999997E-4</v>
      </c>
      <c r="F2228" s="386">
        <f>F2226*E2228</f>
        <v>0</v>
      </c>
      <c r="G2228" s="225"/>
      <c r="H2228" s="225"/>
      <c r="I2228" s="225"/>
      <c r="J2228" s="225"/>
      <c r="K2228" s="225">
        <v>3.2</v>
      </c>
      <c r="L2228" s="225">
        <f>F2228*K2228</f>
        <v>0</v>
      </c>
      <c r="M2228" s="225">
        <f>H2228+J2228+L2228</f>
        <v>0</v>
      </c>
    </row>
    <row r="2229" spans="1:13" s="92" customFormat="1" hidden="1">
      <c r="A2229" s="83"/>
      <c r="B2229" s="1457"/>
      <c r="C2229" s="15" t="s">
        <v>210</v>
      </c>
      <c r="D2229" s="211"/>
      <c r="E2229" s="211"/>
      <c r="F2229" s="386"/>
      <c r="G2229" s="225"/>
      <c r="H2229" s="225"/>
      <c r="I2229" s="225"/>
      <c r="J2229" s="225"/>
      <c r="K2229" s="225"/>
      <c r="L2229" s="225"/>
      <c r="M2229" s="225"/>
    </row>
    <row r="2230" spans="1:13" s="92" customFormat="1" hidden="1">
      <c r="A2230" s="83"/>
      <c r="B2230" s="1457"/>
      <c r="C2230" s="223" t="s">
        <v>186</v>
      </c>
      <c r="D2230" s="211" t="s">
        <v>97</v>
      </c>
      <c r="E2230" s="211">
        <v>0.246</v>
      </c>
      <c r="F2230" s="386">
        <f>F2226*E2230</f>
        <v>0</v>
      </c>
      <c r="G2230" s="225">
        <v>4</v>
      </c>
      <c r="H2230" s="225">
        <f>F2230*G2230</f>
        <v>0</v>
      </c>
      <c r="I2230" s="225"/>
      <c r="J2230" s="225"/>
      <c r="K2230" s="225"/>
      <c r="L2230" s="225"/>
      <c r="M2230" s="225">
        <f>H2230+J2230+L2230</f>
        <v>0</v>
      </c>
    </row>
    <row r="2231" spans="1:13" s="92" customFormat="1" hidden="1">
      <c r="A2231" s="83"/>
      <c r="B2231" s="1457"/>
      <c r="C2231" s="223" t="s">
        <v>138</v>
      </c>
      <c r="D2231" s="211" t="s">
        <v>97</v>
      </c>
      <c r="E2231" s="211">
        <v>2.7E-2</v>
      </c>
      <c r="F2231" s="386">
        <f>F2226*E2231</f>
        <v>0</v>
      </c>
      <c r="G2231" s="225">
        <v>3.5</v>
      </c>
      <c r="H2231" s="225">
        <f>F2231*G2231</f>
        <v>0</v>
      </c>
      <c r="I2231" s="225"/>
      <c r="J2231" s="225"/>
      <c r="K2231" s="225"/>
      <c r="L2231" s="225"/>
      <c r="M2231" s="225">
        <f>H2231+J2231+L2231</f>
        <v>0</v>
      </c>
    </row>
    <row r="2232" spans="1:13" s="92" customFormat="1" hidden="1">
      <c r="A2232" s="83"/>
      <c r="B2232" s="1458"/>
      <c r="C2232" s="223" t="s">
        <v>214</v>
      </c>
      <c r="D2232" s="86" t="s">
        <v>57</v>
      </c>
      <c r="E2232" s="211">
        <v>1.9E-3</v>
      </c>
      <c r="F2232" s="386">
        <f>F2226*E2232</f>
        <v>0</v>
      </c>
      <c r="G2232" s="225">
        <v>3.2</v>
      </c>
      <c r="H2232" s="225">
        <f>F2232*G2232</f>
        <v>0</v>
      </c>
      <c r="I2232" s="225"/>
      <c r="J2232" s="225"/>
      <c r="K2232" s="225"/>
      <c r="L2232" s="225"/>
      <c r="M2232" s="225">
        <f>H2232+J2232+L2232</f>
        <v>0</v>
      </c>
    </row>
    <row r="2233" spans="1:13" s="92" customFormat="1" ht="15.75" hidden="1" customHeight="1">
      <c r="A2233" s="140">
        <v>27</v>
      </c>
      <c r="B2233" s="1446" t="s">
        <v>545</v>
      </c>
      <c r="C2233" s="151" t="s">
        <v>1026</v>
      </c>
      <c r="D2233" s="140" t="s">
        <v>206</v>
      </c>
      <c r="E2233" s="140"/>
      <c r="F2233" s="384">
        <f>F2237*0.1</f>
        <v>0</v>
      </c>
      <c r="G2233" s="422"/>
      <c r="H2233" s="422"/>
      <c r="I2233" s="422"/>
      <c r="J2233" s="422"/>
      <c r="K2233" s="422"/>
      <c r="L2233" s="422"/>
      <c r="M2233" s="422"/>
    </row>
    <row r="2234" spans="1:13" s="92" customFormat="1" hidden="1">
      <c r="A2234" s="83"/>
      <c r="B2234" s="1432"/>
      <c r="C2234" s="223" t="s">
        <v>209</v>
      </c>
      <c r="D2234" s="211" t="s">
        <v>80</v>
      </c>
      <c r="E2234" s="211">
        <v>63.4</v>
      </c>
      <c r="F2234" s="386">
        <f>F2233*E2234</f>
        <v>0</v>
      </c>
      <c r="G2234" s="225"/>
      <c r="H2234" s="225"/>
      <c r="I2234" s="225">
        <v>4.5999999999999996</v>
      </c>
      <c r="J2234" s="225">
        <f>F2234*I2234</f>
        <v>0</v>
      </c>
      <c r="K2234" s="225"/>
      <c r="L2234" s="225"/>
      <c r="M2234" s="225">
        <f>H2234+J2234+L2234</f>
        <v>0</v>
      </c>
    </row>
    <row r="2235" spans="1:13" s="92" customFormat="1" hidden="1">
      <c r="A2235" s="83"/>
      <c r="B2235" s="1432"/>
      <c r="C2235" s="223" t="s">
        <v>81</v>
      </c>
      <c r="D2235" s="83" t="s">
        <v>57</v>
      </c>
      <c r="E2235" s="211">
        <v>0.17</v>
      </c>
      <c r="F2235" s="386">
        <f>F2233*E2235</f>
        <v>0</v>
      </c>
      <c r="G2235" s="225"/>
      <c r="H2235" s="225"/>
      <c r="I2235" s="225"/>
      <c r="J2235" s="225"/>
      <c r="K2235" s="225">
        <v>3.2</v>
      </c>
      <c r="L2235" s="225">
        <f>F2235*K2235</f>
        <v>0</v>
      </c>
      <c r="M2235" s="225">
        <f>H2235+J2235+L2235</f>
        <v>0</v>
      </c>
    </row>
    <row r="2236" spans="1:13" s="85" customFormat="1" hidden="1">
      <c r="A2236" s="83"/>
      <c r="B2236" s="1432"/>
      <c r="C2236" s="15" t="s">
        <v>210</v>
      </c>
      <c r="D2236" s="211"/>
      <c r="E2236" s="211"/>
      <c r="F2236" s="386"/>
      <c r="G2236" s="225"/>
      <c r="H2236" s="225"/>
      <c r="I2236" s="225"/>
      <c r="J2236" s="225"/>
      <c r="K2236" s="225"/>
      <c r="L2236" s="225"/>
      <c r="M2236" s="225"/>
    </row>
    <row r="2237" spans="1:13" s="85" customFormat="1" hidden="1">
      <c r="A2237" s="83"/>
      <c r="B2237" s="1432"/>
      <c r="C2237" s="223" t="s">
        <v>1037</v>
      </c>
      <c r="D2237" s="211" t="s">
        <v>78</v>
      </c>
      <c r="E2237" s="211"/>
      <c r="F2237" s="388">
        <f>'დეფექტური აქტი'!E542</f>
        <v>0</v>
      </c>
      <c r="G2237" s="439">
        <v>230</v>
      </c>
      <c r="H2237" s="225">
        <f>F2237*G2237</f>
        <v>0</v>
      </c>
      <c r="I2237" s="225"/>
      <c r="J2237" s="225"/>
      <c r="K2237" s="225"/>
      <c r="L2237" s="225"/>
      <c r="M2237" s="225">
        <f>H2237+J2237+L2237</f>
        <v>0</v>
      </c>
    </row>
    <row r="2238" spans="1:13" s="89" customFormat="1" hidden="1">
      <c r="A2238" s="83"/>
      <c r="B2238" s="1432"/>
      <c r="C2238" s="223" t="s">
        <v>542</v>
      </c>
      <c r="D2238" s="211" t="s">
        <v>97</v>
      </c>
      <c r="E2238" s="211">
        <v>5</v>
      </c>
      <c r="F2238" s="386">
        <f>F2233*E2238</f>
        <v>0</v>
      </c>
      <c r="G2238" s="386">
        <v>2.14</v>
      </c>
      <c r="H2238" s="225">
        <f>F2238*G2238</f>
        <v>0</v>
      </c>
      <c r="I2238" s="225"/>
      <c r="J2238" s="225"/>
      <c r="K2238" s="225"/>
      <c r="L2238" s="225"/>
      <c r="M2238" s="225">
        <f>H2238+J2238+L2238</f>
        <v>0</v>
      </c>
    </row>
    <row r="2239" spans="1:13" s="89" customFormat="1" hidden="1">
      <c r="A2239" s="83"/>
      <c r="B2239" s="1432"/>
      <c r="C2239" s="223" t="s">
        <v>307</v>
      </c>
      <c r="D2239" s="211" t="s">
        <v>97</v>
      </c>
      <c r="E2239" s="211">
        <v>0.12</v>
      </c>
      <c r="F2239" s="386">
        <f>F2233*E2239</f>
        <v>0</v>
      </c>
      <c r="G2239" s="386">
        <v>3.75</v>
      </c>
      <c r="H2239" s="225">
        <f>F2239*G2239</f>
        <v>0</v>
      </c>
      <c r="I2239" s="225"/>
      <c r="J2239" s="225"/>
      <c r="K2239" s="225"/>
      <c r="L2239" s="225"/>
      <c r="M2239" s="225">
        <f>H2239+J2239+L2239</f>
        <v>0</v>
      </c>
    </row>
    <row r="2240" spans="1:13" s="89" customFormat="1" hidden="1">
      <c r="A2240" s="83"/>
      <c r="B2240" s="1437"/>
      <c r="C2240" s="223" t="s">
        <v>214</v>
      </c>
      <c r="D2240" s="86" t="s">
        <v>57</v>
      </c>
      <c r="E2240" s="211">
        <v>2.78</v>
      </c>
      <c r="F2240" s="386">
        <f>F2233*E2240</f>
        <v>0</v>
      </c>
      <c r="G2240" s="386">
        <v>3.2</v>
      </c>
      <c r="H2240" s="225">
        <f>F2240*G2240</f>
        <v>0</v>
      </c>
      <c r="I2240" s="225"/>
      <c r="J2240" s="225"/>
      <c r="K2240" s="225"/>
      <c r="L2240" s="225"/>
      <c r="M2240" s="225">
        <f>H2240+J2240+L2240</f>
        <v>0</v>
      </c>
    </row>
    <row r="2241" spans="1:13" s="89" customFormat="1" ht="27" hidden="1">
      <c r="A2241" s="140">
        <v>28</v>
      </c>
      <c r="B2241" s="220" t="s">
        <v>325</v>
      </c>
      <c r="C2241" s="151" t="s">
        <v>1027</v>
      </c>
      <c r="D2241" s="140" t="s">
        <v>78</v>
      </c>
      <c r="E2241" s="140"/>
      <c r="F2241" s="384">
        <f>'დეფექტური აქტი'!E543</f>
        <v>0</v>
      </c>
      <c r="G2241" s="422"/>
      <c r="H2241" s="422"/>
      <c r="I2241" s="422"/>
      <c r="J2241" s="422"/>
      <c r="K2241" s="422"/>
      <c r="L2241" s="422"/>
      <c r="M2241" s="422"/>
    </row>
    <row r="2242" spans="1:13" s="89" customFormat="1" hidden="1">
      <c r="A2242" s="83"/>
      <c r="B2242" s="1457"/>
      <c r="C2242" s="223" t="s">
        <v>209</v>
      </c>
      <c r="D2242" s="211" t="s">
        <v>80</v>
      </c>
      <c r="E2242" s="211">
        <v>0.68</v>
      </c>
      <c r="F2242" s="386">
        <f>F2241*E2242</f>
        <v>0</v>
      </c>
      <c r="G2242" s="225"/>
      <c r="H2242" s="225"/>
      <c r="I2242" s="225">
        <v>6</v>
      </c>
      <c r="J2242" s="225">
        <f>F2242*I2242</f>
        <v>0</v>
      </c>
      <c r="K2242" s="225"/>
      <c r="L2242" s="225"/>
      <c r="M2242" s="225">
        <f>H2242+J2242+L2242</f>
        <v>0</v>
      </c>
    </row>
    <row r="2243" spans="1:13" s="89" customFormat="1" hidden="1">
      <c r="A2243" s="83"/>
      <c r="B2243" s="1457"/>
      <c r="C2243" s="223" t="s">
        <v>81</v>
      </c>
      <c r="D2243" s="83" t="s">
        <v>57</v>
      </c>
      <c r="E2243" s="211">
        <v>2.9999999999999997E-4</v>
      </c>
      <c r="F2243" s="386">
        <f>F2241*E2243</f>
        <v>0</v>
      </c>
      <c r="G2243" s="225"/>
      <c r="H2243" s="225"/>
      <c r="I2243" s="225"/>
      <c r="J2243" s="225"/>
      <c r="K2243" s="225">
        <v>3.2</v>
      </c>
      <c r="L2243" s="225">
        <f>F2243*K2243</f>
        <v>0</v>
      </c>
      <c r="M2243" s="225">
        <f>H2243+J2243+L2243</f>
        <v>0</v>
      </c>
    </row>
    <row r="2244" spans="1:13" s="89" customFormat="1" hidden="1">
      <c r="A2244" s="83"/>
      <c r="B2244" s="1457"/>
      <c r="C2244" s="15" t="s">
        <v>210</v>
      </c>
      <c r="D2244" s="211"/>
      <c r="E2244" s="211"/>
      <c r="F2244" s="386"/>
      <c r="G2244" s="225"/>
      <c r="H2244" s="225"/>
      <c r="I2244" s="225"/>
      <c r="J2244" s="225"/>
      <c r="K2244" s="225"/>
      <c r="L2244" s="225"/>
      <c r="M2244" s="225"/>
    </row>
    <row r="2245" spans="1:13" s="89" customFormat="1" hidden="1">
      <c r="A2245" s="83"/>
      <c r="B2245" s="1457"/>
      <c r="C2245" s="223" t="s">
        <v>186</v>
      </c>
      <c r="D2245" s="211" t="s">
        <v>97</v>
      </c>
      <c r="E2245" s="211">
        <v>0.246</v>
      </c>
      <c r="F2245" s="386">
        <f>F2241*E2245</f>
        <v>0</v>
      </c>
      <c r="G2245" s="225">
        <v>4</v>
      </c>
      <c r="H2245" s="225">
        <f>F2245*G2245</f>
        <v>0</v>
      </c>
      <c r="I2245" s="225"/>
      <c r="J2245" s="225"/>
      <c r="K2245" s="225"/>
      <c r="L2245" s="225"/>
      <c r="M2245" s="225">
        <f>H2245+J2245+L2245</f>
        <v>0</v>
      </c>
    </row>
    <row r="2246" spans="1:13" s="89" customFormat="1" hidden="1">
      <c r="A2246" s="83"/>
      <c r="B2246" s="1457"/>
      <c r="C2246" s="223" t="s">
        <v>138</v>
      </c>
      <c r="D2246" s="211" t="s">
        <v>97</v>
      </c>
      <c r="E2246" s="211">
        <v>2.7E-2</v>
      </c>
      <c r="F2246" s="386">
        <f>F2241*E2246</f>
        <v>0</v>
      </c>
      <c r="G2246" s="225">
        <v>3.5</v>
      </c>
      <c r="H2246" s="225">
        <f>F2246*G2246</f>
        <v>0</v>
      </c>
      <c r="I2246" s="225"/>
      <c r="J2246" s="225"/>
      <c r="K2246" s="225"/>
      <c r="L2246" s="225"/>
      <c r="M2246" s="225">
        <f>H2246+J2246+L2246</f>
        <v>0</v>
      </c>
    </row>
    <row r="2247" spans="1:13" s="89" customFormat="1" hidden="1">
      <c r="A2247" s="83"/>
      <c r="B2247" s="1458"/>
      <c r="C2247" s="223" t="s">
        <v>214</v>
      </c>
      <c r="D2247" s="86" t="s">
        <v>57</v>
      </c>
      <c r="E2247" s="211">
        <v>1.9E-3</v>
      </c>
      <c r="F2247" s="386">
        <f>F2241*E2247</f>
        <v>0</v>
      </c>
      <c r="G2247" s="225">
        <v>3.2</v>
      </c>
      <c r="H2247" s="225">
        <f>F2247*G2247</f>
        <v>0</v>
      </c>
      <c r="I2247" s="225"/>
      <c r="J2247" s="225"/>
      <c r="K2247" s="225"/>
      <c r="L2247" s="225"/>
      <c r="M2247" s="225">
        <f>H2247+J2247+L2247</f>
        <v>0</v>
      </c>
    </row>
    <row r="2248" spans="1:13" s="89" customFormat="1" ht="19.5" hidden="1" customHeight="1">
      <c r="A2248" s="140">
        <v>29</v>
      </c>
      <c r="B2248" s="1446" t="s">
        <v>292</v>
      </c>
      <c r="C2248" s="151" t="s">
        <v>506</v>
      </c>
      <c r="D2248" s="140" t="s">
        <v>88</v>
      </c>
      <c r="E2248" s="140"/>
      <c r="F2248" s="384">
        <f>'დეფექტური აქტი'!E544</f>
        <v>0</v>
      </c>
      <c r="G2248" s="422"/>
      <c r="H2248" s="422"/>
      <c r="I2248" s="422"/>
      <c r="J2248" s="422"/>
      <c r="K2248" s="422"/>
      <c r="L2248" s="422"/>
      <c r="M2248" s="422"/>
    </row>
    <row r="2249" spans="1:13" s="92" customFormat="1" hidden="1">
      <c r="A2249" s="83"/>
      <c r="B2249" s="1432"/>
      <c r="C2249" s="223" t="s">
        <v>209</v>
      </c>
      <c r="D2249" s="211" t="s">
        <v>80</v>
      </c>
      <c r="E2249" s="211">
        <v>3.52</v>
      </c>
      <c r="F2249" s="386">
        <f>F2248*E2249</f>
        <v>0</v>
      </c>
      <c r="G2249" s="225"/>
      <c r="H2249" s="225"/>
      <c r="I2249" s="225">
        <v>4.5999999999999996</v>
      </c>
      <c r="J2249" s="225">
        <f>F2249*I2249</f>
        <v>0</v>
      </c>
      <c r="K2249" s="225"/>
      <c r="L2249" s="225"/>
      <c r="M2249" s="225">
        <f>H2249+J2249+L2249</f>
        <v>0</v>
      </c>
    </row>
    <row r="2250" spans="1:13" s="92" customFormat="1" hidden="1">
      <c r="A2250" s="83"/>
      <c r="B2250" s="1432"/>
      <c r="C2250" s="223" t="s">
        <v>81</v>
      </c>
      <c r="D2250" s="83" t="s">
        <v>57</v>
      </c>
      <c r="E2250" s="211">
        <v>1.06</v>
      </c>
      <c r="F2250" s="386">
        <f>F2248*E2250</f>
        <v>0</v>
      </c>
      <c r="G2250" s="225"/>
      <c r="H2250" s="225"/>
      <c r="I2250" s="225"/>
      <c r="J2250" s="225"/>
      <c r="K2250" s="225">
        <v>3.2</v>
      </c>
      <c r="L2250" s="225">
        <f>F2250*K2250</f>
        <v>0</v>
      </c>
      <c r="M2250" s="225">
        <f>H2250+J2250+L2250</f>
        <v>0</v>
      </c>
    </row>
    <row r="2251" spans="1:13" s="92" customFormat="1" hidden="1">
      <c r="A2251" s="83"/>
      <c r="B2251" s="1432"/>
      <c r="C2251" s="15" t="s">
        <v>210</v>
      </c>
      <c r="D2251" s="211"/>
      <c r="E2251" s="211"/>
      <c r="F2251" s="386"/>
      <c r="G2251" s="225"/>
      <c r="H2251" s="225"/>
      <c r="I2251" s="225"/>
      <c r="J2251" s="225"/>
      <c r="K2251" s="225"/>
      <c r="L2251" s="225"/>
      <c r="M2251" s="225"/>
    </row>
    <row r="2252" spans="1:13" s="92" customFormat="1" hidden="1">
      <c r="A2252" s="83"/>
      <c r="B2252" s="1432"/>
      <c r="C2252" s="223" t="s">
        <v>546</v>
      </c>
      <c r="D2252" s="211" t="s">
        <v>88</v>
      </c>
      <c r="E2252" s="211">
        <v>1.24</v>
      </c>
      <c r="F2252" s="386">
        <f>F2248*E2252</f>
        <v>0</v>
      </c>
      <c r="G2252" s="225">
        <v>16.100000000000001</v>
      </c>
      <c r="H2252" s="225">
        <f>F2252*G2252</f>
        <v>0</v>
      </c>
      <c r="I2252" s="225"/>
      <c r="J2252" s="225"/>
      <c r="K2252" s="225"/>
      <c r="L2252" s="225"/>
      <c r="M2252" s="225">
        <f>H2252+J2252+L2252</f>
        <v>0</v>
      </c>
    </row>
    <row r="2253" spans="1:13" s="92" customFormat="1" hidden="1">
      <c r="A2253" s="83"/>
      <c r="B2253" s="1437"/>
      <c r="C2253" s="223" t="s">
        <v>214</v>
      </c>
      <c r="D2253" s="86" t="s">
        <v>57</v>
      </c>
      <c r="E2253" s="211">
        <v>0.02</v>
      </c>
      <c r="F2253" s="386">
        <f>F2248*E2253</f>
        <v>0</v>
      </c>
      <c r="G2253" s="225">
        <v>3.2</v>
      </c>
      <c r="H2253" s="225">
        <f>F2253*G2253</f>
        <v>0</v>
      </c>
      <c r="I2253" s="225"/>
      <c r="J2253" s="225"/>
      <c r="K2253" s="225"/>
      <c r="L2253" s="225"/>
      <c r="M2253" s="225">
        <f>H2253+J2253+L2253</f>
        <v>0</v>
      </c>
    </row>
    <row r="2254" spans="1:13" s="92" customFormat="1" ht="18" hidden="1" customHeight="1">
      <c r="A2254" s="140">
        <v>30</v>
      </c>
      <c r="B2254" s="1446" t="s">
        <v>295</v>
      </c>
      <c r="C2254" s="151" t="s">
        <v>1028</v>
      </c>
      <c r="D2254" s="140" t="s">
        <v>88</v>
      </c>
      <c r="E2254" s="140"/>
      <c r="F2254" s="384">
        <f>'დეფექტური აქტი'!E545</f>
        <v>0</v>
      </c>
      <c r="G2254" s="422"/>
      <c r="H2254" s="422"/>
      <c r="I2254" s="422"/>
      <c r="J2254" s="422"/>
      <c r="K2254" s="422"/>
      <c r="L2254" s="422"/>
      <c r="M2254" s="422"/>
    </row>
    <row r="2255" spans="1:13" s="92" customFormat="1" hidden="1">
      <c r="A2255" s="83"/>
      <c r="B2255" s="1432"/>
      <c r="C2255" s="223" t="s">
        <v>209</v>
      </c>
      <c r="D2255" s="211" t="s">
        <v>80</v>
      </c>
      <c r="E2255" s="211">
        <v>2.9</v>
      </c>
      <c r="F2255" s="386">
        <f>F2254*E2255</f>
        <v>0</v>
      </c>
      <c r="G2255" s="225"/>
      <c r="H2255" s="225"/>
      <c r="I2255" s="225">
        <v>4.5999999999999996</v>
      </c>
      <c r="J2255" s="225">
        <f>F2255*I2255</f>
        <v>0</v>
      </c>
      <c r="K2255" s="225"/>
      <c r="L2255" s="225"/>
      <c r="M2255" s="225">
        <f>H2255+J2255+L2255</f>
        <v>0</v>
      </c>
    </row>
    <row r="2256" spans="1:13" s="92" customFormat="1" hidden="1">
      <c r="A2256" s="83"/>
      <c r="B2256" s="1432"/>
      <c r="C2256" s="15" t="s">
        <v>210</v>
      </c>
      <c r="D2256" s="211"/>
      <c r="E2256" s="211"/>
      <c r="F2256" s="386"/>
      <c r="G2256" s="225"/>
      <c r="H2256" s="225"/>
      <c r="I2256" s="225"/>
      <c r="J2256" s="225"/>
      <c r="K2256" s="225"/>
      <c r="L2256" s="225"/>
      <c r="M2256" s="225"/>
    </row>
    <row r="2257" spans="1:13" s="89" customFormat="1" hidden="1">
      <c r="A2257" s="83"/>
      <c r="B2257" s="1432"/>
      <c r="C2257" s="223" t="s">
        <v>1310</v>
      </c>
      <c r="D2257" s="211" t="s">
        <v>88</v>
      </c>
      <c r="E2257" s="211">
        <v>1.02</v>
      </c>
      <c r="F2257" s="386">
        <f>F2254*E2257</f>
        <v>0</v>
      </c>
      <c r="G2257" s="225">
        <v>107</v>
      </c>
      <c r="H2257" s="225">
        <f>F2257*G2257</f>
        <v>0</v>
      </c>
      <c r="I2257" s="225"/>
      <c r="J2257" s="225"/>
      <c r="K2257" s="225"/>
      <c r="L2257" s="225"/>
      <c r="M2257" s="225">
        <f>H2257+J2257+L2257</f>
        <v>0</v>
      </c>
    </row>
    <row r="2258" spans="1:13" s="89" customFormat="1" hidden="1">
      <c r="A2258" s="83"/>
      <c r="B2258" s="1437"/>
      <c r="C2258" s="223" t="s">
        <v>214</v>
      </c>
      <c r="D2258" s="86" t="s">
        <v>57</v>
      </c>
      <c r="E2258" s="211">
        <v>0.88</v>
      </c>
      <c r="F2258" s="386">
        <f>F2254*E2258</f>
        <v>0</v>
      </c>
      <c r="G2258" s="225">
        <v>3.2</v>
      </c>
      <c r="H2258" s="225">
        <f>F2258*G2258</f>
        <v>0</v>
      </c>
      <c r="I2258" s="225"/>
      <c r="J2258" s="225"/>
      <c r="K2258" s="225"/>
      <c r="L2258" s="225"/>
      <c r="M2258" s="225">
        <f>H2258+J2258+L2258</f>
        <v>0</v>
      </c>
    </row>
    <row r="2259" spans="1:13" s="89" customFormat="1" hidden="1">
      <c r="A2259" s="140">
        <v>31</v>
      </c>
      <c r="B2259" s="1446" t="s">
        <v>583</v>
      </c>
      <c r="C2259" s="151" t="s">
        <v>584</v>
      </c>
      <c r="D2259" s="140" t="s">
        <v>206</v>
      </c>
      <c r="E2259" s="140"/>
      <c r="F2259" s="384">
        <f>'დეფექტური აქტი'!E546</f>
        <v>0</v>
      </c>
      <c r="G2259" s="422"/>
      <c r="H2259" s="422"/>
      <c r="I2259" s="422"/>
      <c r="J2259" s="422"/>
      <c r="K2259" s="422"/>
      <c r="L2259" s="422"/>
      <c r="M2259" s="422"/>
    </row>
    <row r="2260" spans="1:13" s="89" customFormat="1" hidden="1">
      <c r="A2260" s="83"/>
      <c r="B2260" s="1432"/>
      <c r="C2260" s="223" t="s">
        <v>209</v>
      </c>
      <c r="D2260" s="211" t="s">
        <v>80</v>
      </c>
      <c r="E2260" s="211">
        <v>12.3</v>
      </c>
      <c r="F2260" s="386">
        <f>F2259*E2260</f>
        <v>0</v>
      </c>
      <c r="G2260" s="225"/>
      <c r="H2260" s="225"/>
      <c r="I2260" s="225">
        <v>4.5999999999999996</v>
      </c>
      <c r="J2260" s="225">
        <f>F2260*I2260</f>
        <v>0</v>
      </c>
      <c r="K2260" s="225"/>
      <c r="L2260" s="225"/>
      <c r="M2260" s="225">
        <f>H2260+J2260+L2260</f>
        <v>0</v>
      </c>
    </row>
    <row r="2261" spans="1:13" s="89" customFormat="1" hidden="1">
      <c r="A2261" s="83"/>
      <c r="B2261" s="1432"/>
      <c r="C2261" s="223" t="s">
        <v>81</v>
      </c>
      <c r="D2261" s="83" t="s">
        <v>57</v>
      </c>
      <c r="E2261" s="211">
        <v>1.4</v>
      </c>
      <c r="F2261" s="386">
        <f>F2259*E2261</f>
        <v>0</v>
      </c>
      <c r="G2261" s="225"/>
      <c r="H2261" s="225"/>
      <c r="I2261" s="225"/>
      <c r="J2261" s="225"/>
      <c r="K2261" s="225">
        <v>3.2</v>
      </c>
      <c r="L2261" s="225">
        <f>F2261*K2261</f>
        <v>0</v>
      </c>
      <c r="M2261" s="225">
        <f>H2261+J2261+L2261</f>
        <v>0</v>
      </c>
    </row>
    <row r="2262" spans="1:13" s="89" customFormat="1" hidden="1">
      <c r="A2262" s="83"/>
      <c r="B2262" s="1432"/>
      <c r="C2262" s="15" t="s">
        <v>210</v>
      </c>
      <c r="D2262" s="211"/>
      <c r="E2262" s="211"/>
      <c r="F2262" s="386"/>
      <c r="G2262" s="225"/>
      <c r="H2262" s="225"/>
      <c r="I2262" s="225"/>
      <c r="J2262" s="225"/>
      <c r="K2262" s="225"/>
      <c r="L2262" s="225"/>
      <c r="M2262" s="225"/>
    </row>
    <row r="2263" spans="1:13" s="89" customFormat="1" hidden="1">
      <c r="A2263" s="83"/>
      <c r="B2263" s="1432"/>
      <c r="C2263" s="223" t="s">
        <v>501</v>
      </c>
      <c r="D2263" s="211" t="s">
        <v>206</v>
      </c>
      <c r="E2263" s="211">
        <v>1</v>
      </c>
      <c r="F2263" s="386">
        <f>F2259*E2263</f>
        <v>0</v>
      </c>
      <c r="G2263" s="225">
        <v>953</v>
      </c>
      <c r="H2263" s="225">
        <f>F2263*G2263</f>
        <v>0</v>
      </c>
      <c r="I2263" s="225"/>
      <c r="J2263" s="225"/>
      <c r="K2263" s="225"/>
      <c r="L2263" s="225"/>
      <c r="M2263" s="225">
        <f>H2263+J2263+L2263</f>
        <v>0</v>
      </c>
    </row>
    <row r="2264" spans="1:13" s="85" customFormat="1" hidden="1">
      <c r="A2264" s="83"/>
      <c r="B2264" s="1437"/>
      <c r="C2264" s="223" t="s">
        <v>214</v>
      </c>
      <c r="D2264" s="86" t="s">
        <v>57</v>
      </c>
      <c r="E2264" s="211">
        <v>7.15</v>
      </c>
      <c r="F2264" s="386">
        <f>F2259*E2264</f>
        <v>0</v>
      </c>
      <c r="G2264" s="225">
        <v>3.2</v>
      </c>
      <c r="H2264" s="225">
        <f>F2264*G2264</f>
        <v>0</v>
      </c>
      <c r="I2264" s="225"/>
      <c r="J2264" s="225"/>
      <c r="K2264" s="225"/>
      <c r="L2264" s="225"/>
      <c r="M2264" s="225">
        <f>H2264+J2264+L2264</f>
        <v>0</v>
      </c>
    </row>
    <row r="2265" spans="1:13" s="85" customFormat="1" hidden="1">
      <c r="A2265" s="140">
        <v>32</v>
      </c>
      <c r="B2265" s="1446" t="s">
        <v>547</v>
      </c>
      <c r="C2265" s="151" t="s">
        <v>155</v>
      </c>
      <c r="D2265" s="140" t="s">
        <v>78</v>
      </c>
      <c r="E2265" s="140"/>
      <c r="F2265" s="384">
        <f>'დეფექტური აქტი'!E547</f>
        <v>0</v>
      </c>
      <c r="G2265" s="422"/>
      <c r="H2265" s="422"/>
      <c r="I2265" s="422"/>
      <c r="J2265" s="422"/>
      <c r="K2265" s="422"/>
      <c r="L2265" s="422"/>
      <c r="M2265" s="422"/>
    </row>
    <row r="2266" spans="1:13" s="89" customFormat="1" hidden="1">
      <c r="A2266" s="83"/>
      <c r="B2266" s="1432"/>
      <c r="C2266" s="226" t="s">
        <v>156</v>
      </c>
      <c r="D2266" s="190" t="s">
        <v>80</v>
      </c>
      <c r="E2266" s="211">
        <v>0.2016</v>
      </c>
      <c r="F2266" s="386">
        <f>F2265*E2266</f>
        <v>0</v>
      </c>
      <c r="G2266" s="225"/>
      <c r="H2266" s="225"/>
      <c r="I2266" s="225">
        <v>6</v>
      </c>
      <c r="J2266" s="225">
        <f>F2266*I2266</f>
        <v>0</v>
      </c>
      <c r="K2266" s="225"/>
      <c r="L2266" s="225"/>
      <c r="M2266" s="225">
        <f>H2266+J2266+L2266</f>
        <v>0</v>
      </c>
    </row>
    <row r="2267" spans="1:13" s="89" customFormat="1" hidden="1">
      <c r="A2267" s="83"/>
      <c r="B2267" s="1432"/>
      <c r="C2267" s="226" t="s">
        <v>548</v>
      </c>
      <c r="D2267" s="83" t="s">
        <v>57</v>
      </c>
      <c r="E2267" s="211">
        <v>1.8700000000000001E-2</v>
      </c>
      <c r="F2267" s="386">
        <f>F2265*E2267</f>
        <v>0</v>
      </c>
      <c r="G2267" s="225"/>
      <c r="H2267" s="225"/>
      <c r="I2267" s="225"/>
      <c r="J2267" s="225"/>
      <c r="K2267" s="225">
        <v>3.2</v>
      </c>
      <c r="L2267" s="225">
        <f>F2267*K2267</f>
        <v>0</v>
      </c>
      <c r="M2267" s="225">
        <f>H2267+J2267+L2267</f>
        <v>0</v>
      </c>
    </row>
    <row r="2268" spans="1:13" s="89" customFormat="1" hidden="1">
      <c r="A2268" s="83"/>
      <c r="B2268" s="1432"/>
      <c r="C2268" s="15" t="s">
        <v>210</v>
      </c>
      <c r="D2268" s="211"/>
      <c r="E2268" s="211"/>
      <c r="F2268" s="386"/>
      <c r="G2268" s="225"/>
      <c r="H2268" s="225"/>
      <c r="I2268" s="225"/>
      <c r="J2268" s="225"/>
      <c r="K2268" s="225"/>
      <c r="L2268" s="225"/>
      <c r="M2268" s="225"/>
    </row>
    <row r="2269" spans="1:13" s="89" customFormat="1" hidden="1">
      <c r="A2269" s="83"/>
      <c r="B2269" s="1432"/>
      <c r="C2269" s="223" t="s">
        <v>549</v>
      </c>
      <c r="D2269" s="211" t="s">
        <v>88</v>
      </c>
      <c r="E2269" s="211">
        <v>4.0800000000000003E-2</v>
      </c>
      <c r="F2269" s="386">
        <f>F2265*E2269</f>
        <v>0</v>
      </c>
      <c r="G2269" s="225">
        <v>87</v>
      </c>
      <c r="H2269" s="225">
        <f>F2269*G2269</f>
        <v>0</v>
      </c>
      <c r="I2269" s="225"/>
      <c r="J2269" s="225"/>
      <c r="K2269" s="225"/>
      <c r="L2269" s="225"/>
      <c r="M2269" s="225">
        <f>H2269+J2269+L2269</f>
        <v>0</v>
      </c>
    </row>
    <row r="2270" spans="1:13" s="89" customFormat="1" hidden="1">
      <c r="A2270" s="83"/>
      <c r="B2270" s="1437"/>
      <c r="C2270" s="223" t="s">
        <v>144</v>
      </c>
      <c r="D2270" s="86" t="s">
        <v>57</v>
      </c>
      <c r="E2270" s="211">
        <v>6.3600000000000004E-2</v>
      </c>
      <c r="F2270" s="386">
        <f>F2265*E2270</f>
        <v>0</v>
      </c>
      <c r="G2270" s="225">
        <v>3.2</v>
      </c>
      <c r="H2270" s="225">
        <f>F2270*G2270</f>
        <v>0</v>
      </c>
      <c r="I2270" s="225"/>
      <c r="J2270" s="225"/>
      <c r="K2270" s="225"/>
      <c r="L2270" s="225"/>
      <c r="M2270" s="225">
        <f>H2270+J2270+L2270</f>
        <v>0</v>
      </c>
    </row>
    <row r="2271" spans="1:13" s="89" customFormat="1" ht="24" hidden="1" customHeight="1">
      <c r="A2271" s="140">
        <v>33</v>
      </c>
      <c r="B2271" s="220" t="s">
        <v>250</v>
      </c>
      <c r="C2271" s="151" t="s">
        <v>215</v>
      </c>
      <c r="D2271" s="140" t="s">
        <v>78</v>
      </c>
      <c r="E2271" s="140"/>
      <c r="F2271" s="384">
        <f>'დეფექტური აქტი'!E548</f>
        <v>0</v>
      </c>
      <c r="G2271" s="422"/>
      <c r="H2271" s="422"/>
      <c r="I2271" s="422"/>
      <c r="J2271" s="422"/>
      <c r="K2271" s="422"/>
      <c r="L2271" s="422"/>
      <c r="M2271" s="422"/>
    </row>
    <row r="2272" spans="1:13" s="89" customFormat="1" hidden="1">
      <c r="A2272" s="83"/>
      <c r="B2272" s="1457"/>
      <c r="C2272" s="223" t="s">
        <v>209</v>
      </c>
      <c r="D2272" s="211" t="s">
        <v>80</v>
      </c>
      <c r="E2272" s="211">
        <v>0.74</v>
      </c>
      <c r="F2272" s="386">
        <f>F2271*E2272</f>
        <v>0</v>
      </c>
      <c r="G2272" s="225"/>
      <c r="H2272" s="225"/>
      <c r="I2272" s="225">
        <v>6</v>
      </c>
      <c r="J2272" s="225">
        <f>F2272*I2272</f>
        <v>0</v>
      </c>
      <c r="K2272" s="225"/>
      <c r="L2272" s="225"/>
      <c r="M2272" s="225">
        <f>H2272+J2272+L2272</f>
        <v>0</v>
      </c>
    </row>
    <row r="2273" spans="1:13" s="89" customFormat="1" ht="17.25" hidden="1" customHeight="1">
      <c r="A2273" s="83"/>
      <c r="B2273" s="1457"/>
      <c r="C2273" s="223" t="s">
        <v>216</v>
      </c>
      <c r="D2273" s="211" t="s">
        <v>217</v>
      </c>
      <c r="E2273" s="211">
        <v>4.7199999999999999E-2</v>
      </c>
      <c r="F2273" s="386">
        <f>F2271*E2273</f>
        <v>0</v>
      </c>
      <c r="G2273" s="225"/>
      <c r="H2273" s="225"/>
      <c r="I2273" s="225"/>
      <c r="J2273" s="225"/>
      <c r="K2273" s="225">
        <v>7.16</v>
      </c>
      <c r="L2273" s="225">
        <f>F2273*K2273</f>
        <v>0</v>
      </c>
      <c r="M2273" s="225">
        <f>H2273+J2273+L2273</f>
        <v>0</v>
      </c>
    </row>
    <row r="2274" spans="1:13" s="89" customFormat="1" hidden="1">
      <c r="A2274" s="83"/>
      <c r="B2274" s="1457"/>
      <c r="C2274" s="223" t="s">
        <v>81</v>
      </c>
      <c r="D2274" s="83" t="s">
        <v>57</v>
      </c>
      <c r="E2274" s="211">
        <v>2.1000000000000001E-2</v>
      </c>
      <c r="F2274" s="386">
        <f>F2271*E2274</f>
        <v>0</v>
      </c>
      <c r="G2274" s="225"/>
      <c r="H2274" s="225"/>
      <c r="I2274" s="225"/>
      <c r="J2274" s="225"/>
      <c r="K2274" s="225">
        <v>3.2</v>
      </c>
      <c r="L2274" s="225">
        <f>F2274*K2274</f>
        <v>0</v>
      </c>
      <c r="M2274" s="225">
        <f>H2274+J2274+L2274</f>
        <v>0</v>
      </c>
    </row>
    <row r="2275" spans="1:13" s="89" customFormat="1" hidden="1">
      <c r="A2275" s="83"/>
      <c r="B2275" s="1457"/>
      <c r="C2275" s="15" t="s">
        <v>210</v>
      </c>
      <c r="D2275" s="211"/>
      <c r="E2275" s="211"/>
      <c r="F2275" s="386"/>
      <c r="G2275" s="225"/>
      <c r="H2275" s="225"/>
      <c r="I2275" s="225"/>
      <c r="J2275" s="225"/>
      <c r="K2275" s="225"/>
      <c r="L2275" s="225"/>
      <c r="M2275" s="225"/>
    </row>
    <row r="2276" spans="1:13" s="89" customFormat="1" hidden="1">
      <c r="A2276" s="83"/>
      <c r="B2276" s="1457"/>
      <c r="C2276" s="226" t="s">
        <v>218</v>
      </c>
      <c r="D2276" s="211" t="s">
        <v>88</v>
      </c>
      <c r="E2276" s="211">
        <v>2.5000000000000001E-2</v>
      </c>
      <c r="F2276" s="386">
        <f>F2271*E2276</f>
        <v>0</v>
      </c>
      <c r="G2276" s="225">
        <v>87</v>
      </c>
      <c r="H2276" s="225">
        <f>F2276*G2276</f>
        <v>0</v>
      </c>
      <c r="I2276" s="225"/>
      <c r="J2276" s="225"/>
      <c r="K2276" s="225"/>
      <c r="L2276" s="225"/>
      <c r="M2276" s="225">
        <f>H2276+J2276+L2276</f>
        <v>0</v>
      </c>
    </row>
    <row r="2277" spans="1:13" s="89" customFormat="1" hidden="1">
      <c r="A2277" s="83"/>
      <c r="B2277" s="1457"/>
      <c r="C2277" s="226" t="s">
        <v>219</v>
      </c>
      <c r="D2277" s="211" t="s">
        <v>78</v>
      </c>
      <c r="E2277" s="211">
        <v>5.28E-2</v>
      </c>
      <c r="F2277" s="386">
        <f>F2271*E2277</f>
        <v>0</v>
      </c>
      <c r="G2277" s="225">
        <v>4.5999999999999996</v>
      </c>
      <c r="H2277" s="225">
        <f>F2277*G2277</f>
        <v>0</v>
      </c>
      <c r="I2277" s="225"/>
      <c r="J2277" s="225"/>
      <c r="K2277" s="225"/>
      <c r="L2277" s="225"/>
      <c r="M2277" s="225">
        <f>H2277+J2277+L2277</f>
        <v>0</v>
      </c>
    </row>
    <row r="2278" spans="1:13" s="89" customFormat="1" hidden="1">
      <c r="A2278" s="83"/>
      <c r="B2278" s="1458"/>
      <c r="C2278" s="226" t="s">
        <v>214</v>
      </c>
      <c r="D2278" s="86" t="s">
        <v>57</v>
      </c>
      <c r="E2278" s="211">
        <v>3.0000000000000001E-3</v>
      </c>
      <c r="F2278" s="386">
        <f>F2271*E2278</f>
        <v>0</v>
      </c>
      <c r="G2278" s="225">
        <v>3.2</v>
      </c>
      <c r="H2278" s="225">
        <f>F2278*G2278</f>
        <v>0</v>
      </c>
      <c r="I2278" s="225"/>
      <c r="J2278" s="225"/>
      <c r="K2278" s="225"/>
      <c r="L2278" s="225"/>
      <c r="M2278" s="225">
        <f>H2278+J2278+L2278</f>
        <v>0</v>
      </c>
    </row>
    <row r="2279" spans="1:13" s="88" customFormat="1" ht="27" hidden="1">
      <c r="A2279" s="140">
        <v>34</v>
      </c>
      <c r="B2279" s="220" t="s">
        <v>284</v>
      </c>
      <c r="C2279" s="151" t="s">
        <v>285</v>
      </c>
      <c r="D2279" s="140" t="s">
        <v>78</v>
      </c>
      <c r="E2279" s="140"/>
      <c r="F2279" s="384">
        <f>'დეფექტური აქტი'!E549</f>
        <v>0</v>
      </c>
      <c r="G2279" s="422"/>
      <c r="H2279" s="422"/>
      <c r="I2279" s="422"/>
      <c r="J2279" s="422"/>
      <c r="K2279" s="422"/>
      <c r="L2279" s="422"/>
      <c r="M2279" s="422"/>
    </row>
    <row r="2280" spans="1:13" s="89" customFormat="1" hidden="1">
      <c r="A2280" s="83"/>
      <c r="B2280" s="1457"/>
      <c r="C2280" s="223" t="s">
        <v>209</v>
      </c>
      <c r="D2280" s="211" t="s">
        <v>80</v>
      </c>
      <c r="E2280" s="211">
        <v>0.57399999999999995</v>
      </c>
      <c r="F2280" s="386">
        <f>F2279*E2280</f>
        <v>0</v>
      </c>
      <c r="G2280" s="225"/>
      <c r="H2280" s="225"/>
      <c r="I2280" s="225">
        <v>6</v>
      </c>
      <c r="J2280" s="225">
        <f>F2280*I2280</f>
        <v>0</v>
      </c>
      <c r="K2280" s="225"/>
      <c r="L2280" s="225"/>
      <c r="M2280" s="225">
        <f>H2280+J2280+L2280</f>
        <v>0</v>
      </c>
    </row>
    <row r="2281" spans="1:13" s="88" customFormat="1" ht="15.75" hidden="1" customHeight="1">
      <c r="A2281" s="91"/>
      <c r="B2281" s="1457"/>
      <c r="C2281" s="223" t="s">
        <v>550</v>
      </c>
      <c r="D2281" s="211" t="s">
        <v>217</v>
      </c>
      <c r="E2281" s="211">
        <v>2.4E-2</v>
      </c>
      <c r="F2281" s="386">
        <f>F2279*E2281</f>
        <v>0</v>
      </c>
      <c r="G2281" s="225"/>
      <c r="H2281" s="225"/>
      <c r="I2281" s="225"/>
      <c r="J2281" s="225"/>
      <c r="K2281" s="225">
        <v>7.72</v>
      </c>
      <c r="L2281" s="225">
        <f>F2281*K2281</f>
        <v>0</v>
      </c>
      <c r="M2281" s="225">
        <f>H2281+J2281+L2281</f>
        <v>0</v>
      </c>
    </row>
    <row r="2282" spans="1:13" s="88" customFormat="1" hidden="1">
      <c r="A2282" s="91"/>
      <c r="B2282" s="1457"/>
      <c r="C2282" s="223" t="s">
        <v>81</v>
      </c>
      <c r="D2282" s="83" t="s">
        <v>57</v>
      </c>
      <c r="E2282" s="211">
        <v>2.1000000000000001E-2</v>
      </c>
      <c r="F2282" s="386">
        <f>F2279*E2282</f>
        <v>0</v>
      </c>
      <c r="G2282" s="225"/>
      <c r="H2282" s="225"/>
      <c r="I2282" s="225"/>
      <c r="J2282" s="225"/>
      <c r="K2282" s="225">
        <v>3.2</v>
      </c>
      <c r="L2282" s="225">
        <f>F2282*K2282</f>
        <v>0</v>
      </c>
      <c r="M2282" s="225">
        <f>H2282+J2282+L2282</f>
        <v>0</v>
      </c>
    </row>
    <row r="2283" spans="1:13" s="88" customFormat="1" hidden="1">
      <c r="A2283" s="91"/>
      <c r="B2283" s="1457"/>
      <c r="C2283" s="15" t="s">
        <v>210</v>
      </c>
      <c r="D2283" s="211"/>
      <c r="E2283" s="211"/>
      <c r="F2283" s="386"/>
      <c r="G2283" s="225"/>
      <c r="H2283" s="225"/>
      <c r="I2283" s="225"/>
      <c r="J2283" s="225"/>
      <c r="K2283" s="225"/>
      <c r="L2283" s="225"/>
      <c r="M2283" s="225"/>
    </row>
    <row r="2284" spans="1:13" s="88" customFormat="1" hidden="1">
      <c r="A2284" s="91"/>
      <c r="B2284" s="1458"/>
      <c r="C2284" s="223" t="s">
        <v>218</v>
      </c>
      <c r="D2284" s="230" t="s">
        <v>88</v>
      </c>
      <c r="E2284" s="211">
        <v>1.89E-2</v>
      </c>
      <c r="F2284" s="386">
        <f>F2279*E2284</f>
        <v>0</v>
      </c>
      <c r="G2284" s="225">
        <v>87</v>
      </c>
      <c r="H2284" s="225">
        <f>F2284*G2284</f>
        <v>0</v>
      </c>
      <c r="I2284" s="225"/>
      <c r="J2284" s="225"/>
      <c r="K2284" s="225"/>
      <c r="L2284" s="225"/>
      <c r="M2284" s="225">
        <f>H2284+J2284+L2284</f>
        <v>0</v>
      </c>
    </row>
    <row r="2285" spans="1:13" s="88" customFormat="1" ht="27" hidden="1">
      <c r="A2285" s="140">
        <v>35</v>
      </c>
      <c r="B2285" s="1446" t="s">
        <v>286</v>
      </c>
      <c r="C2285" s="278" t="s">
        <v>221</v>
      </c>
      <c r="D2285" s="47" t="s">
        <v>122</v>
      </c>
      <c r="E2285" s="140"/>
      <c r="F2285" s="384">
        <f>'დეფექტური აქტი'!E550</f>
        <v>0</v>
      </c>
      <c r="G2285" s="422"/>
      <c r="H2285" s="422"/>
      <c r="I2285" s="422"/>
      <c r="J2285" s="422"/>
      <c r="K2285" s="422"/>
      <c r="L2285" s="422"/>
      <c r="M2285" s="422"/>
    </row>
    <row r="2286" spans="1:13" s="88" customFormat="1" hidden="1">
      <c r="A2286" s="83"/>
      <c r="B2286" s="1432"/>
      <c r="C2286" s="226" t="s">
        <v>209</v>
      </c>
      <c r="D2286" s="211" t="s">
        <v>80</v>
      </c>
      <c r="E2286" s="211">
        <v>0.3</v>
      </c>
      <c r="F2286" s="386">
        <f>F2285*E2286</f>
        <v>0</v>
      </c>
      <c r="G2286" s="225"/>
      <c r="H2286" s="225"/>
      <c r="I2286" s="225">
        <v>6</v>
      </c>
      <c r="J2286" s="225">
        <f>F2286*I2286</f>
        <v>0</v>
      </c>
      <c r="K2286" s="225"/>
      <c r="L2286" s="225"/>
      <c r="M2286" s="225">
        <f>H2286+J2286+L2286</f>
        <v>0</v>
      </c>
    </row>
    <row r="2287" spans="1:13" s="88" customFormat="1" hidden="1">
      <c r="A2287" s="83"/>
      <c r="B2287" s="1432"/>
      <c r="C2287" s="226" t="s">
        <v>81</v>
      </c>
      <c r="D2287" s="83" t="s">
        <v>57</v>
      </c>
      <c r="E2287" s="211">
        <v>1.0999999999999999E-2</v>
      </c>
      <c r="F2287" s="386">
        <f>F2285*E2287</f>
        <v>0</v>
      </c>
      <c r="G2287" s="225"/>
      <c r="H2287" s="225"/>
      <c r="I2287" s="225"/>
      <c r="J2287" s="225"/>
      <c r="K2287" s="225">
        <v>3.2</v>
      </c>
      <c r="L2287" s="225">
        <f>F2287*K2287</f>
        <v>0</v>
      </c>
      <c r="M2287" s="225">
        <f>H2287+J2287+L2287</f>
        <v>0</v>
      </c>
    </row>
    <row r="2288" spans="1:13" s="88" customFormat="1" hidden="1">
      <c r="A2288" s="83"/>
      <c r="B2288" s="1432"/>
      <c r="C2288" s="15" t="s">
        <v>210</v>
      </c>
      <c r="D2288" s="211"/>
      <c r="E2288" s="211"/>
      <c r="F2288" s="386"/>
      <c r="G2288" s="225"/>
      <c r="H2288" s="225"/>
      <c r="I2288" s="225"/>
      <c r="J2288" s="225"/>
      <c r="K2288" s="225"/>
      <c r="L2288" s="225"/>
      <c r="M2288" s="225"/>
    </row>
    <row r="2289" spans="1:14" s="88" customFormat="1" hidden="1">
      <c r="A2289" s="83"/>
      <c r="B2289" s="1437"/>
      <c r="C2289" s="226" t="s">
        <v>218</v>
      </c>
      <c r="D2289" s="230" t="s">
        <v>88</v>
      </c>
      <c r="E2289" s="211">
        <v>6.7000000000000002E-3</v>
      </c>
      <c r="F2289" s="386">
        <f>F2285*E2289</f>
        <v>0</v>
      </c>
      <c r="G2289" s="225">
        <v>87</v>
      </c>
      <c r="H2289" s="225">
        <f>F2289*G2289</f>
        <v>0</v>
      </c>
      <c r="I2289" s="225"/>
      <c r="J2289" s="225"/>
      <c r="K2289" s="225"/>
      <c r="L2289" s="225"/>
      <c r="M2289" s="225">
        <f>H2289+J2289+L2289</f>
        <v>0</v>
      </c>
    </row>
    <row r="2290" spans="1:14" s="88" customFormat="1" hidden="1">
      <c r="A2290" s="140">
        <v>36</v>
      </c>
      <c r="B2290" s="220" t="s">
        <v>551</v>
      </c>
      <c r="C2290" s="151" t="s">
        <v>507</v>
      </c>
      <c r="D2290" s="140" t="s">
        <v>78</v>
      </c>
      <c r="E2290" s="140"/>
      <c r="F2290" s="384">
        <f>'დეფექტური აქტი'!E551</f>
        <v>0</v>
      </c>
      <c r="G2290" s="422"/>
      <c r="H2290" s="422"/>
      <c r="I2290" s="422"/>
      <c r="J2290" s="422"/>
      <c r="K2290" s="422"/>
      <c r="L2290" s="422"/>
      <c r="M2290" s="422"/>
    </row>
    <row r="2291" spans="1:14" s="89" customFormat="1" hidden="1">
      <c r="A2291" s="83"/>
      <c r="B2291" s="1457"/>
      <c r="C2291" s="223" t="s">
        <v>209</v>
      </c>
      <c r="D2291" s="211" t="s">
        <v>80</v>
      </c>
      <c r="E2291" s="211">
        <v>0.3</v>
      </c>
      <c r="F2291" s="386">
        <f>F2290*E2291</f>
        <v>0</v>
      </c>
      <c r="G2291" s="225"/>
      <c r="H2291" s="225"/>
      <c r="I2291" s="225">
        <v>6</v>
      </c>
      <c r="J2291" s="225">
        <f>F2291*I2291</f>
        <v>0</v>
      </c>
      <c r="K2291" s="225"/>
      <c r="L2291" s="225"/>
      <c r="M2291" s="225">
        <f>H2291+J2291+L2291</f>
        <v>0</v>
      </c>
    </row>
    <row r="2292" spans="1:14" s="88" customFormat="1" hidden="1">
      <c r="A2292" s="83"/>
      <c r="B2292" s="1457"/>
      <c r="C2292" s="226" t="s">
        <v>81</v>
      </c>
      <c r="D2292" s="83" t="s">
        <v>57</v>
      </c>
      <c r="E2292" s="211">
        <v>1.6000000000000001E-3</v>
      </c>
      <c r="F2292" s="386">
        <f>F2290*E2292</f>
        <v>0</v>
      </c>
      <c r="G2292" s="225"/>
      <c r="H2292" s="225"/>
      <c r="I2292" s="225"/>
      <c r="J2292" s="225"/>
      <c r="K2292" s="225">
        <v>3.2</v>
      </c>
      <c r="L2292" s="225">
        <f>F2292*K2292</f>
        <v>0</v>
      </c>
      <c r="M2292" s="225">
        <f>H2292+J2292+L2292</f>
        <v>0</v>
      </c>
    </row>
    <row r="2293" spans="1:14" s="88" customFormat="1" hidden="1">
      <c r="A2293" s="83"/>
      <c r="B2293" s="1457"/>
      <c r="C2293" s="15" t="s">
        <v>210</v>
      </c>
      <c r="D2293" s="211"/>
      <c r="E2293" s="211"/>
      <c r="F2293" s="386"/>
      <c r="G2293" s="225"/>
      <c r="H2293" s="225"/>
      <c r="I2293" s="225"/>
      <c r="J2293" s="225"/>
      <c r="K2293" s="225"/>
      <c r="L2293" s="225"/>
      <c r="M2293" s="225"/>
    </row>
    <row r="2294" spans="1:14" s="88" customFormat="1" hidden="1">
      <c r="A2294" s="83"/>
      <c r="B2294" s="1457"/>
      <c r="C2294" s="226" t="s">
        <v>152</v>
      </c>
      <c r="D2294" s="211" t="s">
        <v>97</v>
      </c>
      <c r="E2294" s="211">
        <v>0.45</v>
      </c>
      <c r="F2294" s="386">
        <f>F2290*E2294</f>
        <v>0</v>
      </c>
      <c r="G2294" s="225">
        <v>3.5</v>
      </c>
      <c r="H2294" s="225">
        <f>F2294*G2294</f>
        <v>0</v>
      </c>
      <c r="I2294" s="225"/>
      <c r="J2294" s="225"/>
      <c r="K2294" s="225"/>
      <c r="L2294" s="225"/>
      <c r="M2294" s="225">
        <f>H2294+J2294+L2294</f>
        <v>0</v>
      </c>
    </row>
    <row r="2295" spans="1:14" s="88" customFormat="1" hidden="1">
      <c r="A2295" s="83"/>
      <c r="B2295" s="1458"/>
      <c r="C2295" s="226" t="s">
        <v>214</v>
      </c>
      <c r="D2295" s="86" t="s">
        <v>57</v>
      </c>
      <c r="E2295" s="211">
        <v>1.2999999999999999E-3</v>
      </c>
      <c r="F2295" s="386">
        <f>F2290*E2295</f>
        <v>0</v>
      </c>
      <c r="G2295" s="225">
        <v>3.2</v>
      </c>
      <c r="H2295" s="225">
        <f>F2295*G2295</f>
        <v>0</v>
      </c>
      <c r="I2295" s="225"/>
      <c r="J2295" s="225"/>
      <c r="K2295" s="225"/>
      <c r="L2295" s="225"/>
      <c r="M2295" s="225">
        <f>H2295+J2295+L2295</f>
        <v>0</v>
      </c>
    </row>
    <row r="2296" spans="1:14" s="93" customFormat="1" hidden="1">
      <c r="A2296" s="140">
        <v>37</v>
      </c>
      <c r="B2296" s="1446" t="s">
        <v>292</v>
      </c>
      <c r="C2296" s="151" t="s">
        <v>508</v>
      </c>
      <c r="D2296" s="140" t="s">
        <v>88</v>
      </c>
      <c r="E2296" s="140"/>
      <c r="F2296" s="384">
        <f>'დეფექტური აქტი'!E552</f>
        <v>0</v>
      </c>
      <c r="G2296" s="422"/>
      <c r="H2296" s="422"/>
      <c r="I2296" s="422"/>
      <c r="J2296" s="422"/>
      <c r="K2296" s="422"/>
      <c r="L2296" s="422"/>
      <c r="M2296" s="422"/>
    </row>
    <row r="2297" spans="1:14" s="93" customFormat="1" hidden="1">
      <c r="A2297" s="83"/>
      <c r="B2297" s="1432"/>
      <c r="C2297" s="226" t="s">
        <v>209</v>
      </c>
      <c r="D2297" s="211" t="s">
        <v>80</v>
      </c>
      <c r="E2297" s="211">
        <v>3.52</v>
      </c>
      <c r="F2297" s="386">
        <f>F2296*E2297</f>
        <v>0</v>
      </c>
      <c r="G2297" s="225"/>
      <c r="H2297" s="225"/>
      <c r="I2297" s="225">
        <v>4.5999999999999996</v>
      </c>
      <c r="J2297" s="225">
        <f>F2297*I2297</f>
        <v>0</v>
      </c>
      <c r="K2297" s="225"/>
      <c r="L2297" s="225"/>
      <c r="M2297" s="225">
        <f>H2297+J2297+L2297</f>
        <v>0</v>
      </c>
    </row>
    <row r="2298" spans="1:14" s="93" customFormat="1" hidden="1">
      <c r="A2298" s="83"/>
      <c r="B2298" s="1432"/>
      <c r="C2298" s="226" t="s">
        <v>81</v>
      </c>
      <c r="D2298" s="83" t="s">
        <v>57</v>
      </c>
      <c r="E2298" s="211">
        <v>1.06</v>
      </c>
      <c r="F2298" s="386">
        <f>F2296*E2298</f>
        <v>0</v>
      </c>
      <c r="G2298" s="225"/>
      <c r="H2298" s="225"/>
      <c r="I2298" s="225"/>
      <c r="J2298" s="225"/>
      <c r="K2298" s="225">
        <v>3.2</v>
      </c>
      <c r="L2298" s="225">
        <f>F2298*K2298</f>
        <v>0</v>
      </c>
      <c r="M2298" s="225">
        <f>H2298+J2298+L2298</f>
        <v>0</v>
      </c>
    </row>
    <row r="2299" spans="1:14" s="93" customFormat="1" hidden="1">
      <c r="A2299" s="83"/>
      <c r="B2299" s="1432"/>
      <c r="C2299" s="15" t="s">
        <v>210</v>
      </c>
      <c r="D2299" s="211"/>
      <c r="E2299" s="211"/>
      <c r="F2299" s="386"/>
      <c r="G2299" s="225"/>
      <c r="H2299" s="225"/>
      <c r="I2299" s="225"/>
      <c r="J2299" s="225"/>
      <c r="K2299" s="225"/>
      <c r="L2299" s="225"/>
      <c r="M2299" s="225"/>
    </row>
    <row r="2300" spans="1:14" s="93" customFormat="1" hidden="1">
      <c r="A2300" s="83"/>
      <c r="B2300" s="1432"/>
      <c r="C2300" s="226" t="s">
        <v>532</v>
      </c>
      <c r="D2300" s="211" t="s">
        <v>88</v>
      </c>
      <c r="E2300" s="211">
        <v>1.24</v>
      </c>
      <c r="F2300" s="386">
        <f>F2296*E2300</f>
        <v>0</v>
      </c>
      <c r="G2300" s="225">
        <v>15.4</v>
      </c>
      <c r="H2300" s="225">
        <f>F2300*G2300</f>
        <v>0</v>
      </c>
      <c r="I2300" s="225"/>
      <c r="J2300" s="225"/>
      <c r="K2300" s="225"/>
      <c r="L2300" s="225"/>
      <c r="M2300" s="225">
        <f>H2300+J2300+L2300</f>
        <v>0</v>
      </c>
    </row>
    <row r="2301" spans="1:14" s="93" customFormat="1" hidden="1">
      <c r="A2301" s="86"/>
      <c r="B2301" s="1437"/>
      <c r="C2301" s="229" t="s">
        <v>214</v>
      </c>
      <c r="D2301" s="86" t="s">
        <v>57</v>
      </c>
      <c r="E2301" s="230">
        <v>0.02</v>
      </c>
      <c r="F2301" s="387">
        <f>F2296*E2301</f>
        <v>0</v>
      </c>
      <c r="G2301" s="393">
        <v>3.2</v>
      </c>
      <c r="H2301" s="393">
        <f>F2301*G2301</f>
        <v>0</v>
      </c>
      <c r="I2301" s="393"/>
      <c r="J2301" s="393"/>
      <c r="K2301" s="393"/>
      <c r="L2301" s="393"/>
      <c r="M2301" s="393">
        <f>H2301+J2301+L2301</f>
        <v>0</v>
      </c>
    </row>
    <row r="2302" spans="1:14" s="88" customFormat="1" ht="18.75" hidden="1" customHeight="1">
      <c r="A2302" s="83">
        <v>38</v>
      </c>
      <c r="B2302" s="235" t="s">
        <v>295</v>
      </c>
      <c r="C2302" s="243" t="s">
        <v>1018</v>
      </c>
      <c r="D2302" s="83" t="s">
        <v>88</v>
      </c>
      <c r="E2302" s="83"/>
      <c r="F2302" s="388">
        <f>'დეფექტური აქტი'!E553</f>
        <v>0</v>
      </c>
      <c r="G2302" s="225"/>
      <c r="H2302" s="225"/>
      <c r="I2302" s="225"/>
      <c r="J2302" s="225"/>
      <c r="K2302" s="225"/>
      <c r="L2302" s="225"/>
      <c r="M2302" s="225">
        <f>H2302+J2302+L2302</f>
        <v>0</v>
      </c>
      <c r="N2302" s="368"/>
    </row>
    <row r="2303" spans="1:14" s="88" customFormat="1" ht="15.75" hidden="1" customHeight="1">
      <c r="A2303" s="83"/>
      <c r="B2303" s="235"/>
      <c r="C2303" s="223" t="s">
        <v>209</v>
      </c>
      <c r="D2303" s="211" t="s">
        <v>80</v>
      </c>
      <c r="E2303" s="211">
        <v>2.9</v>
      </c>
      <c r="F2303" s="225">
        <f>F2302*E2303</f>
        <v>0</v>
      </c>
      <c r="G2303" s="225"/>
      <c r="H2303" s="225"/>
      <c r="I2303" s="386">
        <v>4.5999999999999996</v>
      </c>
      <c r="J2303" s="225">
        <f>F2303*I2303</f>
        <v>0</v>
      </c>
      <c r="K2303" s="225"/>
      <c r="L2303" s="225"/>
      <c r="M2303" s="225">
        <f>H2303+J2303+L2303</f>
        <v>0</v>
      </c>
      <c r="N2303" s="368"/>
    </row>
    <row r="2304" spans="1:14" s="88" customFormat="1" hidden="1">
      <c r="A2304" s="83"/>
      <c r="B2304" s="235"/>
      <c r="C2304" s="223" t="s">
        <v>210</v>
      </c>
      <c r="D2304" s="211"/>
      <c r="E2304" s="211"/>
      <c r="F2304" s="225">
        <f>E2304*235.6</f>
        <v>0</v>
      </c>
      <c r="G2304" s="225"/>
      <c r="H2304" s="225"/>
      <c r="I2304" s="225"/>
      <c r="J2304" s="225"/>
      <c r="K2304" s="225"/>
      <c r="L2304" s="225"/>
      <c r="M2304" s="225"/>
      <c r="N2304" s="368"/>
    </row>
    <row r="2305" spans="1:14" s="88" customFormat="1" hidden="1">
      <c r="A2305" s="83"/>
      <c r="B2305" s="235"/>
      <c r="C2305" s="223" t="s">
        <v>300</v>
      </c>
      <c r="D2305" s="211" t="s">
        <v>88</v>
      </c>
      <c r="E2305" s="211">
        <v>1.02</v>
      </c>
      <c r="F2305" s="225">
        <f>F2302*E2305</f>
        <v>0</v>
      </c>
      <c r="G2305" s="225">
        <v>99</v>
      </c>
      <c r="H2305" s="225">
        <f>F2305*G2305</f>
        <v>0</v>
      </c>
      <c r="I2305" s="225"/>
      <c r="J2305" s="225"/>
      <c r="K2305" s="225"/>
      <c r="L2305" s="225"/>
      <c r="M2305" s="225">
        <f>H2305+J2305+L2305</f>
        <v>0</v>
      </c>
      <c r="N2305" s="368"/>
    </row>
    <row r="2306" spans="1:14" s="88" customFormat="1" hidden="1">
      <c r="A2306" s="86"/>
      <c r="B2306" s="245"/>
      <c r="C2306" s="232" t="s">
        <v>214</v>
      </c>
      <c r="D2306" s="230" t="s">
        <v>57</v>
      </c>
      <c r="E2306" s="230">
        <v>0.88</v>
      </c>
      <c r="F2306" s="393">
        <f>F2302*E2306</f>
        <v>0</v>
      </c>
      <c r="G2306" s="393">
        <v>3.2</v>
      </c>
      <c r="H2306" s="393">
        <f>F2306*G2306</f>
        <v>0</v>
      </c>
      <c r="I2306" s="393"/>
      <c r="J2306" s="393"/>
      <c r="K2306" s="393"/>
      <c r="L2306" s="393"/>
      <c r="M2306" s="225">
        <f>H2306+J2306+L2306</f>
        <v>0</v>
      </c>
      <c r="N2306" s="368"/>
    </row>
    <row r="2307" spans="1:14" s="93" customFormat="1" ht="27" hidden="1">
      <c r="A2307" s="140">
        <v>39</v>
      </c>
      <c r="B2307" s="1446" t="s">
        <v>552</v>
      </c>
      <c r="C2307" s="151" t="s">
        <v>1592</v>
      </c>
      <c r="D2307" s="140" t="s">
        <v>78</v>
      </c>
      <c r="E2307" s="140"/>
      <c r="F2307" s="384">
        <f>'დეფექტური აქტი'!E554</f>
        <v>0</v>
      </c>
      <c r="G2307" s="422"/>
      <c r="H2307" s="422"/>
      <c r="I2307" s="422"/>
      <c r="J2307" s="422"/>
      <c r="K2307" s="422"/>
      <c r="L2307" s="422"/>
      <c r="M2307" s="422"/>
    </row>
    <row r="2308" spans="1:14" s="93" customFormat="1" hidden="1">
      <c r="A2308" s="91"/>
      <c r="B2308" s="1432"/>
      <c r="C2308" s="226" t="s">
        <v>209</v>
      </c>
      <c r="D2308" s="211" t="s">
        <v>80</v>
      </c>
      <c r="E2308" s="211">
        <v>0.309</v>
      </c>
      <c r="F2308" s="386">
        <f>F2307*E2308</f>
        <v>0</v>
      </c>
      <c r="G2308" s="225"/>
      <c r="H2308" s="225"/>
      <c r="I2308" s="225">
        <v>6</v>
      </c>
      <c r="J2308" s="225">
        <f>F2308*I2308</f>
        <v>0</v>
      </c>
      <c r="K2308" s="225"/>
      <c r="L2308" s="225"/>
      <c r="M2308" s="225">
        <f>H2308+J2308+L2308</f>
        <v>0</v>
      </c>
    </row>
    <row r="2309" spans="1:14" s="93" customFormat="1" hidden="1">
      <c r="A2309" s="91"/>
      <c r="B2309" s="1432"/>
      <c r="C2309" s="226" t="s">
        <v>81</v>
      </c>
      <c r="D2309" s="83" t="s">
        <v>57</v>
      </c>
      <c r="E2309" s="211">
        <v>1.3299999999999999E-2</v>
      </c>
      <c r="F2309" s="386">
        <f>F2307*E2309</f>
        <v>0</v>
      </c>
      <c r="G2309" s="225"/>
      <c r="H2309" s="225"/>
      <c r="I2309" s="225"/>
      <c r="J2309" s="225"/>
      <c r="K2309" s="225">
        <v>3.2</v>
      </c>
      <c r="L2309" s="225">
        <f>F2309*K2309</f>
        <v>0</v>
      </c>
      <c r="M2309" s="225">
        <f>H2309+J2309+L2309</f>
        <v>0</v>
      </c>
    </row>
    <row r="2310" spans="1:14" s="93" customFormat="1" hidden="1">
      <c r="A2310" s="91"/>
      <c r="B2310" s="1432"/>
      <c r="C2310" s="15" t="s">
        <v>210</v>
      </c>
      <c r="D2310" s="211"/>
      <c r="E2310" s="211"/>
      <c r="F2310" s="386"/>
      <c r="G2310" s="225"/>
      <c r="H2310" s="225"/>
      <c r="I2310" s="225"/>
      <c r="J2310" s="225"/>
      <c r="K2310" s="225"/>
      <c r="L2310" s="225"/>
      <c r="M2310" s="225"/>
    </row>
    <row r="2311" spans="1:14" s="93" customFormat="1" hidden="1">
      <c r="A2311" s="91"/>
      <c r="B2311" s="1432"/>
      <c r="C2311" s="226" t="s">
        <v>1105</v>
      </c>
      <c r="D2311" s="211" t="s">
        <v>206</v>
      </c>
      <c r="E2311" s="211">
        <v>6.0999999999999999E-2</v>
      </c>
      <c r="F2311" s="386">
        <f>F2307*E2311</f>
        <v>0</v>
      </c>
      <c r="G2311" s="610">
        <v>106</v>
      </c>
      <c r="H2311" s="225">
        <f>F2311*G2311</f>
        <v>0</v>
      </c>
      <c r="I2311" s="225"/>
      <c r="J2311" s="225"/>
      <c r="K2311" s="225"/>
      <c r="L2311" s="225"/>
      <c r="M2311" s="225">
        <f>H2311+J2311+L2311</f>
        <v>0</v>
      </c>
    </row>
    <row r="2312" spans="1:14" s="93" customFormat="1" hidden="1">
      <c r="A2312" s="91"/>
      <c r="B2312" s="1432"/>
      <c r="C2312" s="226" t="s">
        <v>990</v>
      </c>
      <c r="D2312" s="211" t="s">
        <v>206</v>
      </c>
      <c r="E2312" s="211">
        <v>5.0000000000000001E-4</v>
      </c>
      <c r="F2312" s="386">
        <f>F2307*E2312</f>
        <v>0</v>
      </c>
      <c r="G2312" s="225">
        <v>990</v>
      </c>
      <c r="H2312" s="225">
        <f>F2312*G2312</f>
        <v>0</v>
      </c>
      <c r="I2312" s="225"/>
      <c r="J2312" s="225"/>
      <c r="K2312" s="225"/>
      <c r="L2312" s="225"/>
      <c r="M2312" s="225">
        <f>H2312+J2312+L2312</f>
        <v>0</v>
      </c>
    </row>
    <row r="2313" spans="1:14" s="93" customFormat="1" hidden="1">
      <c r="A2313" s="91"/>
      <c r="B2313" s="1437"/>
      <c r="C2313" s="226" t="s">
        <v>214</v>
      </c>
      <c r="D2313" s="86" t="s">
        <v>57</v>
      </c>
      <c r="E2313" s="211">
        <v>2.64E-2</v>
      </c>
      <c r="F2313" s="386">
        <f>F2307*E2313</f>
        <v>0</v>
      </c>
      <c r="G2313" s="225">
        <v>3.2</v>
      </c>
      <c r="H2313" s="225">
        <f>F2313*G2313</f>
        <v>0</v>
      </c>
      <c r="I2313" s="225"/>
      <c r="J2313" s="225"/>
      <c r="K2313" s="225"/>
      <c r="L2313" s="225"/>
      <c r="M2313" s="225">
        <f>H2313+J2313+L2313</f>
        <v>0</v>
      </c>
    </row>
    <row r="2314" spans="1:14" s="92" customFormat="1" hidden="1">
      <c r="A2314" s="24"/>
      <c r="B2314" s="24"/>
      <c r="C2314" s="170" t="s">
        <v>359</v>
      </c>
      <c r="D2314" s="277"/>
      <c r="E2314" s="277"/>
      <c r="F2314" s="404"/>
      <c r="G2314" s="613"/>
      <c r="H2314" s="607">
        <f>SUBTOTAL(9,H2082:H2313)</f>
        <v>0</v>
      </c>
      <c r="I2314" s="607"/>
      <c r="J2314" s="607">
        <f>SUBTOTAL(9,J2082:J2313)</f>
        <v>0</v>
      </c>
      <c r="K2314" s="607"/>
      <c r="L2314" s="607">
        <f>SUBTOTAL(9,L2082:L2313)</f>
        <v>0</v>
      </c>
      <c r="M2314" s="607">
        <f>SUBTOTAL(9,M2082:M2313)</f>
        <v>0</v>
      </c>
    </row>
    <row r="2315" spans="1:14" s="92" customFormat="1" hidden="1">
      <c r="A2315" s="279"/>
      <c r="B2315" s="280"/>
      <c r="C2315" s="110" t="s">
        <v>115</v>
      </c>
      <c r="D2315" s="281">
        <f>'დეფექტური აქტი'!E556%</f>
        <v>0.1</v>
      </c>
      <c r="E2315" s="282"/>
      <c r="F2315" s="403"/>
      <c r="G2315" s="613"/>
      <c r="H2315" s="607">
        <f>H2314*D2315</f>
        <v>0</v>
      </c>
      <c r="I2315" s="607">
        <f>I2314*0.1</f>
        <v>0</v>
      </c>
      <c r="J2315" s="607">
        <f>J2314*D2315</f>
        <v>0</v>
      </c>
      <c r="K2315" s="607">
        <f>K2314*0.1</f>
        <v>0</v>
      </c>
      <c r="L2315" s="607">
        <f>L2314*D2315</f>
        <v>0</v>
      </c>
      <c r="M2315" s="607">
        <f>M2314*D2315</f>
        <v>0</v>
      </c>
    </row>
    <row r="2316" spans="1:14" s="92" customFormat="1" hidden="1">
      <c r="A2316" s="279"/>
      <c r="B2316" s="280"/>
      <c r="C2316" s="170" t="s">
        <v>110</v>
      </c>
      <c r="D2316" s="283"/>
      <c r="E2316" s="283"/>
      <c r="F2316" s="405"/>
      <c r="G2316" s="615"/>
      <c r="H2316" s="616">
        <f t="shared" ref="H2316:M2316" si="52">H2314+H2315</f>
        <v>0</v>
      </c>
      <c r="I2316" s="616">
        <f t="shared" si="52"/>
        <v>0</v>
      </c>
      <c r="J2316" s="616">
        <f t="shared" si="52"/>
        <v>0</v>
      </c>
      <c r="K2316" s="616">
        <f t="shared" si="52"/>
        <v>0</v>
      </c>
      <c r="L2316" s="616">
        <f t="shared" si="52"/>
        <v>0</v>
      </c>
      <c r="M2316" s="616">
        <f t="shared" si="52"/>
        <v>0</v>
      </c>
    </row>
    <row r="2317" spans="1:14" s="92" customFormat="1" hidden="1">
      <c r="A2317" s="279"/>
      <c r="B2317" s="280"/>
      <c r="C2317" s="110" t="s">
        <v>116</v>
      </c>
      <c r="D2317" s="284">
        <f>'დეფექტური აქტი'!E558%</f>
        <v>0.08</v>
      </c>
      <c r="E2317" s="283"/>
      <c r="F2317" s="405"/>
      <c r="G2317" s="615"/>
      <c r="H2317" s="616">
        <f>H2316*D2317</f>
        <v>0</v>
      </c>
      <c r="I2317" s="616">
        <f>I2316*0.08</f>
        <v>0</v>
      </c>
      <c r="J2317" s="616">
        <f>J2316*0.08</f>
        <v>0</v>
      </c>
      <c r="K2317" s="616">
        <f>K2316*0.08</f>
        <v>0</v>
      </c>
      <c r="L2317" s="616">
        <f>L2316*D2317</f>
        <v>0</v>
      </c>
      <c r="M2317" s="616">
        <f>M2316*D2317</f>
        <v>0</v>
      </c>
    </row>
    <row r="2318" spans="1:14" s="92" customFormat="1" hidden="1">
      <c r="A2318" s="279"/>
      <c r="B2318" s="280"/>
      <c r="C2318" s="170" t="s">
        <v>1442</v>
      </c>
      <c r="D2318" s="283"/>
      <c r="E2318" s="283"/>
      <c r="F2318" s="405"/>
      <c r="G2318" s="615"/>
      <c r="H2318" s="616">
        <f>H2316+H2317</f>
        <v>0</v>
      </c>
      <c r="I2318" s="616"/>
      <c r="J2318" s="616">
        <f>J2316+J2317</f>
        <v>0</v>
      </c>
      <c r="K2318" s="616"/>
      <c r="L2318" s="616">
        <f>L2316+L2317</f>
        <v>0</v>
      </c>
      <c r="M2318" s="616">
        <f>M2316+M2317</f>
        <v>0</v>
      </c>
    </row>
    <row r="2319" spans="1:14" s="93" customFormat="1" ht="16.5" hidden="1" customHeight="1">
      <c r="A2319" s="81"/>
      <c r="B2319" s="81"/>
      <c r="C2319" s="194" t="s">
        <v>1443</v>
      </c>
      <c r="D2319" s="24"/>
      <c r="E2319" s="259"/>
      <c r="F2319" s="390"/>
      <c r="G2319" s="607"/>
      <c r="H2319" s="607"/>
      <c r="I2319" s="607"/>
      <c r="J2319" s="607"/>
      <c r="K2319" s="607"/>
      <c r="L2319" s="607"/>
      <c r="M2319" s="607"/>
    </row>
    <row r="2320" spans="1:14" s="88" customFormat="1" hidden="1">
      <c r="A2320" s="140">
        <v>1</v>
      </c>
      <c r="B2320" s="1429" t="s">
        <v>530</v>
      </c>
      <c r="C2320" s="227" t="s">
        <v>519</v>
      </c>
      <c r="D2320" s="228" t="s">
        <v>88</v>
      </c>
      <c r="E2320" s="248"/>
      <c r="F2320" s="406">
        <f>'დეფექტური აქტი'!E561</f>
        <v>0</v>
      </c>
      <c r="G2320" s="422"/>
      <c r="H2320" s="422"/>
      <c r="I2320" s="422"/>
      <c r="J2320" s="422"/>
      <c r="K2320" s="422"/>
      <c r="L2320" s="422"/>
      <c r="M2320" s="422">
        <f t="shared" ref="M2320:M2326" si="53">H2320+J2320+L2320</f>
        <v>0</v>
      </c>
    </row>
    <row r="2321" spans="1:13" s="88" customFormat="1" hidden="1">
      <c r="A2321" s="83"/>
      <c r="B2321" s="1430"/>
      <c r="C2321" s="226" t="s">
        <v>79</v>
      </c>
      <c r="D2321" s="230" t="s">
        <v>80</v>
      </c>
      <c r="E2321" s="94">
        <v>2.06</v>
      </c>
      <c r="F2321" s="386">
        <f>F2320*E2321</f>
        <v>0</v>
      </c>
      <c r="G2321" s="225"/>
      <c r="H2321" s="604"/>
      <c r="I2321" s="225">
        <v>4.5999999999999996</v>
      </c>
      <c r="J2321" s="225">
        <f>F2321*I2321</f>
        <v>0</v>
      </c>
      <c r="K2321" s="225"/>
      <c r="L2321" s="225"/>
      <c r="M2321" s="225">
        <f t="shared" si="53"/>
        <v>0</v>
      </c>
    </row>
    <row r="2322" spans="1:13" s="88" customFormat="1" hidden="1">
      <c r="A2322" s="140">
        <v>2</v>
      </c>
      <c r="B2322" s="1429" t="s">
        <v>890</v>
      </c>
      <c r="C2322" s="227" t="s">
        <v>433</v>
      </c>
      <c r="D2322" s="228" t="s">
        <v>88</v>
      </c>
      <c r="E2322" s="248"/>
      <c r="F2322" s="406">
        <f>'დეფექტური აქტი'!E562</f>
        <v>0</v>
      </c>
      <c r="G2322" s="422"/>
      <c r="H2322" s="422"/>
      <c r="I2322" s="422"/>
      <c r="J2322" s="422"/>
      <c r="K2322" s="422"/>
      <c r="L2322" s="422"/>
      <c r="M2322" s="422">
        <f t="shared" si="53"/>
        <v>0</v>
      </c>
    </row>
    <row r="2323" spans="1:13" s="88" customFormat="1" hidden="1">
      <c r="A2323" s="83"/>
      <c r="B2323" s="1430"/>
      <c r="C2323" s="226" t="s">
        <v>209</v>
      </c>
      <c r="D2323" s="230" t="s">
        <v>80</v>
      </c>
      <c r="E2323" s="254">
        <v>1.21</v>
      </c>
      <c r="F2323" s="386">
        <f>F2322*E2323</f>
        <v>0</v>
      </c>
      <c r="G2323" s="225"/>
      <c r="H2323" s="604"/>
      <c r="I2323" s="225">
        <v>4.5999999999999996</v>
      </c>
      <c r="J2323" s="225">
        <f>F2323*I2323</f>
        <v>0</v>
      </c>
      <c r="K2323" s="225"/>
      <c r="L2323" s="225"/>
      <c r="M2323" s="225">
        <f t="shared" si="53"/>
        <v>0</v>
      </c>
    </row>
    <row r="2324" spans="1:13" s="88" customFormat="1" hidden="1">
      <c r="A2324" s="140">
        <v>3</v>
      </c>
      <c r="B2324" s="1429" t="s">
        <v>297</v>
      </c>
      <c r="C2324" s="227" t="s">
        <v>499</v>
      </c>
      <c r="D2324" s="228" t="s">
        <v>206</v>
      </c>
      <c r="E2324" s="248"/>
      <c r="F2324" s="406">
        <f>'დეფექტური აქტი'!E563*1.95</f>
        <v>0</v>
      </c>
      <c r="G2324" s="422"/>
      <c r="H2324" s="422"/>
      <c r="I2324" s="422"/>
      <c r="J2324" s="422"/>
      <c r="K2324" s="422"/>
      <c r="L2324" s="422"/>
      <c r="M2324" s="422">
        <f t="shared" si="53"/>
        <v>0</v>
      </c>
    </row>
    <row r="2325" spans="1:13" s="88" customFormat="1" hidden="1">
      <c r="A2325" s="83"/>
      <c r="B2325" s="1430"/>
      <c r="C2325" s="226" t="s">
        <v>209</v>
      </c>
      <c r="D2325" s="230" t="s">
        <v>80</v>
      </c>
      <c r="E2325" s="254">
        <v>0.53</v>
      </c>
      <c r="F2325" s="386">
        <f>F2324*E2325</f>
        <v>0</v>
      </c>
      <c r="G2325" s="225"/>
      <c r="H2325" s="604"/>
      <c r="I2325" s="225">
        <v>4.5999999999999996</v>
      </c>
      <c r="J2325" s="225">
        <f>F2325*I2325</f>
        <v>0</v>
      </c>
      <c r="K2325" s="225"/>
      <c r="L2325" s="225"/>
      <c r="M2325" s="225">
        <f t="shared" si="53"/>
        <v>0</v>
      </c>
    </row>
    <row r="2326" spans="1:13" s="364" customFormat="1" hidden="1">
      <c r="A2326" s="140">
        <v>4</v>
      </c>
      <c r="B2326" s="220"/>
      <c r="C2326" s="151" t="s">
        <v>736</v>
      </c>
      <c r="D2326" s="24" t="s">
        <v>206</v>
      </c>
      <c r="E2326" s="140"/>
      <c r="F2326" s="406">
        <f>'დეფექტური აქტი'!E564*1.95</f>
        <v>0</v>
      </c>
      <c r="G2326" s="422"/>
      <c r="H2326" s="422"/>
      <c r="I2326" s="422"/>
      <c r="J2326" s="422"/>
      <c r="K2326" s="422">
        <v>3.02</v>
      </c>
      <c r="L2326" s="422">
        <f>F2326*K2326</f>
        <v>0</v>
      </c>
      <c r="M2326" s="422">
        <f t="shared" si="53"/>
        <v>0</v>
      </c>
    </row>
    <row r="2327" spans="1:13" s="88" customFormat="1" ht="27" hidden="1">
      <c r="A2327" s="140">
        <v>5</v>
      </c>
      <c r="B2327" s="1446" t="s">
        <v>531</v>
      </c>
      <c r="C2327" s="151" t="s">
        <v>500</v>
      </c>
      <c r="D2327" s="140" t="s">
        <v>88</v>
      </c>
      <c r="E2327" s="140"/>
      <c r="F2327" s="406">
        <f>'დეფექტური აქტი'!E565</f>
        <v>0</v>
      </c>
      <c r="G2327" s="422"/>
      <c r="H2327" s="422"/>
      <c r="I2327" s="422"/>
      <c r="J2327" s="422"/>
      <c r="K2327" s="422"/>
      <c r="L2327" s="422"/>
      <c r="M2327" s="422"/>
    </row>
    <row r="2328" spans="1:13" s="88" customFormat="1" hidden="1">
      <c r="A2328" s="83"/>
      <c r="B2328" s="1432"/>
      <c r="C2328" s="223" t="s">
        <v>209</v>
      </c>
      <c r="D2328" s="211" t="s">
        <v>80</v>
      </c>
      <c r="E2328" s="211">
        <v>0.89</v>
      </c>
      <c r="F2328" s="386">
        <f>F2327*E2328</f>
        <v>0</v>
      </c>
      <c r="G2328" s="225"/>
      <c r="H2328" s="225"/>
      <c r="I2328" s="225">
        <v>6</v>
      </c>
      <c r="J2328" s="225">
        <f>F2328*I2328</f>
        <v>0</v>
      </c>
      <c r="K2328" s="225"/>
      <c r="L2328" s="225"/>
      <c r="M2328" s="225">
        <f>H2328+J2328+L2328</f>
        <v>0</v>
      </c>
    </row>
    <row r="2329" spans="1:13" s="88" customFormat="1" hidden="1">
      <c r="A2329" s="83"/>
      <c r="B2329" s="1432"/>
      <c r="C2329" s="223" t="s">
        <v>81</v>
      </c>
      <c r="D2329" s="83" t="s">
        <v>57</v>
      </c>
      <c r="E2329" s="211">
        <v>0.37</v>
      </c>
      <c r="F2329" s="386">
        <f>F2327*E2329</f>
        <v>0</v>
      </c>
      <c r="G2329" s="225"/>
      <c r="H2329" s="225"/>
      <c r="I2329" s="225"/>
      <c r="J2329" s="225"/>
      <c r="K2329" s="225">
        <v>3.2</v>
      </c>
      <c r="L2329" s="225">
        <f>F2329*K2329</f>
        <v>0</v>
      </c>
      <c r="M2329" s="225">
        <f>H2329+J2329+L2329</f>
        <v>0</v>
      </c>
    </row>
    <row r="2330" spans="1:13" s="88" customFormat="1" hidden="1">
      <c r="A2330" s="83"/>
      <c r="B2330" s="1432"/>
      <c r="C2330" s="15" t="s">
        <v>210</v>
      </c>
      <c r="D2330" s="211"/>
      <c r="E2330" s="211"/>
      <c r="F2330" s="386"/>
      <c r="G2330" s="225"/>
      <c r="H2330" s="225"/>
      <c r="I2330" s="225"/>
      <c r="J2330" s="225"/>
      <c r="K2330" s="225"/>
      <c r="L2330" s="225"/>
      <c r="M2330" s="225"/>
    </row>
    <row r="2331" spans="1:13" s="88" customFormat="1" hidden="1">
      <c r="A2331" s="83"/>
      <c r="B2331" s="1432"/>
      <c r="C2331" s="223" t="s">
        <v>532</v>
      </c>
      <c r="D2331" s="211" t="s">
        <v>88</v>
      </c>
      <c r="E2331" s="211">
        <v>1.1499999999999999</v>
      </c>
      <c r="F2331" s="386">
        <f>F2327*E2331</f>
        <v>0</v>
      </c>
      <c r="G2331" s="225">
        <v>16.100000000000001</v>
      </c>
      <c r="H2331" s="225">
        <f>F2331*G2331</f>
        <v>0</v>
      </c>
      <c r="I2331" s="225"/>
      <c r="J2331" s="225"/>
      <c r="K2331" s="225"/>
      <c r="L2331" s="225"/>
      <c r="M2331" s="225">
        <f>H2331+J2331+L2331</f>
        <v>0</v>
      </c>
    </row>
    <row r="2332" spans="1:13" s="88" customFormat="1" hidden="1">
      <c r="A2332" s="86"/>
      <c r="B2332" s="1437"/>
      <c r="C2332" s="232" t="s">
        <v>214</v>
      </c>
      <c r="D2332" s="86" t="s">
        <v>57</v>
      </c>
      <c r="E2332" s="230">
        <v>0.02</v>
      </c>
      <c r="F2332" s="387">
        <f>F2327*E2332</f>
        <v>0</v>
      </c>
      <c r="G2332" s="393">
        <v>3.2</v>
      </c>
      <c r="H2332" s="393">
        <f>F2332*G2332</f>
        <v>0</v>
      </c>
      <c r="I2332" s="393"/>
      <c r="J2332" s="393"/>
      <c r="K2332" s="393"/>
      <c r="L2332" s="393"/>
      <c r="M2332" s="393">
        <f>H2332+J2332+L2332</f>
        <v>0</v>
      </c>
    </row>
    <row r="2333" spans="1:13" s="88" customFormat="1" ht="40.5" hidden="1">
      <c r="A2333" s="83">
        <v>6</v>
      </c>
      <c r="B2333" s="1432" t="s">
        <v>700</v>
      </c>
      <c r="C2333" s="84" t="s">
        <v>1029</v>
      </c>
      <c r="D2333" s="83" t="s">
        <v>88</v>
      </c>
      <c r="E2333" s="83"/>
      <c r="F2333" s="388">
        <f>'დეფექტური აქტი'!E566</f>
        <v>0</v>
      </c>
      <c r="G2333" s="225"/>
      <c r="H2333" s="225"/>
      <c r="I2333" s="225"/>
      <c r="J2333" s="225"/>
      <c r="K2333" s="225"/>
      <c r="L2333" s="225"/>
      <c r="M2333" s="225"/>
    </row>
    <row r="2334" spans="1:13" s="88" customFormat="1" hidden="1">
      <c r="A2334" s="83"/>
      <c r="B2334" s="1432"/>
      <c r="C2334" s="223" t="s">
        <v>209</v>
      </c>
      <c r="D2334" s="211" t="s">
        <v>80</v>
      </c>
      <c r="E2334" s="211">
        <v>8.44</v>
      </c>
      <c r="F2334" s="386">
        <f>F2333*E2334</f>
        <v>0</v>
      </c>
      <c r="G2334" s="225"/>
      <c r="H2334" s="225"/>
      <c r="I2334" s="386">
        <v>4.5999999999999996</v>
      </c>
      <c r="J2334" s="225">
        <f>F2334*I2334</f>
        <v>0</v>
      </c>
      <c r="K2334" s="225"/>
      <c r="L2334" s="225"/>
      <c r="M2334" s="225">
        <f>H2334+J2334+L2334</f>
        <v>0</v>
      </c>
    </row>
    <row r="2335" spans="1:13" s="88" customFormat="1" hidden="1">
      <c r="A2335" s="83"/>
      <c r="B2335" s="1432"/>
      <c r="C2335" s="223" t="s">
        <v>81</v>
      </c>
      <c r="D2335" s="83" t="s">
        <v>57</v>
      </c>
      <c r="E2335" s="211">
        <v>1.1000000000000001</v>
      </c>
      <c r="F2335" s="386">
        <f>F2333*E2335</f>
        <v>0</v>
      </c>
      <c r="G2335" s="225"/>
      <c r="H2335" s="225"/>
      <c r="I2335" s="225"/>
      <c r="J2335" s="225"/>
      <c r="K2335" s="225">
        <v>3.2</v>
      </c>
      <c r="L2335" s="225">
        <f>F2335*K2335</f>
        <v>0</v>
      </c>
      <c r="M2335" s="225">
        <f>H2335+J2335+L2335</f>
        <v>0</v>
      </c>
    </row>
    <row r="2336" spans="1:13" s="88" customFormat="1" hidden="1">
      <c r="A2336" s="83"/>
      <c r="B2336" s="1432"/>
      <c r="C2336" s="365" t="s">
        <v>210</v>
      </c>
      <c r="D2336" s="211"/>
      <c r="E2336" s="211"/>
      <c r="F2336" s="386"/>
      <c r="G2336" s="225"/>
      <c r="H2336" s="225"/>
      <c r="I2336" s="225"/>
      <c r="J2336" s="225"/>
      <c r="K2336" s="225"/>
      <c r="L2336" s="225"/>
      <c r="M2336" s="225"/>
    </row>
    <row r="2337" spans="1:13" s="88" customFormat="1" hidden="1">
      <c r="A2337" s="83"/>
      <c r="B2337" s="1432"/>
      <c r="C2337" s="223" t="s">
        <v>1567</v>
      </c>
      <c r="D2337" s="211" t="s">
        <v>88</v>
      </c>
      <c r="E2337" s="211">
        <v>1.0149999999999999</v>
      </c>
      <c r="F2337" s="386">
        <f>F2333*E2337</f>
        <v>0</v>
      </c>
      <c r="G2337" s="598">
        <v>105.5</v>
      </c>
      <c r="H2337" s="225">
        <f t="shared" ref="H2337:H2345" si="54">F2337*G2337</f>
        <v>0</v>
      </c>
      <c r="I2337" s="225"/>
      <c r="J2337" s="225"/>
      <c r="K2337" s="225"/>
      <c r="L2337" s="225"/>
      <c r="M2337" s="225">
        <f t="shared" ref="M2337:M2345" si="55">H2337+J2337+L2337</f>
        <v>0</v>
      </c>
    </row>
    <row r="2338" spans="1:13" s="88" customFormat="1" hidden="1">
      <c r="A2338" s="83"/>
      <c r="B2338" s="1432"/>
      <c r="C2338" s="223" t="s">
        <v>301</v>
      </c>
      <c r="D2338" s="211" t="s">
        <v>78</v>
      </c>
      <c r="E2338" s="211">
        <v>1.84</v>
      </c>
      <c r="F2338" s="386">
        <f>F2333*E2338</f>
        <v>0</v>
      </c>
      <c r="G2338" s="386">
        <v>10.5</v>
      </c>
      <c r="H2338" s="225">
        <f t="shared" si="54"/>
        <v>0</v>
      </c>
      <c r="I2338" s="225"/>
      <c r="J2338" s="225"/>
      <c r="K2338" s="225"/>
      <c r="L2338" s="225"/>
      <c r="M2338" s="225">
        <f t="shared" si="55"/>
        <v>0</v>
      </c>
    </row>
    <row r="2339" spans="1:13" s="88" customFormat="1" hidden="1">
      <c r="A2339" s="83"/>
      <c r="B2339" s="1432"/>
      <c r="C2339" s="223" t="s">
        <v>264</v>
      </c>
      <c r="D2339" s="211" t="s">
        <v>88</v>
      </c>
      <c r="E2339" s="211">
        <v>3.3999999999999998E-3</v>
      </c>
      <c r="F2339" s="386">
        <f>F2333*E2339</f>
        <v>0</v>
      </c>
      <c r="G2339" s="386">
        <v>490</v>
      </c>
      <c r="H2339" s="225">
        <f t="shared" si="54"/>
        <v>0</v>
      </c>
      <c r="I2339" s="225"/>
      <c r="J2339" s="225"/>
      <c r="K2339" s="225"/>
      <c r="L2339" s="225"/>
      <c r="M2339" s="225">
        <f t="shared" si="55"/>
        <v>0</v>
      </c>
    </row>
    <row r="2340" spans="1:13" s="88" customFormat="1" hidden="1">
      <c r="A2340" s="83"/>
      <c r="B2340" s="1432"/>
      <c r="C2340" s="223" t="s">
        <v>302</v>
      </c>
      <c r="D2340" s="211" t="s">
        <v>88</v>
      </c>
      <c r="E2340" s="211">
        <v>3.9100000000000003E-2</v>
      </c>
      <c r="F2340" s="386">
        <f>F2333*E2340</f>
        <v>0</v>
      </c>
      <c r="G2340" s="386">
        <v>403</v>
      </c>
      <c r="H2340" s="225">
        <f t="shared" si="54"/>
        <v>0</v>
      </c>
      <c r="I2340" s="225"/>
      <c r="J2340" s="225"/>
      <c r="K2340" s="225"/>
      <c r="L2340" s="225"/>
      <c r="M2340" s="225">
        <f t="shared" si="55"/>
        <v>0</v>
      </c>
    </row>
    <row r="2341" spans="1:13" s="88" customFormat="1" hidden="1">
      <c r="A2341" s="83"/>
      <c r="B2341" s="1432"/>
      <c r="C2341" s="223" t="s">
        <v>303</v>
      </c>
      <c r="D2341" s="211" t="s">
        <v>97</v>
      </c>
      <c r="E2341" s="211">
        <v>2.2000000000000002</v>
      </c>
      <c r="F2341" s="386">
        <f>F2333*E2341</f>
        <v>0</v>
      </c>
      <c r="G2341" s="386">
        <v>2.5</v>
      </c>
      <c r="H2341" s="225">
        <f t="shared" si="54"/>
        <v>0</v>
      </c>
      <c r="I2341" s="225"/>
      <c r="J2341" s="225"/>
      <c r="K2341" s="225"/>
      <c r="L2341" s="225"/>
      <c r="M2341" s="225">
        <f t="shared" si="55"/>
        <v>0</v>
      </c>
    </row>
    <row r="2342" spans="1:13" s="88" customFormat="1" hidden="1">
      <c r="A2342" s="83"/>
      <c r="B2342" s="1432"/>
      <c r="C2342" s="223" t="s">
        <v>884</v>
      </c>
      <c r="D2342" s="211" t="s">
        <v>97</v>
      </c>
      <c r="E2342" s="211"/>
      <c r="F2342" s="388">
        <f>'დეფექტური აქტი'!E567</f>
        <v>0</v>
      </c>
      <c r="G2342" s="795">
        <v>1.0189999999999999</v>
      </c>
      <c r="H2342" s="225">
        <f t="shared" si="54"/>
        <v>0</v>
      </c>
      <c r="I2342" s="225"/>
      <c r="J2342" s="225"/>
      <c r="K2342" s="225"/>
      <c r="L2342" s="225"/>
      <c r="M2342" s="225">
        <f t="shared" si="55"/>
        <v>0</v>
      </c>
    </row>
    <row r="2343" spans="1:13" s="88" customFormat="1" hidden="1">
      <c r="A2343" s="83"/>
      <c r="B2343" s="1432"/>
      <c r="C2343" s="223" t="s">
        <v>501</v>
      </c>
      <c r="D2343" s="211" t="s">
        <v>97</v>
      </c>
      <c r="E2343" s="211"/>
      <c r="F2343" s="388">
        <f>'დეფექტური აქტი'!E568</f>
        <v>0</v>
      </c>
      <c r="G2343" s="795">
        <v>0.95299999999999996</v>
      </c>
      <c r="H2343" s="225">
        <f t="shared" si="54"/>
        <v>0</v>
      </c>
      <c r="I2343" s="225"/>
      <c r="J2343" s="225"/>
      <c r="K2343" s="225"/>
      <c r="L2343" s="225"/>
      <c r="M2343" s="225">
        <f t="shared" si="55"/>
        <v>0</v>
      </c>
    </row>
    <row r="2344" spans="1:13" s="88" customFormat="1" hidden="1">
      <c r="A2344" s="83"/>
      <c r="B2344" s="1432"/>
      <c r="C2344" s="223" t="s">
        <v>307</v>
      </c>
      <c r="D2344" s="211" t="s">
        <v>97</v>
      </c>
      <c r="E2344" s="211">
        <v>1</v>
      </c>
      <c r="F2344" s="386">
        <f>F2333*E2344</f>
        <v>0</v>
      </c>
      <c r="G2344" s="386">
        <v>3.75</v>
      </c>
      <c r="H2344" s="225">
        <f t="shared" si="54"/>
        <v>0</v>
      </c>
      <c r="I2344" s="225"/>
      <c r="J2344" s="225"/>
      <c r="K2344" s="225"/>
      <c r="L2344" s="225"/>
      <c r="M2344" s="225">
        <f t="shared" si="55"/>
        <v>0</v>
      </c>
    </row>
    <row r="2345" spans="1:13" s="88" customFormat="1" hidden="1">
      <c r="A2345" s="86"/>
      <c r="B2345" s="1437"/>
      <c r="C2345" s="232" t="s">
        <v>214</v>
      </c>
      <c r="D2345" s="86" t="s">
        <v>57</v>
      </c>
      <c r="E2345" s="230">
        <v>0.46</v>
      </c>
      <c r="F2345" s="387">
        <f>F2333*E2345</f>
        <v>0</v>
      </c>
      <c r="G2345" s="387">
        <v>3.2</v>
      </c>
      <c r="H2345" s="393">
        <f t="shared" si="54"/>
        <v>0</v>
      </c>
      <c r="I2345" s="393"/>
      <c r="J2345" s="393"/>
      <c r="K2345" s="393"/>
      <c r="L2345" s="393"/>
      <c r="M2345" s="393">
        <f t="shared" si="55"/>
        <v>0</v>
      </c>
    </row>
    <row r="2346" spans="1:13" s="88" customFormat="1" hidden="1">
      <c r="A2346" s="140">
        <v>7</v>
      </c>
      <c r="B2346" s="220" t="s">
        <v>284</v>
      </c>
      <c r="C2346" s="151" t="s">
        <v>215</v>
      </c>
      <c r="D2346" s="140" t="s">
        <v>78</v>
      </c>
      <c r="E2346" s="140"/>
      <c r="F2346" s="406">
        <f>'დეფექტური აქტი'!E569</f>
        <v>0</v>
      </c>
      <c r="G2346" s="422"/>
      <c r="H2346" s="422"/>
      <c r="I2346" s="422"/>
      <c r="J2346" s="422"/>
      <c r="K2346" s="422"/>
      <c r="L2346" s="422"/>
      <c r="M2346" s="422"/>
    </row>
    <row r="2347" spans="1:13" s="366" customFormat="1" hidden="1">
      <c r="A2347" s="83"/>
      <c r="B2347" s="1457"/>
      <c r="C2347" s="223" t="s">
        <v>209</v>
      </c>
      <c r="D2347" s="211" t="s">
        <v>80</v>
      </c>
      <c r="E2347" s="211">
        <v>0.57399999999999995</v>
      </c>
      <c r="F2347" s="386">
        <f>F2346*E2347</f>
        <v>0</v>
      </c>
      <c r="G2347" s="225"/>
      <c r="H2347" s="225"/>
      <c r="I2347" s="225">
        <v>6</v>
      </c>
      <c r="J2347" s="225">
        <f>F2347*I2347</f>
        <v>0</v>
      </c>
      <c r="K2347" s="225"/>
      <c r="L2347" s="225"/>
      <c r="M2347" s="225">
        <f>H2347+J2347+L2347</f>
        <v>0</v>
      </c>
    </row>
    <row r="2348" spans="1:13" s="88" customFormat="1" ht="15" hidden="1" customHeight="1">
      <c r="A2348" s="367"/>
      <c r="B2348" s="1457"/>
      <c r="C2348" s="223" t="s">
        <v>550</v>
      </c>
      <c r="D2348" s="211" t="s">
        <v>217</v>
      </c>
      <c r="E2348" s="211">
        <v>2.4E-2</v>
      </c>
      <c r="F2348" s="386">
        <f>F2346*E2348</f>
        <v>0</v>
      </c>
      <c r="G2348" s="225"/>
      <c r="H2348" s="225"/>
      <c r="I2348" s="225"/>
      <c r="J2348" s="225"/>
      <c r="K2348" s="225">
        <v>7.72</v>
      </c>
      <c r="L2348" s="225">
        <f>F2348*K2348</f>
        <v>0</v>
      </c>
      <c r="M2348" s="225">
        <f>H2348+J2348+L2348</f>
        <v>0</v>
      </c>
    </row>
    <row r="2349" spans="1:13" s="88" customFormat="1" hidden="1">
      <c r="A2349" s="367"/>
      <c r="B2349" s="1457"/>
      <c r="C2349" s="223" t="s">
        <v>81</v>
      </c>
      <c r="D2349" s="83" t="s">
        <v>57</v>
      </c>
      <c r="E2349" s="211">
        <v>2.1000000000000001E-2</v>
      </c>
      <c r="F2349" s="386">
        <f>F2346*E2349</f>
        <v>0</v>
      </c>
      <c r="G2349" s="225"/>
      <c r="H2349" s="225"/>
      <c r="I2349" s="225"/>
      <c r="J2349" s="225"/>
      <c r="K2349" s="225">
        <v>3.2</v>
      </c>
      <c r="L2349" s="225">
        <f>F2349*K2349</f>
        <v>0</v>
      </c>
      <c r="M2349" s="225">
        <f>H2349+J2349+L2349</f>
        <v>0</v>
      </c>
    </row>
    <row r="2350" spans="1:13" s="88" customFormat="1" hidden="1">
      <c r="A2350" s="367"/>
      <c r="B2350" s="1457"/>
      <c r="C2350" s="15" t="s">
        <v>210</v>
      </c>
      <c r="D2350" s="211"/>
      <c r="E2350" s="211"/>
      <c r="F2350" s="386"/>
      <c r="G2350" s="225"/>
      <c r="H2350" s="225"/>
      <c r="I2350" s="225"/>
      <c r="J2350" s="225"/>
      <c r="K2350" s="225"/>
      <c r="L2350" s="225"/>
      <c r="M2350" s="225"/>
    </row>
    <row r="2351" spans="1:13" s="88" customFormat="1" hidden="1">
      <c r="A2351" s="367"/>
      <c r="B2351" s="1458"/>
      <c r="C2351" s="223" t="s">
        <v>218</v>
      </c>
      <c r="D2351" s="230" t="s">
        <v>88</v>
      </c>
      <c r="E2351" s="211">
        <v>1.89E-2</v>
      </c>
      <c r="F2351" s="386">
        <f>F2346*E2351</f>
        <v>0</v>
      </c>
      <c r="G2351" s="225">
        <v>87</v>
      </c>
      <c r="H2351" s="225">
        <f>F2351*G2351</f>
        <v>0</v>
      </c>
      <c r="I2351" s="225"/>
      <c r="J2351" s="225"/>
      <c r="K2351" s="225"/>
      <c r="L2351" s="225"/>
      <c r="M2351" s="225">
        <f>H2351+J2351+L2351</f>
        <v>0</v>
      </c>
    </row>
    <row r="2352" spans="1:13" s="88" customFormat="1" hidden="1">
      <c r="A2352" s="140">
        <v>8</v>
      </c>
      <c r="B2352" s="220" t="s">
        <v>551</v>
      </c>
      <c r="C2352" s="151" t="s">
        <v>920</v>
      </c>
      <c r="D2352" s="140" t="s">
        <v>78</v>
      </c>
      <c r="E2352" s="140"/>
      <c r="F2352" s="406">
        <f>'დეფექტური აქტი'!E570</f>
        <v>0</v>
      </c>
      <c r="G2352" s="422"/>
      <c r="H2352" s="422"/>
      <c r="I2352" s="422"/>
      <c r="J2352" s="422"/>
      <c r="K2352" s="422"/>
      <c r="L2352" s="422"/>
      <c r="M2352" s="422"/>
    </row>
    <row r="2353" spans="1:14" s="366" customFormat="1" hidden="1">
      <c r="A2353" s="83"/>
      <c r="B2353" s="1457"/>
      <c r="C2353" s="223" t="s">
        <v>209</v>
      </c>
      <c r="D2353" s="211" t="s">
        <v>80</v>
      </c>
      <c r="E2353" s="211">
        <v>0.3</v>
      </c>
      <c r="F2353" s="386">
        <f>F2352*E2353</f>
        <v>0</v>
      </c>
      <c r="G2353" s="225"/>
      <c r="H2353" s="225"/>
      <c r="I2353" s="225">
        <v>6</v>
      </c>
      <c r="J2353" s="225">
        <f>F2353*I2353</f>
        <v>0</v>
      </c>
      <c r="K2353" s="225"/>
      <c r="L2353" s="225"/>
      <c r="M2353" s="225">
        <f>H2353+J2353+L2353</f>
        <v>0</v>
      </c>
    </row>
    <row r="2354" spans="1:14" s="88" customFormat="1" hidden="1">
      <c r="A2354" s="83"/>
      <c r="B2354" s="1457"/>
      <c r="C2354" s="226" t="s">
        <v>81</v>
      </c>
      <c r="D2354" s="83" t="s">
        <v>57</v>
      </c>
      <c r="E2354" s="211">
        <v>1.6000000000000001E-3</v>
      </c>
      <c r="F2354" s="386">
        <f>F2352*E2354</f>
        <v>0</v>
      </c>
      <c r="G2354" s="225"/>
      <c r="H2354" s="225"/>
      <c r="I2354" s="225"/>
      <c r="J2354" s="225"/>
      <c r="K2354" s="225">
        <v>3.2</v>
      </c>
      <c r="L2354" s="225">
        <f>F2354*K2354</f>
        <v>0</v>
      </c>
      <c r="M2354" s="225">
        <f>H2354+J2354+L2354</f>
        <v>0</v>
      </c>
    </row>
    <row r="2355" spans="1:14" s="88" customFormat="1" hidden="1">
      <c r="A2355" s="83"/>
      <c r="B2355" s="1457"/>
      <c r="C2355" s="15" t="s">
        <v>210</v>
      </c>
      <c r="D2355" s="211"/>
      <c r="E2355" s="211"/>
      <c r="F2355" s="386"/>
      <c r="G2355" s="225"/>
      <c r="H2355" s="225"/>
      <c r="I2355" s="225"/>
      <c r="J2355" s="225"/>
      <c r="K2355" s="225"/>
      <c r="L2355" s="225"/>
      <c r="M2355" s="225"/>
    </row>
    <row r="2356" spans="1:14" s="88" customFormat="1" hidden="1">
      <c r="A2356" s="83"/>
      <c r="B2356" s="1457"/>
      <c r="C2356" s="226" t="s">
        <v>152</v>
      </c>
      <c r="D2356" s="211" t="s">
        <v>97</v>
      </c>
      <c r="E2356" s="211">
        <v>0.45</v>
      </c>
      <c r="F2356" s="386">
        <f>F2352*E2356</f>
        <v>0</v>
      </c>
      <c r="G2356" s="225">
        <v>3.5</v>
      </c>
      <c r="H2356" s="225">
        <f>F2356*G2356</f>
        <v>0</v>
      </c>
      <c r="I2356" s="225"/>
      <c r="J2356" s="225"/>
      <c r="K2356" s="225"/>
      <c r="L2356" s="225"/>
      <c r="M2356" s="225">
        <f>H2356+J2356+L2356</f>
        <v>0</v>
      </c>
    </row>
    <row r="2357" spans="1:14" s="88" customFormat="1" hidden="1">
      <c r="A2357" s="83"/>
      <c r="B2357" s="1458"/>
      <c r="C2357" s="226" t="s">
        <v>214</v>
      </c>
      <c r="D2357" s="86" t="s">
        <v>57</v>
      </c>
      <c r="E2357" s="211">
        <v>1.2999999999999999E-3</v>
      </c>
      <c r="F2357" s="386">
        <f>F2352*E2357</f>
        <v>0</v>
      </c>
      <c r="G2357" s="225">
        <v>3.2</v>
      </c>
      <c r="H2357" s="225">
        <f>F2357*G2357</f>
        <v>0</v>
      </c>
      <c r="I2357" s="225"/>
      <c r="J2357" s="225"/>
      <c r="K2357" s="225"/>
      <c r="L2357" s="225"/>
      <c r="M2357" s="225">
        <f>H2357+J2357+L2357</f>
        <v>0</v>
      </c>
    </row>
    <row r="2358" spans="1:14" s="92" customFormat="1" hidden="1">
      <c r="A2358" s="24"/>
      <c r="B2358" s="24"/>
      <c r="C2358" s="170" t="s">
        <v>359</v>
      </c>
      <c r="D2358" s="277"/>
      <c r="E2358" s="277"/>
      <c r="F2358" s="404"/>
      <c r="G2358" s="613"/>
      <c r="H2358" s="607">
        <f>SUBTOTAL(9,H2321:H2357)</f>
        <v>0</v>
      </c>
      <c r="I2358" s="607"/>
      <c r="J2358" s="607">
        <f>SUBTOTAL(9,J2321:J2357)</f>
        <v>0</v>
      </c>
      <c r="K2358" s="607"/>
      <c r="L2358" s="607">
        <f>SUBTOTAL(9,L2321:L2357)</f>
        <v>0</v>
      </c>
      <c r="M2358" s="607">
        <f>SUBTOTAL(9,M2321:M2357)</f>
        <v>0</v>
      </c>
    </row>
    <row r="2359" spans="1:14" s="92" customFormat="1" hidden="1">
      <c r="A2359" s="279"/>
      <c r="B2359" s="280"/>
      <c r="C2359" s="110" t="s">
        <v>115</v>
      </c>
      <c r="D2359" s="281">
        <f>'დეფექტური აქტი'!E572%</f>
        <v>0.1</v>
      </c>
      <c r="E2359" s="282"/>
      <c r="F2359" s="403"/>
      <c r="G2359" s="613"/>
      <c r="H2359" s="607">
        <f>H2358*D2359</f>
        <v>0</v>
      </c>
      <c r="I2359" s="607">
        <f>I2358*0.1</f>
        <v>0</v>
      </c>
      <c r="J2359" s="607">
        <f>J2358*D2359</f>
        <v>0</v>
      </c>
      <c r="K2359" s="607">
        <f>K2358*0.1</f>
        <v>0</v>
      </c>
      <c r="L2359" s="607">
        <f>L2358*D2359</f>
        <v>0</v>
      </c>
      <c r="M2359" s="607">
        <f>M2358*D2359</f>
        <v>0</v>
      </c>
    </row>
    <row r="2360" spans="1:14" s="92" customFormat="1" hidden="1">
      <c r="A2360" s="279"/>
      <c r="B2360" s="280"/>
      <c r="C2360" s="170" t="s">
        <v>110</v>
      </c>
      <c r="D2360" s="283"/>
      <c r="E2360" s="283"/>
      <c r="F2360" s="405"/>
      <c r="G2360" s="615"/>
      <c r="H2360" s="616">
        <f t="shared" ref="H2360:M2360" si="56">H2358+H2359</f>
        <v>0</v>
      </c>
      <c r="I2360" s="616">
        <f t="shared" si="56"/>
        <v>0</v>
      </c>
      <c r="J2360" s="616">
        <f t="shared" si="56"/>
        <v>0</v>
      </c>
      <c r="K2360" s="616">
        <f t="shared" si="56"/>
        <v>0</v>
      </c>
      <c r="L2360" s="616">
        <f t="shared" si="56"/>
        <v>0</v>
      </c>
      <c r="M2360" s="616">
        <f t="shared" si="56"/>
        <v>0</v>
      </c>
    </row>
    <row r="2361" spans="1:14" s="92" customFormat="1" hidden="1">
      <c r="A2361" s="279"/>
      <c r="B2361" s="280"/>
      <c r="C2361" s="110" t="s">
        <v>116</v>
      </c>
      <c r="D2361" s="284">
        <f>'დეფექტური აქტი'!E574%</f>
        <v>0.08</v>
      </c>
      <c r="E2361" s="283"/>
      <c r="F2361" s="405"/>
      <c r="G2361" s="615"/>
      <c r="H2361" s="616">
        <f>H2360*D2361</f>
        <v>0</v>
      </c>
      <c r="I2361" s="616">
        <f>I2360*0.08</f>
        <v>0</v>
      </c>
      <c r="J2361" s="616">
        <f>J2360*0.08</f>
        <v>0</v>
      </c>
      <c r="K2361" s="616">
        <f>K2360*0.08</f>
        <v>0</v>
      </c>
      <c r="L2361" s="616">
        <f>L2360*D2361</f>
        <v>0</v>
      </c>
      <c r="M2361" s="616">
        <f>M2360*D2361</f>
        <v>0</v>
      </c>
    </row>
    <row r="2362" spans="1:14" s="92" customFormat="1" hidden="1">
      <c r="A2362" s="279"/>
      <c r="B2362" s="280"/>
      <c r="C2362" s="170" t="s">
        <v>1444</v>
      </c>
      <c r="D2362" s="283"/>
      <c r="E2362" s="283"/>
      <c r="F2362" s="405"/>
      <c r="G2362" s="615"/>
      <c r="H2362" s="616">
        <f>H2360+H2361</f>
        <v>0</v>
      </c>
      <c r="I2362" s="616"/>
      <c r="J2362" s="616">
        <f>J2360+J2361</f>
        <v>0</v>
      </c>
      <c r="K2362" s="616"/>
      <c r="L2362" s="616">
        <f>L2360+L2361</f>
        <v>0</v>
      </c>
      <c r="M2362" s="616">
        <f>M2360+M2361</f>
        <v>0</v>
      </c>
    </row>
    <row r="2363" spans="1:14" s="93" customFormat="1" hidden="1">
      <c r="A2363" s="81"/>
      <c r="B2363" s="81"/>
      <c r="C2363" s="34" t="s">
        <v>1432</v>
      </c>
      <c r="D2363" s="24"/>
      <c r="E2363" s="259"/>
      <c r="F2363" s="390"/>
      <c r="G2363" s="607"/>
      <c r="H2363" s="607"/>
      <c r="I2363" s="607"/>
      <c r="J2363" s="607"/>
      <c r="K2363" s="607"/>
      <c r="L2363" s="607"/>
      <c r="M2363" s="607"/>
    </row>
    <row r="2364" spans="1:14" s="88" customFormat="1" ht="27" hidden="1">
      <c r="A2364" s="83">
        <v>1</v>
      </c>
      <c r="B2364" s="1429" t="s">
        <v>908</v>
      </c>
      <c r="C2364" s="353" t="s">
        <v>40</v>
      </c>
      <c r="D2364" s="228" t="s">
        <v>88</v>
      </c>
      <c r="E2364" s="248"/>
      <c r="F2364" s="384">
        <f>'დეფექტური აქტი'!E577*0.4*0.2</f>
        <v>0</v>
      </c>
      <c r="G2364" s="225"/>
      <c r="H2364" s="225"/>
      <c r="I2364" s="225"/>
      <c r="J2364" s="225"/>
      <c r="K2364" s="225"/>
      <c r="L2364" s="225"/>
      <c r="M2364" s="225">
        <f>H2364+J2364+L2364</f>
        <v>0</v>
      </c>
    </row>
    <row r="2365" spans="1:14" s="88" customFormat="1" hidden="1">
      <c r="A2365" s="86"/>
      <c r="B2365" s="1430"/>
      <c r="C2365" s="229" t="s">
        <v>641</v>
      </c>
      <c r="D2365" s="230" t="s">
        <v>80</v>
      </c>
      <c r="E2365" s="250">
        <v>3.27</v>
      </c>
      <c r="F2365" s="387">
        <f>F2364*E2365</f>
        <v>0</v>
      </c>
      <c r="G2365" s="393"/>
      <c r="H2365" s="605"/>
      <c r="I2365" s="393">
        <v>4.5999999999999996</v>
      </c>
      <c r="J2365" s="393">
        <f>F2365*I2365</f>
        <v>0</v>
      </c>
      <c r="K2365" s="393"/>
      <c r="L2365" s="393"/>
      <c r="M2365" s="393">
        <f>H2365+J2365+L2365</f>
        <v>0</v>
      </c>
    </row>
    <row r="2366" spans="1:14" customFormat="1" ht="15" hidden="1">
      <c r="A2366" s="840">
        <v>12</v>
      </c>
      <c r="B2366" s="841" t="s">
        <v>580</v>
      </c>
      <c r="C2366" s="335" t="s">
        <v>1568</v>
      </c>
      <c r="D2366" s="486" t="s">
        <v>122</v>
      </c>
      <c r="E2366" s="859"/>
      <c r="F2366" s="384">
        <f>'დეფექტური აქტი'!E578</f>
        <v>0</v>
      </c>
      <c r="G2366" s="859"/>
      <c r="H2366" s="859"/>
      <c r="I2366" s="859"/>
      <c r="J2366" s="859"/>
      <c r="K2366" s="859"/>
      <c r="L2366" s="859"/>
      <c r="M2366" s="859"/>
      <c r="N2366" s="358"/>
    </row>
    <row r="2367" spans="1:14" customFormat="1" ht="16.5" hidden="1" customHeight="1">
      <c r="A2367" s="840"/>
      <c r="B2367" s="840"/>
      <c r="C2367" s="341" t="s">
        <v>581</v>
      </c>
      <c r="D2367" s="336" t="s">
        <v>80</v>
      </c>
      <c r="E2367" s="859">
        <v>9.6000000000000002E-2</v>
      </c>
      <c r="F2367" s="614">
        <f>F2366*E2367</f>
        <v>0</v>
      </c>
      <c r="G2367" s="859"/>
      <c r="H2367" s="859"/>
      <c r="I2367" s="389">
        <v>6</v>
      </c>
      <c r="J2367" s="389">
        <f>F2367*I2367</f>
        <v>0</v>
      </c>
      <c r="K2367" s="389"/>
      <c r="L2367" s="389"/>
      <c r="M2367" s="389">
        <f>H2367+J2367+L2367</f>
        <v>0</v>
      </c>
      <c r="N2367" s="358"/>
    </row>
    <row r="2368" spans="1:14" customFormat="1" ht="15" hidden="1">
      <c r="A2368" s="840"/>
      <c r="B2368" s="840"/>
      <c r="C2368" s="341" t="s">
        <v>582</v>
      </c>
      <c r="D2368" s="336" t="s">
        <v>57</v>
      </c>
      <c r="E2368" s="859">
        <v>4.4999999999999998E-2</v>
      </c>
      <c r="F2368" s="614">
        <f>F2366*E2368</f>
        <v>0</v>
      </c>
      <c r="G2368" s="859"/>
      <c r="H2368" s="859"/>
      <c r="I2368" s="389"/>
      <c r="J2368" s="389"/>
      <c r="K2368" s="389">
        <v>3.2</v>
      </c>
      <c r="L2368" s="389">
        <f>F2368*K2368</f>
        <v>0</v>
      </c>
      <c r="M2368" s="389">
        <f>H2368+J2368+L2368</f>
        <v>0</v>
      </c>
      <c r="N2368" s="358"/>
    </row>
    <row r="2369" spans="1:14" customFormat="1" ht="15" hidden="1">
      <c r="A2369" s="840"/>
      <c r="B2369" s="840"/>
      <c r="C2369" s="341" t="s">
        <v>109</v>
      </c>
      <c r="D2369" s="336"/>
      <c r="E2369" s="859"/>
      <c r="F2369" s="614"/>
      <c r="G2369" s="859"/>
      <c r="H2369" s="859"/>
      <c r="I2369" s="859"/>
      <c r="J2369" s="859"/>
      <c r="K2369" s="859"/>
      <c r="L2369" s="859"/>
      <c r="M2369" s="859"/>
      <c r="N2369" s="358"/>
    </row>
    <row r="2370" spans="1:14" s="359" customFormat="1" hidden="1">
      <c r="A2370" s="840"/>
      <c r="B2370" s="840"/>
      <c r="C2370" s="341" t="s">
        <v>1381</v>
      </c>
      <c r="D2370" s="486" t="s">
        <v>122</v>
      </c>
      <c r="E2370" s="859">
        <v>1.01</v>
      </c>
      <c r="F2370" s="614">
        <f>F2366*E2370</f>
        <v>0</v>
      </c>
      <c r="G2370" s="389">
        <v>1.7</v>
      </c>
      <c r="H2370" s="856">
        <f>F2370*G2370</f>
        <v>0</v>
      </c>
      <c r="I2370" s="856"/>
      <c r="J2370" s="856"/>
      <c r="K2370" s="856"/>
      <c r="L2370" s="856"/>
      <c r="M2370" s="856">
        <f>H2370+J2370+L2370</f>
        <v>0</v>
      </c>
      <c r="N2370" s="358"/>
    </row>
    <row r="2371" spans="1:14" s="359" customFormat="1" ht="15" hidden="1" customHeight="1">
      <c r="A2371" s="842"/>
      <c r="B2371" s="842"/>
      <c r="C2371" s="344" t="s">
        <v>367</v>
      </c>
      <c r="D2371" s="342" t="s">
        <v>57</v>
      </c>
      <c r="E2371" s="860">
        <v>5.9999999999999995E-4</v>
      </c>
      <c r="F2371" s="861">
        <f>F2366*E2371</f>
        <v>0</v>
      </c>
      <c r="G2371" s="857">
        <v>3.2</v>
      </c>
      <c r="H2371" s="857">
        <f>F2371*G2371</f>
        <v>0</v>
      </c>
      <c r="I2371" s="857"/>
      <c r="J2371" s="857"/>
      <c r="K2371" s="857"/>
      <c r="L2371" s="857"/>
      <c r="M2371" s="857">
        <f>H2371+J2371+L2371</f>
        <v>0</v>
      </c>
      <c r="N2371" s="358"/>
    </row>
    <row r="2372" spans="1:14" s="95" customFormat="1" ht="27" hidden="1">
      <c r="A2372" s="130">
        <v>3</v>
      </c>
      <c r="B2372" s="1429" t="s">
        <v>331</v>
      </c>
      <c r="C2372" s="84" t="s">
        <v>642</v>
      </c>
      <c r="D2372" s="140" t="s">
        <v>113</v>
      </c>
      <c r="E2372" s="94"/>
      <c r="F2372" s="384">
        <f>'დეფექტური აქტი'!E579</f>
        <v>0</v>
      </c>
      <c r="G2372" s="523"/>
      <c r="H2372" s="604"/>
      <c r="I2372" s="225"/>
      <c r="J2372" s="225"/>
      <c r="K2372" s="225"/>
      <c r="L2372" s="225"/>
      <c r="M2372" s="225"/>
    </row>
    <row r="2373" spans="1:14" s="95" customFormat="1" hidden="1">
      <c r="A2373" s="130"/>
      <c r="B2373" s="1448"/>
      <c r="C2373" s="226" t="s">
        <v>209</v>
      </c>
      <c r="D2373" s="211" t="s">
        <v>80</v>
      </c>
      <c r="E2373" s="94">
        <v>1.51</v>
      </c>
      <c r="F2373" s="386">
        <f>F2372*E2373</f>
        <v>0</v>
      </c>
      <c r="G2373" s="523"/>
      <c r="H2373" s="604"/>
      <c r="I2373" s="225">
        <v>4.5999999999999996</v>
      </c>
      <c r="J2373" s="225">
        <f>F2373*I2373</f>
        <v>0</v>
      </c>
      <c r="K2373" s="225"/>
      <c r="L2373" s="225"/>
      <c r="M2373" s="225">
        <f>H2373+J2373+L2373</f>
        <v>0</v>
      </c>
    </row>
    <row r="2374" spans="1:14" s="95" customFormat="1" hidden="1">
      <c r="A2374" s="130"/>
      <c r="B2374" s="1448"/>
      <c r="C2374" s="226" t="s">
        <v>133</v>
      </c>
      <c r="D2374" s="83" t="s">
        <v>57</v>
      </c>
      <c r="E2374" s="240">
        <v>0.13</v>
      </c>
      <c r="F2374" s="386">
        <f>F2372*E2374</f>
        <v>0</v>
      </c>
      <c r="G2374" s="523"/>
      <c r="H2374" s="225"/>
      <c r="I2374" s="225"/>
      <c r="J2374" s="225"/>
      <c r="K2374" s="225">
        <v>3.2</v>
      </c>
      <c r="L2374" s="225">
        <f>F2374*K2374</f>
        <v>0</v>
      </c>
      <c r="M2374" s="225">
        <f>H2374+J2374+L2374</f>
        <v>0</v>
      </c>
    </row>
    <row r="2375" spans="1:14" s="95" customFormat="1" hidden="1">
      <c r="A2375" s="130"/>
      <c r="B2375" s="1448"/>
      <c r="C2375" s="15" t="s">
        <v>210</v>
      </c>
      <c r="D2375" s="211"/>
      <c r="E2375" s="240"/>
      <c r="F2375" s="386"/>
      <c r="G2375" s="523"/>
      <c r="H2375" s="225"/>
      <c r="I2375" s="225"/>
      <c r="J2375" s="225"/>
      <c r="K2375" s="225"/>
      <c r="L2375" s="225"/>
      <c r="M2375" s="225"/>
    </row>
    <row r="2376" spans="1:14" s="95" customFormat="1" hidden="1">
      <c r="A2376" s="130"/>
      <c r="B2376" s="1448"/>
      <c r="C2376" s="84" t="s">
        <v>528</v>
      </c>
      <c r="D2376" s="83" t="s">
        <v>113</v>
      </c>
      <c r="E2376" s="240">
        <v>1</v>
      </c>
      <c r="F2376" s="386">
        <f>F2372*E2376</f>
        <v>0</v>
      </c>
      <c r="G2376" s="225">
        <v>10.199999999999999</v>
      </c>
      <c r="H2376" s="225">
        <f>F2376*G2376</f>
        <v>0</v>
      </c>
      <c r="I2376" s="225"/>
      <c r="J2376" s="225"/>
      <c r="K2376" s="225"/>
      <c r="L2376" s="225"/>
      <c r="M2376" s="225">
        <f>H2376+J2376+L2376</f>
        <v>0</v>
      </c>
    </row>
    <row r="2377" spans="1:14" s="95" customFormat="1" hidden="1">
      <c r="A2377" s="161"/>
      <c r="B2377" s="1430"/>
      <c r="C2377" s="229" t="s">
        <v>214</v>
      </c>
      <c r="D2377" s="86" t="s">
        <v>57</v>
      </c>
      <c r="E2377" s="241">
        <v>7.0000000000000007E-2</v>
      </c>
      <c r="F2377" s="387">
        <f>F2372*E2377</f>
        <v>0</v>
      </c>
      <c r="G2377" s="393">
        <v>3.2</v>
      </c>
      <c r="H2377" s="393">
        <f>F2377*G2377</f>
        <v>0</v>
      </c>
      <c r="I2377" s="393"/>
      <c r="J2377" s="393"/>
      <c r="K2377" s="393"/>
      <c r="L2377" s="393"/>
      <c r="M2377" s="393">
        <f>H2377+J2377+L2377</f>
        <v>0</v>
      </c>
    </row>
    <row r="2378" spans="1:14" s="89" customFormat="1" ht="27" hidden="1">
      <c r="A2378" s="285">
        <v>4</v>
      </c>
      <c r="B2378" s="286"/>
      <c r="C2378" s="28" t="s">
        <v>643</v>
      </c>
      <c r="D2378" s="24" t="s">
        <v>113</v>
      </c>
      <c r="E2378" s="287"/>
      <c r="F2378" s="397">
        <f>'დეფექტური აქტი'!E580</f>
        <v>0</v>
      </c>
      <c r="G2378" s="607">
        <v>4</v>
      </c>
      <c r="H2378" s="607">
        <f>F2378*G2378</f>
        <v>0</v>
      </c>
      <c r="I2378" s="617"/>
      <c r="J2378" s="617"/>
      <c r="K2378" s="617"/>
      <c r="L2378" s="617"/>
      <c r="M2378" s="607">
        <f>H2378+J2378+L2378</f>
        <v>0</v>
      </c>
    </row>
    <row r="2379" spans="1:14" s="93" customFormat="1" ht="27" hidden="1">
      <c r="A2379" s="83">
        <v>5</v>
      </c>
      <c r="B2379" s="1459" t="s">
        <v>750</v>
      </c>
      <c r="C2379" s="84" t="s">
        <v>1083</v>
      </c>
      <c r="D2379" s="228" t="s">
        <v>88</v>
      </c>
      <c r="E2379" s="240"/>
      <c r="F2379" s="384">
        <f>'დეფექტური აქტი'!E581</f>
        <v>0</v>
      </c>
      <c r="G2379" s="523"/>
      <c r="H2379" s="225"/>
      <c r="I2379" s="225"/>
      <c r="J2379" s="225"/>
      <c r="K2379" s="225"/>
      <c r="L2379" s="225"/>
      <c r="M2379" s="225"/>
    </row>
    <row r="2380" spans="1:14" s="93" customFormat="1" hidden="1">
      <c r="A2380" s="132"/>
      <c r="B2380" s="1460"/>
      <c r="C2380" s="226" t="s">
        <v>556</v>
      </c>
      <c r="D2380" s="211" t="s">
        <v>80</v>
      </c>
      <c r="E2380" s="94">
        <v>13.8</v>
      </c>
      <c r="F2380" s="386">
        <f>F2379*E2380</f>
        <v>0</v>
      </c>
      <c r="G2380" s="225"/>
      <c r="H2380" s="604"/>
      <c r="I2380" s="225">
        <v>4.5999999999999996</v>
      </c>
      <c r="J2380" s="225">
        <f>F2380*I2380</f>
        <v>0</v>
      </c>
      <c r="K2380" s="225"/>
      <c r="L2380" s="225"/>
      <c r="M2380" s="225">
        <f>H2380+J2380+L2380</f>
        <v>0</v>
      </c>
    </row>
    <row r="2381" spans="1:14" s="89" customFormat="1" hidden="1">
      <c r="A2381" s="132"/>
      <c r="B2381" s="1460"/>
      <c r="C2381" s="226" t="s">
        <v>181</v>
      </c>
      <c r="D2381" s="83" t="s">
        <v>57</v>
      </c>
      <c r="E2381" s="240">
        <v>0.17</v>
      </c>
      <c r="F2381" s="386">
        <f>F2379*E2381</f>
        <v>0</v>
      </c>
      <c r="G2381" s="225"/>
      <c r="H2381" s="225"/>
      <c r="I2381" s="225"/>
      <c r="J2381" s="225"/>
      <c r="K2381" s="225">
        <v>3.2</v>
      </c>
      <c r="L2381" s="225">
        <f>F2381*K2381</f>
        <v>0</v>
      </c>
      <c r="M2381" s="225">
        <f>H2381+J2381+L2381</f>
        <v>0</v>
      </c>
    </row>
    <row r="2382" spans="1:14" s="93" customFormat="1" hidden="1">
      <c r="A2382" s="132"/>
      <c r="B2382" s="1460"/>
      <c r="C2382" s="15" t="s">
        <v>210</v>
      </c>
      <c r="D2382" s="211"/>
      <c r="E2382" s="240"/>
      <c r="F2382" s="386"/>
      <c r="G2382" s="225"/>
      <c r="H2382" s="225"/>
      <c r="I2382" s="225"/>
      <c r="J2382" s="225"/>
      <c r="K2382" s="225"/>
      <c r="L2382" s="225"/>
      <c r="M2382" s="225"/>
    </row>
    <row r="2383" spans="1:14" s="93" customFormat="1" hidden="1">
      <c r="A2383" s="132"/>
      <c r="B2383" s="1460"/>
      <c r="C2383" s="226" t="s">
        <v>1084</v>
      </c>
      <c r="D2383" s="211" t="s">
        <v>78</v>
      </c>
      <c r="E2383" s="240">
        <v>1.03</v>
      </c>
      <c r="F2383" s="388">
        <f>E2383*F2379/0.05</f>
        <v>0</v>
      </c>
      <c r="G2383" s="225">
        <v>2.37</v>
      </c>
      <c r="H2383" s="225">
        <f>F2383*G2383</f>
        <v>0</v>
      </c>
      <c r="I2383" s="225"/>
      <c r="J2383" s="225"/>
      <c r="K2383" s="225"/>
      <c r="L2383" s="225"/>
      <c r="M2383" s="225">
        <f>H2383+J2383+L2383</f>
        <v>0</v>
      </c>
    </row>
    <row r="2384" spans="1:14" s="93" customFormat="1" hidden="1">
      <c r="A2384" s="132"/>
      <c r="B2384" s="1460"/>
      <c r="C2384" s="226" t="s">
        <v>955</v>
      </c>
      <c r="D2384" s="211" t="s">
        <v>97</v>
      </c>
      <c r="E2384" s="240">
        <v>10.6</v>
      </c>
      <c r="F2384" s="386">
        <f>F2379*E2384</f>
        <v>0</v>
      </c>
      <c r="G2384" s="225">
        <v>1.9</v>
      </c>
      <c r="H2384" s="225">
        <f>F2384*G2384</f>
        <v>0</v>
      </c>
      <c r="I2384" s="225"/>
      <c r="J2384" s="225"/>
      <c r="K2384" s="225"/>
      <c r="L2384" s="225"/>
      <c r="M2384" s="225">
        <f>H2384+J2384+L2384</f>
        <v>0</v>
      </c>
    </row>
    <row r="2385" spans="1:13" s="93" customFormat="1" hidden="1">
      <c r="A2385" s="132"/>
      <c r="B2385" s="1460"/>
      <c r="C2385" s="226" t="s">
        <v>558</v>
      </c>
      <c r="D2385" s="211" t="s">
        <v>97</v>
      </c>
      <c r="E2385" s="94">
        <v>1</v>
      </c>
      <c r="F2385" s="386">
        <f>F2379*E2385</f>
        <v>0</v>
      </c>
      <c r="G2385" s="225">
        <v>1.7</v>
      </c>
      <c r="H2385" s="225">
        <f>F2385*G2385</f>
        <v>0</v>
      </c>
      <c r="I2385" s="225"/>
      <c r="J2385" s="225"/>
      <c r="K2385" s="225"/>
      <c r="L2385" s="225"/>
      <c r="M2385" s="225">
        <f>H2385+J2385+L2385</f>
        <v>0</v>
      </c>
    </row>
    <row r="2386" spans="1:13" s="93" customFormat="1" hidden="1">
      <c r="A2386" s="133"/>
      <c r="B2386" s="1461"/>
      <c r="C2386" s="229" t="s">
        <v>214</v>
      </c>
      <c r="D2386" s="86" t="s">
        <v>57</v>
      </c>
      <c r="E2386" s="241">
        <v>0.9</v>
      </c>
      <c r="F2386" s="387">
        <f>F2379*E2386</f>
        <v>0</v>
      </c>
      <c r="G2386" s="393">
        <v>3.2</v>
      </c>
      <c r="H2386" s="393">
        <f>F2386*G2386</f>
        <v>0</v>
      </c>
      <c r="I2386" s="393"/>
      <c r="J2386" s="393"/>
      <c r="K2386" s="393"/>
      <c r="L2386" s="393"/>
      <c r="M2386" s="393">
        <f>H2386+J2386+L2386</f>
        <v>0</v>
      </c>
    </row>
    <row r="2387" spans="1:13" s="89" customFormat="1" ht="19.5" hidden="1" customHeight="1">
      <c r="A2387" s="83">
        <v>6</v>
      </c>
      <c r="B2387" s="1429" t="s">
        <v>644</v>
      </c>
      <c r="C2387" s="226" t="s">
        <v>645</v>
      </c>
      <c r="D2387" s="228" t="s">
        <v>646</v>
      </c>
      <c r="E2387" s="240"/>
      <c r="F2387" s="384">
        <f>'დეფექტური აქტი'!E582</f>
        <v>0</v>
      </c>
      <c r="G2387" s="523"/>
      <c r="H2387" s="225"/>
      <c r="I2387" s="225"/>
      <c r="J2387" s="225"/>
      <c r="K2387" s="225"/>
      <c r="L2387" s="225"/>
      <c r="M2387" s="225"/>
    </row>
    <row r="2388" spans="1:13" s="93" customFormat="1" hidden="1">
      <c r="A2388" s="288"/>
      <c r="B2388" s="1448"/>
      <c r="C2388" s="226" t="s">
        <v>209</v>
      </c>
      <c r="D2388" s="211" t="s">
        <v>80</v>
      </c>
      <c r="E2388" s="94">
        <v>1.24</v>
      </c>
      <c r="F2388" s="386">
        <f>F2387*E2388</f>
        <v>0</v>
      </c>
      <c r="G2388" s="523"/>
      <c r="H2388" s="604"/>
      <c r="I2388" s="225">
        <v>4.5999999999999996</v>
      </c>
      <c r="J2388" s="225">
        <f>F2388*I2388</f>
        <v>0</v>
      </c>
      <c r="K2388" s="225"/>
      <c r="L2388" s="225"/>
      <c r="M2388" s="225">
        <f>H2388+J2388+L2388</f>
        <v>0</v>
      </c>
    </row>
    <row r="2389" spans="1:13" s="93" customFormat="1" hidden="1">
      <c r="A2389" s="288"/>
      <c r="B2389" s="1448"/>
      <c r="C2389" s="226" t="s">
        <v>133</v>
      </c>
      <c r="D2389" s="83" t="s">
        <v>57</v>
      </c>
      <c r="E2389" s="240">
        <v>0.26</v>
      </c>
      <c r="F2389" s="386">
        <f>F2387*E2389</f>
        <v>0</v>
      </c>
      <c r="G2389" s="523"/>
      <c r="H2389" s="225"/>
      <c r="I2389" s="225"/>
      <c r="J2389" s="225"/>
      <c r="K2389" s="225">
        <v>3.2</v>
      </c>
      <c r="L2389" s="225">
        <f>F2389*K2389</f>
        <v>0</v>
      </c>
      <c r="M2389" s="225">
        <f>H2389+J2389+L2389</f>
        <v>0</v>
      </c>
    </row>
    <row r="2390" spans="1:13" s="93" customFormat="1" hidden="1">
      <c r="A2390" s="288"/>
      <c r="B2390" s="1448"/>
      <c r="C2390" s="15" t="s">
        <v>210</v>
      </c>
      <c r="D2390" s="211"/>
      <c r="E2390" s="240"/>
      <c r="F2390" s="386"/>
      <c r="G2390" s="523"/>
      <c r="H2390" s="225"/>
      <c r="I2390" s="225"/>
      <c r="J2390" s="225"/>
      <c r="K2390" s="225"/>
      <c r="L2390" s="225"/>
      <c r="M2390" s="225"/>
    </row>
    <row r="2391" spans="1:13" s="93" customFormat="1" hidden="1">
      <c r="A2391" s="288"/>
      <c r="B2391" s="1448"/>
      <c r="C2391" s="226" t="s">
        <v>1569</v>
      </c>
      <c r="D2391" s="41" t="s">
        <v>122</v>
      </c>
      <c r="E2391" s="240">
        <v>0.4</v>
      </c>
      <c r="F2391" s="386">
        <f>F2387*E2391</f>
        <v>0</v>
      </c>
      <c r="G2391" s="225">
        <v>1.7</v>
      </c>
      <c r="H2391" s="225">
        <f>F2391*G2391</f>
        <v>0</v>
      </c>
      <c r="I2391" s="225"/>
      <c r="J2391" s="225"/>
      <c r="K2391" s="225"/>
      <c r="L2391" s="225"/>
      <c r="M2391" s="225">
        <f>H2391+J2391+L2391</f>
        <v>0</v>
      </c>
    </row>
    <row r="2392" spans="1:13" s="93" customFormat="1" hidden="1">
      <c r="A2392" s="289"/>
      <c r="B2392" s="1430"/>
      <c r="C2392" s="229" t="s">
        <v>214</v>
      </c>
      <c r="D2392" s="86" t="s">
        <v>57</v>
      </c>
      <c r="E2392" s="241">
        <v>0.14000000000000001</v>
      </c>
      <c r="F2392" s="387">
        <f>F2387*E2392</f>
        <v>0</v>
      </c>
      <c r="G2392" s="393">
        <v>3.2</v>
      </c>
      <c r="H2392" s="393">
        <f>F2392*G2392</f>
        <v>0</v>
      </c>
      <c r="I2392" s="393"/>
      <c r="J2392" s="393"/>
      <c r="K2392" s="393"/>
      <c r="L2392" s="393"/>
      <c r="M2392" s="393">
        <f>H2392+J2392+L2392</f>
        <v>0</v>
      </c>
    </row>
    <row r="2393" spans="1:13" s="93" customFormat="1" ht="27" hidden="1">
      <c r="A2393" s="83">
        <v>7</v>
      </c>
      <c r="B2393" s="1493" t="s">
        <v>99</v>
      </c>
      <c r="C2393" s="226" t="s">
        <v>663</v>
      </c>
      <c r="D2393" s="47" t="s">
        <v>4</v>
      </c>
      <c r="E2393" s="240"/>
      <c r="F2393" s="384">
        <f>'დეფექტური აქტი'!E583</f>
        <v>0</v>
      </c>
      <c r="G2393" s="225"/>
      <c r="H2393" s="225"/>
      <c r="I2393" s="225"/>
      <c r="J2393" s="225"/>
      <c r="K2393" s="225"/>
      <c r="L2393" s="225"/>
      <c r="M2393" s="225"/>
    </row>
    <row r="2394" spans="1:13" s="93" customFormat="1" hidden="1">
      <c r="A2394" s="288"/>
      <c r="B2394" s="1475"/>
      <c r="C2394" s="226" t="s">
        <v>556</v>
      </c>
      <c r="D2394" s="41" t="s">
        <v>4</v>
      </c>
      <c r="E2394" s="94">
        <v>1</v>
      </c>
      <c r="F2394" s="386">
        <f>F2393*E2394</f>
        <v>0</v>
      </c>
      <c r="G2394" s="523"/>
      <c r="H2394" s="604"/>
      <c r="I2394" s="225">
        <v>20</v>
      </c>
      <c r="J2394" s="225">
        <f>F2394*I2394</f>
        <v>0</v>
      </c>
      <c r="K2394" s="225"/>
      <c r="L2394" s="225"/>
      <c r="M2394" s="225">
        <f>H2394+J2394+L2394</f>
        <v>0</v>
      </c>
    </row>
    <row r="2395" spans="1:13" s="93" customFormat="1" hidden="1">
      <c r="A2395" s="83"/>
      <c r="B2395" s="1475"/>
      <c r="C2395" s="15" t="s">
        <v>210</v>
      </c>
      <c r="D2395" s="211"/>
      <c r="E2395" s="240"/>
      <c r="F2395" s="386"/>
      <c r="G2395" s="225"/>
      <c r="H2395" s="225"/>
      <c r="I2395" s="225"/>
      <c r="J2395" s="225"/>
      <c r="K2395" s="225"/>
      <c r="L2395" s="225"/>
      <c r="M2395" s="225"/>
    </row>
    <row r="2396" spans="1:13" s="93" customFormat="1" ht="27" hidden="1">
      <c r="A2396" s="86"/>
      <c r="B2396" s="1494"/>
      <c r="C2396" s="229" t="s">
        <v>663</v>
      </c>
      <c r="D2396" s="43" t="s">
        <v>4</v>
      </c>
      <c r="E2396" s="241">
        <v>1</v>
      </c>
      <c r="F2396" s="387">
        <f>F2393*E2396</f>
        <v>0</v>
      </c>
      <c r="G2396" s="924">
        <v>250</v>
      </c>
      <c r="H2396" s="393">
        <f>F2396*G2396</f>
        <v>0</v>
      </c>
      <c r="I2396" s="393"/>
      <c r="J2396" s="393"/>
      <c r="K2396" s="393"/>
      <c r="L2396" s="393"/>
      <c r="M2396" s="393">
        <f>L2396+J2396+H2396</f>
        <v>0</v>
      </c>
    </row>
    <row r="2397" spans="1:13" s="93" customFormat="1" ht="27" hidden="1">
      <c r="A2397" s="83">
        <v>8</v>
      </c>
      <c r="B2397" s="1456" t="s">
        <v>99</v>
      </c>
      <c r="C2397" s="226" t="s">
        <v>739</v>
      </c>
      <c r="D2397" s="47" t="s">
        <v>4</v>
      </c>
      <c r="E2397" s="240"/>
      <c r="F2397" s="384">
        <f>'დეფექტური აქტი'!E584</f>
        <v>0</v>
      </c>
      <c r="G2397" s="225"/>
      <c r="H2397" s="225"/>
      <c r="I2397" s="225"/>
      <c r="J2397" s="225"/>
      <c r="K2397" s="225"/>
      <c r="L2397" s="225"/>
      <c r="M2397" s="225"/>
    </row>
    <row r="2398" spans="1:13" s="93" customFormat="1" hidden="1">
      <c r="A2398" s="83"/>
      <c r="B2398" s="1457"/>
      <c r="C2398" s="226" t="s">
        <v>556</v>
      </c>
      <c r="D2398" s="41" t="s">
        <v>4</v>
      </c>
      <c r="E2398" s="240">
        <v>1</v>
      </c>
      <c r="F2398" s="386">
        <f>F2397*E2398</f>
        <v>0</v>
      </c>
      <c r="G2398" s="225"/>
      <c r="H2398" s="225"/>
      <c r="I2398" s="618">
        <v>10</v>
      </c>
      <c r="J2398" s="225">
        <f>I2398*F2398</f>
        <v>0</v>
      </c>
      <c r="K2398" s="225"/>
      <c r="L2398" s="225"/>
      <c r="M2398" s="225">
        <f>L2398+J2398+H2398</f>
        <v>0</v>
      </c>
    </row>
    <row r="2399" spans="1:13" s="93" customFormat="1" hidden="1">
      <c r="A2399" s="288"/>
      <c r="B2399" s="1457"/>
      <c r="C2399" s="15" t="s">
        <v>210</v>
      </c>
      <c r="D2399" s="211"/>
      <c r="E2399" s="240"/>
      <c r="F2399" s="386"/>
      <c r="G2399" s="523"/>
      <c r="H2399" s="225"/>
      <c r="I2399" s="225"/>
      <c r="J2399" s="225"/>
      <c r="K2399" s="225"/>
      <c r="L2399" s="225"/>
      <c r="M2399" s="225"/>
    </row>
    <row r="2400" spans="1:13" s="93" customFormat="1" hidden="1">
      <c r="A2400" s="86"/>
      <c r="B2400" s="1458"/>
      <c r="C2400" s="229" t="s">
        <v>709</v>
      </c>
      <c r="D2400" s="43" t="s">
        <v>4</v>
      </c>
      <c r="E2400" s="241">
        <v>1</v>
      </c>
      <c r="F2400" s="387">
        <f>F2397*E2400</f>
        <v>0</v>
      </c>
      <c r="G2400" s="925">
        <v>90</v>
      </c>
      <c r="H2400" s="393">
        <f>G2400*F2400</f>
        <v>0</v>
      </c>
      <c r="I2400" s="393"/>
      <c r="J2400" s="393"/>
      <c r="K2400" s="393"/>
      <c r="L2400" s="393"/>
      <c r="M2400" s="393">
        <f>L2400+J2400+H2400</f>
        <v>0</v>
      </c>
    </row>
    <row r="2401" spans="1:13" s="95" customFormat="1" ht="27" hidden="1">
      <c r="A2401" s="130">
        <v>9</v>
      </c>
      <c r="B2401" s="1456" t="s">
        <v>99</v>
      </c>
      <c r="C2401" s="90" t="s">
        <v>1318</v>
      </c>
      <c r="D2401" s="47" t="s">
        <v>4</v>
      </c>
      <c r="E2401" s="240"/>
      <c r="F2401" s="384">
        <f>'დეფექტური აქტი'!E585</f>
        <v>0</v>
      </c>
      <c r="G2401" s="225"/>
      <c r="H2401" s="225"/>
      <c r="I2401" s="225"/>
      <c r="J2401" s="225"/>
      <c r="K2401" s="225"/>
      <c r="L2401" s="225"/>
      <c r="M2401" s="225"/>
    </row>
    <row r="2402" spans="1:13" s="89" customFormat="1" hidden="1">
      <c r="A2402" s="130"/>
      <c r="B2402" s="1457"/>
      <c r="C2402" s="226" t="s">
        <v>128</v>
      </c>
      <c r="D2402" s="41" t="s">
        <v>4</v>
      </c>
      <c r="E2402" s="211">
        <v>1</v>
      </c>
      <c r="F2402" s="386">
        <f>F2401*E2402</f>
        <v>0</v>
      </c>
      <c r="G2402" s="225"/>
      <c r="H2402" s="225"/>
      <c r="I2402" s="225">
        <v>50</v>
      </c>
      <c r="J2402" s="225">
        <f>F2402*I2402</f>
        <v>0</v>
      </c>
      <c r="K2402" s="225"/>
      <c r="L2402" s="225"/>
      <c r="M2402" s="225">
        <f>H2402+J2402+L2402</f>
        <v>0</v>
      </c>
    </row>
    <row r="2403" spans="1:13" s="89" customFormat="1" hidden="1">
      <c r="A2403" s="130"/>
      <c r="B2403" s="1457"/>
      <c r="C2403" s="15" t="s">
        <v>210</v>
      </c>
      <c r="D2403" s="211"/>
      <c r="E2403" s="211"/>
      <c r="F2403" s="386"/>
      <c r="G2403" s="225"/>
      <c r="H2403" s="225"/>
      <c r="I2403" s="225"/>
      <c r="J2403" s="225"/>
      <c r="K2403" s="225"/>
      <c r="L2403" s="225"/>
      <c r="M2403" s="225"/>
    </row>
    <row r="2404" spans="1:13" s="85" customFormat="1" hidden="1">
      <c r="A2404" s="161"/>
      <c r="B2404" s="1458"/>
      <c r="C2404" s="87" t="s">
        <v>662</v>
      </c>
      <c r="D2404" s="43" t="s">
        <v>4</v>
      </c>
      <c r="E2404" s="230">
        <v>1</v>
      </c>
      <c r="F2404" s="387">
        <f>F2401*E2404</f>
        <v>0</v>
      </c>
      <c r="G2404" s="1079">
        <v>125</v>
      </c>
      <c r="H2404" s="393">
        <f>F2404*G2404</f>
        <v>0</v>
      </c>
      <c r="I2404" s="393"/>
      <c r="J2404" s="393"/>
      <c r="K2404" s="393"/>
      <c r="L2404" s="393"/>
      <c r="M2404" s="393">
        <f>H2404+J2404+L2404</f>
        <v>0</v>
      </c>
    </row>
    <row r="2405" spans="1:13" s="93" customFormat="1" ht="27" hidden="1">
      <c r="A2405" s="130">
        <v>10</v>
      </c>
      <c r="B2405" s="1459" t="s">
        <v>555</v>
      </c>
      <c r="C2405" s="84" t="s">
        <v>1030</v>
      </c>
      <c r="D2405" s="228" t="s">
        <v>88</v>
      </c>
      <c r="E2405" s="240"/>
      <c r="F2405" s="388">
        <f>'დეფექტური აქტი'!E586</f>
        <v>0</v>
      </c>
      <c r="G2405" s="523"/>
      <c r="H2405" s="225"/>
      <c r="I2405" s="225"/>
      <c r="J2405" s="225"/>
      <c r="K2405" s="225"/>
      <c r="L2405" s="225"/>
      <c r="M2405" s="225"/>
    </row>
    <row r="2406" spans="1:13" s="93" customFormat="1" hidden="1">
      <c r="A2406" s="132"/>
      <c r="B2406" s="1460"/>
      <c r="C2406" s="226" t="s">
        <v>556</v>
      </c>
      <c r="D2406" s="211" t="s">
        <v>80</v>
      </c>
      <c r="E2406" s="94">
        <v>13.8</v>
      </c>
      <c r="F2406" s="386">
        <f>F2405*E2406</f>
        <v>0</v>
      </c>
      <c r="G2406" s="225"/>
      <c r="H2406" s="604"/>
      <c r="I2406" s="225">
        <v>4.5999999999999996</v>
      </c>
      <c r="J2406" s="225">
        <f>F2406*I2406</f>
        <v>0</v>
      </c>
      <c r="K2406" s="225"/>
      <c r="L2406" s="225"/>
      <c r="M2406" s="225">
        <f>H2406+J2406+L2406</f>
        <v>0</v>
      </c>
    </row>
    <row r="2407" spans="1:13" s="89" customFormat="1" hidden="1">
      <c r="A2407" s="132"/>
      <c r="B2407" s="1460"/>
      <c r="C2407" s="226" t="s">
        <v>181</v>
      </c>
      <c r="D2407" s="83" t="s">
        <v>57</v>
      </c>
      <c r="E2407" s="240">
        <v>0.17</v>
      </c>
      <c r="F2407" s="386">
        <f>F2405*E2407</f>
        <v>0</v>
      </c>
      <c r="G2407" s="225"/>
      <c r="H2407" s="225"/>
      <c r="I2407" s="225"/>
      <c r="J2407" s="225"/>
      <c r="K2407" s="225">
        <v>3.2</v>
      </c>
      <c r="L2407" s="225">
        <f>F2407*K2407</f>
        <v>0</v>
      </c>
      <c r="M2407" s="225">
        <f>H2407+J2407+L2407</f>
        <v>0</v>
      </c>
    </row>
    <row r="2408" spans="1:13" s="93" customFormat="1" hidden="1">
      <c r="A2408" s="132"/>
      <c r="B2408" s="1460"/>
      <c r="C2408" s="15" t="s">
        <v>210</v>
      </c>
      <c r="D2408" s="211"/>
      <c r="E2408" s="240"/>
      <c r="F2408" s="386"/>
      <c r="G2408" s="225"/>
      <c r="H2408" s="225"/>
      <c r="I2408" s="225"/>
      <c r="J2408" s="225"/>
      <c r="K2408" s="225"/>
      <c r="L2408" s="225"/>
      <c r="M2408" s="225"/>
    </row>
    <row r="2409" spans="1:13" s="93" customFormat="1" hidden="1">
      <c r="A2409" s="132"/>
      <c r="B2409" s="1460"/>
      <c r="C2409" s="226" t="s">
        <v>1084</v>
      </c>
      <c r="D2409" s="211" t="s">
        <v>78</v>
      </c>
      <c r="E2409" s="240">
        <v>1.03</v>
      </c>
      <c r="F2409" s="388">
        <f>E2409*F2405/0.05</f>
        <v>0</v>
      </c>
      <c r="G2409" s="225">
        <v>2.37</v>
      </c>
      <c r="H2409" s="225">
        <f>F2409*G2409</f>
        <v>0</v>
      </c>
      <c r="I2409" s="225"/>
      <c r="J2409" s="225"/>
      <c r="K2409" s="225"/>
      <c r="L2409" s="225"/>
      <c r="M2409" s="225">
        <f>H2409+J2409+L2409</f>
        <v>0</v>
      </c>
    </row>
    <row r="2410" spans="1:13" s="93" customFormat="1" hidden="1">
      <c r="A2410" s="132"/>
      <c r="B2410" s="1460"/>
      <c r="C2410" s="226" t="s">
        <v>955</v>
      </c>
      <c r="D2410" s="211" t="s">
        <v>97</v>
      </c>
      <c r="E2410" s="240">
        <v>10.6</v>
      </c>
      <c r="F2410" s="386">
        <f>F2405*E2410</f>
        <v>0</v>
      </c>
      <c r="G2410" s="225">
        <v>1.9</v>
      </c>
      <c r="H2410" s="225">
        <f>F2410*G2410</f>
        <v>0</v>
      </c>
      <c r="I2410" s="225"/>
      <c r="J2410" s="225"/>
      <c r="K2410" s="225"/>
      <c r="L2410" s="225"/>
      <c r="M2410" s="225">
        <f>H2410+J2410+L2410</f>
        <v>0</v>
      </c>
    </row>
    <row r="2411" spans="1:13" s="93" customFormat="1" hidden="1">
      <c r="A2411" s="132"/>
      <c r="B2411" s="1460"/>
      <c r="C2411" s="226" t="s">
        <v>558</v>
      </c>
      <c r="D2411" s="211" t="s">
        <v>97</v>
      </c>
      <c r="E2411" s="94">
        <v>1</v>
      </c>
      <c r="F2411" s="386">
        <f>F2405*E2411</f>
        <v>0</v>
      </c>
      <c r="G2411" s="225">
        <v>1.7</v>
      </c>
      <c r="H2411" s="225">
        <f>F2411*G2411</f>
        <v>0</v>
      </c>
      <c r="I2411" s="225"/>
      <c r="J2411" s="225"/>
      <c r="K2411" s="225"/>
      <c r="L2411" s="225"/>
      <c r="M2411" s="225">
        <f>H2411+J2411+L2411</f>
        <v>0</v>
      </c>
    </row>
    <row r="2412" spans="1:13" s="93" customFormat="1" hidden="1">
      <c r="A2412" s="133"/>
      <c r="B2412" s="1461"/>
      <c r="C2412" s="229" t="s">
        <v>214</v>
      </c>
      <c r="D2412" s="86" t="s">
        <v>57</v>
      </c>
      <c r="E2412" s="241">
        <v>0.9</v>
      </c>
      <c r="F2412" s="387">
        <f>F2405*E2412</f>
        <v>0</v>
      </c>
      <c r="G2412" s="393">
        <v>3.2</v>
      </c>
      <c r="H2412" s="393">
        <f>F2412*G2412</f>
        <v>0</v>
      </c>
      <c r="I2412" s="393"/>
      <c r="J2412" s="393"/>
      <c r="K2412" s="393"/>
      <c r="L2412" s="393"/>
      <c r="M2412" s="393">
        <f>H2412+J2412+L2412</f>
        <v>0</v>
      </c>
    </row>
    <row r="2413" spans="1:13" hidden="1">
      <c r="A2413" s="81"/>
      <c r="B2413" s="81"/>
      <c r="C2413" s="113" t="s">
        <v>110</v>
      </c>
      <c r="D2413" s="97"/>
      <c r="E2413" s="9"/>
      <c r="F2413" s="382"/>
      <c r="G2413" s="382"/>
      <c r="H2413" s="401">
        <f>SUM(H2364:H2412)</f>
        <v>0</v>
      </c>
      <c r="I2413" s="401"/>
      <c r="J2413" s="401">
        <f>SUM(J2364:J2412)</f>
        <v>0</v>
      </c>
      <c r="K2413" s="401"/>
      <c r="L2413" s="401">
        <f>SUM(L2364:L2412)</f>
        <v>0</v>
      </c>
      <c r="M2413" s="401">
        <f>SUM(M2364:M2412)</f>
        <v>0</v>
      </c>
    </row>
    <row r="2414" spans="1:13" hidden="1">
      <c r="A2414" s="81"/>
      <c r="B2414" s="81"/>
      <c r="C2414" s="70" t="s">
        <v>115</v>
      </c>
      <c r="D2414" s="281">
        <f>'დეფექტური აქტი'!E588%</f>
        <v>0.1</v>
      </c>
      <c r="E2414" s="6"/>
      <c r="F2414" s="398"/>
      <c r="G2414" s="398"/>
      <c r="H2414" s="401">
        <f>H2413*D2414</f>
        <v>0</v>
      </c>
      <c r="I2414" s="401"/>
      <c r="J2414" s="401">
        <f>J2413*D2414</f>
        <v>0</v>
      </c>
      <c r="K2414" s="382"/>
      <c r="L2414" s="401">
        <f>L2413*D2414</f>
        <v>0</v>
      </c>
      <c r="M2414" s="401">
        <f>M2413*D2414</f>
        <v>0</v>
      </c>
    </row>
    <row r="2415" spans="1:13" hidden="1">
      <c r="A2415" s="81"/>
      <c r="B2415" s="81"/>
      <c r="C2415" s="112" t="s">
        <v>110</v>
      </c>
      <c r="D2415" s="283"/>
      <c r="E2415" s="6"/>
      <c r="F2415" s="398"/>
      <c r="G2415" s="398"/>
      <c r="H2415" s="401">
        <f t="shared" ref="H2415:M2415" si="57">H2413+H2414</f>
        <v>0</v>
      </c>
      <c r="I2415" s="401">
        <f t="shared" si="57"/>
        <v>0</v>
      </c>
      <c r="J2415" s="401">
        <f t="shared" si="57"/>
        <v>0</v>
      </c>
      <c r="K2415" s="401">
        <f t="shared" si="57"/>
        <v>0</v>
      </c>
      <c r="L2415" s="401">
        <f t="shared" si="57"/>
        <v>0</v>
      </c>
      <c r="M2415" s="401">
        <f t="shared" si="57"/>
        <v>0</v>
      </c>
    </row>
    <row r="2416" spans="1:13" hidden="1">
      <c r="A2416" s="81"/>
      <c r="B2416" s="81"/>
      <c r="C2416" s="71" t="s">
        <v>116</v>
      </c>
      <c r="D2416" s="281">
        <f>'დეფექტური აქტი'!E590%</f>
        <v>0.08</v>
      </c>
      <c r="E2416" s="6"/>
      <c r="F2416" s="398"/>
      <c r="G2416" s="398"/>
      <c r="H2416" s="401">
        <f>H2415*D2416</f>
        <v>0</v>
      </c>
      <c r="I2416" s="382"/>
      <c r="J2416" s="401">
        <f>J2415*D2416</f>
        <v>0</v>
      </c>
      <c r="K2416" s="382"/>
      <c r="L2416" s="401">
        <f>L2415*D2416</f>
        <v>0</v>
      </c>
      <c r="M2416" s="401">
        <f>M2415*D2416</f>
        <v>0</v>
      </c>
    </row>
    <row r="2417" spans="1:13" hidden="1">
      <c r="A2417" s="81"/>
      <c r="B2417" s="81"/>
      <c r="C2417" s="112" t="s">
        <v>1445</v>
      </c>
      <c r="D2417" s="97"/>
      <c r="E2417" s="6"/>
      <c r="F2417" s="398"/>
      <c r="G2417" s="398"/>
      <c r="H2417" s="401">
        <f t="shared" ref="H2417:M2417" si="58">H2415+H2416</f>
        <v>0</v>
      </c>
      <c r="I2417" s="401">
        <f t="shared" si="58"/>
        <v>0</v>
      </c>
      <c r="J2417" s="401">
        <f t="shared" si="58"/>
        <v>0</v>
      </c>
      <c r="K2417" s="401">
        <f t="shared" si="58"/>
        <v>0</v>
      </c>
      <c r="L2417" s="401">
        <f t="shared" si="58"/>
        <v>0</v>
      </c>
      <c r="M2417" s="401">
        <f t="shared" si="58"/>
        <v>0</v>
      </c>
    </row>
    <row r="2418" spans="1:13" s="93" customFormat="1" hidden="1">
      <c r="A2418" s="81"/>
      <c r="B2418" s="81"/>
      <c r="C2418" s="34" t="s">
        <v>1434</v>
      </c>
      <c r="D2418" s="24"/>
      <c r="E2418" s="259"/>
      <c r="F2418" s="390"/>
      <c r="G2418" s="607"/>
      <c r="H2418" s="607"/>
      <c r="I2418" s="607"/>
      <c r="J2418" s="607"/>
      <c r="K2418" s="607"/>
      <c r="L2418" s="607"/>
      <c r="M2418" s="607"/>
    </row>
    <row r="2419" spans="1:13" s="93" customFormat="1" ht="27" hidden="1">
      <c r="A2419" s="130">
        <v>1</v>
      </c>
      <c r="B2419" s="1429" t="s">
        <v>559</v>
      </c>
      <c r="C2419" s="84" t="s">
        <v>828</v>
      </c>
      <c r="D2419" s="41" t="s">
        <v>4</v>
      </c>
      <c r="E2419" s="83"/>
      <c r="F2419" s="388">
        <f>'დეფექტური აქტი'!E593</f>
        <v>0</v>
      </c>
      <c r="G2419" s="386"/>
      <c r="H2419" s="386"/>
      <c r="I2419" s="619"/>
      <c r="J2419" s="603"/>
      <c r="K2419" s="386"/>
      <c r="L2419" s="386"/>
      <c r="M2419" s="386"/>
    </row>
    <row r="2420" spans="1:13" s="290" customFormat="1" hidden="1">
      <c r="A2420" s="130"/>
      <c r="B2420" s="1448"/>
      <c r="C2420" s="226" t="s">
        <v>209</v>
      </c>
      <c r="D2420" s="240" t="s">
        <v>80</v>
      </c>
      <c r="E2420" s="94">
        <v>88.6</v>
      </c>
      <c r="F2420" s="386">
        <f>F2419*E2420</f>
        <v>0</v>
      </c>
      <c r="G2420" s="225"/>
      <c r="H2420" s="225"/>
      <c r="I2420" s="225">
        <v>4.5999999999999996</v>
      </c>
      <c r="J2420" s="225">
        <f>F2420*I2420</f>
        <v>0</v>
      </c>
      <c r="K2420" s="225"/>
      <c r="L2420" s="225"/>
      <c r="M2420" s="225">
        <f>H2420+J2420+L2420</f>
        <v>0</v>
      </c>
    </row>
    <row r="2421" spans="1:13" s="85" customFormat="1" hidden="1">
      <c r="A2421" s="130"/>
      <c r="B2421" s="1448"/>
      <c r="C2421" s="226" t="s">
        <v>133</v>
      </c>
      <c r="D2421" s="83" t="s">
        <v>57</v>
      </c>
      <c r="E2421" s="240">
        <v>14.7</v>
      </c>
      <c r="F2421" s="386">
        <f>F2419*E2421</f>
        <v>0</v>
      </c>
      <c r="G2421" s="225"/>
      <c r="H2421" s="225"/>
      <c r="I2421" s="523"/>
      <c r="J2421" s="225"/>
      <c r="K2421" s="225">
        <v>3.2</v>
      </c>
      <c r="L2421" s="225">
        <f>F2421*K2421</f>
        <v>0</v>
      </c>
      <c r="M2421" s="225">
        <f>H2421+J2421+L2421</f>
        <v>0</v>
      </c>
    </row>
    <row r="2422" spans="1:13" s="85" customFormat="1" hidden="1">
      <c r="A2422" s="130"/>
      <c r="B2422" s="1448"/>
      <c r="C2422" s="15" t="s">
        <v>210</v>
      </c>
      <c r="D2422" s="240"/>
      <c r="E2422" s="240"/>
      <c r="F2422" s="386"/>
      <c r="G2422" s="225"/>
      <c r="H2422" s="225"/>
      <c r="I2422" s="523"/>
      <c r="J2422" s="225"/>
      <c r="K2422" s="225"/>
      <c r="L2422" s="225"/>
      <c r="M2422" s="225"/>
    </row>
    <row r="2423" spans="1:13" s="85" customFormat="1" ht="27" hidden="1">
      <c r="A2423" s="161"/>
      <c r="B2423" s="1430"/>
      <c r="C2423" s="229" t="s">
        <v>822</v>
      </c>
      <c r="D2423" s="43" t="s">
        <v>4</v>
      </c>
      <c r="E2423" s="241">
        <v>1</v>
      </c>
      <c r="F2423" s="387">
        <f>F2419*E2423</f>
        <v>0</v>
      </c>
      <c r="G2423" s="926">
        <v>2712</v>
      </c>
      <c r="H2423" s="393">
        <f>F2423*G2423</f>
        <v>0</v>
      </c>
      <c r="I2423" s="393"/>
      <c r="J2423" s="393"/>
      <c r="K2423" s="393"/>
      <c r="L2423" s="393"/>
      <c r="M2423" s="393">
        <f>H2423+J2423+L2423</f>
        <v>0</v>
      </c>
    </row>
    <row r="2424" spans="1:13" s="93" customFormat="1" ht="27" hidden="1">
      <c r="A2424" s="130">
        <v>2</v>
      </c>
      <c r="B2424" s="1429" t="s">
        <v>559</v>
      </c>
      <c r="C2424" s="84" t="s">
        <v>829</v>
      </c>
      <c r="D2424" s="41" t="s">
        <v>4</v>
      </c>
      <c r="E2424" s="83"/>
      <c r="F2424" s="388">
        <f>'დეფექტური აქტი'!E594</f>
        <v>0</v>
      </c>
      <c r="G2424" s="386"/>
      <c r="H2424" s="386"/>
      <c r="I2424" s="619"/>
      <c r="J2424" s="603"/>
      <c r="K2424" s="386"/>
      <c r="L2424" s="386"/>
      <c r="M2424" s="386"/>
    </row>
    <row r="2425" spans="1:13" s="290" customFormat="1" hidden="1">
      <c r="A2425" s="130"/>
      <c r="B2425" s="1448"/>
      <c r="C2425" s="226" t="s">
        <v>209</v>
      </c>
      <c r="D2425" s="240" t="s">
        <v>80</v>
      </c>
      <c r="E2425" s="94">
        <v>88.6</v>
      </c>
      <c r="F2425" s="386">
        <f>F2424*E2425</f>
        <v>0</v>
      </c>
      <c r="G2425" s="225"/>
      <c r="H2425" s="225"/>
      <c r="I2425" s="225">
        <v>4.5999999999999996</v>
      </c>
      <c r="J2425" s="225">
        <f>F2425*I2425</f>
        <v>0</v>
      </c>
      <c r="K2425" s="225"/>
      <c r="L2425" s="225"/>
      <c r="M2425" s="225">
        <f>H2425+J2425+L2425</f>
        <v>0</v>
      </c>
    </row>
    <row r="2426" spans="1:13" s="85" customFormat="1" hidden="1">
      <c r="A2426" s="130"/>
      <c r="B2426" s="1448"/>
      <c r="C2426" s="226" t="s">
        <v>133</v>
      </c>
      <c r="D2426" s="83" t="s">
        <v>57</v>
      </c>
      <c r="E2426" s="240">
        <v>14.7</v>
      </c>
      <c r="F2426" s="386">
        <f>F2424*E2426</f>
        <v>0</v>
      </c>
      <c r="G2426" s="225"/>
      <c r="H2426" s="225"/>
      <c r="I2426" s="523"/>
      <c r="J2426" s="225"/>
      <c r="K2426" s="225">
        <v>3.2</v>
      </c>
      <c r="L2426" s="225">
        <f>F2426*K2426</f>
        <v>0</v>
      </c>
      <c r="M2426" s="225">
        <f>H2426+J2426+L2426</f>
        <v>0</v>
      </c>
    </row>
    <row r="2427" spans="1:13" s="85" customFormat="1" hidden="1">
      <c r="A2427" s="130"/>
      <c r="B2427" s="1448"/>
      <c r="C2427" s="15" t="s">
        <v>210</v>
      </c>
      <c r="D2427" s="240"/>
      <c r="E2427" s="240"/>
      <c r="F2427" s="386"/>
      <c r="G2427" s="225"/>
      <c r="H2427" s="225"/>
      <c r="I2427" s="523"/>
      <c r="J2427" s="225"/>
      <c r="K2427" s="225"/>
      <c r="L2427" s="225"/>
      <c r="M2427" s="225"/>
    </row>
    <row r="2428" spans="1:13" s="85" customFormat="1" ht="27" hidden="1">
      <c r="A2428" s="161"/>
      <c r="B2428" s="1430"/>
      <c r="C2428" s="229" t="s">
        <v>823</v>
      </c>
      <c r="D2428" s="43" t="s">
        <v>4</v>
      </c>
      <c r="E2428" s="241">
        <v>1</v>
      </c>
      <c r="F2428" s="387">
        <f>F2424*E2428</f>
        <v>0</v>
      </c>
      <c r="G2428" s="926">
        <v>4000</v>
      </c>
      <c r="H2428" s="393">
        <f>F2428*G2428</f>
        <v>0</v>
      </c>
      <c r="I2428" s="393"/>
      <c r="J2428" s="393"/>
      <c r="K2428" s="393"/>
      <c r="L2428" s="393"/>
      <c r="M2428" s="393">
        <f>H2428+J2428+L2428</f>
        <v>0</v>
      </c>
    </row>
    <row r="2429" spans="1:13" s="93" customFormat="1" ht="27" hidden="1">
      <c r="A2429" s="130">
        <v>3</v>
      </c>
      <c r="B2429" s="1429" t="s">
        <v>559</v>
      </c>
      <c r="C2429" s="84" t="s">
        <v>830</v>
      </c>
      <c r="D2429" s="47" t="s">
        <v>4</v>
      </c>
      <c r="E2429" s="83"/>
      <c r="F2429" s="388">
        <f>'დეფექტური აქტი'!E595</f>
        <v>0</v>
      </c>
      <c r="G2429" s="620"/>
      <c r="H2429" s="386"/>
      <c r="I2429" s="619"/>
      <c r="J2429" s="603"/>
      <c r="K2429" s="386"/>
      <c r="L2429" s="386"/>
      <c r="M2429" s="386"/>
    </row>
    <row r="2430" spans="1:13" s="290" customFormat="1" hidden="1">
      <c r="A2430" s="130"/>
      <c r="B2430" s="1448"/>
      <c r="C2430" s="226" t="s">
        <v>209</v>
      </c>
      <c r="D2430" s="240" t="s">
        <v>80</v>
      </c>
      <c r="E2430" s="94">
        <v>88.6</v>
      </c>
      <c r="F2430" s="386">
        <f>F2429*E2430</f>
        <v>0</v>
      </c>
      <c r="G2430" s="618"/>
      <c r="H2430" s="225"/>
      <c r="I2430" s="225">
        <v>4.5999999999999996</v>
      </c>
      <c r="J2430" s="225">
        <f>F2430*I2430</f>
        <v>0</v>
      </c>
      <c r="K2430" s="225"/>
      <c r="L2430" s="225"/>
      <c r="M2430" s="225">
        <f>H2430+J2430+L2430</f>
        <v>0</v>
      </c>
    </row>
    <row r="2431" spans="1:13" s="85" customFormat="1" hidden="1">
      <c r="A2431" s="130"/>
      <c r="B2431" s="1448"/>
      <c r="C2431" s="226" t="s">
        <v>133</v>
      </c>
      <c r="D2431" s="83" t="s">
        <v>57</v>
      </c>
      <c r="E2431" s="240">
        <v>14.7</v>
      </c>
      <c r="F2431" s="386">
        <f>F2429*E2431</f>
        <v>0</v>
      </c>
      <c r="G2431" s="618"/>
      <c r="H2431" s="225"/>
      <c r="I2431" s="523"/>
      <c r="J2431" s="225"/>
      <c r="K2431" s="225">
        <v>3.2</v>
      </c>
      <c r="L2431" s="225">
        <f>F2431*K2431</f>
        <v>0</v>
      </c>
      <c r="M2431" s="225">
        <f>H2431+J2431+L2431</f>
        <v>0</v>
      </c>
    </row>
    <row r="2432" spans="1:13" s="85" customFormat="1" hidden="1">
      <c r="A2432" s="130"/>
      <c r="B2432" s="1448"/>
      <c r="C2432" s="15" t="s">
        <v>210</v>
      </c>
      <c r="D2432" s="240"/>
      <c r="E2432" s="240"/>
      <c r="F2432" s="386"/>
      <c r="G2432" s="618"/>
      <c r="H2432" s="225"/>
      <c r="I2432" s="523"/>
      <c r="J2432" s="225"/>
      <c r="K2432" s="225"/>
      <c r="L2432" s="225"/>
      <c r="M2432" s="225"/>
    </row>
    <row r="2433" spans="1:13" s="85" customFormat="1" ht="27" hidden="1">
      <c r="A2433" s="161"/>
      <c r="B2433" s="1430"/>
      <c r="C2433" s="229" t="s">
        <v>824</v>
      </c>
      <c r="D2433" s="43" t="s">
        <v>4</v>
      </c>
      <c r="E2433" s="241">
        <v>1</v>
      </c>
      <c r="F2433" s="387">
        <f>F2429*E2433</f>
        <v>0</v>
      </c>
      <c r="G2433" s="926">
        <v>5500</v>
      </c>
      <c r="H2433" s="393">
        <f>F2433*G2433</f>
        <v>0</v>
      </c>
      <c r="I2433" s="393"/>
      <c r="J2433" s="393"/>
      <c r="K2433" s="393"/>
      <c r="L2433" s="393"/>
      <c r="M2433" s="393">
        <f>H2433+J2433+L2433</f>
        <v>0</v>
      </c>
    </row>
    <row r="2434" spans="1:13" s="93" customFormat="1" ht="27" hidden="1">
      <c r="A2434" s="130">
        <v>4</v>
      </c>
      <c r="B2434" s="1429" t="s">
        <v>559</v>
      </c>
      <c r="C2434" s="84" t="s">
        <v>831</v>
      </c>
      <c r="D2434" s="47" t="s">
        <v>4</v>
      </c>
      <c r="E2434" s="83"/>
      <c r="F2434" s="388">
        <f>'დეფექტური აქტი'!E596</f>
        <v>0</v>
      </c>
      <c r="G2434" s="620"/>
      <c r="H2434" s="386"/>
      <c r="I2434" s="619"/>
      <c r="J2434" s="603"/>
      <c r="K2434" s="386"/>
      <c r="L2434" s="386"/>
      <c r="M2434" s="386"/>
    </row>
    <row r="2435" spans="1:13" s="290" customFormat="1" hidden="1">
      <c r="A2435" s="130"/>
      <c r="B2435" s="1448"/>
      <c r="C2435" s="226" t="s">
        <v>209</v>
      </c>
      <c r="D2435" s="240" t="s">
        <v>80</v>
      </c>
      <c r="E2435" s="94">
        <v>88.6</v>
      </c>
      <c r="F2435" s="386">
        <f>F2434*E2435</f>
        <v>0</v>
      </c>
      <c r="G2435" s="618"/>
      <c r="H2435" s="225"/>
      <c r="I2435" s="225">
        <v>4.5999999999999996</v>
      </c>
      <c r="J2435" s="225">
        <f>F2435*I2435</f>
        <v>0</v>
      </c>
      <c r="K2435" s="225"/>
      <c r="L2435" s="225"/>
      <c r="M2435" s="225">
        <f>H2435+J2435+L2435</f>
        <v>0</v>
      </c>
    </row>
    <row r="2436" spans="1:13" s="85" customFormat="1" hidden="1">
      <c r="A2436" s="130"/>
      <c r="B2436" s="1448"/>
      <c r="C2436" s="226" t="s">
        <v>133</v>
      </c>
      <c r="D2436" s="83" t="s">
        <v>57</v>
      </c>
      <c r="E2436" s="240">
        <v>14.7</v>
      </c>
      <c r="F2436" s="386">
        <f>F2434*E2436</f>
        <v>0</v>
      </c>
      <c r="G2436" s="618"/>
      <c r="H2436" s="225"/>
      <c r="I2436" s="523"/>
      <c r="J2436" s="225"/>
      <c r="K2436" s="225">
        <v>3.2</v>
      </c>
      <c r="L2436" s="225">
        <f>F2436*K2436</f>
        <v>0</v>
      </c>
      <c r="M2436" s="225">
        <f>H2436+J2436+L2436</f>
        <v>0</v>
      </c>
    </row>
    <row r="2437" spans="1:13" s="85" customFormat="1" hidden="1">
      <c r="A2437" s="130"/>
      <c r="B2437" s="1448"/>
      <c r="C2437" s="15" t="s">
        <v>210</v>
      </c>
      <c r="D2437" s="240"/>
      <c r="E2437" s="240"/>
      <c r="F2437" s="386"/>
      <c r="G2437" s="618"/>
      <c r="H2437" s="225"/>
      <c r="I2437" s="523"/>
      <c r="J2437" s="225"/>
      <c r="K2437" s="225"/>
      <c r="L2437" s="225"/>
      <c r="M2437" s="225"/>
    </row>
    <row r="2438" spans="1:13" s="85" customFormat="1" ht="27" hidden="1">
      <c r="A2438" s="161"/>
      <c r="B2438" s="1430"/>
      <c r="C2438" s="229" t="s">
        <v>825</v>
      </c>
      <c r="D2438" s="43" t="s">
        <v>4</v>
      </c>
      <c r="E2438" s="241">
        <v>1</v>
      </c>
      <c r="F2438" s="387">
        <f>F2434*E2438</f>
        <v>0</v>
      </c>
      <c r="G2438" s="926">
        <v>8500</v>
      </c>
      <c r="H2438" s="393">
        <f>F2438*G2438</f>
        <v>0</v>
      </c>
      <c r="I2438" s="393"/>
      <c r="J2438" s="393"/>
      <c r="K2438" s="393"/>
      <c r="L2438" s="393"/>
      <c r="M2438" s="393">
        <f>H2438+J2438+L2438</f>
        <v>0</v>
      </c>
    </row>
    <row r="2439" spans="1:13" s="93" customFormat="1" ht="27" hidden="1">
      <c r="A2439" s="130">
        <v>5</v>
      </c>
      <c r="B2439" s="1429" t="s">
        <v>559</v>
      </c>
      <c r="C2439" s="84" t="s">
        <v>832</v>
      </c>
      <c r="D2439" s="47" t="s">
        <v>4</v>
      </c>
      <c r="E2439" s="83"/>
      <c r="F2439" s="388">
        <f>'დეფექტური აქტი'!E597</f>
        <v>0</v>
      </c>
      <c r="G2439" s="620"/>
      <c r="H2439" s="386"/>
      <c r="I2439" s="619"/>
      <c r="J2439" s="603"/>
      <c r="K2439" s="386"/>
      <c r="L2439" s="386"/>
      <c r="M2439" s="386"/>
    </row>
    <row r="2440" spans="1:13" s="290" customFormat="1" hidden="1">
      <c r="A2440" s="130"/>
      <c r="B2440" s="1448"/>
      <c r="C2440" s="226" t="s">
        <v>209</v>
      </c>
      <c r="D2440" s="240" t="s">
        <v>80</v>
      </c>
      <c r="E2440" s="94">
        <v>88.6</v>
      </c>
      <c r="F2440" s="386">
        <f>F2439*E2440</f>
        <v>0</v>
      </c>
      <c r="G2440" s="618"/>
      <c r="H2440" s="225"/>
      <c r="I2440" s="225">
        <v>4.5999999999999996</v>
      </c>
      <c r="J2440" s="225">
        <f>F2440*I2440</f>
        <v>0</v>
      </c>
      <c r="K2440" s="225"/>
      <c r="L2440" s="225"/>
      <c r="M2440" s="225">
        <f>H2440+J2440+L2440</f>
        <v>0</v>
      </c>
    </row>
    <row r="2441" spans="1:13" s="85" customFormat="1" hidden="1">
      <c r="A2441" s="130"/>
      <c r="B2441" s="1448"/>
      <c r="C2441" s="226" t="s">
        <v>133</v>
      </c>
      <c r="D2441" s="83" t="s">
        <v>57</v>
      </c>
      <c r="E2441" s="240">
        <v>14.7</v>
      </c>
      <c r="F2441" s="386">
        <f>F2439*E2441</f>
        <v>0</v>
      </c>
      <c r="G2441" s="618"/>
      <c r="H2441" s="225"/>
      <c r="I2441" s="523"/>
      <c r="J2441" s="225"/>
      <c r="K2441" s="225">
        <v>3.2</v>
      </c>
      <c r="L2441" s="225">
        <f>F2441*K2441</f>
        <v>0</v>
      </c>
      <c r="M2441" s="225">
        <f>H2441+J2441+L2441</f>
        <v>0</v>
      </c>
    </row>
    <row r="2442" spans="1:13" s="85" customFormat="1" hidden="1">
      <c r="A2442" s="130"/>
      <c r="B2442" s="1448"/>
      <c r="C2442" s="15" t="s">
        <v>210</v>
      </c>
      <c r="D2442" s="240"/>
      <c r="E2442" s="240"/>
      <c r="F2442" s="386"/>
      <c r="G2442" s="618"/>
      <c r="H2442" s="225"/>
      <c r="I2442" s="523"/>
      <c r="J2442" s="225"/>
      <c r="K2442" s="225"/>
      <c r="L2442" s="225"/>
      <c r="M2442" s="225"/>
    </row>
    <row r="2443" spans="1:13" s="85" customFormat="1" ht="27" hidden="1">
      <c r="A2443" s="161"/>
      <c r="B2443" s="1430"/>
      <c r="C2443" s="229" t="s">
        <v>826</v>
      </c>
      <c r="D2443" s="43" t="s">
        <v>4</v>
      </c>
      <c r="E2443" s="241">
        <v>1</v>
      </c>
      <c r="F2443" s="387">
        <f>F2439*E2443</f>
        <v>0</v>
      </c>
      <c r="G2443" s="926">
        <v>2250</v>
      </c>
      <c r="H2443" s="393">
        <f>F2443*G2443</f>
        <v>0</v>
      </c>
      <c r="I2443" s="393"/>
      <c r="J2443" s="393"/>
      <c r="K2443" s="393"/>
      <c r="L2443" s="393"/>
      <c r="M2443" s="393">
        <f>H2443+J2443+L2443</f>
        <v>0</v>
      </c>
    </row>
    <row r="2444" spans="1:13" s="93" customFormat="1" ht="27" hidden="1">
      <c r="A2444" s="130">
        <v>6</v>
      </c>
      <c r="B2444" s="1429" t="s">
        <v>559</v>
      </c>
      <c r="C2444" s="84" t="s">
        <v>833</v>
      </c>
      <c r="D2444" s="47" t="s">
        <v>4</v>
      </c>
      <c r="E2444" s="83"/>
      <c r="F2444" s="388">
        <f>'დეფექტური აქტი'!E598</f>
        <v>0</v>
      </c>
      <c r="G2444" s="620"/>
      <c r="H2444" s="386"/>
      <c r="I2444" s="619"/>
      <c r="J2444" s="603"/>
      <c r="K2444" s="386"/>
      <c r="L2444" s="386"/>
      <c r="M2444" s="386"/>
    </row>
    <row r="2445" spans="1:13" s="290" customFormat="1" hidden="1">
      <c r="A2445" s="130"/>
      <c r="B2445" s="1448"/>
      <c r="C2445" s="226" t="s">
        <v>209</v>
      </c>
      <c r="D2445" s="240" t="s">
        <v>80</v>
      </c>
      <c r="E2445" s="94">
        <v>88.6</v>
      </c>
      <c r="F2445" s="386">
        <f>F2444*E2445</f>
        <v>0</v>
      </c>
      <c r="G2445" s="618"/>
      <c r="H2445" s="225"/>
      <c r="I2445" s="225">
        <v>4.5999999999999996</v>
      </c>
      <c r="J2445" s="225">
        <f>F2445*I2445</f>
        <v>0</v>
      </c>
      <c r="K2445" s="225"/>
      <c r="L2445" s="225"/>
      <c r="M2445" s="225">
        <f>H2445+J2445+L2445</f>
        <v>0</v>
      </c>
    </row>
    <row r="2446" spans="1:13" s="85" customFormat="1" hidden="1">
      <c r="A2446" s="130"/>
      <c r="B2446" s="1448"/>
      <c r="C2446" s="226" t="s">
        <v>133</v>
      </c>
      <c r="D2446" s="83" t="s">
        <v>57</v>
      </c>
      <c r="E2446" s="240">
        <v>14.7</v>
      </c>
      <c r="F2446" s="386">
        <f>F2444*E2446</f>
        <v>0</v>
      </c>
      <c r="G2446" s="618"/>
      <c r="H2446" s="225"/>
      <c r="I2446" s="523"/>
      <c r="J2446" s="225"/>
      <c r="K2446" s="225">
        <v>3.2</v>
      </c>
      <c r="L2446" s="225">
        <f>F2446*K2446</f>
        <v>0</v>
      </c>
      <c r="M2446" s="225">
        <f>H2446+J2446+L2446</f>
        <v>0</v>
      </c>
    </row>
    <row r="2447" spans="1:13" s="85" customFormat="1" hidden="1">
      <c r="A2447" s="130"/>
      <c r="B2447" s="1448"/>
      <c r="C2447" s="15" t="s">
        <v>210</v>
      </c>
      <c r="D2447" s="240"/>
      <c r="E2447" s="240"/>
      <c r="F2447" s="386"/>
      <c r="G2447" s="618"/>
      <c r="H2447" s="225"/>
      <c r="I2447" s="523"/>
      <c r="J2447" s="225"/>
      <c r="K2447" s="225"/>
      <c r="L2447" s="225"/>
      <c r="M2447" s="225"/>
    </row>
    <row r="2448" spans="1:13" s="85" customFormat="1" ht="27" hidden="1">
      <c r="A2448" s="161"/>
      <c r="B2448" s="1430"/>
      <c r="C2448" s="229" t="s">
        <v>827</v>
      </c>
      <c r="D2448" s="43" t="s">
        <v>4</v>
      </c>
      <c r="E2448" s="241">
        <v>1</v>
      </c>
      <c r="F2448" s="387">
        <f>F2444*E2448</f>
        <v>0</v>
      </c>
      <c r="G2448" s="926">
        <v>3200</v>
      </c>
      <c r="H2448" s="393">
        <f>F2448*G2448</f>
        <v>0</v>
      </c>
      <c r="I2448" s="393"/>
      <c r="J2448" s="393"/>
      <c r="K2448" s="393"/>
      <c r="L2448" s="393"/>
      <c r="M2448" s="393">
        <f>H2448+J2448+L2448</f>
        <v>0</v>
      </c>
    </row>
    <row r="2449" spans="1:13" s="93" customFormat="1" ht="27" hidden="1">
      <c r="A2449" s="130">
        <v>7</v>
      </c>
      <c r="B2449" s="1429" t="s">
        <v>559</v>
      </c>
      <c r="C2449" s="84" t="s">
        <v>834</v>
      </c>
      <c r="D2449" s="47" t="s">
        <v>4</v>
      </c>
      <c r="E2449" s="83"/>
      <c r="F2449" s="388">
        <f>'დეფექტური აქტი'!E599</f>
        <v>0</v>
      </c>
      <c r="G2449" s="620"/>
      <c r="H2449" s="386"/>
      <c r="I2449" s="619"/>
      <c r="J2449" s="603"/>
      <c r="K2449" s="386"/>
      <c r="L2449" s="386"/>
      <c r="M2449" s="386"/>
    </row>
    <row r="2450" spans="1:13" s="290" customFormat="1" hidden="1">
      <c r="A2450" s="130"/>
      <c r="B2450" s="1448"/>
      <c r="C2450" s="226" t="s">
        <v>209</v>
      </c>
      <c r="D2450" s="240" t="s">
        <v>80</v>
      </c>
      <c r="E2450" s="94">
        <v>88.6</v>
      </c>
      <c r="F2450" s="386">
        <f>F2449*E2450</f>
        <v>0</v>
      </c>
      <c r="G2450" s="618"/>
      <c r="H2450" s="225"/>
      <c r="I2450" s="225">
        <v>4.5999999999999996</v>
      </c>
      <c r="J2450" s="225">
        <f>F2450*I2450</f>
        <v>0</v>
      </c>
      <c r="K2450" s="225"/>
      <c r="L2450" s="225"/>
      <c r="M2450" s="225">
        <f>H2450+J2450+L2450</f>
        <v>0</v>
      </c>
    </row>
    <row r="2451" spans="1:13" s="85" customFormat="1" hidden="1">
      <c r="A2451" s="130"/>
      <c r="B2451" s="1448"/>
      <c r="C2451" s="226" t="s">
        <v>133</v>
      </c>
      <c r="D2451" s="83" t="s">
        <v>57</v>
      </c>
      <c r="E2451" s="240">
        <v>14.7</v>
      </c>
      <c r="F2451" s="386">
        <f>F2449*E2451</f>
        <v>0</v>
      </c>
      <c r="G2451" s="618"/>
      <c r="H2451" s="225"/>
      <c r="I2451" s="523"/>
      <c r="J2451" s="225"/>
      <c r="K2451" s="225">
        <v>3.2</v>
      </c>
      <c r="L2451" s="225">
        <f>F2451*K2451</f>
        <v>0</v>
      </c>
      <c r="M2451" s="225">
        <f>H2451+J2451+L2451</f>
        <v>0</v>
      </c>
    </row>
    <row r="2452" spans="1:13" s="85" customFormat="1" hidden="1">
      <c r="A2452" s="130"/>
      <c r="B2452" s="1448"/>
      <c r="C2452" s="15" t="s">
        <v>210</v>
      </c>
      <c r="D2452" s="240"/>
      <c r="E2452" s="240"/>
      <c r="F2452" s="386"/>
      <c r="G2452" s="618"/>
      <c r="H2452" s="225"/>
      <c r="I2452" s="523"/>
      <c r="J2452" s="225"/>
      <c r="K2452" s="225"/>
      <c r="L2452" s="225"/>
      <c r="M2452" s="225"/>
    </row>
    <row r="2453" spans="1:13" s="85" customFormat="1" ht="27" hidden="1">
      <c r="A2453" s="161"/>
      <c r="B2453" s="1430"/>
      <c r="C2453" s="229" t="s">
        <v>835</v>
      </c>
      <c r="D2453" s="43" t="s">
        <v>4</v>
      </c>
      <c r="E2453" s="241">
        <v>1</v>
      </c>
      <c r="F2453" s="387">
        <f>F2449*E2453</f>
        <v>0</v>
      </c>
      <c r="G2453" s="926">
        <v>3900</v>
      </c>
      <c r="H2453" s="393">
        <f>F2453*G2453</f>
        <v>0</v>
      </c>
      <c r="I2453" s="393"/>
      <c r="J2453" s="393"/>
      <c r="K2453" s="393"/>
      <c r="L2453" s="393"/>
      <c r="M2453" s="393">
        <f>H2453+J2453+L2453</f>
        <v>0</v>
      </c>
    </row>
    <row r="2454" spans="1:13" s="85" customFormat="1" ht="27" hidden="1">
      <c r="A2454" s="130">
        <v>8</v>
      </c>
      <c r="B2454" s="1429" t="s">
        <v>99</v>
      </c>
      <c r="C2454" s="84" t="s">
        <v>1085</v>
      </c>
      <c r="D2454" s="47" t="s">
        <v>4</v>
      </c>
      <c r="E2454" s="211"/>
      <c r="F2454" s="388">
        <f>'დეფექტური აქტი'!E600</f>
        <v>0</v>
      </c>
      <c r="G2454" s="621"/>
      <c r="H2454" s="225"/>
      <c r="I2454" s="225"/>
      <c r="J2454" s="225"/>
      <c r="K2454" s="225"/>
      <c r="L2454" s="225"/>
      <c r="M2454" s="225"/>
    </row>
    <row r="2455" spans="1:13" s="85" customFormat="1" hidden="1">
      <c r="A2455" s="130"/>
      <c r="B2455" s="1448"/>
      <c r="C2455" s="226" t="s">
        <v>128</v>
      </c>
      <c r="D2455" s="41" t="s">
        <v>4</v>
      </c>
      <c r="E2455" s="94">
        <v>1</v>
      </c>
      <c r="F2455" s="386">
        <f>F2454*E2455</f>
        <v>0</v>
      </c>
      <c r="G2455" s="621"/>
      <c r="H2455" s="604"/>
      <c r="I2455" s="225">
        <v>50</v>
      </c>
      <c r="J2455" s="225">
        <f>F2455*I2455</f>
        <v>0</v>
      </c>
      <c r="K2455" s="225"/>
      <c r="L2455" s="225"/>
      <c r="M2455" s="225">
        <f>H2455+J2455+L2455</f>
        <v>0</v>
      </c>
    </row>
    <row r="2456" spans="1:13" s="290" customFormat="1" hidden="1">
      <c r="A2456" s="130"/>
      <c r="B2456" s="1448"/>
      <c r="C2456" s="15" t="s">
        <v>210</v>
      </c>
      <c r="D2456" s="240"/>
      <c r="E2456" s="240"/>
      <c r="F2456" s="386"/>
      <c r="G2456" s="621"/>
      <c r="H2456" s="225"/>
      <c r="I2456" s="225"/>
      <c r="J2456" s="225"/>
      <c r="K2456" s="225"/>
      <c r="L2456" s="225"/>
      <c r="M2456" s="225"/>
    </row>
    <row r="2457" spans="1:13" s="92" customFormat="1" hidden="1">
      <c r="A2457" s="161"/>
      <c r="B2457" s="1430"/>
      <c r="C2457" s="229" t="s">
        <v>665</v>
      </c>
      <c r="D2457" s="43" t="s">
        <v>4</v>
      </c>
      <c r="E2457" s="241">
        <v>1</v>
      </c>
      <c r="F2457" s="387">
        <f>F2454*E2457</f>
        <v>0</v>
      </c>
      <c r="G2457" s="926">
        <v>1800</v>
      </c>
      <c r="H2457" s="393">
        <f>F2457*G2457</f>
        <v>0</v>
      </c>
      <c r="I2457" s="393"/>
      <c r="J2457" s="393"/>
      <c r="K2457" s="393"/>
      <c r="L2457" s="393"/>
      <c r="M2457" s="393">
        <f>H2457+J2457+L2457</f>
        <v>0</v>
      </c>
    </row>
    <row r="2458" spans="1:13" s="85" customFormat="1" ht="27" hidden="1">
      <c r="A2458" s="130">
        <v>9</v>
      </c>
      <c r="B2458" s="1429" t="s">
        <v>99</v>
      </c>
      <c r="C2458" s="84" t="s">
        <v>664</v>
      </c>
      <c r="D2458" s="47" t="s">
        <v>4</v>
      </c>
      <c r="E2458" s="211"/>
      <c r="F2458" s="388">
        <f>'დეფექტური აქტი'!E601</f>
        <v>0</v>
      </c>
      <c r="G2458" s="621"/>
      <c r="H2458" s="225"/>
      <c r="I2458" s="225"/>
      <c r="J2458" s="225"/>
      <c r="K2458" s="225"/>
      <c r="L2458" s="225"/>
      <c r="M2458" s="225"/>
    </row>
    <row r="2459" spans="1:13" s="85" customFormat="1" hidden="1">
      <c r="A2459" s="130"/>
      <c r="B2459" s="1448"/>
      <c r="C2459" s="226" t="s">
        <v>128</v>
      </c>
      <c r="D2459" s="41" t="s">
        <v>4</v>
      </c>
      <c r="E2459" s="94">
        <v>1</v>
      </c>
      <c r="F2459" s="386">
        <f>F2458*E2459</f>
        <v>0</v>
      </c>
      <c r="G2459" s="621"/>
      <c r="H2459" s="604"/>
      <c r="I2459" s="225">
        <v>50</v>
      </c>
      <c r="J2459" s="225">
        <f>F2459*I2459</f>
        <v>0</v>
      </c>
      <c r="K2459" s="225"/>
      <c r="L2459" s="225"/>
      <c r="M2459" s="225">
        <f>H2459+J2459+L2459</f>
        <v>0</v>
      </c>
    </row>
    <row r="2460" spans="1:13" s="290" customFormat="1" hidden="1">
      <c r="A2460" s="130"/>
      <c r="B2460" s="1448"/>
      <c r="C2460" s="15" t="s">
        <v>210</v>
      </c>
      <c r="D2460" s="240"/>
      <c r="E2460" s="240"/>
      <c r="F2460" s="386"/>
      <c r="G2460" s="621"/>
      <c r="H2460" s="225"/>
      <c r="I2460" s="225"/>
      <c r="J2460" s="225"/>
      <c r="K2460" s="225"/>
      <c r="L2460" s="225"/>
      <c r="M2460" s="225"/>
    </row>
    <row r="2461" spans="1:13" s="92" customFormat="1" hidden="1">
      <c r="A2461" s="161"/>
      <c r="B2461" s="1430"/>
      <c r="C2461" s="229" t="s">
        <v>665</v>
      </c>
      <c r="D2461" s="43" t="s">
        <v>4</v>
      </c>
      <c r="E2461" s="241">
        <v>1</v>
      </c>
      <c r="F2461" s="387">
        <f>F2458*E2461</f>
        <v>0</v>
      </c>
      <c r="G2461" s="926">
        <v>2500</v>
      </c>
      <c r="H2461" s="393">
        <f>F2461*G2461</f>
        <v>0</v>
      </c>
      <c r="I2461" s="393"/>
      <c r="J2461" s="393"/>
      <c r="K2461" s="393"/>
      <c r="L2461" s="393"/>
      <c r="M2461" s="393">
        <f>H2461+J2461+L2461</f>
        <v>0</v>
      </c>
    </row>
    <row r="2462" spans="1:13" s="85" customFormat="1" ht="27" hidden="1">
      <c r="A2462" s="130">
        <v>10</v>
      </c>
      <c r="B2462" s="1429" t="s">
        <v>99</v>
      </c>
      <c r="C2462" s="84" t="s">
        <v>666</v>
      </c>
      <c r="D2462" s="47" t="s">
        <v>4</v>
      </c>
      <c r="E2462" s="211"/>
      <c r="F2462" s="388">
        <f>'დეფექტური აქტი'!E602</f>
        <v>0</v>
      </c>
      <c r="G2462" s="621"/>
      <c r="H2462" s="225"/>
      <c r="I2462" s="225"/>
      <c r="J2462" s="225"/>
      <c r="K2462" s="225"/>
      <c r="L2462" s="225"/>
      <c r="M2462" s="225"/>
    </row>
    <row r="2463" spans="1:13" s="85" customFormat="1" hidden="1">
      <c r="A2463" s="130"/>
      <c r="B2463" s="1448"/>
      <c r="C2463" s="226" t="s">
        <v>128</v>
      </c>
      <c r="D2463" s="41" t="s">
        <v>4</v>
      </c>
      <c r="E2463" s="94">
        <v>1</v>
      </c>
      <c r="F2463" s="386">
        <f>F2462*E2463</f>
        <v>0</v>
      </c>
      <c r="G2463" s="621"/>
      <c r="H2463" s="604"/>
      <c r="I2463" s="225">
        <v>50</v>
      </c>
      <c r="J2463" s="225">
        <f>F2463*I2463</f>
        <v>0</v>
      </c>
      <c r="K2463" s="225"/>
      <c r="L2463" s="225"/>
      <c r="M2463" s="225">
        <f>H2463+J2463+L2463</f>
        <v>0</v>
      </c>
    </row>
    <row r="2464" spans="1:13" s="290" customFormat="1" hidden="1">
      <c r="A2464" s="130"/>
      <c r="B2464" s="1448"/>
      <c r="C2464" s="15" t="s">
        <v>210</v>
      </c>
      <c r="D2464" s="240"/>
      <c r="E2464" s="240"/>
      <c r="F2464" s="386"/>
      <c r="G2464" s="621"/>
      <c r="H2464" s="225"/>
      <c r="I2464" s="225"/>
      <c r="J2464" s="225"/>
      <c r="K2464" s="225"/>
      <c r="L2464" s="225"/>
      <c r="M2464" s="225"/>
    </row>
    <row r="2465" spans="1:13" s="92" customFormat="1" hidden="1">
      <c r="A2465" s="161"/>
      <c r="B2465" s="1430"/>
      <c r="C2465" s="229" t="s">
        <v>665</v>
      </c>
      <c r="D2465" s="43" t="s">
        <v>4</v>
      </c>
      <c r="E2465" s="241">
        <v>1</v>
      </c>
      <c r="F2465" s="387">
        <f>F2462*E2465</f>
        <v>0</v>
      </c>
      <c r="G2465" s="926">
        <v>3200</v>
      </c>
      <c r="H2465" s="393">
        <f>F2465*G2465</f>
        <v>0</v>
      </c>
      <c r="I2465" s="393"/>
      <c r="J2465" s="393"/>
      <c r="K2465" s="393"/>
      <c r="L2465" s="393"/>
      <c r="M2465" s="393">
        <f>H2465+J2465+L2465</f>
        <v>0</v>
      </c>
    </row>
    <row r="2466" spans="1:13" s="93" customFormat="1" ht="27" hidden="1">
      <c r="A2466" s="83">
        <v>11</v>
      </c>
      <c r="B2466" s="1429" t="s">
        <v>559</v>
      </c>
      <c r="C2466" s="84" t="s">
        <v>1094</v>
      </c>
      <c r="D2466" s="47" t="s">
        <v>4</v>
      </c>
      <c r="E2466" s="83"/>
      <c r="F2466" s="388">
        <f>'დეფექტური აქტი'!E603</f>
        <v>0</v>
      </c>
      <c r="G2466" s="386"/>
      <c r="H2466" s="386"/>
      <c r="I2466" s="619"/>
      <c r="J2466" s="603"/>
      <c r="K2466" s="386"/>
      <c r="L2466" s="386"/>
      <c r="M2466" s="386"/>
    </row>
    <row r="2467" spans="1:13" s="290" customFormat="1" hidden="1">
      <c r="A2467" s="83"/>
      <c r="B2467" s="1448"/>
      <c r="C2467" s="226" t="s">
        <v>209</v>
      </c>
      <c r="D2467" s="41" t="s">
        <v>4</v>
      </c>
      <c r="E2467" s="94">
        <v>1</v>
      </c>
      <c r="F2467" s="386">
        <f>F2466*E2467</f>
        <v>0</v>
      </c>
      <c r="G2467" s="225"/>
      <c r="H2467" s="225"/>
      <c r="I2467" s="225">
        <v>120</v>
      </c>
      <c r="J2467" s="225">
        <f>F2467*I2467</f>
        <v>0</v>
      </c>
      <c r="K2467" s="225"/>
      <c r="L2467" s="225"/>
      <c r="M2467" s="225">
        <f>H2467+J2467+L2467</f>
        <v>0</v>
      </c>
    </row>
    <row r="2468" spans="1:13" s="85" customFormat="1" hidden="1">
      <c r="A2468" s="83"/>
      <c r="B2468" s="1448"/>
      <c r="C2468" s="226" t="s">
        <v>133</v>
      </c>
      <c r="D2468" s="83" t="s">
        <v>57</v>
      </c>
      <c r="E2468" s="240">
        <v>14.7</v>
      </c>
      <c r="F2468" s="386">
        <f>F2466*E2468</f>
        <v>0</v>
      </c>
      <c r="G2468" s="225"/>
      <c r="H2468" s="225"/>
      <c r="I2468" s="523"/>
      <c r="J2468" s="225"/>
      <c r="K2468" s="225">
        <v>3.2</v>
      </c>
      <c r="L2468" s="225">
        <f>F2468*K2468</f>
        <v>0</v>
      </c>
      <c r="M2468" s="225">
        <f>H2468+J2468+L2468</f>
        <v>0</v>
      </c>
    </row>
    <row r="2469" spans="1:13" s="85" customFormat="1" hidden="1">
      <c r="A2469" s="83"/>
      <c r="B2469" s="1448"/>
      <c r="C2469" s="15" t="s">
        <v>210</v>
      </c>
      <c r="D2469" s="240"/>
      <c r="E2469" s="240"/>
      <c r="F2469" s="386"/>
      <c r="G2469" s="225"/>
      <c r="H2469" s="225"/>
      <c r="I2469" s="523"/>
      <c r="J2469" s="225"/>
      <c r="K2469" s="225"/>
      <c r="L2469" s="225"/>
      <c r="M2469" s="225"/>
    </row>
    <row r="2470" spans="1:13" s="85" customFormat="1" hidden="1">
      <c r="A2470" s="86"/>
      <c r="B2470" s="1430"/>
      <c r="C2470" s="229" t="s">
        <v>600</v>
      </c>
      <c r="D2470" s="43" t="s">
        <v>4</v>
      </c>
      <c r="E2470" s="241">
        <v>1</v>
      </c>
      <c r="F2470" s="387">
        <f>F2466*E2470</f>
        <v>0</v>
      </c>
      <c r="G2470" s="925">
        <v>1180</v>
      </c>
      <c r="H2470" s="393">
        <f>F2470*G2470</f>
        <v>0</v>
      </c>
      <c r="I2470" s="393"/>
      <c r="J2470" s="393"/>
      <c r="K2470" s="393"/>
      <c r="L2470" s="393"/>
      <c r="M2470" s="393">
        <f>H2470+J2470+L2470</f>
        <v>0</v>
      </c>
    </row>
    <row r="2471" spans="1:13" s="93" customFormat="1" ht="27" hidden="1">
      <c r="A2471" s="83">
        <v>12</v>
      </c>
      <c r="B2471" s="1429" t="s">
        <v>559</v>
      </c>
      <c r="C2471" s="84" t="s">
        <v>1093</v>
      </c>
      <c r="D2471" s="47" t="s">
        <v>4</v>
      </c>
      <c r="E2471" s="83"/>
      <c r="F2471" s="388">
        <f>'დეფექტური აქტი'!E604</f>
        <v>0</v>
      </c>
      <c r="G2471" s="386"/>
      <c r="H2471" s="386"/>
      <c r="I2471" s="619"/>
      <c r="J2471" s="603"/>
      <c r="K2471" s="386"/>
      <c r="L2471" s="386"/>
      <c r="M2471" s="386"/>
    </row>
    <row r="2472" spans="1:13" s="290" customFormat="1" hidden="1">
      <c r="A2472" s="83"/>
      <c r="B2472" s="1448"/>
      <c r="C2472" s="226" t="s">
        <v>209</v>
      </c>
      <c r="D2472" s="41" t="s">
        <v>4</v>
      </c>
      <c r="E2472" s="94">
        <v>1</v>
      </c>
      <c r="F2472" s="386">
        <f>F2471*E2472</f>
        <v>0</v>
      </c>
      <c r="G2472" s="225"/>
      <c r="H2472" s="225"/>
      <c r="I2472" s="225">
        <v>120</v>
      </c>
      <c r="J2472" s="225">
        <f>F2472*I2472</f>
        <v>0</v>
      </c>
      <c r="K2472" s="225"/>
      <c r="L2472" s="225"/>
      <c r="M2472" s="225">
        <f>H2472+J2472+L2472</f>
        <v>0</v>
      </c>
    </row>
    <row r="2473" spans="1:13" s="85" customFormat="1" hidden="1">
      <c r="A2473" s="83"/>
      <c r="B2473" s="1448"/>
      <c r="C2473" s="226" t="s">
        <v>133</v>
      </c>
      <c r="D2473" s="83" t="s">
        <v>57</v>
      </c>
      <c r="E2473" s="240">
        <v>14.7</v>
      </c>
      <c r="F2473" s="386">
        <f>F2471*E2473</f>
        <v>0</v>
      </c>
      <c r="G2473" s="225"/>
      <c r="H2473" s="225"/>
      <c r="I2473" s="523"/>
      <c r="J2473" s="225"/>
      <c r="K2473" s="225">
        <v>3.2</v>
      </c>
      <c r="L2473" s="225">
        <f>F2473*K2473</f>
        <v>0</v>
      </c>
      <c r="M2473" s="225">
        <f>H2473+J2473+L2473</f>
        <v>0</v>
      </c>
    </row>
    <row r="2474" spans="1:13" s="85" customFormat="1" hidden="1">
      <c r="A2474" s="83"/>
      <c r="B2474" s="1448"/>
      <c r="C2474" s="15" t="s">
        <v>210</v>
      </c>
      <c r="D2474" s="240"/>
      <c r="E2474" s="240"/>
      <c r="F2474" s="386"/>
      <c r="G2474" s="225"/>
      <c r="H2474" s="225"/>
      <c r="I2474" s="523"/>
      <c r="J2474" s="225"/>
      <c r="K2474" s="225"/>
      <c r="L2474" s="225"/>
      <c r="M2474" s="225"/>
    </row>
    <row r="2475" spans="1:13" s="85" customFormat="1" hidden="1">
      <c r="A2475" s="86"/>
      <c r="B2475" s="1430"/>
      <c r="C2475" s="229" t="s">
        <v>600</v>
      </c>
      <c r="D2475" s="43" t="s">
        <v>4</v>
      </c>
      <c r="E2475" s="241">
        <v>1</v>
      </c>
      <c r="F2475" s="387">
        <f>F2471*E2475</f>
        <v>0</v>
      </c>
      <c r="G2475" s="925">
        <v>1600</v>
      </c>
      <c r="H2475" s="393">
        <f>F2475*G2475</f>
        <v>0</v>
      </c>
      <c r="I2475" s="393"/>
      <c r="J2475" s="393"/>
      <c r="K2475" s="393"/>
      <c r="L2475" s="393"/>
      <c r="M2475" s="393">
        <f>H2475+J2475+L2475</f>
        <v>0</v>
      </c>
    </row>
    <row r="2476" spans="1:13" s="85" customFormat="1" hidden="1">
      <c r="A2476" s="83">
        <v>13</v>
      </c>
      <c r="B2476" s="1429" t="s">
        <v>99</v>
      </c>
      <c r="C2476" s="84" t="s">
        <v>601</v>
      </c>
      <c r="D2476" s="47" t="s">
        <v>4</v>
      </c>
      <c r="E2476" s="211"/>
      <c r="F2476" s="388">
        <f>'დეფექტური აქტი'!E605</f>
        <v>0</v>
      </c>
      <c r="G2476" s="523"/>
      <c r="H2476" s="225"/>
      <c r="I2476" s="225"/>
      <c r="J2476" s="225"/>
      <c r="K2476" s="225"/>
      <c r="L2476" s="225"/>
      <c r="M2476" s="225"/>
    </row>
    <row r="2477" spans="1:13" s="85" customFormat="1" hidden="1">
      <c r="A2477" s="83"/>
      <c r="B2477" s="1448"/>
      <c r="C2477" s="226" t="s">
        <v>128</v>
      </c>
      <c r="D2477" s="41" t="s">
        <v>4</v>
      </c>
      <c r="E2477" s="94">
        <v>1</v>
      </c>
      <c r="F2477" s="386">
        <f>F2476*E2477</f>
        <v>0</v>
      </c>
      <c r="G2477" s="523"/>
      <c r="H2477" s="604"/>
      <c r="I2477" s="225">
        <v>20</v>
      </c>
      <c r="J2477" s="225">
        <f>F2477*I2477</f>
        <v>0</v>
      </c>
      <c r="K2477" s="225"/>
      <c r="L2477" s="225"/>
      <c r="M2477" s="225">
        <f>H2477+J2477+L2477</f>
        <v>0</v>
      </c>
    </row>
    <row r="2478" spans="1:13" s="290" customFormat="1" hidden="1">
      <c r="A2478" s="83"/>
      <c r="B2478" s="1448"/>
      <c r="C2478" s="15" t="s">
        <v>210</v>
      </c>
      <c r="D2478" s="240"/>
      <c r="E2478" s="240"/>
      <c r="F2478" s="386"/>
      <c r="G2478" s="523"/>
      <c r="H2478" s="225"/>
      <c r="I2478" s="225"/>
      <c r="J2478" s="225"/>
      <c r="K2478" s="225"/>
      <c r="L2478" s="225"/>
      <c r="M2478" s="225"/>
    </row>
    <row r="2479" spans="1:13" s="92" customFormat="1" hidden="1">
      <c r="A2479" s="86"/>
      <c r="B2479" s="1430"/>
      <c r="C2479" s="229" t="s">
        <v>602</v>
      </c>
      <c r="D2479" s="43" t="s">
        <v>4</v>
      </c>
      <c r="E2479" s="241">
        <v>1</v>
      </c>
      <c r="F2479" s="387">
        <f>F2476*E2479</f>
        <v>0</v>
      </c>
      <c r="G2479" s="925">
        <v>50</v>
      </c>
      <c r="H2479" s="393">
        <f>F2479*G2479</f>
        <v>0</v>
      </c>
      <c r="I2479" s="393"/>
      <c r="J2479" s="393"/>
      <c r="K2479" s="393"/>
      <c r="L2479" s="393"/>
      <c r="M2479" s="393">
        <f>H2479+J2479+L2479</f>
        <v>0</v>
      </c>
    </row>
    <row r="2480" spans="1:13" s="92" customFormat="1" ht="27" hidden="1">
      <c r="A2480" s="83">
        <v>14</v>
      </c>
      <c r="B2480" s="1493" t="s">
        <v>647</v>
      </c>
      <c r="C2480" s="84" t="s">
        <v>667</v>
      </c>
      <c r="D2480" s="47" t="s">
        <v>4</v>
      </c>
      <c r="E2480" s="291"/>
      <c r="F2480" s="388">
        <f>'დეფექტური აქტი'!E606</f>
        <v>0</v>
      </c>
      <c r="G2480" s="622"/>
      <c r="H2480" s="623"/>
      <c r="I2480" s="623"/>
      <c r="J2480" s="225"/>
      <c r="K2480" s="523"/>
      <c r="L2480" s="225"/>
      <c r="M2480" s="225"/>
    </row>
    <row r="2481" spans="1:13" s="92" customFormat="1" hidden="1">
      <c r="A2481" s="83"/>
      <c r="B2481" s="1475"/>
      <c r="C2481" s="226" t="s">
        <v>128</v>
      </c>
      <c r="D2481" s="83" t="s">
        <v>113</v>
      </c>
      <c r="E2481" s="94">
        <v>1</v>
      </c>
      <c r="F2481" s="386">
        <f>F2480*E2481</f>
        <v>0</v>
      </c>
      <c r="G2481" s="523"/>
      <c r="H2481" s="604"/>
      <c r="I2481" s="225">
        <v>50</v>
      </c>
      <c r="J2481" s="225">
        <f>F2481*I2481</f>
        <v>0</v>
      </c>
      <c r="K2481" s="225"/>
      <c r="L2481" s="225"/>
      <c r="M2481" s="225">
        <f>H2481+J2481+L2481</f>
        <v>0</v>
      </c>
    </row>
    <row r="2482" spans="1:13" s="89" customFormat="1" hidden="1">
      <c r="A2482" s="83"/>
      <c r="B2482" s="1475"/>
      <c r="C2482" s="226" t="s">
        <v>81</v>
      </c>
      <c r="D2482" s="83" t="s">
        <v>57</v>
      </c>
      <c r="E2482" s="240">
        <v>13.3</v>
      </c>
      <c r="F2482" s="386">
        <f>F2480*E2482</f>
        <v>0</v>
      </c>
      <c r="G2482" s="523"/>
      <c r="H2482" s="225"/>
      <c r="I2482" s="225"/>
      <c r="J2482" s="225"/>
      <c r="K2482" s="225">
        <v>3.2</v>
      </c>
      <c r="L2482" s="225">
        <f>F2482*K2482</f>
        <v>0</v>
      </c>
      <c r="M2482" s="225">
        <f>H2482+J2482+L2482</f>
        <v>0</v>
      </c>
    </row>
    <row r="2483" spans="1:13" s="92" customFormat="1" hidden="1">
      <c r="A2483" s="83"/>
      <c r="B2483" s="1475"/>
      <c r="C2483" s="15" t="s">
        <v>210</v>
      </c>
      <c r="D2483" s="240"/>
      <c r="E2483" s="240"/>
      <c r="F2483" s="386"/>
      <c r="G2483" s="523"/>
      <c r="H2483" s="225"/>
      <c r="I2483" s="225"/>
      <c r="J2483" s="225"/>
      <c r="K2483" s="225"/>
      <c r="L2483" s="225"/>
      <c r="M2483" s="225"/>
    </row>
    <row r="2484" spans="1:13" s="92" customFormat="1" hidden="1">
      <c r="A2484" s="83"/>
      <c r="B2484" s="1475"/>
      <c r="C2484" s="226" t="s">
        <v>603</v>
      </c>
      <c r="D2484" s="41" t="s">
        <v>4</v>
      </c>
      <c r="E2484" s="240">
        <v>1</v>
      </c>
      <c r="F2484" s="386">
        <f>F2480*E2484</f>
        <v>0</v>
      </c>
      <c r="G2484" s="225">
        <v>254</v>
      </c>
      <c r="H2484" s="225">
        <f>F2484*G2484</f>
        <v>0</v>
      </c>
      <c r="I2484" s="225"/>
      <c r="J2484" s="225"/>
      <c r="K2484" s="225"/>
      <c r="L2484" s="225"/>
      <c r="M2484" s="225">
        <f>H2484+J2484+L2484</f>
        <v>0</v>
      </c>
    </row>
    <row r="2485" spans="1:13" s="89" customFormat="1" hidden="1">
      <c r="A2485" s="86"/>
      <c r="B2485" s="1494"/>
      <c r="C2485" s="229" t="s">
        <v>214</v>
      </c>
      <c r="D2485" s="86" t="s">
        <v>57</v>
      </c>
      <c r="E2485" s="241">
        <v>1.58</v>
      </c>
      <c r="F2485" s="387">
        <f>F2480*E2485</f>
        <v>0</v>
      </c>
      <c r="G2485" s="393">
        <v>3.2</v>
      </c>
      <c r="H2485" s="393">
        <f>F2485*G2485</f>
        <v>0</v>
      </c>
      <c r="I2485" s="393"/>
      <c r="J2485" s="393"/>
      <c r="K2485" s="393"/>
      <c r="L2485" s="393"/>
      <c r="M2485" s="393">
        <f>H2485+J2485+L2485</f>
        <v>0</v>
      </c>
    </row>
    <row r="2486" spans="1:13" s="93" customFormat="1" ht="20.25" hidden="1" customHeight="1">
      <c r="A2486" s="24">
        <v>15</v>
      </c>
      <c r="B2486" s="258"/>
      <c r="C2486" s="100" t="s">
        <v>605</v>
      </c>
      <c r="D2486" s="48" t="s">
        <v>122</v>
      </c>
      <c r="E2486" s="261"/>
      <c r="F2486" s="397">
        <f>'დეფექტური აქტი'!E607</f>
        <v>0</v>
      </c>
      <c r="G2486" s="607">
        <v>2.5</v>
      </c>
      <c r="H2486" s="607">
        <f>F2486*G2486</f>
        <v>0</v>
      </c>
      <c r="I2486" s="607"/>
      <c r="J2486" s="607"/>
      <c r="K2486" s="624"/>
      <c r="L2486" s="607"/>
      <c r="M2486" s="607">
        <f>H2486+J2486+L2486</f>
        <v>0</v>
      </c>
    </row>
    <row r="2487" spans="1:13" s="93" customFormat="1" hidden="1">
      <c r="A2487" s="24">
        <v>16</v>
      </c>
      <c r="B2487" s="258"/>
      <c r="C2487" s="100" t="s">
        <v>606</v>
      </c>
      <c r="D2487" s="158" t="s">
        <v>646</v>
      </c>
      <c r="E2487" s="261"/>
      <c r="F2487" s="397">
        <f>'დეფექტური აქტი'!E608</f>
        <v>0</v>
      </c>
      <c r="G2487" s="607"/>
      <c r="H2487" s="607">
        <f>F2487*G2487</f>
        <v>0</v>
      </c>
      <c r="I2487" s="607">
        <v>5</v>
      </c>
      <c r="J2487" s="607">
        <f>F2487*I2487</f>
        <v>0</v>
      </c>
      <c r="K2487" s="607"/>
      <c r="L2487" s="607"/>
      <c r="M2487" s="607">
        <f>H2487+J2487+L2487</f>
        <v>0</v>
      </c>
    </row>
    <row r="2488" spans="1:13" s="92" customFormat="1" ht="27" hidden="1">
      <c r="A2488" s="130">
        <v>17</v>
      </c>
      <c r="B2488" s="1493" t="s">
        <v>647</v>
      </c>
      <c r="C2488" s="292" t="s">
        <v>1092</v>
      </c>
      <c r="D2488" s="47" t="s">
        <v>4</v>
      </c>
      <c r="E2488" s="291"/>
      <c r="F2488" s="388">
        <f>'დეფექტური აქტი'!E609</f>
        <v>0</v>
      </c>
      <c r="G2488" s="622"/>
      <c r="H2488" s="623"/>
      <c r="I2488" s="623"/>
      <c r="J2488" s="225"/>
      <c r="K2488" s="523"/>
      <c r="L2488" s="225"/>
      <c r="M2488" s="225"/>
    </row>
    <row r="2489" spans="1:13" s="92" customFormat="1" hidden="1">
      <c r="A2489" s="130"/>
      <c r="B2489" s="1475"/>
      <c r="C2489" s="226" t="s">
        <v>128</v>
      </c>
      <c r="D2489" s="83" t="s">
        <v>113</v>
      </c>
      <c r="E2489" s="94">
        <v>1</v>
      </c>
      <c r="F2489" s="386">
        <f>F2488*E2489</f>
        <v>0</v>
      </c>
      <c r="G2489" s="523"/>
      <c r="H2489" s="604"/>
      <c r="I2489" s="225">
        <v>20</v>
      </c>
      <c r="J2489" s="225">
        <f>F2489*I2489</f>
        <v>0</v>
      </c>
      <c r="K2489" s="225"/>
      <c r="L2489" s="225"/>
      <c r="M2489" s="225">
        <f>H2489+J2489+L2489</f>
        <v>0</v>
      </c>
    </row>
    <row r="2490" spans="1:13" s="89" customFormat="1" hidden="1">
      <c r="A2490" s="130"/>
      <c r="B2490" s="1475"/>
      <c r="C2490" s="226" t="s">
        <v>81</v>
      </c>
      <c r="D2490" s="83" t="s">
        <v>57</v>
      </c>
      <c r="E2490" s="240">
        <v>0.22</v>
      </c>
      <c r="F2490" s="386">
        <f>F2488*E2490</f>
        <v>0</v>
      </c>
      <c r="G2490" s="523"/>
      <c r="H2490" s="225"/>
      <c r="I2490" s="225"/>
      <c r="J2490" s="225"/>
      <c r="K2490" s="225">
        <v>3.2</v>
      </c>
      <c r="L2490" s="225">
        <f>F2490*K2490</f>
        <v>0</v>
      </c>
      <c r="M2490" s="225">
        <f>H2490+J2490+L2490</f>
        <v>0</v>
      </c>
    </row>
    <row r="2491" spans="1:13" s="92" customFormat="1" hidden="1">
      <c r="A2491" s="130"/>
      <c r="B2491" s="1475"/>
      <c r="C2491" s="15" t="s">
        <v>210</v>
      </c>
      <c r="D2491" s="240"/>
      <c r="E2491" s="240"/>
      <c r="F2491" s="386"/>
      <c r="G2491" s="523"/>
      <c r="H2491" s="225"/>
      <c r="I2491" s="225"/>
      <c r="J2491" s="225"/>
      <c r="K2491" s="225"/>
      <c r="L2491" s="225"/>
      <c r="M2491" s="225"/>
    </row>
    <row r="2492" spans="1:13" s="92" customFormat="1" hidden="1">
      <c r="A2492" s="130"/>
      <c r="B2492" s="1475"/>
      <c r="C2492" s="226" t="s">
        <v>648</v>
      </c>
      <c r="D2492" s="41" t="s">
        <v>4</v>
      </c>
      <c r="E2492" s="240">
        <v>1</v>
      </c>
      <c r="F2492" s="386">
        <f>F2488*E2492</f>
        <v>0</v>
      </c>
      <c r="G2492" s="600">
        <v>1100</v>
      </c>
      <c r="H2492" s="225">
        <f>F2492*G2492</f>
        <v>0</v>
      </c>
      <c r="I2492" s="225"/>
      <c r="J2492" s="225"/>
      <c r="K2492" s="225"/>
      <c r="L2492" s="225"/>
      <c r="M2492" s="225">
        <f>H2492+J2492+L2492</f>
        <v>0</v>
      </c>
    </row>
    <row r="2493" spans="1:13" s="89" customFormat="1" hidden="1">
      <c r="A2493" s="161"/>
      <c r="B2493" s="1494"/>
      <c r="C2493" s="229" t="s">
        <v>214</v>
      </c>
      <c r="D2493" s="86" t="s">
        <v>57</v>
      </c>
      <c r="E2493" s="241">
        <v>1.58</v>
      </c>
      <c r="F2493" s="387">
        <f>F2488*E2493</f>
        <v>0</v>
      </c>
      <c r="G2493" s="393">
        <v>3.2</v>
      </c>
      <c r="H2493" s="393">
        <f>F2493*G2493</f>
        <v>0</v>
      </c>
      <c r="I2493" s="393"/>
      <c r="J2493" s="393"/>
      <c r="K2493" s="393"/>
      <c r="L2493" s="393"/>
      <c r="M2493" s="393">
        <f>H2493+J2493+L2493</f>
        <v>0</v>
      </c>
    </row>
    <row r="2494" spans="1:13" s="92" customFormat="1" ht="27" hidden="1">
      <c r="A2494" s="130">
        <v>18</v>
      </c>
      <c r="B2494" s="1493" t="s">
        <v>647</v>
      </c>
      <c r="C2494" s="84" t="s">
        <v>777</v>
      </c>
      <c r="D2494" s="47" t="s">
        <v>4</v>
      </c>
      <c r="E2494" s="291"/>
      <c r="F2494" s="388">
        <f>'დეფექტური აქტი'!E610</f>
        <v>0</v>
      </c>
      <c r="G2494" s="622"/>
      <c r="H2494" s="623"/>
      <c r="I2494" s="623"/>
      <c r="J2494" s="225"/>
      <c r="K2494" s="523"/>
      <c r="L2494" s="225"/>
      <c r="M2494" s="225"/>
    </row>
    <row r="2495" spans="1:13" s="92" customFormat="1" hidden="1">
      <c r="A2495" s="130"/>
      <c r="B2495" s="1475"/>
      <c r="C2495" s="226" t="s">
        <v>128</v>
      </c>
      <c r="D2495" s="83" t="s">
        <v>113</v>
      </c>
      <c r="E2495" s="94">
        <v>1</v>
      </c>
      <c r="F2495" s="386">
        <f>F2494*E2495</f>
        <v>0</v>
      </c>
      <c r="G2495" s="523"/>
      <c r="H2495" s="604"/>
      <c r="I2495" s="225">
        <v>20</v>
      </c>
      <c r="J2495" s="225">
        <f>F2495*I2495</f>
        <v>0</v>
      </c>
      <c r="K2495" s="225"/>
      <c r="L2495" s="225"/>
      <c r="M2495" s="225">
        <f>H2495+J2495+L2495</f>
        <v>0</v>
      </c>
    </row>
    <row r="2496" spans="1:13" s="89" customFormat="1" hidden="1">
      <c r="A2496" s="130"/>
      <c r="B2496" s="1475"/>
      <c r="C2496" s="226" t="s">
        <v>81</v>
      </c>
      <c r="D2496" s="83" t="s">
        <v>57</v>
      </c>
      <c r="E2496" s="240">
        <v>0.22</v>
      </c>
      <c r="F2496" s="386">
        <f>F2494*E2496</f>
        <v>0</v>
      </c>
      <c r="G2496" s="523"/>
      <c r="H2496" s="225"/>
      <c r="I2496" s="225"/>
      <c r="J2496" s="225"/>
      <c r="K2496" s="225">
        <v>3.2</v>
      </c>
      <c r="L2496" s="225">
        <f>F2496*K2496</f>
        <v>0</v>
      </c>
      <c r="M2496" s="225">
        <f>H2496+J2496+L2496</f>
        <v>0</v>
      </c>
    </row>
    <row r="2497" spans="1:13" s="92" customFormat="1" hidden="1">
      <c r="A2497" s="130"/>
      <c r="B2497" s="1475"/>
      <c r="C2497" s="15" t="s">
        <v>210</v>
      </c>
      <c r="D2497" s="240"/>
      <c r="E2497" s="240"/>
      <c r="F2497" s="386"/>
      <c r="G2497" s="523"/>
      <c r="H2497" s="225"/>
      <c r="I2497" s="225"/>
      <c r="J2497" s="225"/>
      <c r="K2497" s="225"/>
      <c r="L2497" s="225"/>
      <c r="M2497" s="225"/>
    </row>
    <row r="2498" spans="1:13" s="92" customFormat="1" hidden="1">
      <c r="A2498" s="130"/>
      <c r="B2498" s="1475"/>
      <c r="C2498" s="226" t="s">
        <v>648</v>
      </c>
      <c r="D2498" s="41" t="s">
        <v>4</v>
      </c>
      <c r="E2498" s="240">
        <v>1</v>
      </c>
      <c r="F2498" s="386">
        <f>F2494*E2498</f>
        <v>0</v>
      </c>
      <c r="G2498" s="225">
        <v>900</v>
      </c>
      <c r="H2498" s="225">
        <f>F2498*G2498</f>
        <v>0</v>
      </c>
      <c r="I2498" s="225"/>
      <c r="J2498" s="225"/>
      <c r="K2498" s="225"/>
      <c r="L2498" s="225"/>
      <c r="M2498" s="225">
        <f>H2498+J2498+L2498</f>
        <v>0</v>
      </c>
    </row>
    <row r="2499" spans="1:13" s="89" customFormat="1" hidden="1">
      <c r="A2499" s="161"/>
      <c r="B2499" s="1494"/>
      <c r="C2499" s="229" t="s">
        <v>214</v>
      </c>
      <c r="D2499" s="86" t="s">
        <v>57</v>
      </c>
      <c r="E2499" s="241">
        <v>1.58</v>
      </c>
      <c r="F2499" s="387">
        <f>F2494*E2499</f>
        <v>0</v>
      </c>
      <c r="G2499" s="393">
        <v>3.2</v>
      </c>
      <c r="H2499" s="393">
        <f>F2499*G2499</f>
        <v>0</v>
      </c>
      <c r="I2499" s="393"/>
      <c r="J2499" s="393"/>
      <c r="K2499" s="393"/>
      <c r="L2499" s="393"/>
      <c r="M2499" s="393">
        <f>H2499+J2499+L2499</f>
        <v>0</v>
      </c>
    </row>
    <row r="2500" spans="1:13" s="89" customFormat="1" hidden="1">
      <c r="A2500" s="130">
        <v>19</v>
      </c>
      <c r="B2500" s="1493" t="s">
        <v>647</v>
      </c>
      <c r="C2500" s="84" t="s">
        <v>509</v>
      </c>
      <c r="D2500" s="47" t="s">
        <v>4</v>
      </c>
      <c r="E2500" s="291"/>
      <c r="F2500" s="388">
        <f>'დეფექტური აქტი'!E611</f>
        <v>0</v>
      </c>
      <c r="G2500" s="622"/>
      <c r="H2500" s="623"/>
      <c r="I2500" s="623"/>
      <c r="J2500" s="225"/>
      <c r="K2500" s="523"/>
      <c r="L2500" s="225"/>
      <c r="M2500" s="225"/>
    </row>
    <row r="2501" spans="1:13" s="89" customFormat="1" hidden="1">
      <c r="A2501" s="130"/>
      <c r="B2501" s="1475"/>
      <c r="C2501" s="226" t="s">
        <v>128</v>
      </c>
      <c r="D2501" s="41" t="s">
        <v>4</v>
      </c>
      <c r="E2501" s="94">
        <v>1</v>
      </c>
      <c r="F2501" s="386">
        <f>F2500*E2501</f>
        <v>0</v>
      </c>
      <c r="G2501" s="523"/>
      <c r="H2501" s="604"/>
      <c r="I2501" s="225">
        <v>20</v>
      </c>
      <c r="J2501" s="225">
        <f>F2501*I2501</f>
        <v>0</v>
      </c>
      <c r="K2501" s="225"/>
      <c r="L2501" s="225"/>
      <c r="M2501" s="225">
        <f>H2501+J2501+L2501</f>
        <v>0</v>
      </c>
    </row>
    <row r="2502" spans="1:13" s="89" customFormat="1" hidden="1">
      <c r="A2502" s="130"/>
      <c r="B2502" s="1475"/>
      <c r="C2502" s="226" t="s">
        <v>133</v>
      </c>
      <c r="D2502" s="83" t="s">
        <v>57</v>
      </c>
      <c r="E2502" s="240">
        <v>0.39</v>
      </c>
      <c r="F2502" s="386">
        <f>F2500*E2502</f>
        <v>0</v>
      </c>
      <c r="G2502" s="523"/>
      <c r="H2502" s="225"/>
      <c r="I2502" s="523"/>
      <c r="J2502" s="225"/>
      <c r="K2502" s="225">
        <v>3.2</v>
      </c>
      <c r="L2502" s="225">
        <f>F2502*K2502</f>
        <v>0</v>
      </c>
      <c r="M2502" s="225">
        <f>H2502+J2502+L2502</f>
        <v>0</v>
      </c>
    </row>
    <row r="2503" spans="1:13" s="89" customFormat="1" hidden="1">
      <c r="A2503" s="130"/>
      <c r="B2503" s="1475"/>
      <c r="C2503" s="15" t="s">
        <v>210</v>
      </c>
      <c r="D2503" s="240"/>
      <c r="E2503" s="240"/>
      <c r="F2503" s="386"/>
      <c r="G2503" s="523"/>
      <c r="H2503" s="225"/>
      <c r="I2503" s="225"/>
      <c r="J2503" s="225"/>
      <c r="K2503" s="225"/>
      <c r="L2503" s="225"/>
      <c r="M2503" s="225"/>
    </row>
    <row r="2504" spans="1:13" s="89" customFormat="1" hidden="1">
      <c r="A2504" s="130"/>
      <c r="B2504" s="1475"/>
      <c r="C2504" s="226" t="s">
        <v>509</v>
      </c>
      <c r="D2504" s="41" t="s">
        <v>4</v>
      </c>
      <c r="E2504" s="240">
        <v>1</v>
      </c>
      <c r="F2504" s="386">
        <f>F2500*E2504</f>
        <v>0</v>
      </c>
      <c r="G2504" s="225">
        <v>80</v>
      </c>
      <c r="H2504" s="225">
        <f>F2504*G2504</f>
        <v>0</v>
      </c>
      <c r="I2504" s="225"/>
      <c r="J2504" s="225"/>
      <c r="K2504" s="225"/>
      <c r="L2504" s="225"/>
      <c r="M2504" s="225">
        <f>H2504+J2504+L2504</f>
        <v>0</v>
      </c>
    </row>
    <row r="2505" spans="1:13" s="89" customFormat="1" hidden="1">
      <c r="A2505" s="161"/>
      <c r="B2505" s="1494"/>
      <c r="C2505" s="229" t="s">
        <v>214</v>
      </c>
      <c r="D2505" s="86" t="s">
        <v>57</v>
      </c>
      <c r="E2505" s="241">
        <v>1.58</v>
      </c>
      <c r="F2505" s="387">
        <f>F2500*E2505</f>
        <v>0</v>
      </c>
      <c r="G2505" s="393">
        <v>3.2</v>
      </c>
      <c r="H2505" s="393">
        <f>F2505*G2505</f>
        <v>0</v>
      </c>
      <c r="I2505" s="393"/>
      <c r="J2505" s="393"/>
      <c r="K2505" s="393"/>
      <c r="L2505" s="393"/>
      <c r="M2505" s="393">
        <f>H2505+J2505+L2505</f>
        <v>0</v>
      </c>
    </row>
    <row r="2506" spans="1:13" s="89" customFormat="1" hidden="1">
      <c r="A2506" s="130">
        <v>20</v>
      </c>
      <c r="B2506" s="1429" t="s">
        <v>649</v>
      </c>
      <c r="C2506" s="84" t="s">
        <v>668</v>
      </c>
      <c r="D2506" s="140" t="s">
        <v>113</v>
      </c>
      <c r="E2506" s="83"/>
      <c r="F2506" s="388">
        <f>'დეფექტური აქტი'!E612</f>
        <v>0</v>
      </c>
      <c r="G2506" s="523"/>
      <c r="H2506" s="604"/>
      <c r="I2506" s="225"/>
      <c r="J2506" s="225"/>
      <c r="K2506" s="225"/>
      <c r="L2506" s="225"/>
      <c r="M2506" s="225"/>
    </row>
    <row r="2507" spans="1:13" s="89" customFormat="1" hidden="1">
      <c r="A2507" s="130"/>
      <c r="B2507" s="1448"/>
      <c r="C2507" s="226" t="s">
        <v>209</v>
      </c>
      <c r="D2507" s="240" t="s">
        <v>80</v>
      </c>
      <c r="E2507" s="94">
        <v>3.8</v>
      </c>
      <c r="F2507" s="386">
        <f>F2506*E2507</f>
        <v>0</v>
      </c>
      <c r="G2507" s="523"/>
      <c r="H2507" s="604"/>
      <c r="I2507" s="225">
        <v>4.5999999999999996</v>
      </c>
      <c r="J2507" s="225">
        <f>F2507*I2507</f>
        <v>0</v>
      </c>
      <c r="K2507" s="225"/>
      <c r="L2507" s="225"/>
      <c r="M2507" s="225">
        <f>H2507+J2507+L2507</f>
        <v>0</v>
      </c>
    </row>
    <row r="2508" spans="1:13" s="89" customFormat="1" hidden="1">
      <c r="A2508" s="130"/>
      <c r="B2508" s="1448"/>
      <c r="C2508" s="226" t="s">
        <v>81</v>
      </c>
      <c r="D2508" s="83" t="s">
        <v>57</v>
      </c>
      <c r="E2508" s="240">
        <v>0.22</v>
      </c>
      <c r="F2508" s="386">
        <f>F2506*E2508</f>
        <v>0</v>
      </c>
      <c r="G2508" s="523"/>
      <c r="H2508" s="225"/>
      <c r="I2508" s="225"/>
      <c r="J2508" s="225"/>
      <c r="K2508" s="225">
        <v>3.2</v>
      </c>
      <c r="L2508" s="225">
        <f>F2508*K2508</f>
        <v>0</v>
      </c>
      <c r="M2508" s="225">
        <f>H2508+J2508+L2508</f>
        <v>0</v>
      </c>
    </row>
    <row r="2509" spans="1:13" s="89" customFormat="1" hidden="1">
      <c r="A2509" s="130"/>
      <c r="B2509" s="1448"/>
      <c r="C2509" s="15" t="s">
        <v>210</v>
      </c>
      <c r="D2509" s="211"/>
      <c r="E2509" s="240"/>
      <c r="F2509" s="386"/>
      <c r="G2509" s="523"/>
      <c r="H2509" s="225"/>
      <c r="I2509" s="225"/>
      <c r="J2509" s="225"/>
      <c r="K2509" s="225"/>
      <c r="L2509" s="225"/>
      <c r="M2509" s="225"/>
    </row>
    <row r="2510" spans="1:13" s="89" customFormat="1" hidden="1">
      <c r="A2510" s="130"/>
      <c r="B2510" s="1448"/>
      <c r="C2510" s="84" t="s">
        <v>669</v>
      </c>
      <c r="D2510" s="83" t="s">
        <v>113</v>
      </c>
      <c r="E2510" s="240">
        <v>1</v>
      </c>
      <c r="F2510" s="386">
        <f>F2506*E2510</f>
        <v>0</v>
      </c>
      <c r="G2510" s="610">
        <v>427.1</v>
      </c>
      <c r="H2510" s="225">
        <f>F2510*G2510</f>
        <v>0</v>
      </c>
      <c r="I2510" s="225"/>
      <c r="J2510" s="225"/>
      <c r="K2510" s="225"/>
      <c r="L2510" s="225"/>
      <c r="M2510" s="225">
        <f>H2510+J2510+L2510</f>
        <v>0</v>
      </c>
    </row>
    <row r="2511" spans="1:13" s="93" customFormat="1" hidden="1">
      <c r="A2511" s="161"/>
      <c r="B2511" s="1430"/>
      <c r="C2511" s="229" t="s">
        <v>214</v>
      </c>
      <c r="D2511" s="86" t="s">
        <v>57</v>
      </c>
      <c r="E2511" s="241">
        <v>0.22</v>
      </c>
      <c r="F2511" s="387">
        <f>F2506*E2511</f>
        <v>0</v>
      </c>
      <c r="G2511" s="393">
        <v>3.2</v>
      </c>
      <c r="H2511" s="393">
        <f>F2511*G2511</f>
        <v>0</v>
      </c>
      <c r="I2511" s="393"/>
      <c r="J2511" s="393"/>
      <c r="K2511" s="393"/>
      <c r="L2511" s="393"/>
      <c r="M2511" s="393">
        <f>H2511+J2511+L2511</f>
        <v>0</v>
      </c>
    </row>
    <row r="2512" spans="1:13" s="89" customFormat="1" hidden="1">
      <c r="A2512" s="83">
        <v>21</v>
      </c>
      <c r="B2512" s="1429" t="s">
        <v>604</v>
      </c>
      <c r="C2512" s="84" t="s">
        <v>670</v>
      </c>
      <c r="D2512" s="140" t="s">
        <v>113</v>
      </c>
      <c r="E2512" s="83"/>
      <c r="F2512" s="388">
        <f>'დეფექტური აქტი'!E613</f>
        <v>0</v>
      </c>
      <c r="G2512" s="523"/>
      <c r="H2512" s="604"/>
      <c r="I2512" s="225"/>
      <c r="J2512" s="225"/>
      <c r="K2512" s="225"/>
      <c r="L2512" s="225"/>
      <c r="M2512" s="225"/>
    </row>
    <row r="2513" spans="1:13" s="89" customFormat="1" hidden="1">
      <c r="A2513" s="83"/>
      <c r="B2513" s="1448"/>
      <c r="C2513" s="226" t="s">
        <v>209</v>
      </c>
      <c r="D2513" s="240" t="s">
        <v>80</v>
      </c>
      <c r="E2513" s="94">
        <v>13.7</v>
      </c>
      <c r="F2513" s="386">
        <f>F2512*E2513</f>
        <v>0</v>
      </c>
      <c r="G2513" s="523"/>
      <c r="H2513" s="604"/>
      <c r="I2513" s="225">
        <v>4.5999999999999996</v>
      </c>
      <c r="J2513" s="225">
        <f>F2513*I2513</f>
        <v>0</v>
      </c>
      <c r="K2513" s="225"/>
      <c r="L2513" s="225"/>
      <c r="M2513" s="225">
        <f>H2513+J2513+L2513</f>
        <v>0</v>
      </c>
    </row>
    <row r="2514" spans="1:13" s="89" customFormat="1" hidden="1">
      <c r="A2514" s="83"/>
      <c r="B2514" s="1448"/>
      <c r="C2514" s="226" t="s">
        <v>81</v>
      </c>
      <c r="D2514" s="83" t="s">
        <v>57</v>
      </c>
      <c r="E2514" s="240">
        <v>1.3</v>
      </c>
      <c r="F2514" s="386">
        <f>F2512*E2514</f>
        <v>0</v>
      </c>
      <c r="G2514" s="523"/>
      <c r="H2514" s="225"/>
      <c r="I2514" s="225"/>
      <c r="J2514" s="225"/>
      <c r="K2514" s="225">
        <v>3.2</v>
      </c>
      <c r="L2514" s="225">
        <f>F2514*K2514</f>
        <v>0</v>
      </c>
      <c r="M2514" s="225">
        <f>H2514+J2514+L2514</f>
        <v>0</v>
      </c>
    </row>
    <row r="2515" spans="1:13" s="89" customFormat="1" hidden="1">
      <c r="A2515" s="83"/>
      <c r="B2515" s="1448"/>
      <c r="C2515" s="15" t="s">
        <v>210</v>
      </c>
      <c r="D2515" s="211"/>
      <c r="E2515" s="240"/>
      <c r="F2515" s="386"/>
      <c r="G2515" s="523"/>
      <c r="H2515" s="225"/>
      <c r="I2515" s="225"/>
      <c r="J2515" s="225"/>
      <c r="K2515" s="225"/>
      <c r="L2515" s="225"/>
      <c r="M2515" s="225"/>
    </row>
    <row r="2516" spans="1:13" s="89" customFormat="1" hidden="1">
      <c r="A2516" s="83"/>
      <c r="B2516" s="1448"/>
      <c r="C2516" s="84" t="s">
        <v>670</v>
      </c>
      <c r="D2516" s="83" t="s">
        <v>113</v>
      </c>
      <c r="E2516" s="240">
        <v>1</v>
      </c>
      <c r="F2516" s="386">
        <f>F2512*E2516</f>
        <v>0</v>
      </c>
      <c r="G2516" s="600">
        <v>500</v>
      </c>
      <c r="H2516" s="225">
        <f>F2516*G2516</f>
        <v>0</v>
      </c>
      <c r="I2516" s="225"/>
      <c r="J2516" s="225"/>
      <c r="K2516" s="225"/>
      <c r="L2516" s="225"/>
      <c r="M2516" s="225">
        <f>H2516+J2516+L2516</f>
        <v>0</v>
      </c>
    </row>
    <row r="2517" spans="1:13" s="93" customFormat="1" hidden="1">
      <c r="A2517" s="86"/>
      <c r="B2517" s="1430"/>
      <c r="C2517" s="229" t="s">
        <v>214</v>
      </c>
      <c r="D2517" s="86" t="s">
        <v>57</v>
      </c>
      <c r="E2517" s="241">
        <v>3.24</v>
      </c>
      <c r="F2517" s="387">
        <f>F2512*E2517</f>
        <v>0</v>
      </c>
      <c r="G2517" s="393">
        <v>3.2</v>
      </c>
      <c r="H2517" s="393">
        <f>F2517*G2517</f>
        <v>0</v>
      </c>
      <c r="I2517" s="393"/>
      <c r="J2517" s="393"/>
      <c r="K2517" s="393"/>
      <c r="L2517" s="393"/>
      <c r="M2517" s="393">
        <f>H2517+J2517+L2517</f>
        <v>0</v>
      </c>
    </row>
    <row r="2518" spans="1:13" s="93" customFormat="1" ht="27" hidden="1">
      <c r="A2518" s="142">
        <v>22</v>
      </c>
      <c r="B2518" s="258"/>
      <c r="C2518" s="100" t="s">
        <v>688</v>
      </c>
      <c r="D2518" s="24" t="s">
        <v>113</v>
      </c>
      <c r="E2518" s="261"/>
      <c r="F2518" s="397">
        <f>'დეფექტური აქტი'!E614</f>
        <v>0</v>
      </c>
      <c r="G2518" s="607">
        <v>25</v>
      </c>
      <c r="H2518" s="607">
        <f>F2518*G2518</f>
        <v>0</v>
      </c>
      <c r="I2518" s="607"/>
      <c r="J2518" s="607"/>
      <c r="K2518" s="624"/>
      <c r="L2518" s="607"/>
      <c r="M2518" s="607">
        <f>H2518+J2518+L2518</f>
        <v>0</v>
      </c>
    </row>
    <row r="2519" spans="1:13" s="93" customFormat="1" hidden="1">
      <c r="A2519" s="130">
        <v>23</v>
      </c>
      <c r="B2519" s="251" t="s">
        <v>331</v>
      </c>
      <c r="C2519" s="84" t="s">
        <v>778</v>
      </c>
      <c r="D2519" s="140" t="s">
        <v>113</v>
      </c>
      <c r="E2519" s="94"/>
      <c r="F2519" s="388">
        <f>F2523+F2524+F2525+F2526</f>
        <v>0</v>
      </c>
      <c r="G2519" s="523"/>
      <c r="H2519" s="604"/>
      <c r="I2519" s="225"/>
      <c r="J2519" s="225"/>
      <c r="K2519" s="225"/>
      <c r="L2519" s="225"/>
      <c r="M2519" s="225"/>
    </row>
    <row r="2520" spans="1:13" s="93" customFormat="1" hidden="1">
      <c r="A2520" s="130"/>
      <c r="B2520" s="253"/>
      <c r="C2520" s="226" t="s">
        <v>79</v>
      </c>
      <c r="D2520" s="211" t="s">
        <v>80</v>
      </c>
      <c r="E2520" s="94">
        <v>1.51</v>
      </c>
      <c r="F2520" s="386">
        <f>F2519*E2520</f>
        <v>0</v>
      </c>
      <c r="G2520" s="523"/>
      <c r="H2520" s="604"/>
      <c r="I2520" s="225">
        <v>4.5999999999999996</v>
      </c>
      <c r="J2520" s="225">
        <f>F2520*I2520</f>
        <v>0</v>
      </c>
      <c r="K2520" s="225"/>
      <c r="L2520" s="225"/>
      <c r="M2520" s="225">
        <f>H2520+J2520+L2520</f>
        <v>0</v>
      </c>
    </row>
    <row r="2521" spans="1:13" s="93" customFormat="1" hidden="1">
      <c r="A2521" s="130"/>
      <c r="B2521" s="253"/>
      <c r="C2521" s="226" t="s">
        <v>181</v>
      </c>
      <c r="D2521" s="83" t="s">
        <v>57</v>
      </c>
      <c r="E2521" s="240">
        <v>0.13</v>
      </c>
      <c r="F2521" s="386">
        <f>F2519*E2521</f>
        <v>0</v>
      </c>
      <c r="G2521" s="523"/>
      <c r="H2521" s="225"/>
      <c r="I2521" s="225"/>
      <c r="J2521" s="225"/>
      <c r="K2521" s="225">
        <v>3.2</v>
      </c>
      <c r="L2521" s="225">
        <f>F2521*K2521</f>
        <v>0</v>
      </c>
      <c r="M2521" s="225">
        <f>H2521+J2521+L2521</f>
        <v>0</v>
      </c>
    </row>
    <row r="2522" spans="1:13" s="93" customFormat="1" hidden="1">
      <c r="A2522" s="130"/>
      <c r="B2522" s="253"/>
      <c r="C2522" s="15" t="s">
        <v>210</v>
      </c>
      <c r="D2522" s="211"/>
      <c r="E2522" s="240"/>
      <c r="F2522" s="386"/>
      <c r="G2522" s="523"/>
      <c r="H2522" s="225"/>
      <c r="I2522" s="225"/>
      <c r="J2522" s="225"/>
      <c r="K2522" s="225"/>
      <c r="L2522" s="225"/>
      <c r="M2522" s="225"/>
    </row>
    <row r="2523" spans="1:13" s="93" customFormat="1" hidden="1">
      <c r="A2523" s="130"/>
      <c r="B2523" s="253"/>
      <c r="C2523" s="226" t="s">
        <v>752</v>
      </c>
      <c r="D2523" s="83" t="s">
        <v>113</v>
      </c>
      <c r="E2523" s="240">
        <v>1</v>
      </c>
      <c r="F2523" s="388">
        <f>'დეფექტური აქტი'!E615</f>
        <v>0</v>
      </c>
      <c r="G2523" s="225">
        <v>21.2</v>
      </c>
      <c r="H2523" s="225">
        <f>F2523*G2523</f>
        <v>0</v>
      </c>
      <c r="I2523" s="225"/>
      <c r="J2523" s="225"/>
      <c r="K2523" s="225"/>
      <c r="L2523" s="225"/>
      <c r="M2523" s="225">
        <f>H2523+J2523+L2523</f>
        <v>0</v>
      </c>
    </row>
    <row r="2524" spans="1:13" s="93" customFormat="1" hidden="1">
      <c r="A2524" s="130"/>
      <c r="B2524" s="253"/>
      <c r="C2524" s="226" t="s">
        <v>753</v>
      </c>
      <c r="D2524" s="83" t="s">
        <v>113</v>
      </c>
      <c r="E2524" s="240">
        <v>1</v>
      </c>
      <c r="F2524" s="388">
        <f>'დეფექტური აქტი'!E616</f>
        <v>0</v>
      </c>
      <c r="G2524" s="225">
        <v>29.7</v>
      </c>
      <c r="H2524" s="225">
        <f>F2524*G2524</f>
        <v>0</v>
      </c>
      <c r="I2524" s="225"/>
      <c r="J2524" s="225"/>
      <c r="K2524" s="225"/>
      <c r="L2524" s="225"/>
      <c r="M2524" s="225">
        <f>H2524+J2524+L2524</f>
        <v>0</v>
      </c>
    </row>
    <row r="2525" spans="1:13" s="93" customFormat="1" hidden="1">
      <c r="A2525" s="130"/>
      <c r="B2525" s="253"/>
      <c r="C2525" s="226" t="s">
        <v>754</v>
      </c>
      <c r="D2525" s="83" t="s">
        <v>113</v>
      </c>
      <c r="E2525" s="240">
        <v>1</v>
      </c>
      <c r="F2525" s="388">
        <f>'დეფექტური აქტი'!E617</f>
        <v>0</v>
      </c>
      <c r="G2525" s="225">
        <v>46.6</v>
      </c>
      <c r="H2525" s="225">
        <f>F2525*G2525</f>
        <v>0</v>
      </c>
      <c r="I2525" s="225"/>
      <c r="J2525" s="225"/>
      <c r="K2525" s="225"/>
      <c r="L2525" s="225"/>
      <c r="M2525" s="225">
        <f>H2525+J2525+L2525</f>
        <v>0</v>
      </c>
    </row>
    <row r="2526" spans="1:13" s="93" customFormat="1" hidden="1">
      <c r="A2526" s="130"/>
      <c r="B2526" s="253"/>
      <c r="C2526" s="226" t="s">
        <v>755</v>
      </c>
      <c r="D2526" s="83" t="s">
        <v>113</v>
      </c>
      <c r="E2526" s="240">
        <v>1</v>
      </c>
      <c r="F2526" s="388">
        <f>'დეფექტური აქტი'!E618</f>
        <v>0</v>
      </c>
      <c r="G2526" s="225">
        <v>63.6</v>
      </c>
      <c r="H2526" s="225">
        <f>F2526*G2526</f>
        <v>0</v>
      </c>
      <c r="I2526" s="225"/>
      <c r="J2526" s="225"/>
      <c r="K2526" s="225"/>
      <c r="L2526" s="225"/>
      <c r="M2526" s="225">
        <f>H2526+J2526+L2526</f>
        <v>0</v>
      </c>
    </row>
    <row r="2527" spans="1:13" s="93" customFormat="1" hidden="1">
      <c r="A2527" s="161"/>
      <c r="B2527" s="255"/>
      <c r="C2527" s="229" t="s">
        <v>214</v>
      </c>
      <c r="D2527" s="86" t="s">
        <v>57</v>
      </c>
      <c r="E2527" s="241">
        <v>7.0000000000000007E-2</v>
      </c>
      <c r="F2527" s="387">
        <f>F2519*E2527</f>
        <v>0</v>
      </c>
      <c r="G2527" s="393">
        <v>3.2</v>
      </c>
      <c r="H2527" s="393">
        <f>F2527*G2527</f>
        <v>0</v>
      </c>
      <c r="I2527" s="393"/>
      <c r="J2527" s="393"/>
      <c r="K2527" s="393"/>
      <c r="L2527" s="393"/>
      <c r="M2527" s="393">
        <f>H2527+J2527+L2527</f>
        <v>0</v>
      </c>
    </row>
    <row r="2528" spans="1:13" s="93" customFormat="1" hidden="1">
      <c r="A2528" s="130">
        <v>24</v>
      </c>
      <c r="B2528" s="1429" t="s">
        <v>650</v>
      </c>
      <c r="C2528" s="84" t="s">
        <v>1570</v>
      </c>
      <c r="D2528" s="140" t="s">
        <v>113</v>
      </c>
      <c r="E2528" s="94"/>
      <c r="F2528" s="388">
        <f>'დეფექტური აქტი'!E619</f>
        <v>0</v>
      </c>
      <c r="G2528" s="523"/>
      <c r="H2528" s="604"/>
      <c r="I2528" s="225"/>
      <c r="J2528" s="225"/>
      <c r="K2528" s="225"/>
      <c r="L2528" s="225"/>
      <c r="M2528" s="225"/>
    </row>
    <row r="2529" spans="1:13" s="93" customFormat="1" hidden="1">
      <c r="A2529" s="130"/>
      <c r="B2529" s="1448"/>
      <c r="C2529" s="226" t="s">
        <v>79</v>
      </c>
      <c r="D2529" s="211" t="s">
        <v>80</v>
      </c>
      <c r="E2529" s="94">
        <v>1.92</v>
      </c>
      <c r="F2529" s="386">
        <f>F2528*E2529</f>
        <v>0</v>
      </c>
      <c r="G2529" s="523"/>
      <c r="H2529" s="604"/>
      <c r="I2529" s="225">
        <v>4.5999999999999996</v>
      </c>
      <c r="J2529" s="225">
        <f>F2529*I2529</f>
        <v>0</v>
      </c>
      <c r="K2529" s="225"/>
      <c r="L2529" s="225"/>
      <c r="M2529" s="225">
        <f>H2529+J2529+L2529</f>
        <v>0</v>
      </c>
    </row>
    <row r="2530" spans="1:13" s="93" customFormat="1" hidden="1">
      <c r="A2530" s="130"/>
      <c r="B2530" s="1448"/>
      <c r="C2530" s="226" t="s">
        <v>181</v>
      </c>
      <c r="D2530" s="83" t="s">
        <v>57</v>
      </c>
      <c r="E2530" s="240">
        <v>0.1</v>
      </c>
      <c r="F2530" s="386">
        <f>F2528*E2530</f>
        <v>0</v>
      </c>
      <c r="G2530" s="523"/>
      <c r="H2530" s="225"/>
      <c r="I2530" s="225"/>
      <c r="J2530" s="225"/>
      <c r="K2530" s="225">
        <v>3.2</v>
      </c>
      <c r="L2530" s="225">
        <f>F2530*K2530</f>
        <v>0</v>
      </c>
      <c r="M2530" s="225">
        <f>H2530+J2530+L2530</f>
        <v>0</v>
      </c>
    </row>
    <row r="2531" spans="1:13" s="93" customFormat="1" hidden="1">
      <c r="A2531" s="130"/>
      <c r="B2531" s="1448"/>
      <c r="C2531" s="15" t="s">
        <v>210</v>
      </c>
      <c r="D2531" s="211"/>
      <c r="E2531" s="240"/>
      <c r="F2531" s="386"/>
      <c r="G2531" s="523"/>
      <c r="H2531" s="225"/>
      <c r="I2531" s="225"/>
      <c r="J2531" s="225"/>
      <c r="K2531" s="225"/>
      <c r="L2531" s="225"/>
      <c r="M2531" s="225"/>
    </row>
    <row r="2532" spans="1:13" s="93" customFormat="1" hidden="1">
      <c r="A2532" s="130"/>
      <c r="B2532" s="1448"/>
      <c r="C2532" s="84" t="s">
        <v>651</v>
      </c>
      <c r="D2532" s="83" t="s">
        <v>113</v>
      </c>
      <c r="E2532" s="240">
        <v>1</v>
      </c>
      <c r="F2532" s="386">
        <f>F2528*E2532</f>
        <v>0</v>
      </c>
      <c r="G2532" s="225">
        <v>10</v>
      </c>
      <c r="H2532" s="225">
        <f>F2532*G2532</f>
        <v>0</v>
      </c>
      <c r="I2532" s="225"/>
      <c r="J2532" s="225"/>
      <c r="K2532" s="225"/>
      <c r="L2532" s="225"/>
      <c r="M2532" s="225">
        <f>H2532+J2532+L2532</f>
        <v>0</v>
      </c>
    </row>
    <row r="2533" spans="1:13" s="93" customFormat="1" hidden="1">
      <c r="A2533" s="130"/>
      <c r="B2533" s="1448"/>
      <c r="C2533" s="226" t="s">
        <v>238</v>
      </c>
      <c r="D2533" s="83" t="s">
        <v>113</v>
      </c>
      <c r="E2533" s="240">
        <v>1</v>
      </c>
      <c r="F2533" s="386">
        <f>F2528*E2533</f>
        <v>0</v>
      </c>
      <c r="G2533" s="225">
        <v>1.9</v>
      </c>
      <c r="H2533" s="225">
        <f>F2533*G2533</f>
        <v>0</v>
      </c>
      <c r="I2533" s="225"/>
      <c r="J2533" s="225"/>
      <c r="K2533" s="225"/>
      <c r="L2533" s="225"/>
      <c r="M2533" s="225">
        <f>H2533+J2533+L2533</f>
        <v>0</v>
      </c>
    </row>
    <row r="2534" spans="1:13" s="93" customFormat="1" hidden="1">
      <c r="A2534" s="130"/>
      <c r="B2534" s="1448"/>
      <c r="C2534" s="226" t="s">
        <v>239</v>
      </c>
      <c r="D2534" s="211" t="s">
        <v>97</v>
      </c>
      <c r="E2534" s="240">
        <v>1.24</v>
      </c>
      <c r="F2534" s="386">
        <f>F2528*E2534</f>
        <v>0</v>
      </c>
      <c r="G2534" s="225">
        <v>2.5</v>
      </c>
      <c r="H2534" s="225">
        <f>F2534*G2534</f>
        <v>0</v>
      </c>
      <c r="I2534" s="225"/>
      <c r="J2534" s="225"/>
      <c r="K2534" s="225"/>
      <c r="L2534" s="225"/>
      <c r="M2534" s="225">
        <f>H2534+J2534+L2534</f>
        <v>0</v>
      </c>
    </row>
    <row r="2535" spans="1:13" s="93" customFormat="1" hidden="1">
      <c r="A2535" s="161"/>
      <c r="B2535" s="1430"/>
      <c r="C2535" s="229" t="s">
        <v>214</v>
      </c>
      <c r="D2535" s="86" t="s">
        <v>57</v>
      </c>
      <c r="E2535" s="241">
        <v>0.05</v>
      </c>
      <c r="F2535" s="387">
        <f>F2528*E2535</f>
        <v>0</v>
      </c>
      <c r="G2535" s="393">
        <v>3.2</v>
      </c>
      <c r="H2535" s="393">
        <f>F2535*G2535</f>
        <v>0</v>
      </c>
      <c r="I2535" s="393"/>
      <c r="J2535" s="393"/>
      <c r="K2535" s="393"/>
      <c r="L2535" s="393"/>
      <c r="M2535" s="393">
        <f>H2535+J2535+L2535</f>
        <v>0</v>
      </c>
    </row>
    <row r="2536" spans="1:13" s="93" customFormat="1" hidden="1">
      <c r="A2536" s="130">
        <v>25</v>
      </c>
      <c r="B2536" s="1429" t="s">
        <v>652</v>
      </c>
      <c r="C2536" s="84" t="s">
        <v>510</v>
      </c>
      <c r="D2536" s="140" t="s">
        <v>113</v>
      </c>
      <c r="E2536" s="83"/>
      <c r="F2536" s="388">
        <f>'დეფექტური აქტი'!E620</f>
        <v>0</v>
      </c>
      <c r="G2536" s="523"/>
      <c r="H2536" s="225"/>
      <c r="I2536" s="225"/>
      <c r="J2536" s="225"/>
      <c r="K2536" s="225"/>
      <c r="L2536" s="225"/>
      <c r="M2536" s="225"/>
    </row>
    <row r="2537" spans="1:13" s="93" customFormat="1" hidden="1">
      <c r="A2537" s="130"/>
      <c r="B2537" s="1448"/>
      <c r="C2537" s="226" t="s">
        <v>209</v>
      </c>
      <c r="D2537" s="211" t="s">
        <v>80</v>
      </c>
      <c r="E2537" s="83">
        <v>0.31</v>
      </c>
      <c r="F2537" s="386">
        <f>F2536*E2537</f>
        <v>0</v>
      </c>
      <c r="G2537" s="523"/>
      <c r="H2537" s="604"/>
      <c r="I2537" s="225">
        <v>4.5999999999999996</v>
      </c>
      <c r="J2537" s="225">
        <f>F2537*I2537</f>
        <v>0</v>
      </c>
      <c r="K2537" s="225"/>
      <c r="L2537" s="225"/>
      <c r="M2537" s="225">
        <f>H2537+J2537+L2537</f>
        <v>0</v>
      </c>
    </row>
    <row r="2538" spans="1:13" s="93" customFormat="1" hidden="1">
      <c r="A2538" s="130"/>
      <c r="B2538" s="1448"/>
      <c r="C2538" s="15" t="s">
        <v>210</v>
      </c>
      <c r="D2538" s="211"/>
      <c r="E2538" s="211"/>
      <c r="F2538" s="386"/>
      <c r="G2538" s="523"/>
      <c r="H2538" s="225"/>
      <c r="I2538" s="225"/>
      <c r="J2538" s="225"/>
      <c r="K2538" s="225"/>
      <c r="L2538" s="225"/>
      <c r="M2538" s="225"/>
    </row>
    <row r="2539" spans="1:13" s="93" customFormat="1" hidden="1">
      <c r="A2539" s="130"/>
      <c r="B2539" s="1448"/>
      <c r="C2539" s="84" t="s">
        <v>510</v>
      </c>
      <c r="D2539" s="83" t="s">
        <v>113</v>
      </c>
      <c r="E2539" s="211">
        <v>1</v>
      </c>
      <c r="F2539" s="386">
        <f>F2536*E2539</f>
        <v>0</v>
      </c>
      <c r="G2539" s="225">
        <v>30</v>
      </c>
      <c r="H2539" s="225">
        <f>F2539*G2539</f>
        <v>0</v>
      </c>
      <c r="I2539" s="225"/>
      <c r="J2539" s="225"/>
      <c r="K2539" s="225"/>
      <c r="L2539" s="225"/>
      <c r="M2539" s="225">
        <f>H2539+J2539+L2539</f>
        <v>0</v>
      </c>
    </row>
    <row r="2540" spans="1:13" s="93" customFormat="1" hidden="1">
      <c r="A2540" s="161"/>
      <c r="B2540" s="1430"/>
      <c r="C2540" s="229" t="s">
        <v>214</v>
      </c>
      <c r="D2540" s="86" t="s">
        <v>57</v>
      </c>
      <c r="E2540" s="230">
        <v>0.04</v>
      </c>
      <c r="F2540" s="387">
        <f>F2536*E2540</f>
        <v>0</v>
      </c>
      <c r="G2540" s="393">
        <v>3.2</v>
      </c>
      <c r="H2540" s="393">
        <f>F2540*G2540</f>
        <v>0</v>
      </c>
      <c r="I2540" s="393"/>
      <c r="J2540" s="393"/>
      <c r="K2540" s="393"/>
      <c r="L2540" s="393"/>
      <c r="M2540" s="393">
        <f>H2540+J2540+L2540</f>
        <v>0</v>
      </c>
    </row>
    <row r="2541" spans="1:13" s="93" customFormat="1" hidden="1">
      <c r="A2541" s="130">
        <v>26</v>
      </c>
      <c r="B2541" s="373" t="s">
        <v>653</v>
      </c>
      <c r="C2541" s="84" t="s">
        <v>511</v>
      </c>
      <c r="D2541" s="140" t="s">
        <v>113</v>
      </c>
      <c r="E2541" s="83"/>
      <c r="F2541" s="388">
        <f>'დეფექტური აქტი'!E621</f>
        <v>0</v>
      </c>
      <c r="G2541" s="523"/>
      <c r="H2541" s="604"/>
      <c r="I2541" s="225"/>
      <c r="J2541" s="225"/>
      <c r="K2541" s="225"/>
      <c r="L2541" s="225"/>
      <c r="M2541" s="225"/>
    </row>
    <row r="2542" spans="1:13" s="93" customFormat="1" hidden="1">
      <c r="A2542" s="130"/>
      <c r="B2542" s="374"/>
      <c r="C2542" s="226" t="s">
        <v>79</v>
      </c>
      <c r="D2542" s="211" t="s">
        <v>80</v>
      </c>
      <c r="E2542" s="83">
        <v>0.13</v>
      </c>
      <c r="F2542" s="386">
        <f>F2541*E2542</f>
        <v>0</v>
      </c>
      <c r="G2542" s="523"/>
      <c r="H2542" s="604"/>
      <c r="I2542" s="225">
        <v>4.5999999999999996</v>
      </c>
      <c r="J2542" s="225">
        <f>F2542*I2542</f>
        <v>0</v>
      </c>
      <c r="K2542" s="225"/>
      <c r="L2542" s="225"/>
      <c r="M2542" s="225">
        <f>H2542+J2542+L2542</f>
        <v>0</v>
      </c>
    </row>
    <row r="2543" spans="1:13" s="93" customFormat="1" hidden="1">
      <c r="A2543" s="130"/>
      <c r="B2543" s="374"/>
      <c r="C2543" s="15" t="s">
        <v>210</v>
      </c>
      <c r="D2543" s="211"/>
      <c r="E2543" s="211"/>
      <c r="F2543" s="386"/>
      <c r="G2543" s="523"/>
      <c r="H2543" s="225"/>
      <c r="I2543" s="225"/>
      <c r="J2543" s="225"/>
      <c r="K2543" s="225"/>
      <c r="L2543" s="225"/>
      <c r="M2543" s="225"/>
    </row>
    <row r="2544" spans="1:13" s="93" customFormat="1" hidden="1">
      <c r="A2544" s="130"/>
      <c r="B2544" s="374"/>
      <c r="C2544" s="84" t="s">
        <v>654</v>
      </c>
      <c r="D2544" s="83" t="s">
        <v>113</v>
      </c>
      <c r="E2544" s="211">
        <v>1</v>
      </c>
      <c r="F2544" s="386">
        <f>F2541*E2544</f>
        <v>0</v>
      </c>
      <c r="G2544" s="225">
        <v>10</v>
      </c>
      <c r="H2544" s="225">
        <f>F2544*G2544</f>
        <v>0</v>
      </c>
      <c r="I2544" s="225"/>
      <c r="J2544" s="225"/>
      <c r="K2544" s="225"/>
      <c r="L2544" s="225"/>
      <c r="M2544" s="225">
        <f>H2544+J2544+L2544</f>
        <v>0</v>
      </c>
    </row>
    <row r="2545" spans="1:13" s="93" customFormat="1" hidden="1">
      <c r="A2545" s="161"/>
      <c r="B2545" s="375"/>
      <c r="C2545" s="229" t="s">
        <v>214</v>
      </c>
      <c r="D2545" s="86" t="s">
        <v>57</v>
      </c>
      <c r="E2545" s="230">
        <v>0.02</v>
      </c>
      <c r="F2545" s="387">
        <f>F2541*E2545</f>
        <v>0</v>
      </c>
      <c r="G2545" s="393">
        <v>3.2</v>
      </c>
      <c r="H2545" s="393">
        <f>F2545*G2545</f>
        <v>0</v>
      </c>
      <c r="I2545" s="393"/>
      <c r="J2545" s="393"/>
      <c r="K2545" s="393"/>
      <c r="L2545" s="393"/>
      <c r="M2545" s="393">
        <f>H2545+J2545+L2545</f>
        <v>0</v>
      </c>
    </row>
    <row r="2546" spans="1:13" s="95" customFormat="1" ht="30" hidden="1" customHeight="1">
      <c r="A2546" s="83">
        <v>27</v>
      </c>
      <c r="B2546" s="251" t="s">
        <v>240</v>
      </c>
      <c r="C2546" s="84" t="s">
        <v>1458</v>
      </c>
      <c r="D2546" s="47" t="s">
        <v>122</v>
      </c>
      <c r="E2546" s="94"/>
      <c r="F2546" s="388">
        <f>'დეფექტური აქტი'!E622</f>
        <v>0</v>
      </c>
      <c r="G2546" s="523"/>
      <c r="H2546" s="604"/>
      <c r="I2546" s="225"/>
      <c r="J2546" s="225"/>
      <c r="K2546" s="225"/>
      <c r="L2546" s="225"/>
      <c r="M2546" s="225"/>
    </row>
    <row r="2547" spans="1:13" s="95" customFormat="1" hidden="1">
      <c r="A2547" s="83"/>
      <c r="B2547" s="253"/>
      <c r="C2547" s="226" t="s">
        <v>79</v>
      </c>
      <c r="D2547" s="211" t="s">
        <v>80</v>
      </c>
      <c r="E2547" s="94">
        <v>1.17</v>
      </c>
      <c r="F2547" s="386">
        <f>F2546*E2547</f>
        <v>0</v>
      </c>
      <c r="G2547" s="523"/>
      <c r="H2547" s="604"/>
      <c r="I2547" s="225">
        <v>4.5999999999999996</v>
      </c>
      <c r="J2547" s="225">
        <f>F2547*I2547</f>
        <v>0</v>
      </c>
      <c r="K2547" s="225"/>
      <c r="L2547" s="225"/>
      <c r="M2547" s="225">
        <f>H2547+J2547+L2547</f>
        <v>0</v>
      </c>
    </row>
    <row r="2548" spans="1:13" s="95" customFormat="1" hidden="1">
      <c r="A2548" s="83"/>
      <c r="B2548" s="253"/>
      <c r="C2548" s="226" t="s">
        <v>181</v>
      </c>
      <c r="D2548" s="83" t="s">
        <v>57</v>
      </c>
      <c r="E2548" s="240">
        <v>1.9E-2</v>
      </c>
      <c r="F2548" s="386">
        <f>F2546*E2548</f>
        <v>0</v>
      </c>
      <c r="G2548" s="523"/>
      <c r="H2548" s="225"/>
      <c r="I2548" s="225"/>
      <c r="J2548" s="225"/>
      <c r="K2548" s="225">
        <v>3.2</v>
      </c>
      <c r="L2548" s="225">
        <f>F2548*K2548</f>
        <v>0</v>
      </c>
      <c r="M2548" s="225">
        <f>H2548+J2548+L2548</f>
        <v>0</v>
      </c>
    </row>
    <row r="2549" spans="1:13" s="95" customFormat="1" hidden="1">
      <c r="A2549" s="83"/>
      <c r="B2549" s="253"/>
      <c r="C2549" s="15" t="s">
        <v>210</v>
      </c>
      <c r="D2549" s="211"/>
      <c r="E2549" s="240"/>
      <c r="F2549" s="386"/>
      <c r="G2549" s="523"/>
      <c r="H2549" s="225"/>
      <c r="I2549" s="225"/>
      <c r="J2549" s="225"/>
      <c r="K2549" s="225"/>
      <c r="L2549" s="225"/>
      <c r="M2549" s="225"/>
    </row>
    <row r="2550" spans="1:13" s="95" customFormat="1" hidden="1">
      <c r="A2550" s="83"/>
      <c r="B2550" s="253"/>
      <c r="C2550" s="226" t="s">
        <v>1459</v>
      </c>
      <c r="D2550" s="41" t="s">
        <v>122</v>
      </c>
      <c r="E2550" s="211">
        <v>0.93799999999999994</v>
      </c>
      <c r="F2550" s="386">
        <f>F2546*E2550</f>
        <v>0</v>
      </c>
      <c r="G2550" s="225">
        <v>1.6</v>
      </c>
      <c r="H2550" s="225">
        <f>F2550*G2550</f>
        <v>0</v>
      </c>
      <c r="I2550" s="225"/>
      <c r="J2550" s="225"/>
      <c r="K2550" s="225"/>
      <c r="L2550" s="225"/>
      <c r="M2550" s="225">
        <f>H2550+J2550+L2550</f>
        <v>0</v>
      </c>
    </row>
    <row r="2551" spans="1:13" s="95" customFormat="1" hidden="1">
      <c r="A2551" s="86"/>
      <c r="B2551" s="255"/>
      <c r="C2551" s="229" t="s">
        <v>214</v>
      </c>
      <c r="D2551" s="86" t="s">
        <v>57</v>
      </c>
      <c r="E2551" s="241">
        <v>3.9300000000000002E-2</v>
      </c>
      <c r="F2551" s="387">
        <f>F2546*E2551</f>
        <v>0</v>
      </c>
      <c r="G2551" s="393">
        <v>3.2</v>
      </c>
      <c r="H2551" s="393">
        <f>F2551*G2551</f>
        <v>0</v>
      </c>
      <c r="I2551" s="393"/>
      <c r="J2551" s="393"/>
      <c r="K2551" s="393"/>
      <c r="L2551" s="393"/>
      <c r="M2551" s="393">
        <f>H2551+J2551+L2551</f>
        <v>0</v>
      </c>
    </row>
    <row r="2552" spans="1:13" s="95" customFormat="1" ht="27" hidden="1">
      <c r="A2552" s="83">
        <v>28</v>
      </c>
      <c r="B2552" s="251" t="s">
        <v>240</v>
      </c>
      <c r="C2552" s="84" t="s">
        <v>756</v>
      </c>
      <c r="D2552" s="47" t="s">
        <v>122</v>
      </c>
      <c r="E2552" s="94"/>
      <c r="F2552" s="388">
        <f>'დეფექტური აქტი'!E623</f>
        <v>0</v>
      </c>
      <c r="G2552" s="523"/>
      <c r="H2552" s="604"/>
      <c r="I2552" s="225"/>
      <c r="J2552" s="225"/>
      <c r="K2552" s="225"/>
      <c r="L2552" s="225"/>
      <c r="M2552" s="225"/>
    </row>
    <row r="2553" spans="1:13" s="95" customFormat="1" hidden="1">
      <c r="A2553" s="83"/>
      <c r="B2553" s="253"/>
      <c r="C2553" s="226" t="s">
        <v>79</v>
      </c>
      <c r="D2553" s="211" t="s">
        <v>80</v>
      </c>
      <c r="E2553" s="94">
        <v>1.17</v>
      </c>
      <c r="F2553" s="386">
        <f>F2552*E2553</f>
        <v>0</v>
      </c>
      <c r="G2553" s="523"/>
      <c r="H2553" s="604"/>
      <c r="I2553" s="225">
        <v>4.5999999999999996</v>
      </c>
      <c r="J2553" s="225">
        <f>F2553*I2553</f>
        <v>0</v>
      </c>
      <c r="K2553" s="225"/>
      <c r="L2553" s="225"/>
      <c r="M2553" s="225">
        <f>H2553+J2553+L2553</f>
        <v>0</v>
      </c>
    </row>
    <row r="2554" spans="1:13" s="95" customFormat="1" hidden="1">
      <c r="A2554" s="83"/>
      <c r="B2554" s="253"/>
      <c r="C2554" s="226" t="s">
        <v>181</v>
      </c>
      <c r="D2554" s="83" t="s">
        <v>57</v>
      </c>
      <c r="E2554" s="240">
        <v>1.72E-2</v>
      </c>
      <c r="F2554" s="386">
        <f>F2552*E2554</f>
        <v>0</v>
      </c>
      <c r="G2554" s="523"/>
      <c r="H2554" s="225"/>
      <c r="I2554" s="225"/>
      <c r="J2554" s="225"/>
      <c r="K2554" s="225">
        <v>3.2</v>
      </c>
      <c r="L2554" s="225">
        <f>F2554*K2554</f>
        <v>0</v>
      </c>
      <c r="M2554" s="225">
        <f>H2554+J2554+L2554</f>
        <v>0</v>
      </c>
    </row>
    <row r="2555" spans="1:13" s="95" customFormat="1" hidden="1">
      <c r="A2555" s="83"/>
      <c r="B2555" s="253"/>
      <c r="C2555" s="15" t="s">
        <v>210</v>
      </c>
      <c r="D2555" s="211"/>
      <c r="E2555" s="240"/>
      <c r="F2555" s="386"/>
      <c r="G2555" s="523"/>
      <c r="H2555" s="225"/>
      <c r="I2555" s="225"/>
      <c r="J2555" s="225"/>
      <c r="K2555" s="225"/>
      <c r="L2555" s="225"/>
      <c r="M2555" s="225"/>
    </row>
    <row r="2556" spans="1:13" s="95" customFormat="1" hidden="1">
      <c r="A2556" s="83"/>
      <c r="B2556" s="253"/>
      <c r="C2556" s="226" t="s">
        <v>758</v>
      </c>
      <c r="D2556" s="41" t="s">
        <v>122</v>
      </c>
      <c r="E2556" s="211">
        <v>0.93799999999999994</v>
      </c>
      <c r="F2556" s="386">
        <f>F2552*E2556</f>
        <v>0</v>
      </c>
      <c r="G2556" s="225">
        <v>2.5</v>
      </c>
      <c r="H2556" s="225">
        <f>F2556*G2556</f>
        <v>0</v>
      </c>
      <c r="I2556" s="225"/>
      <c r="J2556" s="225"/>
      <c r="K2556" s="225"/>
      <c r="L2556" s="225"/>
      <c r="M2556" s="225">
        <f>H2556+J2556+L2556</f>
        <v>0</v>
      </c>
    </row>
    <row r="2557" spans="1:13" s="95" customFormat="1" hidden="1">
      <c r="A2557" s="86"/>
      <c r="B2557" s="255"/>
      <c r="C2557" s="229" t="s">
        <v>214</v>
      </c>
      <c r="D2557" s="86" t="s">
        <v>57</v>
      </c>
      <c r="E2557" s="241">
        <v>3.9300000000000002E-2</v>
      </c>
      <c r="F2557" s="387">
        <f>F2552*E2557</f>
        <v>0</v>
      </c>
      <c r="G2557" s="393">
        <v>3.2</v>
      </c>
      <c r="H2557" s="393">
        <f>F2557*G2557</f>
        <v>0</v>
      </c>
      <c r="I2557" s="393"/>
      <c r="J2557" s="393"/>
      <c r="K2557" s="393"/>
      <c r="L2557" s="393"/>
      <c r="M2557" s="393">
        <f>H2557+J2557+L2557</f>
        <v>0</v>
      </c>
    </row>
    <row r="2558" spans="1:13" s="95" customFormat="1" ht="27" hidden="1">
      <c r="A2558" s="83">
        <v>29</v>
      </c>
      <c r="B2558" s="251" t="s">
        <v>751</v>
      </c>
      <c r="C2558" s="84" t="s">
        <v>1091</v>
      </c>
      <c r="D2558" s="47" t="s">
        <v>122</v>
      </c>
      <c r="E2558" s="94"/>
      <c r="F2558" s="388">
        <f>'დეფექტური აქტი'!E624</f>
        <v>0</v>
      </c>
      <c r="G2558" s="523"/>
      <c r="H2558" s="604"/>
      <c r="I2558" s="225"/>
      <c r="J2558" s="225"/>
      <c r="K2558" s="225"/>
      <c r="L2558" s="225"/>
      <c r="M2558" s="225"/>
    </row>
    <row r="2559" spans="1:13" s="95" customFormat="1" hidden="1">
      <c r="A2559" s="83"/>
      <c r="B2559" s="253"/>
      <c r="C2559" s="226" t="s">
        <v>79</v>
      </c>
      <c r="D2559" s="211" t="s">
        <v>80</v>
      </c>
      <c r="E2559" s="94">
        <v>1.56</v>
      </c>
      <c r="F2559" s="386">
        <f>F2558*E2559</f>
        <v>0</v>
      </c>
      <c r="G2559" s="523"/>
      <c r="H2559" s="604"/>
      <c r="I2559" s="225">
        <v>4.5999999999999996</v>
      </c>
      <c r="J2559" s="225">
        <f>F2559*I2559</f>
        <v>0</v>
      </c>
      <c r="K2559" s="225"/>
      <c r="L2559" s="225"/>
      <c r="M2559" s="225">
        <f>H2559+J2559+L2559</f>
        <v>0</v>
      </c>
    </row>
    <row r="2560" spans="1:13" s="95" customFormat="1" hidden="1">
      <c r="A2560" s="83"/>
      <c r="B2560" s="253"/>
      <c r="C2560" s="226" t="s">
        <v>181</v>
      </c>
      <c r="D2560" s="83" t="s">
        <v>57</v>
      </c>
      <c r="E2560" s="240">
        <v>2.1700000000000001E-2</v>
      </c>
      <c r="F2560" s="386">
        <f>F2558*E2560</f>
        <v>0</v>
      </c>
      <c r="G2560" s="523"/>
      <c r="H2560" s="225"/>
      <c r="I2560" s="225"/>
      <c r="J2560" s="225"/>
      <c r="K2560" s="225">
        <v>3.2</v>
      </c>
      <c r="L2560" s="225">
        <f>F2560*K2560</f>
        <v>0</v>
      </c>
      <c r="M2560" s="225">
        <f>H2560+J2560+L2560</f>
        <v>0</v>
      </c>
    </row>
    <row r="2561" spans="1:13" s="95" customFormat="1" hidden="1">
      <c r="A2561" s="83"/>
      <c r="B2561" s="253"/>
      <c r="C2561" s="15" t="s">
        <v>210</v>
      </c>
      <c r="D2561" s="211"/>
      <c r="E2561" s="240"/>
      <c r="F2561" s="386"/>
      <c r="G2561" s="523"/>
      <c r="H2561" s="225"/>
      <c r="I2561" s="225"/>
      <c r="J2561" s="225"/>
      <c r="K2561" s="225"/>
      <c r="L2561" s="225"/>
      <c r="M2561" s="225"/>
    </row>
    <row r="2562" spans="1:13" s="95" customFormat="1" hidden="1">
      <c r="A2562" s="83"/>
      <c r="B2562" s="253"/>
      <c r="C2562" s="226" t="s">
        <v>1090</v>
      </c>
      <c r="D2562" s="41" t="s">
        <v>122</v>
      </c>
      <c r="E2562" s="211">
        <v>0.96699999999999997</v>
      </c>
      <c r="F2562" s="386">
        <f>F2558*E2562</f>
        <v>0</v>
      </c>
      <c r="G2562" s="225">
        <v>3.9</v>
      </c>
      <c r="H2562" s="225">
        <f>F2562*G2562</f>
        <v>0</v>
      </c>
      <c r="I2562" s="225"/>
      <c r="J2562" s="225"/>
      <c r="K2562" s="225"/>
      <c r="L2562" s="225"/>
      <c r="M2562" s="225">
        <f>H2562+J2562+L2562</f>
        <v>0</v>
      </c>
    </row>
    <row r="2563" spans="1:13" s="95" customFormat="1" hidden="1">
      <c r="A2563" s="86"/>
      <c r="B2563" s="255"/>
      <c r="C2563" s="229" t="s">
        <v>214</v>
      </c>
      <c r="D2563" s="86" t="s">
        <v>57</v>
      </c>
      <c r="E2563" s="241">
        <v>7.0800000000000002E-2</v>
      </c>
      <c r="F2563" s="387">
        <f>F2558*E2563</f>
        <v>0</v>
      </c>
      <c r="G2563" s="393">
        <v>3.2</v>
      </c>
      <c r="H2563" s="393">
        <f>F2563*G2563</f>
        <v>0</v>
      </c>
      <c r="I2563" s="393"/>
      <c r="J2563" s="393"/>
      <c r="K2563" s="393"/>
      <c r="L2563" s="393"/>
      <c r="M2563" s="393">
        <f>H2563+J2563+L2563</f>
        <v>0</v>
      </c>
    </row>
    <row r="2564" spans="1:13" s="95" customFormat="1" ht="27" hidden="1">
      <c r="A2564" s="83">
        <v>30</v>
      </c>
      <c r="B2564" s="251" t="s">
        <v>328</v>
      </c>
      <c r="C2564" s="84" t="s">
        <v>757</v>
      </c>
      <c r="D2564" s="47" t="s">
        <v>122</v>
      </c>
      <c r="E2564" s="94"/>
      <c r="F2564" s="388">
        <f>'დეფექტური აქტი'!E625</f>
        <v>0</v>
      </c>
      <c r="G2564" s="523"/>
      <c r="H2564" s="604"/>
      <c r="I2564" s="225"/>
      <c r="J2564" s="225"/>
      <c r="K2564" s="225"/>
      <c r="L2564" s="225"/>
      <c r="M2564" s="225"/>
    </row>
    <row r="2565" spans="1:13" s="95" customFormat="1" hidden="1">
      <c r="A2565" s="83"/>
      <c r="B2565" s="253"/>
      <c r="C2565" s="226" t="s">
        <v>79</v>
      </c>
      <c r="D2565" s="211" t="s">
        <v>80</v>
      </c>
      <c r="E2565" s="94">
        <v>1.35</v>
      </c>
      <c r="F2565" s="386">
        <f>F2564*E2565</f>
        <v>0</v>
      </c>
      <c r="G2565" s="523"/>
      <c r="H2565" s="604"/>
      <c r="I2565" s="225">
        <v>4.5999999999999996</v>
      </c>
      <c r="J2565" s="225">
        <f>F2565*I2565</f>
        <v>0</v>
      </c>
      <c r="K2565" s="225"/>
      <c r="L2565" s="225"/>
      <c r="M2565" s="225">
        <f>H2565+J2565+L2565</f>
        <v>0</v>
      </c>
    </row>
    <row r="2566" spans="1:13" s="95" customFormat="1" hidden="1">
      <c r="A2566" s="83"/>
      <c r="B2566" s="253"/>
      <c r="C2566" s="226" t="s">
        <v>181</v>
      </c>
      <c r="D2566" s="83" t="s">
        <v>57</v>
      </c>
      <c r="E2566" s="240">
        <v>3.1399999999999997E-2</v>
      </c>
      <c r="F2566" s="386">
        <f>F2564*E2566</f>
        <v>0</v>
      </c>
      <c r="G2566" s="523"/>
      <c r="H2566" s="225"/>
      <c r="I2566" s="225"/>
      <c r="J2566" s="225"/>
      <c r="K2566" s="225">
        <v>3.2</v>
      </c>
      <c r="L2566" s="225">
        <f>F2566*K2566</f>
        <v>0</v>
      </c>
      <c r="M2566" s="225">
        <f>H2566+J2566+L2566</f>
        <v>0</v>
      </c>
    </row>
    <row r="2567" spans="1:13" s="95" customFormat="1" hidden="1">
      <c r="A2567" s="83"/>
      <c r="B2567" s="253"/>
      <c r="C2567" s="15" t="s">
        <v>210</v>
      </c>
      <c r="D2567" s="211"/>
      <c r="E2567" s="240"/>
      <c r="F2567" s="386"/>
      <c r="G2567" s="523"/>
      <c r="H2567" s="225"/>
      <c r="I2567" s="225"/>
      <c r="J2567" s="225"/>
      <c r="K2567" s="225"/>
      <c r="L2567" s="225"/>
      <c r="M2567" s="225"/>
    </row>
    <row r="2568" spans="1:13" s="95" customFormat="1" hidden="1">
      <c r="A2568" s="83"/>
      <c r="B2568" s="253"/>
      <c r="C2568" s="226" t="s">
        <v>759</v>
      </c>
      <c r="D2568" s="41" t="s">
        <v>122</v>
      </c>
      <c r="E2568" s="211">
        <v>0.94599999999999995</v>
      </c>
      <c r="F2568" s="386">
        <f>F2564*E2568</f>
        <v>0</v>
      </c>
      <c r="G2568" s="225">
        <v>5.3</v>
      </c>
      <c r="H2568" s="225">
        <f>F2568*G2568</f>
        <v>0</v>
      </c>
      <c r="I2568" s="225"/>
      <c r="J2568" s="225"/>
      <c r="K2568" s="225"/>
      <c r="L2568" s="225"/>
      <c r="M2568" s="225">
        <f>H2568+J2568+L2568</f>
        <v>0</v>
      </c>
    </row>
    <row r="2569" spans="1:13" s="95" customFormat="1" hidden="1">
      <c r="A2569" s="86"/>
      <c r="B2569" s="255"/>
      <c r="C2569" s="229" t="s">
        <v>214</v>
      </c>
      <c r="D2569" s="86" t="s">
        <v>57</v>
      </c>
      <c r="E2569" s="241">
        <v>6.5199999999999994E-2</v>
      </c>
      <c r="F2569" s="387">
        <f>F2564*E2569</f>
        <v>0</v>
      </c>
      <c r="G2569" s="393">
        <v>3.2</v>
      </c>
      <c r="H2569" s="393">
        <f>F2569*G2569</f>
        <v>0</v>
      </c>
      <c r="I2569" s="393"/>
      <c r="J2569" s="393"/>
      <c r="K2569" s="393"/>
      <c r="L2569" s="393"/>
      <c r="M2569" s="393">
        <f>H2569+J2569+L2569</f>
        <v>0</v>
      </c>
    </row>
    <row r="2570" spans="1:13" s="95" customFormat="1" ht="27" hidden="1">
      <c r="A2570" s="83">
        <v>31</v>
      </c>
      <c r="B2570" s="251" t="s">
        <v>328</v>
      </c>
      <c r="C2570" s="84" t="s">
        <v>1319</v>
      </c>
      <c r="D2570" s="47" t="s">
        <v>122</v>
      </c>
      <c r="E2570" s="94"/>
      <c r="F2570" s="388">
        <f>'დეფექტური აქტი'!E626</f>
        <v>0</v>
      </c>
      <c r="G2570" s="523"/>
      <c r="H2570" s="604"/>
      <c r="I2570" s="225"/>
      <c r="J2570" s="225"/>
      <c r="K2570" s="225"/>
      <c r="L2570" s="225"/>
      <c r="M2570" s="225"/>
    </row>
    <row r="2571" spans="1:13" s="95" customFormat="1" hidden="1">
      <c r="A2571" s="83"/>
      <c r="B2571" s="253"/>
      <c r="C2571" s="226" t="s">
        <v>79</v>
      </c>
      <c r="D2571" s="211" t="s">
        <v>80</v>
      </c>
      <c r="E2571" s="94">
        <v>1.35</v>
      </c>
      <c r="F2571" s="386">
        <f>F2570*E2571</f>
        <v>0</v>
      </c>
      <c r="G2571" s="523"/>
      <c r="H2571" s="604"/>
      <c r="I2571" s="225">
        <v>4.5999999999999996</v>
      </c>
      <c r="J2571" s="225">
        <f>F2571*I2571</f>
        <v>0</v>
      </c>
      <c r="K2571" s="225"/>
      <c r="L2571" s="225"/>
      <c r="M2571" s="225">
        <f>H2571+J2571+L2571</f>
        <v>0</v>
      </c>
    </row>
    <row r="2572" spans="1:13" s="95" customFormat="1" hidden="1">
      <c r="A2572" s="83"/>
      <c r="B2572" s="253"/>
      <c r="C2572" s="226" t="s">
        <v>181</v>
      </c>
      <c r="D2572" s="83" t="s">
        <v>57</v>
      </c>
      <c r="E2572" s="240">
        <v>3.1399999999999997E-2</v>
      </c>
      <c r="F2572" s="386">
        <f>F2570*E2572</f>
        <v>0</v>
      </c>
      <c r="G2572" s="523"/>
      <c r="H2572" s="225"/>
      <c r="I2572" s="225"/>
      <c r="J2572" s="225"/>
      <c r="K2572" s="225">
        <v>3.2</v>
      </c>
      <c r="L2572" s="225">
        <f>F2572*K2572</f>
        <v>0</v>
      </c>
      <c r="M2572" s="225">
        <f>H2572+J2572+L2572</f>
        <v>0</v>
      </c>
    </row>
    <row r="2573" spans="1:13" s="95" customFormat="1" hidden="1">
      <c r="A2573" s="83"/>
      <c r="B2573" s="253"/>
      <c r="C2573" s="15" t="s">
        <v>210</v>
      </c>
      <c r="D2573" s="211"/>
      <c r="E2573" s="240"/>
      <c r="F2573" s="386"/>
      <c r="G2573" s="523"/>
      <c r="H2573" s="225"/>
      <c r="I2573" s="225"/>
      <c r="J2573" s="225"/>
      <c r="K2573" s="225"/>
      <c r="L2573" s="225"/>
      <c r="M2573" s="225"/>
    </row>
    <row r="2574" spans="1:13" s="95" customFormat="1" hidden="1">
      <c r="A2574" s="83"/>
      <c r="B2574" s="253"/>
      <c r="C2574" s="226" t="s">
        <v>760</v>
      </c>
      <c r="D2574" s="41" t="s">
        <v>122</v>
      </c>
      <c r="E2574" s="211">
        <v>0.94599999999999995</v>
      </c>
      <c r="F2574" s="386">
        <f>F2570*E2574</f>
        <v>0</v>
      </c>
      <c r="G2574" s="225">
        <v>8.1999999999999993</v>
      </c>
      <c r="H2574" s="225">
        <f>F2574*G2574</f>
        <v>0</v>
      </c>
      <c r="I2574" s="225"/>
      <c r="J2574" s="225"/>
      <c r="K2574" s="225"/>
      <c r="L2574" s="225"/>
      <c r="M2574" s="225">
        <f>H2574+J2574+L2574</f>
        <v>0</v>
      </c>
    </row>
    <row r="2575" spans="1:13" s="95" customFormat="1" hidden="1">
      <c r="A2575" s="86"/>
      <c r="B2575" s="255"/>
      <c r="C2575" s="229" t="s">
        <v>214</v>
      </c>
      <c r="D2575" s="86" t="s">
        <v>57</v>
      </c>
      <c r="E2575" s="241">
        <v>6.5199999999999994E-2</v>
      </c>
      <c r="F2575" s="387">
        <f>F2570*E2575</f>
        <v>0</v>
      </c>
      <c r="G2575" s="393">
        <v>3.2</v>
      </c>
      <c r="H2575" s="393">
        <f>F2575*G2575</f>
        <v>0</v>
      </c>
      <c r="I2575" s="393"/>
      <c r="J2575" s="393"/>
      <c r="K2575" s="393"/>
      <c r="L2575" s="393"/>
      <c r="M2575" s="393">
        <f>H2575+J2575+L2575</f>
        <v>0</v>
      </c>
    </row>
    <row r="2576" spans="1:13" s="95" customFormat="1" ht="27" hidden="1">
      <c r="A2576" s="83">
        <v>32</v>
      </c>
      <c r="B2576" s="251" t="s">
        <v>673</v>
      </c>
      <c r="C2576" s="84" t="s">
        <v>1320</v>
      </c>
      <c r="D2576" s="47" t="s">
        <v>122</v>
      </c>
      <c r="E2576" s="94"/>
      <c r="F2576" s="388">
        <f>'დეფექტური აქტი'!E627</f>
        <v>0</v>
      </c>
      <c r="G2576" s="523"/>
      <c r="H2576" s="604"/>
      <c r="I2576" s="225"/>
      <c r="J2576" s="225"/>
      <c r="K2576" s="225"/>
      <c r="L2576" s="225"/>
      <c r="M2576" s="225"/>
    </row>
    <row r="2577" spans="1:13" s="95" customFormat="1" hidden="1">
      <c r="A2577" s="83"/>
      <c r="B2577" s="253"/>
      <c r="C2577" s="226" t="s">
        <v>79</v>
      </c>
      <c r="D2577" s="211" t="s">
        <v>80</v>
      </c>
      <c r="E2577" s="94">
        <v>1.57</v>
      </c>
      <c r="F2577" s="386">
        <f>F2576*E2577</f>
        <v>0</v>
      </c>
      <c r="G2577" s="523"/>
      <c r="H2577" s="604"/>
      <c r="I2577" s="225">
        <v>4.5999999999999996</v>
      </c>
      <c r="J2577" s="225">
        <f>F2577*I2577</f>
        <v>0</v>
      </c>
      <c r="K2577" s="225"/>
      <c r="L2577" s="225"/>
      <c r="M2577" s="225">
        <f>H2577+J2577+L2577</f>
        <v>0</v>
      </c>
    </row>
    <row r="2578" spans="1:13" s="95" customFormat="1" hidden="1">
      <c r="A2578" s="83"/>
      <c r="B2578" s="253"/>
      <c r="C2578" s="226" t="s">
        <v>181</v>
      </c>
      <c r="D2578" s="83" t="s">
        <v>57</v>
      </c>
      <c r="E2578" s="240">
        <v>5.2499999999999998E-2</v>
      </c>
      <c r="F2578" s="386">
        <f>F2576*E2578</f>
        <v>0</v>
      </c>
      <c r="G2578" s="523"/>
      <c r="H2578" s="225"/>
      <c r="I2578" s="225"/>
      <c r="J2578" s="225"/>
      <c r="K2578" s="225">
        <v>3.2</v>
      </c>
      <c r="L2578" s="225">
        <f>F2578*K2578</f>
        <v>0</v>
      </c>
      <c r="M2578" s="225">
        <f>H2578+J2578+L2578</f>
        <v>0</v>
      </c>
    </row>
    <row r="2579" spans="1:13" s="95" customFormat="1" hidden="1">
      <c r="A2579" s="83"/>
      <c r="B2579" s="253"/>
      <c r="C2579" s="15" t="s">
        <v>210</v>
      </c>
      <c r="D2579" s="211"/>
      <c r="E2579" s="240"/>
      <c r="F2579" s="386"/>
      <c r="G2579" s="523"/>
      <c r="H2579" s="225"/>
      <c r="I2579" s="225"/>
      <c r="J2579" s="225"/>
      <c r="K2579" s="225"/>
      <c r="L2579" s="225"/>
      <c r="M2579" s="225"/>
    </row>
    <row r="2580" spans="1:13" s="95" customFormat="1" hidden="1">
      <c r="A2580" s="83"/>
      <c r="B2580" s="253"/>
      <c r="C2580" s="226" t="s">
        <v>762</v>
      </c>
      <c r="D2580" s="41" t="s">
        <v>122</v>
      </c>
      <c r="E2580" s="211">
        <v>0.97399999999999998</v>
      </c>
      <c r="F2580" s="386">
        <f>F2576*E2580</f>
        <v>0</v>
      </c>
      <c r="G2580" s="225">
        <v>12.6</v>
      </c>
      <c r="H2580" s="225">
        <f>F2580*G2580</f>
        <v>0</v>
      </c>
      <c r="I2580" s="225"/>
      <c r="J2580" s="225"/>
      <c r="K2580" s="225"/>
      <c r="L2580" s="225"/>
      <c r="M2580" s="225">
        <f>H2580+J2580+L2580</f>
        <v>0</v>
      </c>
    </row>
    <row r="2581" spans="1:13" s="95" customFormat="1" hidden="1">
      <c r="A2581" s="86"/>
      <c r="B2581" s="255"/>
      <c r="C2581" s="229" t="s">
        <v>214</v>
      </c>
      <c r="D2581" s="86" t="s">
        <v>57</v>
      </c>
      <c r="E2581" s="293">
        <v>4.7800000000000002E-2</v>
      </c>
      <c r="F2581" s="387">
        <f>F2576*E2581</f>
        <v>0</v>
      </c>
      <c r="G2581" s="393">
        <v>3.2</v>
      </c>
      <c r="H2581" s="393">
        <f>F2581*G2581</f>
        <v>0</v>
      </c>
      <c r="I2581" s="393"/>
      <c r="J2581" s="393"/>
      <c r="K2581" s="393"/>
      <c r="L2581" s="393"/>
      <c r="M2581" s="393">
        <f>H2581+J2581+L2581</f>
        <v>0</v>
      </c>
    </row>
    <row r="2582" spans="1:13" s="95" customFormat="1" ht="27" hidden="1">
      <c r="A2582" s="83">
        <v>33</v>
      </c>
      <c r="B2582" s="251" t="s">
        <v>673</v>
      </c>
      <c r="C2582" s="84" t="s">
        <v>1321</v>
      </c>
      <c r="D2582" s="47" t="s">
        <v>122</v>
      </c>
      <c r="E2582" s="94"/>
      <c r="F2582" s="388">
        <f>'დეფექტური აქტი'!E628</f>
        <v>0</v>
      </c>
      <c r="G2582" s="523"/>
      <c r="H2582" s="604"/>
      <c r="I2582" s="225"/>
      <c r="J2582" s="225"/>
      <c r="K2582" s="225"/>
      <c r="L2582" s="225"/>
      <c r="M2582" s="225"/>
    </row>
    <row r="2583" spans="1:13" s="95" customFormat="1" hidden="1">
      <c r="A2583" s="83"/>
      <c r="B2583" s="253"/>
      <c r="C2583" s="226" t="s">
        <v>79</v>
      </c>
      <c r="D2583" s="211" t="s">
        <v>80</v>
      </c>
      <c r="E2583" s="94">
        <v>1.4</v>
      </c>
      <c r="F2583" s="386">
        <f>F2582*E2583</f>
        <v>0</v>
      </c>
      <c r="G2583" s="523"/>
      <c r="H2583" s="604"/>
      <c r="I2583" s="225">
        <v>4.5999999999999996</v>
      </c>
      <c r="J2583" s="225">
        <f>F2583*I2583</f>
        <v>0</v>
      </c>
      <c r="K2583" s="225"/>
      <c r="L2583" s="225"/>
      <c r="M2583" s="225">
        <f>H2583+J2583+L2583</f>
        <v>0</v>
      </c>
    </row>
    <row r="2584" spans="1:13" s="95" customFormat="1" hidden="1">
      <c r="A2584" s="83"/>
      <c r="B2584" s="253"/>
      <c r="C2584" s="226" t="s">
        <v>181</v>
      </c>
      <c r="D2584" s="83" t="s">
        <v>57</v>
      </c>
      <c r="E2584" s="240">
        <v>4.7199999999999999E-2</v>
      </c>
      <c r="F2584" s="386">
        <f>F2582*E2584</f>
        <v>0</v>
      </c>
      <c r="G2584" s="523"/>
      <c r="H2584" s="225"/>
      <c r="I2584" s="225"/>
      <c r="J2584" s="225"/>
      <c r="K2584" s="225">
        <v>3.2</v>
      </c>
      <c r="L2584" s="225">
        <f>F2584*K2584</f>
        <v>0</v>
      </c>
      <c r="M2584" s="225">
        <f>H2584+J2584+L2584</f>
        <v>0</v>
      </c>
    </row>
    <row r="2585" spans="1:13" s="95" customFormat="1" hidden="1">
      <c r="A2585" s="83"/>
      <c r="B2585" s="253"/>
      <c r="C2585" s="15" t="s">
        <v>210</v>
      </c>
      <c r="D2585" s="211"/>
      <c r="E2585" s="240"/>
      <c r="F2585" s="386"/>
      <c r="G2585" s="523"/>
      <c r="H2585" s="225"/>
      <c r="I2585" s="225"/>
      <c r="J2585" s="225"/>
      <c r="K2585" s="225"/>
      <c r="L2585" s="225"/>
      <c r="M2585" s="225"/>
    </row>
    <row r="2586" spans="1:13" s="95" customFormat="1" hidden="1">
      <c r="A2586" s="83"/>
      <c r="B2586" s="253"/>
      <c r="C2586" s="226" t="s">
        <v>761</v>
      </c>
      <c r="D2586" s="41" t="s">
        <v>122</v>
      </c>
      <c r="E2586" s="211">
        <v>0.97399999999999998</v>
      </c>
      <c r="F2586" s="386">
        <f>F2582*E2586</f>
        <v>0</v>
      </c>
      <c r="G2586" s="225">
        <v>17.7</v>
      </c>
      <c r="H2586" s="225">
        <f>F2586*G2586</f>
        <v>0</v>
      </c>
      <c r="I2586" s="225"/>
      <c r="J2586" s="225"/>
      <c r="K2586" s="225"/>
      <c r="L2586" s="225"/>
      <c r="M2586" s="225">
        <f>H2586+J2586+L2586</f>
        <v>0</v>
      </c>
    </row>
    <row r="2587" spans="1:13" s="95" customFormat="1" hidden="1">
      <c r="A2587" s="86"/>
      <c r="B2587" s="255"/>
      <c r="C2587" s="229" t="s">
        <v>214</v>
      </c>
      <c r="D2587" s="86" t="s">
        <v>57</v>
      </c>
      <c r="E2587" s="293">
        <v>4.2500000000000003E-2</v>
      </c>
      <c r="F2587" s="387">
        <f>F2582*E2587</f>
        <v>0</v>
      </c>
      <c r="G2587" s="393">
        <v>3.2</v>
      </c>
      <c r="H2587" s="393">
        <f>F2587*G2587</f>
        <v>0</v>
      </c>
      <c r="I2587" s="393"/>
      <c r="J2587" s="393"/>
      <c r="K2587" s="393"/>
      <c r="L2587" s="393"/>
      <c r="M2587" s="393">
        <f>H2587+J2587+L2587</f>
        <v>0</v>
      </c>
    </row>
    <row r="2588" spans="1:13" s="95" customFormat="1" ht="27" hidden="1">
      <c r="A2588" s="130">
        <v>34</v>
      </c>
      <c r="B2588" s="251" t="s">
        <v>240</v>
      </c>
      <c r="C2588" s="84" t="s">
        <v>520</v>
      </c>
      <c r="D2588" s="47" t="s">
        <v>122</v>
      </c>
      <c r="E2588" s="94"/>
      <c r="F2588" s="388">
        <f>'დეფექტური აქტი'!E629</f>
        <v>0</v>
      </c>
      <c r="G2588" s="523"/>
      <c r="H2588" s="604"/>
      <c r="I2588" s="225"/>
      <c r="J2588" s="225"/>
      <c r="K2588" s="225"/>
      <c r="L2588" s="225"/>
      <c r="M2588" s="225"/>
    </row>
    <row r="2589" spans="1:13" s="95" customFormat="1" hidden="1">
      <c r="A2589" s="130"/>
      <c r="B2589" s="253"/>
      <c r="C2589" s="226" t="s">
        <v>209</v>
      </c>
      <c r="D2589" s="211" t="s">
        <v>80</v>
      </c>
      <c r="E2589" s="94">
        <v>1.17</v>
      </c>
      <c r="F2589" s="386">
        <f>F2588*E2589</f>
        <v>0</v>
      </c>
      <c r="G2589" s="523"/>
      <c r="H2589" s="604"/>
      <c r="I2589" s="225">
        <v>4.5999999999999996</v>
      </c>
      <c r="J2589" s="225">
        <f>F2589*I2589</f>
        <v>0</v>
      </c>
      <c r="K2589" s="225"/>
      <c r="L2589" s="225"/>
      <c r="M2589" s="225">
        <f>H2589+J2589+L2589</f>
        <v>0</v>
      </c>
    </row>
    <row r="2590" spans="1:13" s="95" customFormat="1" hidden="1">
      <c r="A2590" s="130"/>
      <c r="B2590" s="253"/>
      <c r="C2590" s="226" t="s">
        <v>181</v>
      </c>
      <c r="D2590" s="83" t="s">
        <v>57</v>
      </c>
      <c r="E2590" s="240">
        <v>1.72E-2</v>
      </c>
      <c r="F2590" s="386">
        <f>F2588*E2590</f>
        <v>0</v>
      </c>
      <c r="G2590" s="523"/>
      <c r="H2590" s="225"/>
      <c r="I2590" s="225"/>
      <c r="J2590" s="225"/>
      <c r="K2590" s="523">
        <v>3.2</v>
      </c>
      <c r="L2590" s="225">
        <f>F2590*K2590</f>
        <v>0</v>
      </c>
      <c r="M2590" s="225">
        <f>H2590+J2590+L2590</f>
        <v>0</v>
      </c>
    </row>
    <row r="2591" spans="1:13" s="95" customFormat="1" hidden="1">
      <c r="A2591" s="130"/>
      <c r="B2591" s="253"/>
      <c r="C2591" s="15" t="s">
        <v>210</v>
      </c>
      <c r="D2591" s="211"/>
      <c r="E2591" s="240"/>
      <c r="F2591" s="386"/>
      <c r="G2591" s="523"/>
      <c r="H2591" s="225"/>
      <c r="I2591" s="225"/>
      <c r="J2591" s="225"/>
      <c r="K2591" s="225"/>
      <c r="L2591" s="225"/>
      <c r="M2591" s="225"/>
    </row>
    <row r="2592" spans="1:13" s="95" customFormat="1" hidden="1">
      <c r="A2592" s="130"/>
      <c r="B2592" s="253"/>
      <c r="C2592" s="226" t="s">
        <v>655</v>
      </c>
      <c r="D2592" s="41" t="s">
        <v>122</v>
      </c>
      <c r="E2592" s="240">
        <v>0.93799999999999994</v>
      </c>
      <c r="F2592" s="386">
        <f>F2588*E2592</f>
        <v>0</v>
      </c>
      <c r="G2592" s="225">
        <v>1.7</v>
      </c>
      <c r="H2592" s="225">
        <f>F2592*G2592</f>
        <v>0</v>
      </c>
      <c r="I2592" s="225"/>
      <c r="J2592" s="225"/>
      <c r="K2592" s="225"/>
      <c r="L2592" s="225"/>
      <c r="M2592" s="225">
        <f>H2592+J2592+L2592</f>
        <v>0</v>
      </c>
    </row>
    <row r="2593" spans="1:13" s="95" customFormat="1" hidden="1">
      <c r="A2593" s="161"/>
      <c r="B2593" s="255"/>
      <c r="C2593" s="229" t="s">
        <v>214</v>
      </c>
      <c r="D2593" s="86" t="s">
        <v>57</v>
      </c>
      <c r="E2593" s="241">
        <v>3.9300000000000002E-2</v>
      </c>
      <c r="F2593" s="387">
        <f>F2588*E2593</f>
        <v>0</v>
      </c>
      <c r="G2593" s="606">
        <v>3.2</v>
      </c>
      <c r="H2593" s="393">
        <f>F2593*G2593</f>
        <v>0</v>
      </c>
      <c r="I2593" s="393"/>
      <c r="J2593" s="393"/>
      <c r="K2593" s="393"/>
      <c r="L2593" s="393"/>
      <c r="M2593" s="393">
        <f>H2593+J2593+L2593</f>
        <v>0</v>
      </c>
    </row>
    <row r="2594" spans="1:13" s="93" customFormat="1" ht="27" hidden="1">
      <c r="A2594" s="161">
        <v>35</v>
      </c>
      <c r="B2594" s="257"/>
      <c r="C2594" s="229" t="s">
        <v>521</v>
      </c>
      <c r="D2594" s="24" t="s">
        <v>113</v>
      </c>
      <c r="E2594" s="230"/>
      <c r="F2594" s="397">
        <f>'დეფექტური აქტი'!E630</f>
        <v>0</v>
      </c>
      <c r="G2594" s="606">
        <v>3</v>
      </c>
      <c r="H2594" s="393">
        <f>F2594*G2594</f>
        <v>0</v>
      </c>
      <c r="I2594" s="393"/>
      <c r="J2594" s="393"/>
      <c r="K2594" s="393"/>
      <c r="L2594" s="393"/>
      <c r="M2594" s="393">
        <f>H2594+J2594+L2594</f>
        <v>0</v>
      </c>
    </row>
    <row r="2595" spans="1:13" s="93" customFormat="1" hidden="1">
      <c r="A2595" s="130">
        <v>36</v>
      </c>
      <c r="B2595" s="376" t="s">
        <v>656</v>
      </c>
      <c r="C2595" s="84" t="s">
        <v>522</v>
      </c>
      <c r="D2595" s="140" t="s">
        <v>113</v>
      </c>
      <c r="E2595" s="94"/>
      <c r="F2595" s="388">
        <f>'დეფექტური აქტი'!E631</f>
        <v>0</v>
      </c>
      <c r="G2595" s="523"/>
      <c r="H2595" s="604"/>
      <c r="I2595" s="225"/>
      <c r="J2595" s="225"/>
      <c r="K2595" s="225"/>
      <c r="L2595" s="225"/>
      <c r="M2595" s="225"/>
    </row>
    <row r="2596" spans="1:13" s="93" customFormat="1" hidden="1">
      <c r="A2596" s="130"/>
      <c r="B2596" s="377"/>
      <c r="C2596" s="226" t="s">
        <v>209</v>
      </c>
      <c r="D2596" s="211" t="s">
        <v>80</v>
      </c>
      <c r="E2596" s="94">
        <v>5.0999999999999996</v>
      </c>
      <c r="F2596" s="386">
        <f>F2595*E2596</f>
        <v>0</v>
      </c>
      <c r="G2596" s="523"/>
      <c r="H2596" s="604"/>
      <c r="I2596" s="225">
        <v>4.5999999999999996</v>
      </c>
      <c r="J2596" s="225">
        <f>F2596*I2596</f>
        <v>0</v>
      </c>
      <c r="K2596" s="225"/>
      <c r="L2596" s="225"/>
      <c r="M2596" s="225">
        <f>H2596+J2596+L2596</f>
        <v>0</v>
      </c>
    </row>
    <row r="2597" spans="1:13" s="93" customFormat="1" hidden="1">
      <c r="A2597" s="130"/>
      <c r="B2597" s="377"/>
      <c r="C2597" s="226" t="s">
        <v>133</v>
      </c>
      <c r="D2597" s="83" t="s">
        <v>57</v>
      </c>
      <c r="E2597" s="240">
        <v>0.09</v>
      </c>
      <c r="F2597" s="386">
        <f>F2595*E2597</f>
        <v>0</v>
      </c>
      <c r="G2597" s="523"/>
      <c r="H2597" s="225"/>
      <c r="I2597" s="225"/>
      <c r="J2597" s="225"/>
      <c r="K2597" s="225">
        <v>3.2</v>
      </c>
      <c r="L2597" s="225">
        <f>F2597*K2597</f>
        <v>0</v>
      </c>
      <c r="M2597" s="225">
        <f>H2597+J2597+L2597</f>
        <v>0</v>
      </c>
    </row>
    <row r="2598" spans="1:13" s="93" customFormat="1" hidden="1">
      <c r="A2598" s="130"/>
      <c r="B2598" s="377"/>
      <c r="C2598" s="15" t="s">
        <v>210</v>
      </c>
      <c r="D2598" s="211"/>
      <c r="E2598" s="240"/>
      <c r="F2598" s="386"/>
      <c r="G2598" s="523"/>
      <c r="H2598" s="225"/>
      <c r="I2598" s="225"/>
      <c r="J2598" s="225"/>
      <c r="K2598" s="225"/>
      <c r="L2598" s="225"/>
      <c r="M2598" s="225"/>
    </row>
    <row r="2599" spans="1:13" s="93" customFormat="1" hidden="1">
      <c r="A2599" s="130"/>
      <c r="B2599" s="377"/>
      <c r="C2599" s="84" t="s">
        <v>657</v>
      </c>
      <c r="D2599" s="83" t="s">
        <v>113</v>
      </c>
      <c r="E2599" s="240">
        <v>1</v>
      </c>
      <c r="F2599" s="386">
        <f>F2595*E2599</f>
        <v>0</v>
      </c>
      <c r="G2599" s="225">
        <v>40</v>
      </c>
      <c r="H2599" s="225">
        <f>F2599*G2599</f>
        <v>0</v>
      </c>
      <c r="I2599" s="225"/>
      <c r="J2599" s="225"/>
      <c r="K2599" s="225"/>
      <c r="L2599" s="225"/>
      <c r="M2599" s="225">
        <f>H2599+J2599+L2599</f>
        <v>0</v>
      </c>
    </row>
    <row r="2600" spans="1:13" s="93" customFormat="1" hidden="1">
      <c r="A2600" s="161"/>
      <c r="B2600" s="378"/>
      <c r="C2600" s="229" t="s">
        <v>214</v>
      </c>
      <c r="D2600" s="86" t="s">
        <v>57</v>
      </c>
      <c r="E2600" s="241">
        <v>0.13</v>
      </c>
      <c r="F2600" s="387">
        <f>F2595*E2600</f>
        <v>0</v>
      </c>
      <c r="G2600" s="393">
        <v>3.2</v>
      </c>
      <c r="H2600" s="393">
        <f>F2600*G2600</f>
        <v>0</v>
      </c>
      <c r="I2600" s="393"/>
      <c r="J2600" s="393"/>
      <c r="K2600" s="393"/>
      <c r="L2600" s="393"/>
      <c r="M2600" s="393">
        <f>H2600+J2600+L2600</f>
        <v>0</v>
      </c>
    </row>
    <row r="2601" spans="1:13" s="93" customFormat="1" ht="27" hidden="1">
      <c r="A2601" s="130">
        <v>37</v>
      </c>
      <c r="B2601" s="251" t="s">
        <v>99</v>
      </c>
      <c r="C2601" s="84" t="s">
        <v>674</v>
      </c>
      <c r="D2601" s="47" t="s">
        <v>4</v>
      </c>
      <c r="E2601" s="94"/>
      <c r="F2601" s="388">
        <f>'დეფექტური აქტი'!E632</f>
        <v>0</v>
      </c>
      <c r="G2601" s="523"/>
      <c r="H2601" s="604"/>
      <c r="I2601" s="225"/>
      <c r="J2601" s="225"/>
      <c r="K2601" s="225"/>
      <c r="L2601" s="225"/>
      <c r="M2601" s="225"/>
    </row>
    <row r="2602" spans="1:13" s="93" customFormat="1" hidden="1">
      <c r="A2602" s="130"/>
      <c r="B2602" s="253"/>
      <c r="C2602" s="226" t="s">
        <v>209</v>
      </c>
      <c r="D2602" s="41" t="s">
        <v>4</v>
      </c>
      <c r="E2602" s="94">
        <v>1</v>
      </c>
      <c r="F2602" s="386">
        <f>F2601*E2602</f>
        <v>0</v>
      </c>
      <c r="G2602" s="523"/>
      <c r="H2602" s="604"/>
      <c r="I2602" s="225">
        <v>50</v>
      </c>
      <c r="J2602" s="225">
        <f>F2602*I2602</f>
        <v>0</v>
      </c>
      <c r="K2602" s="225"/>
      <c r="L2602" s="225"/>
      <c r="M2602" s="225">
        <f>H2602+J2602+L2602</f>
        <v>0</v>
      </c>
    </row>
    <row r="2603" spans="1:13" s="93" customFormat="1" hidden="1">
      <c r="A2603" s="130"/>
      <c r="B2603" s="253"/>
      <c r="C2603" s="15" t="s">
        <v>210</v>
      </c>
      <c r="D2603" s="211"/>
      <c r="E2603" s="240"/>
      <c r="F2603" s="386"/>
      <c r="G2603" s="523"/>
      <c r="H2603" s="225"/>
      <c r="I2603" s="225"/>
      <c r="J2603" s="225"/>
      <c r="K2603" s="225"/>
      <c r="L2603" s="225"/>
      <c r="M2603" s="225"/>
    </row>
    <row r="2604" spans="1:13" s="93" customFormat="1" hidden="1">
      <c r="A2604" s="161"/>
      <c r="B2604" s="255"/>
      <c r="C2604" s="87" t="s">
        <v>675</v>
      </c>
      <c r="D2604" s="43" t="s">
        <v>4</v>
      </c>
      <c r="E2604" s="241">
        <v>1</v>
      </c>
      <c r="F2604" s="387">
        <f>F2601*E2604</f>
        <v>0</v>
      </c>
      <c r="G2604" s="393">
        <v>80</v>
      </c>
      <c r="H2604" s="393">
        <f>F2604*G2604</f>
        <v>0</v>
      </c>
      <c r="I2604" s="393"/>
      <c r="J2604" s="393"/>
      <c r="K2604" s="393"/>
      <c r="L2604" s="393"/>
      <c r="M2604" s="393">
        <f>H2604+J2604+L2604</f>
        <v>0</v>
      </c>
    </row>
    <row r="2605" spans="1:13" s="93" customFormat="1" hidden="1">
      <c r="A2605" s="130">
        <v>38</v>
      </c>
      <c r="B2605" s="373" t="s">
        <v>629</v>
      </c>
      <c r="C2605" s="294" t="s">
        <v>707</v>
      </c>
      <c r="D2605" s="47" t="s">
        <v>4</v>
      </c>
      <c r="E2605" s="94"/>
      <c r="F2605" s="388">
        <f>'დეფექტური აქტი'!E633</f>
        <v>0</v>
      </c>
      <c r="G2605" s="523"/>
      <c r="H2605" s="604"/>
      <c r="I2605" s="225"/>
      <c r="J2605" s="225"/>
      <c r="K2605" s="225"/>
      <c r="L2605" s="225"/>
      <c r="M2605" s="225"/>
    </row>
    <row r="2606" spans="1:13" s="93" customFormat="1" hidden="1">
      <c r="A2606" s="130"/>
      <c r="B2606" s="374"/>
      <c r="C2606" s="226" t="s">
        <v>209</v>
      </c>
      <c r="D2606" s="211" t="s">
        <v>80</v>
      </c>
      <c r="E2606" s="94">
        <v>9.17</v>
      </c>
      <c r="F2606" s="386">
        <f>F2605*E2606</f>
        <v>0</v>
      </c>
      <c r="G2606" s="523"/>
      <c r="H2606" s="604"/>
      <c r="I2606" s="225">
        <v>4.5999999999999996</v>
      </c>
      <c r="J2606" s="225">
        <f>F2606*I2606</f>
        <v>0</v>
      </c>
      <c r="K2606" s="225"/>
      <c r="L2606" s="225"/>
      <c r="M2606" s="225">
        <f>H2606+J2606+L2606</f>
        <v>0</v>
      </c>
    </row>
    <row r="2607" spans="1:13" s="93" customFormat="1" hidden="1">
      <c r="A2607" s="130"/>
      <c r="B2607" s="374"/>
      <c r="C2607" s="226" t="s">
        <v>133</v>
      </c>
      <c r="D2607" s="83" t="s">
        <v>57</v>
      </c>
      <c r="E2607" s="240">
        <v>0.22</v>
      </c>
      <c r="F2607" s="386">
        <f>F2605*E2607</f>
        <v>0</v>
      </c>
      <c r="G2607" s="523"/>
      <c r="H2607" s="225"/>
      <c r="I2607" s="225"/>
      <c r="J2607" s="225"/>
      <c r="K2607" s="225">
        <v>3.2</v>
      </c>
      <c r="L2607" s="225">
        <f>F2607*K2607</f>
        <v>0</v>
      </c>
      <c r="M2607" s="225">
        <f>H2607+J2607+L2607</f>
        <v>0</v>
      </c>
    </row>
    <row r="2608" spans="1:13" s="93" customFormat="1" hidden="1">
      <c r="A2608" s="130"/>
      <c r="B2608" s="374"/>
      <c r="C2608" s="15" t="s">
        <v>210</v>
      </c>
      <c r="D2608" s="211"/>
      <c r="E2608" s="240"/>
      <c r="F2608" s="386"/>
      <c r="G2608" s="523"/>
      <c r="H2608" s="225"/>
      <c r="I2608" s="225"/>
      <c r="J2608" s="225"/>
      <c r="K2608" s="225"/>
      <c r="L2608" s="225"/>
      <c r="M2608" s="225"/>
    </row>
    <row r="2609" spans="1:13" s="93" customFormat="1" hidden="1">
      <c r="A2609" s="130"/>
      <c r="B2609" s="374"/>
      <c r="C2609" s="295" t="s">
        <v>687</v>
      </c>
      <c r="D2609" s="41" t="s">
        <v>4</v>
      </c>
      <c r="E2609" s="240">
        <v>1</v>
      </c>
      <c r="F2609" s="386">
        <f>F2605*E2609</f>
        <v>0</v>
      </c>
      <c r="G2609" s="225">
        <v>65</v>
      </c>
      <c r="H2609" s="225">
        <f>F2609*G2609</f>
        <v>0</v>
      </c>
      <c r="I2609" s="225"/>
      <c r="J2609" s="225"/>
      <c r="K2609" s="225"/>
      <c r="L2609" s="225"/>
      <c r="M2609" s="225">
        <f>H2609+J2609+L2609</f>
        <v>0</v>
      </c>
    </row>
    <row r="2610" spans="1:13" s="93" customFormat="1" hidden="1">
      <c r="A2610" s="161"/>
      <c r="B2610" s="375"/>
      <c r="C2610" s="229" t="s">
        <v>214</v>
      </c>
      <c r="D2610" s="86" t="s">
        <v>57</v>
      </c>
      <c r="E2610" s="241">
        <v>0.2</v>
      </c>
      <c r="F2610" s="387">
        <f>F2605*E2610</f>
        <v>0</v>
      </c>
      <c r="G2610" s="393">
        <v>3.2</v>
      </c>
      <c r="H2610" s="393">
        <f>F2610*G2610</f>
        <v>0</v>
      </c>
      <c r="I2610" s="393"/>
      <c r="J2610" s="393"/>
      <c r="K2610" s="393"/>
      <c r="L2610" s="393"/>
      <c r="M2610" s="393">
        <f>H2610+J2610+L2610</f>
        <v>0</v>
      </c>
    </row>
    <row r="2611" spans="1:13" s="93" customFormat="1" ht="27" hidden="1">
      <c r="A2611" s="130">
        <v>39</v>
      </c>
      <c r="B2611" s="1459" t="s">
        <v>555</v>
      </c>
      <c r="C2611" s="84" t="s">
        <v>1083</v>
      </c>
      <c r="D2611" s="228" t="s">
        <v>88</v>
      </c>
      <c r="E2611" s="240"/>
      <c r="F2611" s="388">
        <f>'დეფექტური აქტი'!E634</f>
        <v>0</v>
      </c>
      <c r="G2611" s="523"/>
      <c r="H2611" s="225"/>
      <c r="I2611" s="225"/>
      <c r="J2611" s="225"/>
      <c r="K2611" s="225"/>
      <c r="L2611" s="225"/>
      <c r="M2611" s="225"/>
    </row>
    <row r="2612" spans="1:13" s="93" customFormat="1" hidden="1">
      <c r="A2612" s="132"/>
      <c r="B2612" s="1460"/>
      <c r="C2612" s="226" t="s">
        <v>556</v>
      </c>
      <c r="D2612" s="211" t="s">
        <v>80</v>
      </c>
      <c r="E2612" s="94">
        <v>13.8</v>
      </c>
      <c r="F2612" s="386">
        <f>F2611*E2612</f>
        <v>0</v>
      </c>
      <c r="G2612" s="225"/>
      <c r="H2612" s="604"/>
      <c r="I2612" s="225">
        <v>4.5999999999999996</v>
      </c>
      <c r="J2612" s="225">
        <f>F2612*I2612</f>
        <v>0</v>
      </c>
      <c r="K2612" s="225"/>
      <c r="L2612" s="225"/>
      <c r="M2612" s="225">
        <f>H2612+J2612+L2612</f>
        <v>0</v>
      </c>
    </row>
    <row r="2613" spans="1:13" s="89" customFormat="1" hidden="1">
      <c r="A2613" s="132"/>
      <c r="B2613" s="1460"/>
      <c r="C2613" s="226" t="s">
        <v>181</v>
      </c>
      <c r="D2613" s="83" t="s">
        <v>57</v>
      </c>
      <c r="E2613" s="240">
        <v>0.17</v>
      </c>
      <c r="F2613" s="386">
        <f>F2611*E2613</f>
        <v>0</v>
      </c>
      <c r="G2613" s="225"/>
      <c r="H2613" s="225"/>
      <c r="I2613" s="225"/>
      <c r="J2613" s="225"/>
      <c r="K2613" s="225">
        <v>3.2</v>
      </c>
      <c r="L2613" s="225">
        <f>F2613*K2613</f>
        <v>0</v>
      </c>
      <c r="M2613" s="225">
        <f>H2613+J2613+L2613</f>
        <v>0</v>
      </c>
    </row>
    <row r="2614" spans="1:13" s="93" customFormat="1" hidden="1">
      <c r="A2614" s="132"/>
      <c r="B2614" s="1460"/>
      <c r="C2614" s="15" t="s">
        <v>210</v>
      </c>
      <c r="D2614" s="211"/>
      <c r="E2614" s="240"/>
      <c r="F2614" s="386"/>
      <c r="G2614" s="225"/>
      <c r="H2614" s="225"/>
      <c r="I2614" s="225"/>
      <c r="J2614" s="225"/>
      <c r="K2614" s="225"/>
      <c r="L2614" s="225"/>
      <c r="M2614" s="225"/>
    </row>
    <row r="2615" spans="1:13" s="93" customFormat="1" hidden="1">
      <c r="A2615" s="132"/>
      <c r="B2615" s="1460"/>
      <c r="C2615" s="226" t="s">
        <v>1084</v>
      </c>
      <c r="D2615" s="211" t="s">
        <v>78</v>
      </c>
      <c r="E2615" s="240">
        <v>1.03</v>
      </c>
      <c r="F2615" s="388">
        <f>E2615*F2611/0.05</f>
        <v>0</v>
      </c>
      <c r="G2615" s="225">
        <v>2.37</v>
      </c>
      <c r="H2615" s="225">
        <f>F2615*G2615</f>
        <v>0</v>
      </c>
      <c r="I2615" s="225"/>
      <c r="J2615" s="225"/>
      <c r="K2615" s="225"/>
      <c r="L2615" s="225"/>
      <c r="M2615" s="225">
        <f>H2615+J2615+L2615</f>
        <v>0</v>
      </c>
    </row>
    <row r="2616" spans="1:13" s="93" customFormat="1" hidden="1">
      <c r="A2616" s="132"/>
      <c r="B2616" s="1460"/>
      <c r="C2616" s="226" t="s">
        <v>557</v>
      </c>
      <c r="D2616" s="211" t="s">
        <v>97</v>
      </c>
      <c r="E2616" s="240">
        <v>10.6</v>
      </c>
      <c r="F2616" s="386">
        <f>F2611*E2616</f>
        <v>0</v>
      </c>
      <c r="G2616" s="225">
        <v>1.9</v>
      </c>
      <c r="H2616" s="225">
        <f>F2616*G2616</f>
        <v>0</v>
      </c>
      <c r="I2616" s="225"/>
      <c r="J2616" s="225"/>
      <c r="K2616" s="225"/>
      <c r="L2616" s="225"/>
      <c r="M2616" s="225">
        <f>H2616+J2616+L2616</f>
        <v>0</v>
      </c>
    </row>
    <row r="2617" spans="1:13" s="93" customFormat="1" hidden="1">
      <c r="A2617" s="132"/>
      <c r="B2617" s="1460"/>
      <c r="C2617" s="226" t="s">
        <v>558</v>
      </c>
      <c r="D2617" s="211" t="s">
        <v>97</v>
      </c>
      <c r="E2617" s="94">
        <v>1</v>
      </c>
      <c r="F2617" s="386">
        <f>F2611*E2617</f>
        <v>0</v>
      </c>
      <c r="G2617" s="225">
        <v>1.7</v>
      </c>
      <c r="H2617" s="225">
        <f>F2617*G2617</f>
        <v>0</v>
      </c>
      <c r="I2617" s="225"/>
      <c r="J2617" s="225"/>
      <c r="K2617" s="225"/>
      <c r="L2617" s="225"/>
      <c r="M2617" s="225">
        <f>H2617+J2617+L2617</f>
        <v>0</v>
      </c>
    </row>
    <row r="2618" spans="1:13" s="93" customFormat="1" hidden="1">
      <c r="A2618" s="133"/>
      <c r="B2618" s="1461"/>
      <c r="C2618" s="229" t="s">
        <v>214</v>
      </c>
      <c r="D2618" s="86" t="s">
        <v>57</v>
      </c>
      <c r="E2618" s="241">
        <v>0.9</v>
      </c>
      <c r="F2618" s="387">
        <f>F2611*E2618</f>
        <v>0</v>
      </c>
      <c r="G2618" s="393">
        <v>3.2</v>
      </c>
      <c r="H2618" s="393">
        <f>F2618*G2618</f>
        <v>0</v>
      </c>
      <c r="I2618" s="393"/>
      <c r="J2618" s="393"/>
      <c r="K2618" s="393"/>
      <c r="L2618" s="393"/>
      <c r="M2618" s="393">
        <f>H2618+J2618+L2618</f>
        <v>0</v>
      </c>
    </row>
    <row r="2619" spans="1:13" s="93" customFormat="1" ht="40.5" hidden="1">
      <c r="A2619" s="83">
        <v>40</v>
      </c>
      <c r="B2619" s="1429" t="s">
        <v>99</v>
      </c>
      <c r="C2619" s="84" t="s">
        <v>607</v>
      </c>
      <c r="D2619" s="140" t="s">
        <v>113</v>
      </c>
      <c r="E2619" s="94"/>
      <c r="F2619" s="388">
        <f>'დეფექტური აქტი'!E635</f>
        <v>0</v>
      </c>
      <c r="G2619" s="523"/>
      <c r="H2619" s="604"/>
      <c r="I2619" s="225"/>
      <c r="J2619" s="225"/>
      <c r="K2619" s="225"/>
      <c r="L2619" s="225"/>
      <c r="M2619" s="225"/>
    </row>
    <row r="2620" spans="1:13" s="93" customFormat="1" hidden="1">
      <c r="A2620" s="83"/>
      <c r="B2620" s="1448"/>
      <c r="C2620" s="226" t="s">
        <v>209</v>
      </c>
      <c r="D2620" s="83" t="s">
        <v>113</v>
      </c>
      <c r="E2620" s="94">
        <v>1</v>
      </c>
      <c r="F2620" s="386">
        <f>F2619*E2620</f>
        <v>0</v>
      </c>
      <c r="G2620" s="523"/>
      <c r="H2620" s="604"/>
      <c r="I2620" s="225">
        <v>50</v>
      </c>
      <c r="J2620" s="225">
        <f>F2620*I2620</f>
        <v>0</v>
      </c>
      <c r="K2620" s="225"/>
      <c r="L2620" s="225"/>
      <c r="M2620" s="225">
        <f>H2620+J2620+L2620</f>
        <v>0</v>
      </c>
    </row>
    <row r="2621" spans="1:13" s="93" customFormat="1" hidden="1">
      <c r="A2621" s="83"/>
      <c r="B2621" s="1448"/>
      <c r="C2621" s="15" t="s">
        <v>210</v>
      </c>
      <c r="D2621" s="211"/>
      <c r="E2621" s="240"/>
      <c r="F2621" s="386"/>
      <c r="G2621" s="523"/>
      <c r="H2621" s="225"/>
      <c r="I2621" s="225"/>
      <c r="J2621" s="225"/>
      <c r="K2621" s="225"/>
      <c r="L2621" s="225"/>
      <c r="M2621" s="225"/>
    </row>
    <row r="2622" spans="1:13" s="93" customFormat="1" ht="27" hidden="1">
      <c r="A2622" s="86"/>
      <c r="B2622" s="1430"/>
      <c r="C2622" s="87" t="s">
        <v>1607</v>
      </c>
      <c r="D2622" s="86" t="s">
        <v>113</v>
      </c>
      <c r="E2622" s="230">
        <v>1</v>
      </c>
      <c r="F2622" s="387">
        <f>F2619*E2622</f>
        <v>0</v>
      </c>
      <c r="G2622" s="925">
        <v>200</v>
      </c>
      <c r="H2622" s="393">
        <f>F2622*G2622</f>
        <v>0</v>
      </c>
      <c r="I2622" s="393"/>
      <c r="J2622" s="393"/>
      <c r="K2622" s="393"/>
      <c r="L2622" s="393"/>
      <c r="M2622" s="393">
        <f>H2622+J2622+L2622</f>
        <v>0</v>
      </c>
    </row>
    <row r="2623" spans="1:13" s="93" customFormat="1" hidden="1">
      <c r="A2623" s="132">
        <v>41</v>
      </c>
      <c r="B2623" s="1456" t="s">
        <v>577</v>
      </c>
      <c r="C2623" s="278" t="s">
        <v>671</v>
      </c>
      <c r="D2623" s="140" t="s">
        <v>113</v>
      </c>
      <c r="E2623" s="83"/>
      <c r="F2623" s="388">
        <f>'დეფექტური აქტი'!E636</f>
        <v>0</v>
      </c>
      <c r="G2623" s="225"/>
      <c r="H2623" s="225"/>
      <c r="I2623" s="225"/>
      <c r="J2623" s="225"/>
      <c r="K2623" s="225"/>
      <c r="L2623" s="225"/>
      <c r="M2623" s="225"/>
    </row>
    <row r="2624" spans="1:13" s="93" customFormat="1" hidden="1">
      <c r="A2624" s="132"/>
      <c r="B2624" s="1457"/>
      <c r="C2624" s="226" t="s">
        <v>209</v>
      </c>
      <c r="D2624" s="211" t="s">
        <v>80</v>
      </c>
      <c r="E2624" s="211">
        <v>2</v>
      </c>
      <c r="F2624" s="386">
        <f>F2623*E2624</f>
        <v>0</v>
      </c>
      <c r="G2624" s="225"/>
      <c r="H2624" s="225"/>
      <c r="I2624" s="225">
        <v>4.5999999999999996</v>
      </c>
      <c r="J2624" s="225">
        <f>F2624*I2624</f>
        <v>0</v>
      </c>
      <c r="K2624" s="225"/>
      <c r="L2624" s="225"/>
      <c r="M2624" s="225">
        <f>H2624+J2624+L2624</f>
        <v>0</v>
      </c>
    </row>
    <row r="2625" spans="1:13" s="93" customFormat="1" hidden="1">
      <c r="A2625" s="132"/>
      <c r="B2625" s="1457"/>
      <c r="C2625" s="226" t="s">
        <v>133</v>
      </c>
      <c r="D2625" s="83" t="s">
        <v>57</v>
      </c>
      <c r="E2625" s="83">
        <v>7.0000000000000007E-2</v>
      </c>
      <c r="F2625" s="386">
        <f>F2623*E2625</f>
        <v>0</v>
      </c>
      <c r="G2625" s="225"/>
      <c r="H2625" s="225"/>
      <c r="I2625" s="225"/>
      <c r="J2625" s="225"/>
      <c r="K2625" s="225">
        <v>3.2</v>
      </c>
      <c r="L2625" s="225">
        <f>F2625*K2625</f>
        <v>0</v>
      </c>
      <c r="M2625" s="225">
        <f>J2625+H2625+L2625</f>
        <v>0</v>
      </c>
    </row>
    <row r="2626" spans="1:13" s="93" customFormat="1" hidden="1">
      <c r="A2626" s="132"/>
      <c r="B2626" s="1457"/>
      <c r="C2626" s="15" t="s">
        <v>210</v>
      </c>
      <c r="D2626" s="211"/>
      <c r="E2626" s="211"/>
      <c r="F2626" s="386"/>
      <c r="G2626" s="225"/>
      <c r="H2626" s="225"/>
      <c r="I2626" s="225"/>
      <c r="J2626" s="225"/>
      <c r="K2626" s="225"/>
      <c r="L2626" s="225"/>
      <c r="M2626" s="225"/>
    </row>
    <row r="2627" spans="1:13" s="93" customFormat="1" hidden="1">
      <c r="A2627" s="132"/>
      <c r="B2627" s="1457"/>
      <c r="C2627" s="84" t="s">
        <v>672</v>
      </c>
      <c r="D2627" s="83" t="s">
        <v>113</v>
      </c>
      <c r="E2627" s="211">
        <v>1</v>
      </c>
      <c r="F2627" s="386">
        <f>F2623*E2627</f>
        <v>0</v>
      </c>
      <c r="G2627" s="600">
        <v>80</v>
      </c>
      <c r="H2627" s="225">
        <f>F2627*G2627</f>
        <v>0</v>
      </c>
      <c r="I2627" s="225"/>
      <c r="J2627" s="225"/>
      <c r="K2627" s="225"/>
      <c r="L2627" s="225"/>
      <c r="M2627" s="225">
        <f>H2627+J2627+L2627</f>
        <v>0</v>
      </c>
    </row>
    <row r="2628" spans="1:13" s="93" customFormat="1" hidden="1">
      <c r="A2628" s="133"/>
      <c r="B2628" s="1458"/>
      <c r="C2628" s="229" t="s">
        <v>214</v>
      </c>
      <c r="D2628" s="86" t="s">
        <v>57</v>
      </c>
      <c r="E2628" s="230">
        <v>2.04</v>
      </c>
      <c r="F2628" s="387">
        <f>F2623*E2628</f>
        <v>0</v>
      </c>
      <c r="G2628" s="393">
        <v>3.2</v>
      </c>
      <c r="H2628" s="393">
        <f>F2628*G2628</f>
        <v>0</v>
      </c>
      <c r="I2628" s="393"/>
      <c r="J2628" s="393"/>
      <c r="K2628" s="393"/>
      <c r="L2628" s="393"/>
      <c r="M2628" s="393">
        <f>H2628+J2628+L2628</f>
        <v>0</v>
      </c>
    </row>
    <row r="2629" spans="1:13" s="93" customFormat="1" hidden="1">
      <c r="A2629" s="142"/>
      <c r="B2629" s="24"/>
      <c r="C2629" s="170" t="s">
        <v>110</v>
      </c>
      <c r="D2629" s="277"/>
      <c r="E2629" s="24"/>
      <c r="F2629" s="407"/>
      <c r="G2629" s="613"/>
      <c r="H2629" s="613">
        <f>SUM(H2419:H2628)</f>
        <v>0</v>
      </c>
      <c r="I2629" s="613"/>
      <c r="J2629" s="613">
        <f>SUM(J2419:J2628)</f>
        <v>0</v>
      </c>
      <c r="K2629" s="613"/>
      <c r="L2629" s="613">
        <f>SUM(L2419:L2628)</f>
        <v>0</v>
      </c>
      <c r="M2629" s="613">
        <f>SUM(M2419:M2628)</f>
        <v>0</v>
      </c>
    </row>
    <row r="2630" spans="1:13" s="93" customFormat="1" hidden="1">
      <c r="A2630" s="142"/>
      <c r="B2630" s="24"/>
      <c r="C2630" s="110" t="s">
        <v>658</v>
      </c>
      <c r="D2630" s="277"/>
      <c r="E2630" s="24"/>
      <c r="F2630" s="407"/>
      <c r="G2630" s="613"/>
      <c r="H2630" s="613">
        <f>M2630</f>
        <v>0</v>
      </c>
      <c r="I2630" s="613"/>
      <c r="J2630" s="613"/>
      <c r="K2630" s="613"/>
      <c r="L2630" s="613"/>
      <c r="M2630" s="613">
        <f>M2428+M2433+M2438+M2443+M2448+M2453+M2457+M2461+M2465+M2470+M2484+M2492+M2498+M2504+M2510+M2516+M2475+M2479+M2423</f>
        <v>0</v>
      </c>
    </row>
    <row r="2631" spans="1:13" s="93" customFormat="1" hidden="1">
      <c r="A2631" s="142"/>
      <c r="B2631" s="24"/>
      <c r="C2631" s="110" t="s">
        <v>117</v>
      </c>
      <c r="D2631" s="277"/>
      <c r="E2631" s="24"/>
      <c r="F2631" s="407"/>
      <c r="G2631" s="613"/>
      <c r="H2631" s="613">
        <f t="shared" ref="H2631:M2631" si="59">H2629-H2630-H2632</f>
        <v>0</v>
      </c>
      <c r="I2631" s="613"/>
      <c r="J2631" s="613">
        <f t="shared" si="59"/>
        <v>0</v>
      </c>
      <c r="K2631" s="613"/>
      <c r="L2631" s="613">
        <f t="shared" si="59"/>
        <v>0</v>
      </c>
      <c r="M2631" s="613">
        <f t="shared" si="59"/>
        <v>0</v>
      </c>
    </row>
    <row r="2632" spans="1:13" s="93" customFormat="1" hidden="1">
      <c r="A2632" s="142"/>
      <c r="B2632" s="24"/>
      <c r="C2632" s="110" t="s">
        <v>659</v>
      </c>
      <c r="D2632" s="277"/>
      <c r="E2632" s="24"/>
      <c r="F2632" s="407"/>
      <c r="G2632" s="613"/>
      <c r="H2632" s="613"/>
      <c r="I2632" s="613"/>
      <c r="J2632" s="613">
        <f>M2632</f>
        <v>0</v>
      </c>
      <c r="K2632" s="613"/>
      <c r="L2632" s="613"/>
      <c r="M2632" s="613">
        <f>M2513+M2507+M2501+M2495+M2489+M2481+M2477+M2472+M2467+M2463+M2459+M2455+M2450+M2445+M2440+M2435+M2430+M2425+M2420</f>
        <v>0</v>
      </c>
    </row>
    <row r="2633" spans="1:13" s="93" customFormat="1" hidden="1">
      <c r="A2633" s="142"/>
      <c r="B2633" s="296"/>
      <c r="C2633" s="110" t="s">
        <v>115</v>
      </c>
      <c r="D2633" s="281">
        <f>'დეფექტური აქტი'!E641%</f>
        <v>0.1</v>
      </c>
      <c r="E2633" s="297"/>
      <c r="F2633" s="390"/>
      <c r="G2633" s="613"/>
      <c r="H2633" s="613">
        <f>H2631*D2633</f>
        <v>0</v>
      </c>
      <c r="I2633" s="613"/>
      <c r="J2633" s="613">
        <f>J2631*D2633</f>
        <v>0</v>
      </c>
      <c r="K2633" s="613"/>
      <c r="L2633" s="613">
        <f>L2631*D2633</f>
        <v>0</v>
      </c>
      <c r="M2633" s="613">
        <f>M2631*D2633</f>
        <v>0</v>
      </c>
    </row>
    <row r="2634" spans="1:13" s="93" customFormat="1" ht="27" hidden="1">
      <c r="A2634" s="142"/>
      <c r="B2634" s="296"/>
      <c r="C2634" s="110" t="s">
        <v>630</v>
      </c>
      <c r="D2634" s="281">
        <f>'დეფექტური აქტი'!E642%</f>
        <v>0.68</v>
      </c>
      <c r="E2634" s="297"/>
      <c r="F2634" s="390"/>
      <c r="G2634" s="613"/>
      <c r="H2634" s="613"/>
      <c r="I2634" s="613"/>
      <c r="J2634" s="613">
        <f>M2634</f>
        <v>0</v>
      </c>
      <c r="K2634" s="613"/>
      <c r="L2634" s="613"/>
      <c r="M2634" s="613">
        <f>M2632*D2634</f>
        <v>0</v>
      </c>
    </row>
    <row r="2635" spans="1:13" s="93" customFormat="1" hidden="1">
      <c r="A2635" s="142"/>
      <c r="B2635" s="296"/>
      <c r="C2635" s="170" t="s">
        <v>110</v>
      </c>
      <c r="D2635" s="283"/>
      <c r="E2635" s="297"/>
      <c r="F2635" s="390"/>
      <c r="G2635" s="613"/>
      <c r="H2635" s="613">
        <f>H2629+H2633+H2634</f>
        <v>0</v>
      </c>
      <c r="I2635" s="613"/>
      <c r="J2635" s="613">
        <f>J2629+J2633+J2634</f>
        <v>0</v>
      </c>
      <c r="K2635" s="613"/>
      <c r="L2635" s="613">
        <f>L2629+L2633+L2634</f>
        <v>0</v>
      </c>
      <c r="M2635" s="613">
        <f>M2629+M2633+M2634</f>
        <v>0</v>
      </c>
    </row>
    <row r="2636" spans="1:13" s="93" customFormat="1" hidden="1">
      <c r="A2636" s="142"/>
      <c r="B2636" s="24"/>
      <c r="C2636" s="110" t="s">
        <v>116</v>
      </c>
      <c r="D2636" s="281">
        <f>'დეფექტური აქტი'!E644%</f>
        <v>0.08</v>
      </c>
      <c r="E2636" s="24"/>
      <c r="F2636" s="390"/>
      <c r="G2636" s="613"/>
      <c r="H2636" s="613">
        <f>(H2635-H2630)*D2636</f>
        <v>0</v>
      </c>
      <c r="I2636" s="613">
        <f>(I2635-I2630)*0.1</f>
        <v>0</v>
      </c>
      <c r="J2636" s="613">
        <f>(J2635-J2630)*D2636</f>
        <v>0</v>
      </c>
      <c r="K2636" s="613">
        <f>(K2635-K2630)*0.1</f>
        <v>0</v>
      </c>
      <c r="L2636" s="613">
        <f>(L2635-L2630)*D2636</f>
        <v>0</v>
      </c>
      <c r="M2636" s="613">
        <f>(M2635-M2630)*D2636</f>
        <v>0</v>
      </c>
    </row>
    <row r="2637" spans="1:13" s="93" customFormat="1" hidden="1">
      <c r="A2637" s="142"/>
      <c r="B2637" s="24"/>
      <c r="C2637" s="170" t="s">
        <v>695</v>
      </c>
      <c r="D2637" s="277"/>
      <c r="E2637" s="24"/>
      <c r="F2637" s="390"/>
      <c r="G2637" s="613"/>
      <c r="H2637" s="613">
        <f>H2635+H2636</f>
        <v>0</v>
      </c>
      <c r="I2637" s="613"/>
      <c r="J2637" s="613">
        <f>J2635+J2636</f>
        <v>0</v>
      </c>
      <c r="K2637" s="613"/>
      <c r="L2637" s="613">
        <f>L2635+L2636</f>
        <v>0</v>
      </c>
      <c r="M2637" s="613">
        <f>M2635+M2636</f>
        <v>0</v>
      </c>
    </row>
    <row r="2638" spans="1:13" s="93" customFormat="1" hidden="1">
      <c r="A2638" s="142"/>
      <c r="B2638" s="24"/>
      <c r="C2638" s="26" t="s">
        <v>658</v>
      </c>
      <c r="D2638" s="24"/>
      <c r="E2638" s="24"/>
      <c r="F2638" s="407"/>
      <c r="G2638" s="607"/>
      <c r="H2638" s="607"/>
      <c r="I2638" s="607"/>
      <c r="J2638" s="607"/>
      <c r="K2638" s="607"/>
      <c r="L2638" s="607"/>
      <c r="M2638" s="607">
        <f>M2630</f>
        <v>0</v>
      </c>
    </row>
    <row r="2639" spans="1:13" s="93" customFormat="1" hidden="1">
      <c r="A2639" s="142"/>
      <c r="B2639" s="24"/>
      <c r="C2639" s="26" t="s">
        <v>117</v>
      </c>
      <c r="D2639" s="24"/>
      <c r="E2639" s="24"/>
      <c r="F2639" s="407"/>
      <c r="G2639" s="607"/>
      <c r="H2639" s="607"/>
      <c r="I2639" s="607"/>
      <c r="J2639" s="607"/>
      <c r="K2639" s="607"/>
      <c r="L2639" s="607"/>
      <c r="M2639" s="607">
        <f>M2637-M2638-M2640</f>
        <v>0</v>
      </c>
    </row>
    <row r="2640" spans="1:13" s="93" customFormat="1" hidden="1">
      <c r="A2640" s="142"/>
      <c r="B2640" s="24"/>
      <c r="C2640" s="26" t="s">
        <v>659</v>
      </c>
      <c r="D2640" s="24"/>
      <c r="E2640" s="24"/>
      <c r="F2640" s="407"/>
      <c r="G2640" s="607"/>
      <c r="H2640" s="607"/>
      <c r="I2640" s="607"/>
      <c r="J2640" s="607"/>
      <c r="K2640" s="607"/>
      <c r="L2640" s="607"/>
      <c r="M2640" s="607">
        <f>(M2632+M2634)*1.08</f>
        <v>0</v>
      </c>
    </row>
    <row r="2641" spans="1:14" s="93" customFormat="1" ht="27" hidden="1">
      <c r="A2641" s="131"/>
      <c r="B2641" s="131"/>
      <c r="C2641" s="761" t="s">
        <v>1446</v>
      </c>
      <c r="D2641" s="24"/>
      <c r="E2641" s="153"/>
      <c r="F2641" s="385"/>
      <c r="G2641" s="422"/>
      <c r="H2641" s="422"/>
      <c r="I2641" s="422"/>
      <c r="J2641" s="422"/>
      <c r="K2641" s="422"/>
      <c r="L2641" s="422"/>
      <c r="M2641" s="422"/>
    </row>
    <row r="2642" spans="1:14" s="95" customFormat="1" hidden="1">
      <c r="A2642" s="131">
        <v>1</v>
      </c>
      <c r="B2642" s="1429" t="s">
        <v>530</v>
      </c>
      <c r="C2642" s="227" t="s">
        <v>519</v>
      </c>
      <c r="D2642" s="228" t="s">
        <v>88</v>
      </c>
      <c r="E2642" s="248"/>
      <c r="F2642" s="384">
        <f>'დეფექტური აქტი'!E647</f>
        <v>0</v>
      </c>
      <c r="G2642" s="422"/>
      <c r="H2642" s="422"/>
      <c r="I2642" s="422"/>
      <c r="J2642" s="422"/>
      <c r="K2642" s="422"/>
      <c r="L2642" s="422"/>
      <c r="M2642" s="422"/>
    </row>
    <row r="2643" spans="1:14" s="95" customFormat="1" hidden="1">
      <c r="A2643" s="132"/>
      <c r="B2643" s="1430"/>
      <c r="C2643" s="226" t="s">
        <v>79</v>
      </c>
      <c r="D2643" s="230" t="s">
        <v>80</v>
      </c>
      <c r="E2643" s="94">
        <v>2.06</v>
      </c>
      <c r="F2643" s="386">
        <f>F2642*E2643</f>
        <v>0</v>
      </c>
      <c r="G2643" s="225"/>
      <c r="H2643" s="604"/>
      <c r="I2643" s="225">
        <v>4.5999999999999996</v>
      </c>
      <c r="J2643" s="225">
        <f>F2643*I2643</f>
        <v>0</v>
      </c>
      <c r="K2643" s="225"/>
      <c r="L2643" s="225"/>
      <c r="M2643" s="225">
        <f>H2643+J2643+L2643</f>
        <v>0</v>
      </c>
    </row>
    <row r="2644" spans="1:14" s="95" customFormat="1" hidden="1">
      <c r="A2644" s="131">
        <v>2</v>
      </c>
      <c r="B2644" s="1429" t="s">
        <v>890</v>
      </c>
      <c r="C2644" s="227" t="s">
        <v>433</v>
      </c>
      <c r="D2644" s="228" t="s">
        <v>88</v>
      </c>
      <c r="E2644" s="248"/>
      <c r="F2644" s="384">
        <f>'დეფექტური აქტი'!E648</f>
        <v>0</v>
      </c>
      <c r="G2644" s="422"/>
      <c r="H2644" s="422"/>
      <c r="I2644" s="422"/>
      <c r="J2644" s="422"/>
      <c r="K2644" s="422"/>
      <c r="L2644" s="422"/>
      <c r="M2644" s="422"/>
    </row>
    <row r="2645" spans="1:14" s="95" customFormat="1" hidden="1">
      <c r="A2645" s="132"/>
      <c r="B2645" s="1430"/>
      <c r="C2645" s="226" t="s">
        <v>128</v>
      </c>
      <c r="D2645" s="230" t="s">
        <v>80</v>
      </c>
      <c r="E2645" s="254">
        <v>1.21</v>
      </c>
      <c r="F2645" s="386">
        <f>F2644*E2645</f>
        <v>0</v>
      </c>
      <c r="G2645" s="225"/>
      <c r="H2645" s="604"/>
      <c r="I2645" s="225">
        <v>4.5999999999999996</v>
      </c>
      <c r="J2645" s="225">
        <f>F2645*I2645</f>
        <v>0</v>
      </c>
      <c r="K2645" s="225"/>
      <c r="L2645" s="225"/>
      <c r="M2645" s="225">
        <f>H2645+J2645+L2645</f>
        <v>0</v>
      </c>
    </row>
    <row r="2646" spans="1:14" s="423" customFormat="1" ht="27" hidden="1">
      <c r="A2646" s="140">
        <v>3</v>
      </c>
      <c r="B2646" s="1446" t="s">
        <v>531</v>
      </c>
      <c r="C2646" s="151" t="s">
        <v>500</v>
      </c>
      <c r="D2646" s="140" t="s">
        <v>88</v>
      </c>
      <c r="E2646" s="140"/>
      <c r="F2646" s="384">
        <f>'დეფექტური აქტი'!E649</f>
        <v>0</v>
      </c>
      <c r="G2646" s="422"/>
      <c r="H2646" s="422"/>
      <c r="I2646" s="422"/>
      <c r="J2646" s="422"/>
      <c r="K2646" s="422"/>
      <c r="L2646" s="422"/>
      <c r="M2646" s="422"/>
    </row>
    <row r="2647" spans="1:14" s="423" customFormat="1" hidden="1">
      <c r="A2647" s="83"/>
      <c r="B2647" s="1432"/>
      <c r="C2647" s="84" t="s">
        <v>209</v>
      </c>
      <c r="D2647" s="83" t="s">
        <v>80</v>
      </c>
      <c r="E2647" s="83">
        <v>0.89</v>
      </c>
      <c r="F2647" s="386">
        <f>F2646*E2647</f>
        <v>0</v>
      </c>
      <c r="G2647" s="225"/>
      <c r="H2647" s="225"/>
      <c r="I2647" s="225">
        <v>6</v>
      </c>
      <c r="J2647" s="225">
        <f>F2647*I2647</f>
        <v>0</v>
      </c>
      <c r="K2647" s="225"/>
      <c r="L2647" s="225"/>
      <c r="M2647" s="225">
        <f>H2647+J2647+L2647</f>
        <v>0</v>
      </c>
    </row>
    <row r="2648" spans="1:14" s="423" customFormat="1" hidden="1">
      <c r="A2648" s="83"/>
      <c r="B2648" s="1432"/>
      <c r="C2648" s="84" t="s">
        <v>81</v>
      </c>
      <c r="D2648" s="83" t="s">
        <v>57</v>
      </c>
      <c r="E2648" s="83">
        <v>0.37</v>
      </c>
      <c r="F2648" s="386">
        <f>F2646*E2648</f>
        <v>0</v>
      </c>
      <c r="G2648" s="225"/>
      <c r="H2648" s="225"/>
      <c r="I2648" s="225"/>
      <c r="J2648" s="225"/>
      <c r="K2648" s="225">
        <v>3.2</v>
      </c>
      <c r="L2648" s="225">
        <f>F2648*K2648</f>
        <v>0</v>
      </c>
      <c r="M2648" s="225">
        <f>H2648+J2648+L2648</f>
        <v>0</v>
      </c>
    </row>
    <row r="2649" spans="1:14" s="423" customFormat="1" hidden="1">
      <c r="A2649" s="83"/>
      <c r="B2649" s="1432"/>
      <c r="C2649" s="365" t="s">
        <v>210</v>
      </c>
      <c r="D2649" s="83"/>
      <c r="E2649" s="83"/>
      <c r="F2649" s="386"/>
      <c r="G2649" s="225"/>
      <c r="H2649" s="225"/>
      <c r="I2649" s="225"/>
      <c r="J2649" s="225"/>
      <c r="K2649" s="225"/>
      <c r="L2649" s="225"/>
      <c r="M2649" s="225"/>
    </row>
    <row r="2650" spans="1:14" s="423" customFormat="1" hidden="1">
      <c r="A2650" s="83"/>
      <c r="B2650" s="1432"/>
      <c r="C2650" s="84" t="s">
        <v>532</v>
      </c>
      <c r="D2650" s="83" t="s">
        <v>88</v>
      </c>
      <c r="E2650" s="83">
        <v>1.1499999999999999</v>
      </c>
      <c r="F2650" s="386">
        <f>F2646*E2650</f>
        <v>0</v>
      </c>
      <c r="G2650" s="225">
        <v>16.100000000000001</v>
      </c>
      <c r="H2650" s="225">
        <f>F2650*G2650</f>
        <v>0</v>
      </c>
      <c r="I2650" s="225"/>
      <c r="J2650" s="225"/>
      <c r="K2650" s="225"/>
      <c r="L2650" s="225"/>
      <c r="M2650" s="225">
        <f>H2650+J2650+L2650</f>
        <v>0</v>
      </c>
    </row>
    <row r="2651" spans="1:14" s="423" customFormat="1" hidden="1">
      <c r="A2651" s="83"/>
      <c r="B2651" s="1437"/>
      <c r="C2651" s="84" t="s">
        <v>214</v>
      </c>
      <c r="D2651" s="86" t="s">
        <v>57</v>
      </c>
      <c r="E2651" s="83">
        <v>0.02</v>
      </c>
      <c r="F2651" s="386">
        <f>F2646*E2651</f>
        <v>0</v>
      </c>
      <c r="G2651" s="225">
        <v>3.2</v>
      </c>
      <c r="H2651" s="225">
        <f>F2651*G2651</f>
        <v>0</v>
      </c>
      <c r="I2651" s="225"/>
      <c r="J2651" s="225"/>
      <c r="K2651" s="225"/>
      <c r="L2651" s="225"/>
      <c r="M2651" s="225">
        <f>H2651+J2651+L2651</f>
        <v>0</v>
      </c>
    </row>
    <row r="2652" spans="1:14" s="427" customFormat="1" ht="15" hidden="1" customHeight="1">
      <c r="A2652" s="421">
        <v>4</v>
      </c>
      <c r="B2652" s="424" t="s">
        <v>420</v>
      </c>
      <c r="C2652" s="420" t="s">
        <v>1033</v>
      </c>
      <c r="D2652" s="421" t="s">
        <v>88</v>
      </c>
      <c r="E2652" s="421"/>
      <c r="F2652" s="384">
        <f>'დეფექტური აქტი'!E650</f>
        <v>0</v>
      </c>
      <c r="G2652" s="425"/>
      <c r="H2652" s="425"/>
      <c r="I2652" s="425"/>
      <c r="J2652" s="425"/>
      <c r="K2652" s="425"/>
      <c r="L2652" s="425"/>
      <c r="M2652" s="425"/>
      <c r="N2652" s="426"/>
    </row>
    <row r="2653" spans="1:14" s="427" customFormat="1" ht="15" hidden="1" customHeight="1">
      <c r="A2653" s="330"/>
      <c r="B2653" s="330"/>
      <c r="C2653" s="329" t="s">
        <v>209</v>
      </c>
      <c r="D2653" s="330" t="s">
        <v>80</v>
      </c>
      <c r="E2653" s="330">
        <v>1.37</v>
      </c>
      <c r="F2653" s="389">
        <f>F2652*E2653</f>
        <v>0</v>
      </c>
      <c r="G2653" s="389"/>
      <c r="H2653" s="389"/>
      <c r="I2653" s="389">
        <v>4.5999999999999996</v>
      </c>
      <c r="J2653" s="389">
        <f>F2653*I2653</f>
        <v>0</v>
      </c>
      <c r="K2653" s="389"/>
      <c r="L2653" s="389"/>
      <c r="M2653" s="389">
        <f>H2653+J2653+L2653</f>
        <v>0</v>
      </c>
      <c r="N2653" s="426"/>
    </row>
    <row r="2654" spans="1:14" s="427" customFormat="1" hidden="1">
      <c r="A2654" s="330"/>
      <c r="B2654" s="330"/>
      <c r="C2654" s="329" t="s">
        <v>81</v>
      </c>
      <c r="D2654" s="330" t="s">
        <v>57</v>
      </c>
      <c r="E2654" s="330">
        <v>0.28299999999999997</v>
      </c>
      <c r="F2654" s="389">
        <f>F2652*E2654</f>
        <v>0</v>
      </c>
      <c r="G2654" s="389"/>
      <c r="H2654" s="389"/>
      <c r="I2654" s="389"/>
      <c r="J2654" s="389"/>
      <c r="K2654" s="389">
        <v>3.2</v>
      </c>
      <c r="L2654" s="389">
        <f>F2654*K2654</f>
        <v>0</v>
      </c>
      <c r="M2654" s="389">
        <f>H2654+J2654+L2654</f>
        <v>0</v>
      </c>
      <c r="N2654" s="426"/>
    </row>
    <row r="2655" spans="1:14" s="427" customFormat="1" hidden="1">
      <c r="A2655" s="330"/>
      <c r="B2655" s="330"/>
      <c r="C2655" s="329" t="s">
        <v>210</v>
      </c>
      <c r="D2655" s="330"/>
      <c r="E2655" s="330"/>
      <c r="F2655" s="389">
        <f>E2655*2353</f>
        <v>0</v>
      </c>
      <c r="G2655" s="389"/>
      <c r="H2655" s="389"/>
      <c r="I2655" s="389"/>
      <c r="J2655" s="389"/>
      <c r="K2655" s="389"/>
      <c r="L2655" s="389"/>
      <c r="M2655" s="389"/>
      <c r="N2655" s="426"/>
    </row>
    <row r="2656" spans="1:14" s="427" customFormat="1" hidden="1">
      <c r="A2656" s="330"/>
      <c r="B2656" s="330"/>
      <c r="C2656" s="329" t="s">
        <v>980</v>
      </c>
      <c r="D2656" s="330" t="s">
        <v>88</v>
      </c>
      <c r="E2656" s="330">
        <v>1.02</v>
      </c>
      <c r="F2656" s="389">
        <f>F2652*E2656</f>
        <v>0</v>
      </c>
      <c r="G2656" s="389">
        <v>99</v>
      </c>
      <c r="H2656" s="389">
        <f>F2656*G2656</f>
        <v>0</v>
      </c>
      <c r="I2656" s="389"/>
      <c r="J2656" s="389"/>
      <c r="K2656" s="389"/>
      <c r="L2656" s="389"/>
      <c r="M2656" s="389">
        <f>H2656+J2656+L2656</f>
        <v>0</v>
      </c>
      <c r="N2656" s="426"/>
    </row>
    <row r="2657" spans="1:14" s="427" customFormat="1" hidden="1">
      <c r="A2657" s="330"/>
      <c r="B2657" s="330"/>
      <c r="C2657" s="329" t="s">
        <v>214</v>
      </c>
      <c r="D2657" s="330" t="s">
        <v>57</v>
      </c>
      <c r="E2657" s="330">
        <v>0.62</v>
      </c>
      <c r="F2657" s="389">
        <f>F2652*E2657</f>
        <v>0</v>
      </c>
      <c r="G2657" s="389">
        <v>3.2</v>
      </c>
      <c r="H2657" s="389">
        <f>F2657*G2657</f>
        <v>0</v>
      </c>
      <c r="I2657" s="389"/>
      <c r="J2657" s="389"/>
      <c r="K2657" s="389"/>
      <c r="L2657" s="389"/>
      <c r="M2657" s="389">
        <f>H2657+J2657+L2657</f>
        <v>0</v>
      </c>
      <c r="N2657" s="426"/>
    </row>
    <row r="2658" spans="1:14" s="88" customFormat="1" ht="30" hidden="1" customHeight="1">
      <c r="A2658" s="139">
        <v>5</v>
      </c>
      <c r="B2658" s="1446" t="s">
        <v>660</v>
      </c>
      <c r="C2658" s="151" t="s">
        <v>1087</v>
      </c>
      <c r="D2658" s="140" t="s">
        <v>88</v>
      </c>
      <c r="E2658" s="140"/>
      <c r="F2658" s="384">
        <f>'დეფექტური აქტი'!E651</f>
        <v>0</v>
      </c>
      <c r="G2658" s="422"/>
      <c r="H2658" s="422"/>
      <c r="I2658" s="422"/>
      <c r="J2658" s="422"/>
      <c r="K2658" s="422"/>
      <c r="L2658" s="422"/>
      <c r="M2658" s="422"/>
    </row>
    <row r="2659" spans="1:14" s="89" customFormat="1" hidden="1">
      <c r="A2659" s="132"/>
      <c r="B2659" s="1432"/>
      <c r="C2659" s="223" t="s">
        <v>209</v>
      </c>
      <c r="D2659" s="211" t="s">
        <v>80</v>
      </c>
      <c r="E2659" s="211">
        <v>4.46</v>
      </c>
      <c r="F2659" s="386">
        <f>F2658*E2659</f>
        <v>0</v>
      </c>
      <c r="G2659" s="225"/>
      <c r="H2659" s="225"/>
      <c r="I2659" s="225">
        <v>4.5999999999999996</v>
      </c>
      <c r="J2659" s="225">
        <f>F2659*I2659</f>
        <v>0</v>
      </c>
      <c r="K2659" s="225"/>
      <c r="L2659" s="225"/>
      <c r="M2659" s="225">
        <f>H2659+J2659+L2659</f>
        <v>0</v>
      </c>
    </row>
    <row r="2660" spans="1:14" s="89" customFormat="1" hidden="1">
      <c r="A2660" s="132"/>
      <c r="B2660" s="1432"/>
      <c r="C2660" s="223" t="s">
        <v>81</v>
      </c>
      <c r="D2660" s="83" t="s">
        <v>57</v>
      </c>
      <c r="E2660" s="211">
        <v>1.21</v>
      </c>
      <c r="F2660" s="386">
        <f>F2658*E2660</f>
        <v>0</v>
      </c>
      <c r="G2660" s="225"/>
      <c r="H2660" s="225"/>
      <c r="I2660" s="225"/>
      <c r="J2660" s="225"/>
      <c r="K2660" s="225">
        <v>3.2</v>
      </c>
      <c r="L2660" s="225">
        <f>F2660*K2660</f>
        <v>0</v>
      </c>
      <c r="M2660" s="225">
        <f>H2660+J2660+L2660</f>
        <v>0</v>
      </c>
    </row>
    <row r="2661" spans="1:14" s="89" customFormat="1" hidden="1">
      <c r="A2661" s="132"/>
      <c r="B2661" s="1432"/>
      <c r="C2661" s="15" t="s">
        <v>210</v>
      </c>
      <c r="D2661" s="211"/>
      <c r="E2661" s="211"/>
      <c r="F2661" s="386"/>
      <c r="G2661" s="225"/>
      <c r="H2661" s="225"/>
      <c r="I2661" s="225"/>
      <c r="J2661" s="225"/>
      <c r="K2661" s="225"/>
      <c r="L2661" s="225"/>
      <c r="M2661" s="225"/>
    </row>
    <row r="2662" spans="1:14" s="89" customFormat="1" hidden="1">
      <c r="A2662" s="132"/>
      <c r="B2662" s="1432"/>
      <c r="C2662" s="26" t="s">
        <v>1571</v>
      </c>
      <c r="D2662" s="211" t="s">
        <v>88</v>
      </c>
      <c r="E2662" s="211">
        <v>1.0149999999999999</v>
      </c>
      <c r="F2662" s="386">
        <f>F2658*E2662</f>
        <v>0</v>
      </c>
      <c r="G2662" s="225">
        <v>110</v>
      </c>
      <c r="H2662" s="225">
        <f t="shared" ref="H2662:H2668" si="60">F2662*G2662</f>
        <v>0</v>
      </c>
      <c r="I2662" s="225"/>
      <c r="J2662" s="225"/>
      <c r="K2662" s="225"/>
      <c r="L2662" s="225"/>
      <c r="M2662" s="225">
        <f t="shared" ref="M2662:M2668" si="61">H2662+J2662+L2662</f>
        <v>0</v>
      </c>
    </row>
    <row r="2663" spans="1:14" s="89" customFormat="1" hidden="1">
      <c r="A2663" s="132"/>
      <c r="B2663" s="1432"/>
      <c r="C2663" s="223" t="s">
        <v>301</v>
      </c>
      <c r="D2663" s="211" t="s">
        <v>78</v>
      </c>
      <c r="E2663" s="211">
        <v>1.1599999999999999</v>
      </c>
      <c r="F2663" s="386">
        <f>F2658*E2663</f>
        <v>0</v>
      </c>
      <c r="G2663" s="225">
        <v>10.5</v>
      </c>
      <c r="H2663" s="225">
        <f t="shared" si="60"/>
        <v>0</v>
      </c>
      <c r="I2663" s="225"/>
      <c r="J2663" s="225"/>
      <c r="K2663" s="225"/>
      <c r="L2663" s="225"/>
      <c r="M2663" s="225">
        <f t="shared" si="61"/>
        <v>0</v>
      </c>
    </row>
    <row r="2664" spans="1:14" s="89" customFormat="1" hidden="1">
      <c r="A2664" s="132"/>
      <c r="B2664" s="1432"/>
      <c r="C2664" s="223" t="s">
        <v>661</v>
      </c>
      <c r="D2664" s="211" t="s">
        <v>88</v>
      </c>
      <c r="E2664" s="211">
        <v>1.5699999999999999E-2</v>
      </c>
      <c r="F2664" s="386">
        <f>F2658*E2664</f>
        <v>0</v>
      </c>
      <c r="G2664" s="225">
        <v>190</v>
      </c>
      <c r="H2664" s="225">
        <f t="shared" si="60"/>
        <v>0</v>
      </c>
      <c r="I2664" s="225"/>
      <c r="J2664" s="225"/>
      <c r="K2664" s="225"/>
      <c r="L2664" s="225"/>
      <c r="M2664" s="225">
        <f t="shared" si="61"/>
        <v>0</v>
      </c>
    </row>
    <row r="2665" spans="1:14" s="89" customFormat="1" hidden="1">
      <c r="A2665" s="132"/>
      <c r="B2665" s="1432"/>
      <c r="C2665" s="223" t="s">
        <v>569</v>
      </c>
      <c r="D2665" s="211" t="s">
        <v>88</v>
      </c>
      <c r="E2665" s="211">
        <v>4.4000000000000003E-3</v>
      </c>
      <c r="F2665" s="386">
        <f>F2658*E2665</f>
        <v>0</v>
      </c>
      <c r="G2665" s="225">
        <v>375</v>
      </c>
      <c r="H2665" s="225">
        <f t="shared" si="60"/>
        <v>0</v>
      </c>
      <c r="I2665" s="225"/>
      <c r="J2665" s="225"/>
      <c r="K2665" s="225"/>
      <c r="L2665" s="225"/>
      <c r="M2665" s="225">
        <f t="shared" si="61"/>
        <v>0</v>
      </c>
    </row>
    <row r="2666" spans="1:14" s="89" customFormat="1" hidden="1">
      <c r="A2666" s="132"/>
      <c r="B2666" s="1432"/>
      <c r="C2666" s="223" t="s">
        <v>534</v>
      </c>
      <c r="D2666" s="211" t="s">
        <v>88</v>
      </c>
      <c r="E2666" s="211">
        <v>1.5900000000000001E-2</v>
      </c>
      <c r="F2666" s="386">
        <f>F2658*E2666</f>
        <v>0</v>
      </c>
      <c r="G2666" s="225">
        <v>403</v>
      </c>
      <c r="H2666" s="225">
        <f t="shared" si="60"/>
        <v>0</v>
      </c>
      <c r="I2666" s="225"/>
      <c r="J2666" s="225"/>
      <c r="K2666" s="225"/>
      <c r="L2666" s="225"/>
      <c r="M2666" s="225">
        <f t="shared" si="61"/>
        <v>0</v>
      </c>
    </row>
    <row r="2667" spans="1:14" s="89" customFormat="1" hidden="1">
      <c r="A2667" s="132"/>
      <c r="B2667" s="1437"/>
      <c r="C2667" s="223" t="s">
        <v>214</v>
      </c>
      <c r="D2667" s="86" t="s">
        <v>57</v>
      </c>
      <c r="E2667" s="211">
        <v>0.31</v>
      </c>
      <c r="F2667" s="386">
        <f>F2658*E2667</f>
        <v>0</v>
      </c>
      <c r="G2667" s="225">
        <v>3.2</v>
      </c>
      <c r="H2667" s="225">
        <f t="shared" si="60"/>
        <v>0</v>
      </c>
      <c r="I2667" s="225"/>
      <c r="J2667" s="225"/>
      <c r="K2667" s="225"/>
      <c r="L2667" s="225"/>
      <c r="M2667" s="225">
        <f t="shared" si="61"/>
        <v>0</v>
      </c>
    </row>
    <row r="2668" spans="1:14" s="85" customFormat="1" hidden="1">
      <c r="A2668" s="81">
        <v>6</v>
      </c>
      <c r="B2668" s="175"/>
      <c r="C2668" s="260" t="s">
        <v>501</v>
      </c>
      <c r="D2668" s="158" t="s">
        <v>97</v>
      </c>
      <c r="E2668" s="158">
        <f>'დეფექტური აქტი'!E652</f>
        <v>0</v>
      </c>
      <c r="F2668" s="397">
        <f>'დეფექტური აქტი'!E652</f>
        <v>0</v>
      </c>
      <c r="G2668" s="893">
        <v>1.0189999999999999</v>
      </c>
      <c r="H2668" s="607">
        <f t="shared" si="60"/>
        <v>0</v>
      </c>
      <c r="I2668" s="607"/>
      <c r="J2668" s="607"/>
      <c r="K2668" s="607"/>
      <c r="L2668" s="607"/>
      <c r="M2668" s="607">
        <f t="shared" si="61"/>
        <v>0</v>
      </c>
    </row>
    <row r="2669" spans="1:14" s="430" customFormat="1" hidden="1">
      <c r="A2669" s="330">
        <v>7</v>
      </c>
      <c r="B2669" s="428" t="s">
        <v>981</v>
      </c>
      <c r="C2669" s="151" t="s">
        <v>979</v>
      </c>
      <c r="D2669" s="140" t="s">
        <v>206</v>
      </c>
      <c r="E2669" s="330"/>
      <c r="F2669" s="433">
        <f>'დეფექტური აქტი'!E653/1000</f>
        <v>0</v>
      </c>
      <c r="G2669" s="389"/>
      <c r="H2669" s="389"/>
      <c r="I2669" s="389"/>
      <c r="J2669" s="389"/>
      <c r="K2669" s="389"/>
      <c r="L2669" s="389"/>
      <c r="M2669" s="389"/>
      <c r="N2669" s="429"/>
    </row>
    <row r="2670" spans="1:14" s="430" customFormat="1" ht="15.75" hidden="1" customHeight="1">
      <c r="A2670" s="330"/>
      <c r="B2670" s="428"/>
      <c r="C2670" s="329" t="s">
        <v>209</v>
      </c>
      <c r="D2670" s="330" t="s">
        <v>80</v>
      </c>
      <c r="E2670" s="330">
        <v>303</v>
      </c>
      <c r="F2670" s="331">
        <f>F2669*E2670</f>
        <v>0</v>
      </c>
      <c r="G2670" s="389"/>
      <c r="H2670" s="389"/>
      <c r="I2670" s="389">
        <v>4.5999999999999996</v>
      </c>
      <c r="J2670" s="389">
        <f>F2670*I2670</f>
        <v>0</v>
      </c>
      <c r="K2670" s="389"/>
      <c r="L2670" s="389"/>
      <c r="M2670" s="389">
        <f>H2670+J2670+L2670</f>
        <v>0</v>
      </c>
      <c r="N2670" s="429"/>
    </row>
    <row r="2671" spans="1:14" s="430" customFormat="1" hidden="1">
      <c r="A2671" s="330"/>
      <c r="B2671" s="428"/>
      <c r="C2671" s="329" t="s">
        <v>81</v>
      </c>
      <c r="D2671" s="330" t="s">
        <v>57</v>
      </c>
      <c r="E2671" s="330">
        <v>2.1</v>
      </c>
      <c r="F2671" s="331">
        <f>F2669*E2671</f>
        <v>0</v>
      </c>
      <c r="G2671" s="389"/>
      <c r="H2671" s="389"/>
      <c r="I2671" s="389"/>
      <c r="J2671" s="389"/>
      <c r="K2671" s="389">
        <v>3.2</v>
      </c>
      <c r="L2671" s="389">
        <f>F2671*K2671</f>
        <v>0</v>
      </c>
      <c r="M2671" s="389">
        <f>H2671+J2671+L2671</f>
        <v>0</v>
      </c>
      <c r="N2671" s="429"/>
    </row>
    <row r="2672" spans="1:14" s="430" customFormat="1" hidden="1">
      <c r="A2672" s="330"/>
      <c r="B2672" s="428"/>
      <c r="C2672" s="329" t="s">
        <v>210</v>
      </c>
      <c r="D2672" s="330"/>
      <c r="E2672" s="330"/>
      <c r="F2672" s="331">
        <f>E2672*2353</f>
        <v>0</v>
      </c>
      <c r="G2672" s="389"/>
      <c r="H2672" s="389"/>
      <c r="I2672" s="389"/>
      <c r="J2672" s="389"/>
      <c r="K2672" s="389"/>
      <c r="L2672" s="389"/>
      <c r="M2672" s="389"/>
      <c r="N2672" s="429"/>
    </row>
    <row r="2673" spans="1:14" s="430" customFormat="1" hidden="1">
      <c r="A2673" s="419"/>
      <c r="B2673" s="431"/>
      <c r="C2673" s="432" t="s">
        <v>982</v>
      </c>
      <c r="D2673" s="419" t="s">
        <v>206</v>
      </c>
      <c r="E2673" s="419">
        <v>1</v>
      </c>
      <c r="F2673" s="418">
        <f>F2669*E2673</f>
        <v>0</v>
      </c>
      <c r="G2673" s="392">
        <v>2800</v>
      </c>
      <c r="H2673" s="392">
        <f>F2673*G2673</f>
        <v>0</v>
      </c>
      <c r="I2673" s="392"/>
      <c r="J2673" s="392"/>
      <c r="K2673" s="392"/>
      <c r="L2673" s="392"/>
      <c r="M2673" s="392">
        <f>H2673+J2673+L2673</f>
        <v>0</v>
      </c>
      <c r="N2673" s="429"/>
    </row>
    <row r="2674" spans="1:14" s="88" customFormat="1" ht="30" hidden="1" customHeight="1">
      <c r="A2674" s="130">
        <v>8</v>
      </c>
      <c r="B2674" s="1446" t="s">
        <v>420</v>
      </c>
      <c r="C2674" s="90" t="s">
        <v>1124</v>
      </c>
      <c r="D2674" s="140" t="s">
        <v>88</v>
      </c>
      <c r="E2674" s="83">
        <f>'დეფექტური აქტი'!E654</f>
        <v>0</v>
      </c>
      <c r="F2674" s="384">
        <f>'დეფექტური აქტი'!E654</f>
        <v>0</v>
      </c>
      <c r="G2674" s="225"/>
      <c r="H2674" s="225"/>
      <c r="I2674" s="225"/>
      <c r="J2674" s="225"/>
      <c r="K2674" s="225"/>
      <c r="L2674" s="225"/>
      <c r="M2674" s="225"/>
    </row>
    <row r="2675" spans="1:14" s="88" customFormat="1" hidden="1">
      <c r="A2675" s="130"/>
      <c r="B2675" s="1432"/>
      <c r="C2675" s="223" t="s">
        <v>209</v>
      </c>
      <c r="D2675" s="211" t="s">
        <v>80</v>
      </c>
      <c r="E2675" s="83">
        <v>1.37</v>
      </c>
      <c r="F2675" s="386">
        <f>F2674*E2675</f>
        <v>0</v>
      </c>
      <c r="G2675" s="225"/>
      <c r="H2675" s="225"/>
      <c r="I2675" s="225">
        <v>4.5999999999999996</v>
      </c>
      <c r="J2675" s="225">
        <f>F2675*I2675</f>
        <v>0</v>
      </c>
      <c r="K2675" s="225"/>
      <c r="L2675" s="225"/>
      <c r="M2675" s="225">
        <f>H2675+J2675+L2675</f>
        <v>0</v>
      </c>
    </row>
    <row r="2676" spans="1:14" s="88" customFormat="1" hidden="1">
      <c r="A2676" s="130"/>
      <c r="B2676" s="1432"/>
      <c r="C2676" s="223" t="s">
        <v>81</v>
      </c>
      <c r="D2676" s="83" t="s">
        <v>57</v>
      </c>
      <c r="E2676" s="83">
        <v>0.28299999999999997</v>
      </c>
      <c r="F2676" s="386">
        <f>F2674*E2676</f>
        <v>0</v>
      </c>
      <c r="G2676" s="225"/>
      <c r="H2676" s="225"/>
      <c r="I2676" s="225"/>
      <c r="J2676" s="225"/>
      <c r="K2676" s="225">
        <v>3.2</v>
      </c>
      <c r="L2676" s="225">
        <f>F2676*K2676</f>
        <v>0</v>
      </c>
      <c r="M2676" s="225">
        <f>H2676+J2676+L2676</f>
        <v>0</v>
      </c>
    </row>
    <row r="2677" spans="1:14" s="88" customFormat="1" hidden="1">
      <c r="A2677" s="130"/>
      <c r="B2677" s="1432"/>
      <c r="C2677" s="15" t="s">
        <v>210</v>
      </c>
      <c r="D2677" s="211"/>
      <c r="E2677" s="83"/>
      <c r="F2677" s="386"/>
      <c r="G2677" s="225"/>
      <c r="H2677" s="225"/>
      <c r="I2677" s="225"/>
      <c r="J2677" s="225"/>
      <c r="K2677" s="225"/>
      <c r="L2677" s="225"/>
      <c r="M2677" s="225"/>
    </row>
    <row r="2678" spans="1:14" s="88" customFormat="1" hidden="1">
      <c r="A2678" s="130"/>
      <c r="B2678" s="1432"/>
      <c r="C2678" s="26" t="s">
        <v>1571</v>
      </c>
      <c r="D2678" s="211" t="s">
        <v>88</v>
      </c>
      <c r="E2678" s="83">
        <v>1.02</v>
      </c>
      <c r="F2678" s="386">
        <f>F2674*E2678</f>
        <v>0</v>
      </c>
      <c r="G2678" s="225">
        <v>110</v>
      </c>
      <c r="H2678" s="225">
        <f>F2678*G2678</f>
        <v>0</v>
      </c>
      <c r="I2678" s="225"/>
      <c r="J2678" s="225"/>
      <c r="K2678" s="225"/>
      <c r="L2678" s="225"/>
      <c r="M2678" s="225">
        <f>H2678+J2678+L2678</f>
        <v>0</v>
      </c>
    </row>
    <row r="2679" spans="1:14" s="88" customFormat="1" hidden="1">
      <c r="A2679" s="130"/>
      <c r="B2679" s="1437"/>
      <c r="C2679" s="223" t="s">
        <v>214</v>
      </c>
      <c r="D2679" s="86" t="s">
        <v>57</v>
      </c>
      <c r="E2679" s="83">
        <v>0.62</v>
      </c>
      <c r="F2679" s="386">
        <f>F2674*E2679</f>
        <v>0</v>
      </c>
      <c r="G2679" s="225">
        <v>3.2</v>
      </c>
      <c r="H2679" s="225">
        <f>F2679*G2679</f>
        <v>0</v>
      </c>
      <c r="I2679" s="225"/>
      <c r="J2679" s="225"/>
      <c r="K2679" s="225"/>
      <c r="L2679" s="225"/>
      <c r="M2679" s="225">
        <f>H2679+J2679+L2679</f>
        <v>0</v>
      </c>
    </row>
    <row r="2680" spans="1:14" s="95" customFormat="1" ht="17.25" hidden="1" customHeight="1">
      <c r="A2680" s="139">
        <v>9</v>
      </c>
      <c r="B2680" s="1520" t="s">
        <v>570</v>
      </c>
      <c r="C2680" s="227" t="s">
        <v>1237</v>
      </c>
      <c r="D2680" s="228" t="s">
        <v>206</v>
      </c>
      <c r="E2680" s="248"/>
      <c r="F2680" s="384">
        <f>'დეფექტური აქტი'!E655</f>
        <v>0</v>
      </c>
      <c r="G2680" s="422"/>
      <c r="H2680" s="422"/>
      <c r="I2680" s="422"/>
      <c r="J2680" s="422"/>
      <c r="K2680" s="422"/>
      <c r="L2680" s="422"/>
      <c r="M2680" s="422"/>
    </row>
    <row r="2681" spans="1:14" s="95" customFormat="1" hidden="1">
      <c r="A2681" s="132"/>
      <c r="B2681" s="1521"/>
      <c r="C2681" s="226" t="s">
        <v>571</v>
      </c>
      <c r="D2681" s="211" t="s">
        <v>80</v>
      </c>
      <c r="E2681" s="94">
        <v>52.2</v>
      </c>
      <c r="F2681" s="386">
        <f>F2680*E2681</f>
        <v>0</v>
      </c>
      <c r="G2681" s="225"/>
      <c r="H2681" s="604"/>
      <c r="I2681" s="225">
        <v>4.5999999999999996</v>
      </c>
      <c r="J2681" s="225">
        <f>F2681*I2681</f>
        <v>0</v>
      </c>
      <c r="K2681" s="225"/>
      <c r="L2681" s="225"/>
      <c r="M2681" s="225">
        <f>H2681+J2681+L2681</f>
        <v>0</v>
      </c>
    </row>
    <row r="2682" spans="1:14" s="95" customFormat="1" ht="16.5" hidden="1" customHeight="1">
      <c r="A2682" s="132"/>
      <c r="B2682" s="1521"/>
      <c r="C2682" s="226" t="s">
        <v>572</v>
      </c>
      <c r="D2682" s="211" t="s">
        <v>217</v>
      </c>
      <c r="E2682" s="94">
        <v>0.74</v>
      </c>
      <c r="F2682" s="386">
        <f>F2680*E2682</f>
        <v>0</v>
      </c>
      <c r="G2682" s="225"/>
      <c r="H2682" s="604"/>
      <c r="I2682" s="225"/>
      <c r="J2682" s="225"/>
      <c r="K2682" s="386">
        <v>39.25</v>
      </c>
      <c r="L2682" s="225">
        <f>F2682*K2682</f>
        <v>0</v>
      </c>
      <c r="M2682" s="225">
        <f>H2682+J2682+L2682</f>
        <v>0</v>
      </c>
    </row>
    <row r="2683" spans="1:14" s="95" customFormat="1" hidden="1">
      <c r="A2683" s="132"/>
      <c r="B2683" s="1521"/>
      <c r="C2683" s="226" t="s">
        <v>181</v>
      </c>
      <c r="D2683" s="83" t="s">
        <v>57</v>
      </c>
      <c r="E2683" s="240">
        <v>8.2899999999999991</v>
      </c>
      <c r="F2683" s="386">
        <f>F2680*E2683</f>
        <v>0</v>
      </c>
      <c r="G2683" s="225"/>
      <c r="H2683" s="225"/>
      <c r="I2683" s="225"/>
      <c r="J2683" s="225"/>
      <c r="K2683" s="386">
        <v>3.2</v>
      </c>
      <c r="L2683" s="225">
        <f>F2683*K2683</f>
        <v>0</v>
      </c>
      <c r="M2683" s="225">
        <f>H2683+J2683+L2683</f>
        <v>0</v>
      </c>
    </row>
    <row r="2684" spans="1:14" s="95" customFormat="1" hidden="1">
      <c r="A2684" s="132"/>
      <c r="B2684" s="1521"/>
      <c r="C2684" s="15" t="s">
        <v>210</v>
      </c>
      <c r="D2684" s="211"/>
      <c r="E2684" s="240"/>
      <c r="F2684" s="386"/>
      <c r="G2684" s="225"/>
      <c r="H2684" s="225"/>
      <c r="I2684" s="225"/>
      <c r="J2684" s="225"/>
      <c r="K2684" s="225"/>
      <c r="L2684" s="225"/>
      <c r="M2684" s="225"/>
    </row>
    <row r="2685" spans="1:14" s="95" customFormat="1" hidden="1">
      <c r="A2685" s="132"/>
      <c r="B2685" s="1521"/>
      <c r="C2685" s="226" t="s">
        <v>626</v>
      </c>
      <c r="D2685" s="41" t="s">
        <v>122</v>
      </c>
      <c r="E2685" s="240"/>
      <c r="F2685" s="388">
        <f>'დეფექტური აქტი'!E656</f>
        <v>0</v>
      </c>
      <c r="G2685" s="600">
        <v>52.5</v>
      </c>
      <c r="H2685" s="225">
        <f t="shared" ref="H2685:H2692" si="62">F2685*G2685</f>
        <v>0</v>
      </c>
      <c r="I2685" s="225"/>
      <c r="J2685" s="225"/>
      <c r="K2685" s="225"/>
      <c r="L2685" s="225"/>
      <c r="M2685" s="225">
        <f t="shared" ref="M2685:M2692" si="63">H2685+J2685+L2685</f>
        <v>0</v>
      </c>
    </row>
    <row r="2686" spans="1:14" s="95" customFormat="1" hidden="1">
      <c r="A2686" s="132"/>
      <c r="B2686" s="1521"/>
      <c r="C2686" s="90" t="s">
        <v>983</v>
      </c>
      <c r="D2686" s="211" t="s">
        <v>78</v>
      </c>
      <c r="E2686" s="240"/>
      <c r="F2686" s="388">
        <f>'დეფექტური აქტი'!E657</f>
        <v>0</v>
      </c>
      <c r="G2686" s="600">
        <v>161</v>
      </c>
      <c r="H2686" s="225">
        <f t="shared" si="62"/>
        <v>0</v>
      </c>
      <c r="I2686" s="225"/>
      <c r="J2686" s="225"/>
      <c r="K2686" s="225"/>
      <c r="L2686" s="225"/>
      <c r="M2686" s="225">
        <f t="shared" si="63"/>
        <v>0</v>
      </c>
    </row>
    <row r="2687" spans="1:14" s="95" customFormat="1" hidden="1">
      <c r="A2687" s="132"/>
      <c r="B2687" s="1521"/>
      <c r="C2687" s="90" t="s">
        <v>1491</v>
      </c>
      <c r="D2687" s="211" t="s">
        <v>78</v>
      </c>
      <c r="E2687" s="240"/>
      <c r="F2687" s="388">
        <f>'დეფექტური აქტი'!E658</f>
        <v>0</v>
      </c>
      <c r="G2687" s="600">
        <v>101.7</v>
      </c>
      <c r="H2687" s="225">
        <f>F2687*G2687</f>
        <v>0</v>
      </c>
      <c r="I2687" s="225"/>
      <c r="J2687" s="225"/>
      <c r="K2687" s="225"/>
      <c r="L2687" s="225"/>
      <c r="M2687" s="225">
        <f>H2687+J2687+L2687</f>
        <v>0</v>
      </c>
    </row>
    <row r="2688" spans="1:14" s="95" customFormat="1" ht="15.75" hidden="1" customHeight="1">
      <c r="A2688" s="132"/>
      <c r="B2688" s="1521"/>
      <c r="C2688" s="90" t="s">
        <v>1492</v>
      </c>
      <c r="D2688" s="41" t="s">
        <v>122</v>
      </c>
      <c r="E2688" s="240"/>
      <c r="F2688" s="388">
        <f>'დეფექტური აქტი'!E659</f>
        <v>0</v>
      </c>
      <c r="G2688" s="225">
        <v>1.62</v>
      </c>
      <c r="H2688" s="225">
        <f t="shared" si="62"/>
        <v>0</v>
      </c>
      <c r="I2688" s="225"/>
      <c r="J2688" s="225"/>
      <c r="K2688" s="225"/>
      <c r="L2688" s="225"/>
      <c r="M2688" s="225">
        <f t="shared" si="63"/>
        <v>0</v>
      </c>
    </row>
    <row r="2689" spans="1:15" s="95" customFormat="1" hidden="1">
      <c r="A2689" s="132"/>
      <c r="B2689" s="1521"/>
      <c r="C2689" s="226" t="s">
        <v>608</v>
      </c>
      <c r="D2689" s="83" t="s">
        <v>113</v>
      </c>
      <c r="E2689" s="240"/>
      <c r="F2689" s="388">
        <f>'დეფექტური აქტი'!E660</f>
        <v>0</v>
      </c>
      <c r="G2689" s="225">
        <v>30</v>
      </c>
      <c r="H2689" s="225">
        <f t="shared" si="62"/>
        <v>0</v>
      </c>
      <c r="I2689" s="225"/>
      <c r="J2689" s="225"/>
      <c r="K2689" s="225"/>
      <c r="L2689" s="225"/>
      <c r="M2689" s="225">
        <f t="shared" si="63"/>
        <v>0</v>
      </c>
    </row>
    <row r="2690" spans="1:15" s="95" customFormat="1" hidden="1">
      <c r="A2690" s="132"/>
      <c r="B2690" s="1521"/>
      <c r="C2690" s="226" t="s">
        <v>307</v>
      </c>
      <c r="D2690" s="211" t="s">
        <v>97</v>
      </c>
      <c r="E2690" s="240">
        <v>20.7</v>
      </c>
      <c r="F2690" s="386">
        <f>F2680*E2690</f>
        <v>0</v>
      </c>
      <c r="G2690" s="225">
        <v>2.37</v>
      </c>
      <c r="H2690" s="225">
        <f t="shared" si="62"/>
        <v>0</v>
      </c>
      <c r="I2690" s="225"/>
      <c r="J2690" s="225"/>
      <c r="K2690" s="225"/>
      <c r="L2690" s="225"/>
      <c r="M2690" s="225">
        <f t="shared" si="63"/>
        <v>0</v>
      </c>
    </row>
    <row r="2691" spans="1:15" s="95" customFormat="1" hidden="1">
      <c r="A2691" s="132"/>
      <c r="B2691" s="1521"/>
      <c r="C2691" s="226" t="s">
        <v>390</v>
      </c>
      <c r="D2691" s="211" t="s">
        <v>97</v>
      </c>
      <c r="E2691" s="240">
        <v>2.5299999999999998</v>
      </c>
      <c r="F2691" s="386">
        <f>F2680*E2691</f>
        <v>0</v>
      </c>
      <c r="G2691" s="225">
        <v>2.5</v>
      </c>
      <c r="H2691" s="225">
        <f t="shared" si="62"/>
        <v>0</v>
      </c>
      <c r="I2691" s="225"/>
      <c r="J2691" s="225"/>
      <c r="K2691" s="225"/>
      <c r="L2691" s="225"/>
      <c r="M2691" s="225">
        <f t="shared" si="63"/>
        <v>0</v>
      </c>
    </row>
    <row r="2692" spans="1:15" s="95" customFormat="1" hidden="1">
      <c r="A2692" s="132"/>
      <c r="B2692" s="1522"/>
      <c r="C2692" s="226" t="s">
        <v>214</v>
      </c>
      <c r="D2692" s="230" t="s">
        <v>573</v>
      </c>
      <c r="E2692" s="240">
        <v>2.78</v>
      </c>
      <c r="F2692" s="386">
        <f>F2680*E2692</f>
        <v>0</v>
      </c>
      <c r="G2692" s="225">
        <v>3.2</v>
      </c>
      <c r="H2692" s="225">
        <f t="shared" si="62"/>
        <v>0</v>
      </c>
      <c r="I2692" s="225"/>
      <c r="J2692" s="225"/>
      <c r="K2692" s="225"/>
      <c r="L2692" s="225"/>
      <c r="M2692" s="225">
        <f t="shared" si="63"/>
        <v>0</v>
      </c>
    </row>
    <row r="2693" spans="1:15" s="273" customFormat="1" hidden="1">
      <c r="A2693" s="81"/>
      <c r="B2693" s="24"/>
      <c r="C2693" s="170" t="s">
        <v>359</v>
      </c>
      <c r="D2693" s="141"/>
      <c r="E2693" s="277"/>
      <c r="F2693" s="408"/>
      <c r="G2693" s="613"/>
      <c r="H2693" s="613">
        <f>SUBTOTAL(9,H2643:H2692)</f>
        <v>0</v>
      </c>
      <c r="I2693" s="613"/>
      <c r="J2693" s="613">
        <f>SUBTOTAL(9,J2643:J2692)</f>
        <v>0</v>
      </c>
      <c r="K2693" s="613"/>
      <c r="L2693" s="613">
        <f>SUBTOTAL(9,L2643:L2692)</f>
        <v>0</v>
      </c>
      <c r="M2693" s="613">
        <f>SUBTOTAL(9,M2643:M2692)</f>
        <v>0</v>
      </c>
    </row>
    <row r="2694" spans="1:15" s="273" customFormat="1" hidden="1">
      <c r="A2694" s="81"/>
      <c r="B2694" s="24"/>
      <c r="C2694" s="110" t="s">
        <v>679</v>
      </c>
      <c r="D2694" s="141"/>
      <c r="E2694" s="277"/>
      <c r="F2694" s="408"/>
      <c r="G2694" s="613"/>
      <c r="H2694" s="613">
        <f>H2693-H2695</f>
        <v>0</v>
      </c>
      <c r="I2694" s="613"/>
      <c r="J2694" s="613">
        <f>J2693-J2695</f>
        <v>0</v>
      </c>
      <c r="K2694" s="613"/>
      <c r="L2694" s="613">
        <f>L2693-L2695</f>
        <v>0</v>
      </c>
      <c r="M2694" s="613">
        <f>M2693-M2695</f>
        <v>0</v>
      </c>
    </row>
    <row r="2695" spans="1:15" s="273" customFormat="1" hidden="1">
      <c r="A2695" s="81"/>
      <c r="B2695" s="24"/>
      <c r="C2695" s="110" t="s">
        <v>616</v>
      </c>
      <c r="D2695" s="141"/>
      <c r="E2695" s="277"/>
      <c r="F2695" s="408"/>
      <c r="G2695" s="613"/>
      <c r="H2695" s="613">
        <f>H2681+H2682+H2683+H2685+H2686+H2688+H2689+H2690+H2691+H2692</f>
        <v>0</v>
      </c>
      <c r="I2695" s="613"/>
      <c r="J2695" s="613">
        <f>J2681+J2682+J2683+J2685+J2686+J2688+J2689+J2690+J2691+J2692</f>
        <v>0</v>
      </c>
      <c r="K2695" s="613"/>
      <c r="L2695" s="613">
        <f>L2681+L2682+L2683+L2685+L2686+L2688+L2689+L2690+L2691+L2692</f>
        <v>0</v>
      </c>
      <c r="M2695" s="613">
        <f>M2681+M2682+M2683+M2685+M2686+M2688+M2689+M2690+M2691+M2692</f>
        <v>0</v>
      </c>
    </row>
    <row r="2696" spans="1:15" s="273" customFormat="1" ht="27" hidden="1">
      <c r="A2696" s="81"/>
      <c r="B2696" s="24"/>
      <c r="C2696" s="110" t="s">
        <v>680</v>
      </c>
      <c r="D2696" s="141">
        <f>'დეფექტური აქტი'!E664%</f>
        <v>0.1</v>
      </c>
      <c r="E2696" s="277"/>
      <c r="F2696" s="408"/>
      <c r="G2696" s="613"/>
      <c r="H2696" s="613">
        <f>H2694*D2696</f>
        <v>0</v>
      </c>
      <c r="I2696" s="613"/>
      <c r="J2696" s="613">
        <f>J2694*D2696</f>
        <v>0</v>
      </c>
      <c r="K2696" s="613"/>
      <c r="L2696" s="613">
        <f>L2694*D2696</f>
        <v>0</v>
      </c>
      <c r="M2696" s="613">
        <f>M2694*D2696</f>
        <v>0</v>
      </c>
    </row>
    <row r="2697" spans="1:15" s="95" customFormat="1" ht="27" hidden="1">
      <c r="A2697" s="81"/>
      <c r="B2697" s="298"/>
      <c r="C2697" s="110" t="s">
        <v>681</v>
      </c>
      <c r="D2697" s="281">
        <f>'დეფექტური აქტი'!E665%</f>
        <v>0.08</v>
      </c>
      <c r="E2697" s="277"/>
      <c r="F2697" s="403"/>
      <c r="G2697" s="613"/>
      <c r="H2697" s="613">
        <f>H2695*D2697</f>
        <v>0</v>
      </c>
      <c r="I2697" s="613"/>
      <c r="J2697" s="613">
        <f>J2695*D2697</f>
        <v>0</v>
      </c>
      <c r="K2697" s="613"/>
      <c r="L2697" s="613">
        <f>L2695*D2697</f>
        <v>0</v>
      </c>
      <c r="M2697" s="613">
        <f>M2695*D2697</f>
        <v>0</v>
      </c>
      <c r="O2697" s="299"/>
    </row>
    <row r="2698" spans="1:15" s="95" customFormat="1" hidden="1">
      <c r="A2698" s="81"/>
      <c r="B2698" s="298"/>
      <c r="C2698" s="170" t="s">
        <v>110</v>
      </c>
      <c r="D2698" s="283"/>
      <c r="E2698" s="277"/>
      <c r="F2698" s="403"/>
      <c r="G2698" s="613"/>
      <c r="H2698" s="613">
        <f>H2693+H2697+H2696</f>
        <v>0</v>
      </c>
      <c r="I2698" s="613"/>
      <c r="J2698" s="613">
        <f>J2693+J2697+J2696</f>
        <v>0</v>
      </c>
      <c r="K2698" s="613"/>
      <c r="L2698" s="613">
        <f>L2693+L2697+L2696</f>
        <v>0</v>
      </c>
      <c r="M2698" s="613">
        <f>M2693+M2697+M2696</f>
        <v>0</v>
      </c>
    </row>
    <row r="2699" spans="1:15" s="85" customFormat="1" hidden="1">
      <c r="A2699" s="81"/>
      <c r="B2699" s="280"/>
      <c r="C2699" s="110" t="s">
        <v>116</v>
      </c>
      <c r="D2699" s="300">
        <f>'დეფექტური აქტი'!E667%</f>
        <v>0.08</v>
      </c>
      <c r="E2699" s="283"/>
      <c r="F2699" s="405"/>
      <c r="G2699" s="615"/>
      <c r="H2699" s="625">
        <f>H2698*D2699</f>
        <v>0</v>
      </c>
      <c r="I2699" s="625"/>
      <c r="J2699" s="625">
        <f>J2698*D2699</f>
        <v>0</v>
      </c>
      <c r="K2699" s="625"/>
      <c r="L2699" s="625">
        <f>L2698*D2699</f>
        <v>0</v>
      </c>
      <c r="M2699" s="625">
        <f>M2698*D2699</f>
        <v>0</v>
      </c>
    </row>
    <row r="2700" spans="1:15" s="95" customFormat="1" hidden="1">
      <c r="A2700" s="81"/>
      <c r="B2700" s="24"/>
      <c r="C2700" s="170" t="s">
        <v>696</v>
      </c>
      <c r="D2700" s="141"/>
      <c r="E2700" s="277"/>
      <c r="F2700" s="403"/>
      <c r="G2700" s="613"/>
      <c r="H2700" s="613">
        <f>H2698+H2699</f>
        <v>0</v>
      </c>
      <c r="I2700" s="613"/>
      <c r="J2700" s="607">
        <f>J2698+J2699</f>
        <v>0</v>
      </c>
      <c r="K2700" s="613"/>
      <c r="L2700" s="613">
        <f>L2698+L2699</f>
        <v>0</v>
      </c>
      <c r="M2700" s="613">
        <f>M2698+M2699</f>
        <v>0</v>
      </c>
    </row>
    <row r="2701" spans="1:15" s="93" customFormat="1" hidden="1">
      <c r="A2701" s="132"/>
      <c r="B2701" s="132"/>
      <c r="C2701" s="150" t="s">
        <v>1437</v>
      </c>
      <c r="D2701" s="24"/>
      <c r="E2701" s="94"/>
      <c r="F2701" s="386"/>
      <c r="G2701" s="225"/>
      <c r="H2701" s="225"/>
      <c r="I2701" s="225"/>
      <c r="J2701" s="225"/>
      <c r="K2701" s="225"/>
      <c r="L2701" s="225"/>
      <c r="M2701" s="225"/>
    </row>
    <row r="2702" spans="1:15" s="93" customFormat="1" ht="27" hidden="1">
      <c r="A2702" s="139">
        <v>1</v>
      </c>
      <c r="B2702" s="1456" t="s">
        <v>574</v>
      </c>
      <c r="C2702" s="1039" t="s">
        <v>1738</v>
      </c>
      <c r="D2702" s="140" t="s">
        <v>113</v>
      </c>
      <c r="E2702" s="301"/>
      <c r="F2702" s="384">
        <f>'დეფექტური აქტი'!E670</f>
        <v>0</v>
      </c>
      <c r="G2702" s="422"/>
      <c r="H2702" s="422"/>
      <c r="I2702" s="422"/>
      <c r="J2702" s="422"/>
      <c r="K2702" s="422"/>
      <c r="L2702" s="422"/>
      <c r="M2702" s="422"/>
    </row>
    <row r="2703" spans="1:15" s="92" customFormat="1" hidden="1">
      <c r="A2703" s="132"/>
      <c r="B2703" s="1457"/>
      <c r="C2703" s="226" t="s">
        <v>128</v>
      </c>
      <c r="D2703" s="211" t="s">
        <v>80</v>
      </c>
      <c r="E2703" s="211">
        <v>2</v>
      </c>
      <c r="F2703" s="386">
        <f>F2702*E2703</f>
        <v>0</v>
      </c>
      <c r="G2703" s="225"/>
      <c r="H2703" s="225"/>
      <c r="I2703" s="225">
        <v>6</v>
      </c>
      <c r="J2703" s="225">
        <f>F2703*I2703</f>
        <v>0</v>
      </c>
      <c r="K2703" s="225"/>
      <c r="L2703" s="225"/>
      <c r="M2703" s="225">
        <f>H2703+J2703+L2703</f>
        <v>0</v>
      </c>
    </row>
    <row r="2704" spans="1:15" s="85" customFormat="1" hidden="1">
      <c r="A2704" s="132"/>
      <c r="B2704" s="1457"/>
      <c r="C2704" s="226" t="s">
        <v>81</v>
      </c>
      <c r="D2704" s="83" t="s">
        <v>57</v>
      </c>
      <c r="E2704" s="83">
        <v>0.09</v>
      </c>
      <c r="F2704" s="386">
        <f>F2702*E2704</f>
        <v>0</v>
      </c>
      <c r="G2704" s="225"/>
      <c r="H2704" s="225"/>
      <c r="I2704" s="225"/>
      <c r="J2704" s="225"/>
      <c r="K2704" s="225">
        <v>3.2</v>
      </c>
      <c r="L2704" s="225">
        <f>F2704*K2704</f>
        <v>0</v>
      </c>
      <c r="M2704" s="225">
        <f>H2704+J2704+L2704</f>
        <v>0</v>
      </c>
    </row>
    <row r="2705" spans="1:14" s="88" customFormat="1" hidden="1">
      <c r="A2705" s="132"/>
      <c r="B2705" s="1457"/>
      <c r="C2705" s="15" t="s">
        <v>210</v>
      </c>
      <c r="D2705" s="211"/>
      <c r="E2705" s="211"/>
      <c r="F2705" s="386"/>
      <c r="G2705" s="225"/>
      <c r="H2705" s="225"/>
      <c r="I2705" s="225"/>
      <c r="J2705" s="225"/>
      <c r="K2705" s="225"/>
      <c r="L2705" s="225"/>
      <c r="M2705" s="225">
        <f>H2705+J2705+L2705</f>
        <v>0</v>
      </c>
    </row>
    <row r="2706" spans="1:14" s="88" customFormat="1" hidden="1">
      <c r="A2706" s="132"/>
      <c r="B2706" s="1457"/>
      <c r="C2706" s="84" t="s">
        <v>356</v>
      </c>
      <c r="D2706" s="41" t="s">
        <v>4</v>
      </c>
      <c r="E2706" s="211">
        <v>1</v>
      </c>
      <c r="F2706" s="386">
        <f>F2702*E2706</f>
        <v>0</v>
      </c>
      <c r="G2706" s="600">
        <v>64</v>
      </c>
      <c r="H2706" s="225">
        <f>F2706*G2706</f>
        <v>0</v>
      </c>
      <c r="I2706" s="225"/>
      <c r="J2706" s="225"/>
      <c r="K2706" s="225"/>
      <c r="L2706" s="225"/>
      <c r="M2706" s="225">
        <f>H2706+J2706+L2706</f>
        <v>0</v>
      </c>
      <c r="N2706" s="88">
        <f>30+34</f>
        <v>64</v>
      </c>
    </row>
    <row r="2707" spans="1:14" s="88" customFormat="1" hidden="1">
      <c r="A2707" s="132"/>
      <c r="B2707" s="1458"/>
      <c r="C2707" s="226" t="s">
        <v>214</v>
      </c>
      <c r="D2707" s="86" t="s">
        <v>57</v>
      </c>
      <c r="E2707" s="234">
        <v>1.36</v>
      </c>
      <c r="F2707" s="386">
        <f>F2702*E2707</f>
        <v>0</v>
      </c>
      <c r="G2707" s="225">
        <v>3.2</v>
      </c>
      <c r="H2707" s="225">
        <f>F2707*G2707</f>
        <v>0</v>
      </c>
      <c r="I2707" s="225"/>
      <c r="J2707" s="225"/>
      <c r="K2707" s="225"/>
      <c r="L2707" s="225"/>
      <c r="M2707" s="225">
        <f>H2707+J2707+L2707</f>
        <v>0</v>
      </c>
    </row>
    <row r="2708" spans="1:14" s="93" customFormat="1" ht="27" hidden="1">
      <c r="A2708" s="139">
        <v>2</v>
      </c>
      <c r="B2708" s="1456" t="s">
        <v>575</v>
      </c>
      <c r="C2708" s="227" t="s">
        <v>516</v>
      </c>
      <c r="D2708" s="140" t="s">
        <v>113</v>
      </c>
      <c r="E2708" s="140"/>
      <c r="F2708" s="384">
        <f>'დეფექტური აქტი'!E671</f>
        <v>0</v>
      </c>
      <c r="G2708" s="422"/>
      <c r="H2708" s="422"/>
      <c r="I2708" s="422"/>
      <c r="J2708" s="422"/>
      <c r="K2708" s="422"/>
      <c r="L2708" s="422"/>
      <c r="M2708" s="422"/>
    </row>
    <row r="2709" spans="1:14" s="93" customFormat="1" hidden="1">
      <c r="A2709" s="132"/>
      <c r="B2709" s="1457"/>
      <c r="C2709" s="226" t="s">
        <v>209</v>
      </c>
      <c r="D2709" s="211" t="s">
        <v>80</v>
      </c>
      <c r="E2709" s="211">
        <v>0.63</v>
      </c>
      <c r="F2709" s="386">
        <f>F2708*E2709</f>
        <v>0</v>
      </c>
      <c r="G2709" s="225"/>
      <c r="H2709" s="225"/>
      <c r="I2709" s="225">
        <v>6</v>
      </c>
      <c r="J2709" s="225">
        <f>F2709*I2709</f>
        <v>0</v>
      </c>
      <c r="K2709" s="225"/>
      <c r="L2709" s="225"/>
      <c r="M2709" s="225">
        <f>H2709+J2709+L2709</f>
        <v>0</v>
      </c>
    </row>
    <row r="2710" spans="1:14" s="93" customFormat="1" hidden="1">
      <c r="A2710" s="132"/>
      <c r="B2710" s="1457"/>
      <c r="C2710" s="226" t="s">
        <v>181</v>
      </c>
      <c r="D2710" s="83" t="s">
        <v>57</v>
      </c>
      <c r="E2710" s="83">
        <v>8.9999999999999993E-3</v>
      </c>
      <c r="F2710" s="386">
        <f>F2708*E2710</f>
        <v>0</v>
      </c>
      <c r="G2710" s="225"/>
      <c r="H2710" s="225"/>
      <c r="I2710" s="225"/>
      <c r="J2710" s="225"/>
      <c r="K2710" s="225">
        <v>3.2</v>
      </c>
      <c r="L2710" s="225">
        <f>F2710*K2710</f>
        <v>0</v>
      </c>
      <c r="M2710" s="225">
        <f>H2710+J2710+L2710</f>
        <v>0</v>
      </c>
    </row>
    <row r="2711" spans="1:14" s="93" customFormat="1" hidden="1">
      <c r="A2711" s="132"/>
      <c r="B2711" s="1457"/>
      <c r="C2711" s="15" t="s">
        <v>210</v>
      </c>
      <c r="D2711" s="211"/>
      <c r="E2711" s="211"/>
      <c r="F2711" s="386"/>
      <c r="G2711" s="225"/>
      <c r="H2711" s="225"/>
      <c r="I2711" s="225"/>
      <c r="J2711" s="225"/>
      <c r="K2711" s="225"/>
      <c r="L2711" s="225"/>
      <c r="M2711" s="225"/>
    </row>
    <row r="2712" spans="1:14" s="93" customFormat="1" hidden="1">
      <c r="A2712" s="132"/>
      <c r="B2712" s="1457"/>
      <c r="C2712" s="226" t="s">
        <v>576</v>
      </c>
      <c r="D2712" s="83" t="s">
        <v>113</v>
      </c>
      <c r="E2712" s="211">
        <v>1</v>
      </c>
      <c r="F2712" s="386">
        <f>F2708*E2712</f>
        <v>0</v>
      </c>
      <c r="G2712" s="225">
        <v>15</v>
      </c>
      <c r="H2712" s="225">
        <f>F2712*G2712</f>
        <v>0</v>
      </c>
      <c r="I2712" s="225"/>
      <c r="J2712" s="225"/>
      <c r="K2712" s="225"/>
      <c r="L2712" s="225"/>
      <c r="M2712" s="225">
        <f>H2712+J2712+L2712</f>
        <v>0</v>
      </c>
    </row>
    <row r="2713" spans="1:14" s="93" customFormat="1" hidden="1">
      <c r="A2713" s="132"/>
      <c r="B2713" s="1458"/>
      <c r="C2713" s="226" t="s">
        <v>214</v>
      </c>
      <c r="D2713" s="86" t="s">
        <v>57</v>
      </c>
      <c r="E2713" s="211">
        <v>0.67100000000000004</v>
      </c>
      <c r="F2713" s="386">
        <f>F2708*E2713</f>
        <v>0</v>
      </c>
      <c r="G2713" s="225">
        <v>3.2</v>
      </c>
      <c r="H2713" s="225">
        <f>F2713*G2713</f>
        <v>0</v>
      </c>
      <c r="I2713" s="225"/>
      <c r="J2713" s="225"/>
      <c r="K2713" s="225"/>
      <c r="L2713" s="225"/>
      <c r="M2713" s="225">
        <f>H2713+J2713+L2713</f>
        <v>0</v>
      </c>
    </row>
    <row r="2714" spans="1:14" s="93" customFormat="1" ht="27" hidden="1">
      <c r="A2714" s="139">
        <v>3</v>
      </c>
      <c r="B2714" s="168" t="s">
        <v>357</v>
      </c>
      <c r="C2714" s="151" t="s">
        <v>466</v>
      </c>
      <c r="D2714" s="140" t="s">
        <v>113</v>
      </c>
      <c r="E2714" s="140"/>
      <c r="F2714" s="384">
        <f>'დეფექტური აქტი'!E672</f>
        <v>0</v>
      </c>
      <c r="G2714" s="422"/>
      <c r="H2714" s="422"/>
      <c r="I2714" s="422"/>
      <c r="J2714" s="422"/>
      <c r="K2714" s="422"/>
      <c r="L2714" s="422"/>
      <c r="M2714" s="422"/>
    </row>
    <row r="2715" spans="1:14" s="93" customFormat="1" hidden="1">
      <c r="A2715" s="132"/>
      <c r="B2715" s="1475"/>
      <c r="C2715" s="226" t="s">
        <v>209</v>
      </c>
      <c r="D2715" s="211" t="s">
        <v>80</v>
      </c>
      <c r="E2715" s="211">
        <v>0.68</v>
      </c>
      <c r="F2715" s="386">
        <f>F2714*E2715</f>
        <v>0</v>
      </c>
      <c r="G2715" s="225"/>
      <c r="H2715" s="225"/>
      <c r="I2715" s="225">
        <v>6</v>
      </c>
      <c r="J2715" s="225">
        <f>F2715*I2715</f>
        <v>0</v>
      </c>
      <c r="K2715" s="225"/>
      <c r="L2715" s="225"/>
      <c r="M2715" s="225">
        <f>H2715+J2715+L2715</f>
        <v>0</v>
      </c>
    </row>
    <row r="2716" spans="1:14" s="93" customFormat="1" hidden="1">
      <c r="A2716" s="132"/>
      <c r="B2716" s="1475"/>
      <c r="C2716" s="226" t="s">
        <v>133</v>
      </c>
      <c r="D2716" s="83" t="s">
        <v>57</v>
      </c>
      <c r="E2716" s="83">
        <v>1.0999999999999999E-2</v>
      </c>
      <c r="F2716" s="386">
        <f>F2714*E2716</f>
        <v>0</v>
      </c>
      <c r="G2716" s="225"/>
      <c r="H2716" s="225"/>
      <c r="I2716" s="225"/>
      <c r="J2716" s="225"/>
      <c r="K2716" s="225">
        <v>3.2</v>
      </c>
      <c r="L2716" s="225">
        <f>F2716*K2716</f>
        <v>0</v>
      </c>
      <c r="M2716" s="225">
        <f>H2716+J2716+L2716</f>
        <v>0</v>
      </c>
    </row>
    <row r="2717" spans="1:14" s="93" customFormat="1" hidden="1">
      <c r="A2717" s="132"/>
      <c r="B2717" s="1475"/>
      <c r="C2717" s="15" t="s">
        <v>210</v>
      </c>
      <c r="D2717" s="211"/>
      <c r="E2717" s="211"/>
      <c r="F2717" s="386"/>
      <c r="G2717" s="225"/>
      <c r="H2717" s="225"/>
      <c r="I2717" s="225"/>
      <c r="J2717" s="225"/>
      <c r="K2717" s="225"/>
      <c r="L2717" s="225"/>
      <c r="M2717" s="225"/>
    </row>
    <row r="2718" spans="1:14" s="93" customFormat="1" hidden="1">
      <c r="A2718" s="132"/>
      <c r="B2718" s="1475"/>
      <c r="C2718" s="226" t="s">
        <v>561</v>
      </c>
      <c r="D2718" s="83" t="s">
        <v>113</v>
      </c>
      <c r="E2718" s="211">
        <v>1</v>
      </c>
      <c r="F2718" s="386">
        <f>F2714*E2718</f>
        <v>0</v>
      </c>
      <c r="G2718" s="225">
        <v>2.5</v>
      </c>
      <c r="H2718" s="225">
        <f>F2718*G2718</f>
        <v>0</v>
      </c>
      <c r="I2718" s="225"/>
      <c r="J2718" s="225"/>
      <c r="K2718" s="225"/>
      <c r="L2718" s="225"/>
      <c r="M2718" s="225">
        <f>H2718+J2718+L2718</f>
        <v>0</v>
      </c>
    </row>
    <row r="2719" spans="1:14" s="93" customFormat="1" hidden="1">
      <c r="A2719" s="132"/>
      <c r="B2719" s="1494"/>
      <c r="C2719" s="226" t="s">
        <v>214</v>
      </c>
      <c r="D2719" s="86" t="s">
        <v>57</v>
      </c>
      <c r="E2719" s="211">
        <v>0.10299999999999999</v>
      </c>
      <c r="F2719" s="386">
        <f>F2714*E2719</f>
        <v>0</v>
      </c>
      <c r="G2719" s="225">
        <v>3.2</v>
      </c>
      <c r="H2719" s="225">
        <f>F2719*G2719</f>
        <v>0</v>
      </c>
      <c r="I2719" s="225"/>
      <c r="J2719" s="225"/>
      <c r="K2719" s="225"/>
      <c r="L2719" s="225"/>
      <c r="M2719" s="225">
        <f>H2719+J2719+L2719</f>
        <v>0</v>
      </c>
    </row>
    <row r="2720" spans="1:14" s="93" customFormat="1" hidden="1">
      <c r="A2720" s="81">
        <v>4</v>
      </c>
      <c r="B2720" s="302"/>
      <c r="C2720" s="260" t="s">
        <v>517</v>
      </c>
      <c r="D2720" s="24" t="s">
        <v>113</v>
      </c>
      <c r="E2720" s="158"/>
      <c r="F2720" s="397">
        <f>'დეფექტური აქტი'!E673</f>
        <v>0</v>
      </c>
      <c r="G2720" s="607">
        <v>0.5</v>
      </c>
      <c r="H2720" s="607">
        <f>F2720*G2720</f>
        <v>0</v>
      </c>
      <c r="I2720" s="607"/>
      <c r="J2720" s="607"/>
      <c r="K2720" s="607"/>
      <c r="L2720" s="607"/>
      <c r="M2720" s="607">
        <f>H2720+J2720+L2720</f>
        <v>0</v>
      </c>
    </row>
    <row r="2721" spans="1:13" s="93" customFormat="1" hidden="1">
      <c r="A2721" s="132">
        <v>5</v>
      </c>
      <c r="B2721" s="1456" t="s">
        <v>372</v>
      </c>
      <c r="C2721" s="84" t="s">
        <v>562</v>
      </c>
      <c r="D2721" s="47" t="s">
        <v>122</v>
      </c>
      <c r="E2721" s="83"/>
      <c r="F2721" s="384">
        <f>'დეფექტური აქტი'!E674</f>
        <v>0</v>
      </c>
      <c r="G2721" s="225"/>
      <c r="H2721" s="225"/>
      <c r="I2721" s="225"/>
      <c r="J2721" s="225"/>
      <c r="K2721" s="225"/>
      <c r="L2721" s="225"/>
      <c r="M2721" s="225"/>
    </row>
    <row r="2722" spans="1:13" s="93" customFormat="1" hidden="1">
      <c r="A2722" s="132"/>
      <c r="B2722" s="1457"/>
      <c r="C2722" s="226" t="s">
        <v>209</v>
      </c>
      <c r="D2722" s="211" t="s">
        <v>80</v>
      </c>
      <c r="E2722" s="211">
        <v>0.13</v>
      </c>
      <c r="F2722" s="386">
        <f>F2721*E2722</f>
        <v>0</v>
      </c>
      <c r="G2722" s="225"/>
      <c r="H2722" s="225"/>
      <c r="I2722" s="225">
        <v>4.5999999999999996</v>
      </c>
      <c r="J2722" s="225">
        <f>F2722*I2722</f>
        <v>0</v>
      </c>
      <c r="K2722" s="225"/>
      <c r="L2722" s="225"/>
      <c r="M2722" s="225">
        <f>H2722+J2722+L2722</f>
        <v>0</v>
      </c>
    </row>
    <row r="2723" spans="1:13" s="93" customFormat="1" hidden="1">
      <c r="A2723" s="132"/>
      <c r="B2723" s="1457"/>
      <c r="C2723" s="226" t="s">
        <v>133</v>
      </c>
      <c r="D2723" s="83" t="s">
        <v>57</v>
      </c>
      <c r="E2723" s="83">
        <v>3.7100000000000001E-2</v>
      </c>
      <c r="F2723" s="386">
        <f>F2721*E2723</f>
        <v>0</v>
      </c>
      <c r="G2723" s="225"/>
      <c r="H2723" s="225"/>
      <c r="I2723" s="225"/>
      <c r="J2723" s="225"/>
      <c r="K2723" s="225">
        <v>3.2</v>
      </c>
      <c r="L2723" s="225">
        <f>F2723*K2723</f>
        <v>0</v>
      </c>
      <c r="M2723" s="225">
        <f>J2723+H2723+L2723</f>
        <v>0</v>
      </c>
    </row>
    <row r="2724" spans="1:13" s="93" customFormat="1" hidden="1">
      <c r="A2724" s="132"/>
      <c r="B2724" s="1457"/>
      <c r="C2724" s="15" t="s">
        <v>210</v>
      </c>
      <c r="D2724" s="211"/>
      <c r="E2724" s="211"/>
      <c r="F2724" s="386"/>
      <c r="G2724" s="225"/>
      <c r="H2724" s="225"/>
      <c r="I2724" s="225"/>
      <c r="J2724" s="225"/>
      <c r="K2724" s="225"/>
      <c r="L2724" s="225"/>
      <c r="M2724" s="225"/>
    </row>
    <row r="2725" spans="1:13" s="93" customFormat="1" ht="27" hidden="1">
      <c r="A2725" s="132"/>
      <c r="B2725" s="1457"/>
      <c r="C2725" s="84" t="s">
        <v>1086</v>
      </c>
      <c r="D2725" s="41" t="s">
        <v>122</v>
      </c>
      <c r="E2725" s="211">
        <v>1</v>
      </c>
      <c r="F2725" s="386">
        <f>F2721*E2725</f>
        <v>0</v>
      </c>
      <c r="G2725" s="225">
        <v>1.02</v>
      </c>
      <c r="H2725" s="225">
        <f>F2725*G2725</f>
        <v>0</v>
      </c>
      <c r="I2725" s="225"/>
      <c r="J2725" s="225"/>
      <c r="K2725" s="225"/>
      <c r="L2725" s="225"/>
      <c r="M2725" s="225">
        <f>H2725+J2725+L2725</f>
        <v>0</v>
      </c>
    </row>
    <row r="2726" spans="1:13" s="93" customFormat="1" hidden="1">
      <c r="A2726" s="132"/>
      <c r="B2726" s="1458"/>
      <c r="C2726" s="226" t="s">
        <v>214</v>
      </c>
      <c r="D2726" s="86" t="s">
        <v>57</v>
      </c>
      <c r="E2726" s="211">
        <v>1.44E-2</v>
      </c>
      <c r="F2726" s="386">
        <f>F2721*E2726</f>
        <v>0</v>
      </c>
      <c r="G2726" s="225">
        <v>3.2</v>
      </c>
      <c r="H2726" s="225">
        <f>F2726*G2726</f>
        <v>0</v>
      </c>
      <c r="I2726" s="225"/>
      <c r="J2726" s="225"/>
      <c r="K2726" s="225"/>
      <c r="L2726" s="225"/>
      <c r="M2726" s="225">
        <f>H2726+J2726+L2726</f>
        <v>0</v>
      </c>
    </row>
    <row r="2727" spans="1:13" s="93" customFormat="1" hidden="1">
      <c r="A2727" s="131">
        <v>6</v>
      </c>
      <c r="B2727" s="1456" t="s">
        <v>372</v>
      </c>
      <c r="C2727" s="151" t="s">
        <v>562</v>
      </c>
      <c r="D2727" s="47" t="s">
        <v>122</v>
      </c>
      <c r="E2727" s="140"/>
      <c r="F2727" s="384">
        <f>'დეფექტური აქტი'!E675</f>
        <v>0</v>
      </c>
      <c r="G2727" s="422"/>
      <c r="H2727" s="422"/>
      <c r="I2727" s="422"/>
      <c r="J2727" s="422"/>
      <c r="K2727" s="422"/>
      <c r="L2727" s="422"/>
      <c r="M2727" s="422"/>
    </row>
    <row r="2728" spans="1:13" s="93" customFormat="1" hidden="1">
      <c r="A2728" s="132"/>
      <c r="B2728" s="1457"/>
      <c r="C2728" s="226" t="s">
        <v>209</v>
      </c>
      <c r="D2728" s="211" t="s">
        <v>80</v>
      </c>
      <c r="E2728" s="211">
        <v>0.13</v>
      </c>
      <c r="F2728" s="386">
        <f>F2727*E2728</f>
        <v>0</v>
      </c>
      <c r="G2728" s="225"/>
      <c r="H2728" s="225"/>
      <c r="I2728" s="225">
        <v>4.5999999999999996</v>
      </c>
      <c r="J2728" s="225">
        <f>F2728*I2728</f>
        <v>0</v>
      </c>
      <c r="K2728" s="225"/>
      <c r="L2728" s="225"/>
      <c r="M2728" s="225">
        <f>H2728+J2728+L2728</f>
        <v>0</v>
      </c>
    </row>
    <row r="2729" spans="1:13" s="93" customFormat="1" hidden="1">
      <c r="A2729" s="132"/>
      <c r="B2729" s="1457"/>
      <c r="C2729" s="226" t="s">
        <v>133</v>
      </c>
      <c r="D2729" s="83" t="s">
        <v>57</v>
      </c>
      <c r="E2729" s="83">
        <v>3.7100000000000001E-2</v>
      </c>
      <c r="F2729" s="386">
        <f>F2727*E2729</f>
        <v>0</v>
      </c>
      <c r="G2729" s="225"/>
      <c r="H2729" s="225"/>
      <c r="I2729" s="225"/>
      <c r="J2729" s="225"/>
      <c r="K2729" s="225">
        <v>3.2</v>
      </c>
      <c r="L2729" s="225">
        <f>F2729*K2729</f>
        <v>0</v>
      </c>
      <c r="M2729" s="225">
        <f>J2729+H2729+L2729</f>
        <v>0</v>
      </c>
    </row>
    <row r="2730" spans="1:13" s="93" customFormat="1" hidden="1">
      <c r="A2730" s="132"/>
      <c r="B2730" s="1457"/>
      <c r="C2730" s="15" t="s">
        <v>210</v>
      </c>
      <c r="D2730" s="211"/>
      <c r="E2730" s="211"/>
      <c r="F2730" s="386"/>
      <c r="G2730" s="225"/>
      <c r="H2730" s="225"/>
      <c r="I2730" s="225"/>
      <c r="J2730" s="225"/>
      <c r="K2730" s="225"/>
      <c r="L2730" s="225"/>
      <c r="M2730" s="225"/>
    </row>
    <row r="2731" spans="1:13" s="93" customFormat="1" ht="27" hidden="1">
      <c r="A2731" s="132"/>
      <c r="B2731" s="1457"/>
      <c r="C2731" s="84" t="s">
        <v>1125</v>
      </c>
      <c r="D2731" s="41" t="s">
        <v>122</v>
      </c>
      <c r="E2731" s="211">
        <v>1</v>
      </c>
      <c r="F2731" s="386">
        <f>F2727*E2731</f>
        <v>0</v>
      </c>
      <c r="G2731" s="225">
        <v>3.05</v>
      </c>
      <c r="H2731" s="225">
        <f>F2731*G2731</f>
        <v>0</v>
      </c>
      <c r="I2731" s="225"/>
      <c r="J2731" s="225"/>
      <c r="K2731" s="225"/>
      <c r="L2731" s="225"/>
      <c r="M2731" s="225">
        <f>H2731+J2731+L2731</f>
        <v>0</v>
      </c>
    </row>
    <row r="2732" spans="1:13" s="93" customFormat="1" hidden="1">
      <c r="A2732" s="132"/>
      <c r="B2732" s="1458"/>
      <c r="C2732" s="226" t="s">
        <v>214</v>
      </c>
      <c r="D2732" s="86" t="s">
        <v>57</v>
      </c>
      <c r="E2732" s="211">
        <v>1.44E-2</v>
      </c>
      <c r="F2732" s="386">
        <f>F2727*E2732</f>
        <v>0</v>
      </c>
      <c r="G2732" s="225">
        <v>3.2</v>
      </c>
      <c r="H2732" s="225">
        <f>F2732*G2732</f>
        <v>0</v>
      </c>
      <c r="I2732" s="225"/>
      <c r="J2732" s="225"/>
      <c r="K2732" s="225"/>
      <c r="L2732" s="225"/>
      <c r="M2732" s="225">
        <f>H2732+J2732+L2732</f>
        <v>0</v>
      </c>
    </row>
    <row r="2733" spans="1:13" s="93" customFormat="1" ht="27" hidden="1">
      <c r="A2733" s="131">
        <v>7</v>
      </c>
      <c r="B2733" s="1456" t="s">
        <v>577</v>
      </c>
      <c r="C2733" s="151" t="s">
        <v>1049</v>
      </c>
      <c r="D2733" s="140" t="s">
        <v>113</v>
      </c>
      <c r="E2733" s="140"/>
      <c r="F2733" s="384">
        <f>'დეფექტური აქტი'!E676</f>
        <v>0</v>
      </c>
      <c r="G2733" s="422"/>
      <c r="H2733" s="422"/>
      <c r="I2733" s="422"/>
      <c r="J2733" s="422"/>
      <c r="K2733" s="422"/>
      <c r="L2733" s="422"/>
      <c r="M2733" s="422"/>
    </row>
    <row r="2734" spans="1:13" s="93" customFormat="1" hidden="1">
      <c r="A2734" s="132"/>
      <c r="B2734" s="1457"/>
      <c r="C2734" s="226" t="s">
        <v>209</v>
      </c>
      <c r="D2734" s="211" t="s">
        <v>80</v>
      </c>
      <c r="E2734" s="211">
        <v>2</v>
      </c>
      <c r="F2734" s="386">
        <f>F2733*E2734</f>
        <v>0</v>
      </c>
      <c r="G2734" s="225"/>
      <c r="H2734" s="225"/>
      <c r="I2734" s="225">
        <v>4.5999999999999996</v>
      </c>
      <c r="J2734" s="225">
        <f>F2734*I2734</f>
        <v>0</v>
      </c>
      <c r="K2734" s="225"/>
      <c r="L2734" s="225"/>
      <c r="M2734" s="225">
        <f>H2734+J2734+L2734</f>
        <v>0</v>
      </c>
    </row>
    <row r="2735" spans="1:13" s="93" customFormat="1" hidden="1">
      <c r="A2735" s="132"/>
      <c r="B2735" s="1457"/>
      <c r="C2735" s="226" t="s">
        <v>133</v>
      </c>
      <c r="D2735" s="83" t="s">
        <v>57</v>
      </c>
      <c r="E2735" s="83">
        <v>7.0000000000000007E-2</v>
      </c>
      <c r="F2735" s="386">
        <f>F2733*E2735</f>
        <v>0</v>
      </c>
      <c r="G2735" s="225"/>
      <c r="H2735" s="225"/>
      <c r="I2735" s="225"/>
      <c r="J2735" s="225"/>
      <c r="K2735" s="225">
        <v>3.2</v>
      </c>
      <c r="L2735" s="225">
        <f>F2735*K2735</f>
        <v>0</v>
      </c>
      <c r="M2735" s="225">
        <f>J2735+H2735+L2735</f>
        <v>0</v>
      </c>
    </row>
    <row r="2736" spans="1:13" s="93" customFormat="1" hidden="1">
      <c r="A2736" s="132"/>
      <c r="B2736" s="1457"/>
      <c r="C2736" s="15" t="s">
        <v>210</v>
      </c>
      <c r="D2736" s="211"/>
      <c r="E2736" s="211"/>
      <c r="F2736" s="386"/>
      <c r="G2736" s="225"/>
      <c r="H2736" s="225"/>
      <c r="I2736" s="225"/>
      <c r="J2736" s="225"/>
      <c r="K2736" s="225"/>
      <c r="L2736" s="225"/>
      <c r="M2736" s="225"/>
    </row>
    <row r="2737" spans="1:21" s="93" customFormat="1" ht="18" hidden="1" customHeight="1">
      <c r="A2737" s="132"/>
      <c r="B2737" s="1457"/>
      <c r="C2737" s="84" t="s">
        <v>1048</v>
      </c>
      <c r="D2737" s="83" t="s">
        <v>113</v>
      </c>
      <c r="E2737" s="211">
        <v>1</v>
      </c>
      <c r="F2737" s="386">
        <f>F2733*E2737</f>
        <v>0</v>
      </c>
      <c r="G2737" s="225">
        <v>80</v>
      </c>
      <c r="H2737" s="225">
        <f>F2737*G2737</f>
        <v>0</v>
      </c>
      <c r="I2737" s="225"/>
      <c r="J2737" s="225"/>
      <c r="K2737" s="225"/>
      <c r="L2737" s="225"/>
      <c r="M2737" s="225">
        <f>H2737+J2737+L2737</f>
        <v>0</v>
      </c>
    </row>
    <row r="2738" spans="1:21" s="93" customFormat="1" hidden="1">
      <c r="A2738" s="132"/>
      <c r="B2738" s="1458"/>
      <c r="C2738" s="226" t="s">
        <v>214</v>
      </c>
      <c r="D2738" s="86" t="s">
        <v>57</v>
      </c>
      <c r="E2738" s="211">
        <v>2.04</v>
      </c>
      <c r="F2738" s="386">
        <f>F2733*E2738</f>
        <v>0</v>
      </c>
      <c r="G2738" s="225">
        <v>3.2</v>
      </c>
      <c r="H2738" s="225">
        <f>F2738*G2738</f>
        <v>0</v>
      </c>
      <c r="I2738" s="225"/>
      <c r="J2738" s="225"/>
      <c r="K2738" s="225"/>
      <c r="L2738" s="225"/>
      <c r="M2738" s="225">
        <f>H2738+J2738+L2738</f>
        <v>0</v>
      </c>
    </row>
    <row r="2739" spans="1:21" s="93" customFormat="1" hidden="1">
      <c r="A2739" s="81"/>
      <c r="B2739" s="247"/>
      <c r="C2739" s="30" t="s">
        <v>359</v>
      </c>
      <c r="D2739" s="274"/>
      <c r="E2739" s="274"/>
      <c r="F2739" s="403"/>
      <c r="G2739" s="613"/>
      <c r="H2739" s="613">
        <f>SUM(H2702:H2738)</f>
        <v>0</v>
      </c>
      <c r="I2739" s="613"/>
      <c r="J2739" s="613">
        <f>SUM(J2702:J2738)</f>
        <v>0</v>
      </c>
      <c r="K2739" s="613"/>
      <c r="L2739" s="613">
        <f>SUM(L2702:L2738)</f>
        <v>0</v>
      </c>
      <c r="M2739" s="613">
        <f>SUM(M2702:M2738)</f>
        <v>0</v>
      </c>
    </row>
    <row r="2740" spans="1:21" s="93" customFormat="1" hidden="1">
      <c r="A2740" s="81"/>
      <c r="B2740" s="247"/>
      <c r="C2740" s="109" t="s">
        <v>458</v>
      </c>
      <c r="D2740" s="303">
        <f>'დეფექტური აქტი'!E678%</f>
        <v>0.75</v>
      </c>
      <c r="E2740" s="274"/>
      <c r="F2740" s="403"/>
      <c r="G2740" s="613"/>
      <c r="H2740" s="613"/>
      <c r="I2740" s="613"/>
      <c r="J2740" s="613">
        <f>M2740</f>
        <v>0</v>
      </c>
      <c r="K2740" s="613"/>
      <c r="L2740" s="613"/>
      <c r="M2740" s="613">
        <f>J2739*D2740</f>
        <v>0</v>
      </c>
    </row>
    <row r="2741" spans="1:21" s="93" customFormat="1" hidden="1">
      <c r="A2741" s="81"/>
      <c r="B2741" s="247"/>
      <c r="C2741" s="30" t="s">
        <v>359</v>
      </c>
      <c r="D2741" s="274"/>
      <c r="E2741" s="274"/>
      <c r="F2741" s="403"/>
      <c r="G2741" s="613"/>
      <c r="H2741" s="613">
        <f>H2739+H2740</f>
        <v>0</v>
      </c>
      <c r="I2741" s="613"/>
      <c r="J2741" s="613">
        <f>J2739+J2740</f>
        <v>0</v>
      </c>
      <c r="K2741" s="613"/>
      <c r="L2741" s="613">
        <f>L2739+L2740</f>
        <v>0</v>
      </c>
      <c r="M2741" s="613">
        <f>M2739+M2740</f>
        <v>0</v>
      </c>
    </row>
    <row r="2742" spans="1:21" s="93" customFormat="1" hidden="1">
      <c r="A2742" s="81"/>
      <c r="B2742" s="24"/>
      <c r="C2742" s="110" t="s">
        <v>116</v>
      </c>
      <c r="D2742" s="281">
        <f>'დეფექტური აქტი'!E680%</f>
        <v>0.08</v>
      </c>
      <c r="E2742" s="275"/>
      <c r="F2742" s="403"/>
      <c r="G2742" s="613"/>
      <c r="H2742" s="613">
        <f>H2741*D2742</f>
        <v>0</v>
      </c>
      <c r="I2742" s="613">
        <f>I2741*0.08</f>
        <v>0</v>
      </c>
      <c r="J2742" s="613">
        <f>J2741*D2742</f>
        <v>0</v>
      </c>
      <c r="K2742" s="613">
        <f>K2741*0.08</f>
        <v>0</v>
      </c>
      <c r="L2742" s="613">
        <f>L2741*D2742</f>
        <v>0</v>
      </c>
      <c r="M2742" s="613">
        <f>M2741*D2742</f>
        <v>0</v>
      </c>
    </row>
    <row r="2743" spans="1:21" s="93" customFormat="1" hidden="1">
      <c r="A2743" s="81"/>
      <c r="B2743" s="24"/>
      <c r="C2743" s="170" t="s">
        <v>803</v>
      </c>
      <c r="D2743" s="277"/>
      <c r="E2743" s="275"/>
      <c r="F2743" s="403"/>
      <c r="G2743" s="613"/>
      <c r="H2743" s="613">
        <f>SUM(H2741:H2742)</f>
        <v>0</v>
      </c>
      <c r="I2743" s="613"/>
      <c r="J2743" s="613">
        <f>SUM(J2741:J2742)</f>
        <v>0</v>
      </c>
      <c r="K2743" s="613"/>
      <c r="L2743" s="613">
        <f>SUM(L2741:L2742)</f>
        <v>0</v>
      </c>
      <c r="M2743" s="613">
        <f>SUM(M2741:M2742)</f>
        <v>0</v>
      </c>
    </row>
    <row r="2744" spans="1:21" s="93" customFormat="1" hidden="1">
      <c r="A2744" s="132"/>
      <c r="B2744" s="132"/>
      <c r="C2744" s="150" t="s">
        <v>1438</v>
      </c>
      <c r="D2744" s="24"/>
      <c r="E2744" s="94"/>
      <c r="F2744" s="386"/>
      <c r="G2744" s="225"/>
      <c r="H2744" s="225"/>
      <c r="I2744" s="225"/>
      <c r="J2744" s="225"/>
      <c r="K2744" s="225"/>
      <c r="L2744" s="225"/>
      <c r="M2744" s="225"/>
    </row>
    <row r="2745" spans="1:21" s="93" customFormat="1" hidden="1">
      <c r="A2745" s="140">
        <v>1</v>
      </c>
      <c r="B2745" s="1429" t="s">
        <v>530</v>
      </c>
      <c r="C2745" s="227" t="s">
        <v>519</v>
      </c>
      <c r="D2745" s="228" t="s">
        <v>88</v>
      </c>
      <c r="E2745" s="248"/>
      <c r="F2745" s="384">
        <f>'დეფექტური აქტი'!E683*0.5*0.4</f>
        <v>0</v>
      </c>
      <c r="G2745" s="422"/>
      <c r="H2745" s="422"/>
      <c r="I2745" s="422"/>
      <c r="J2745" s="422"/>
      <c r="K2745" s="422"/>
      <c r="L2745" s="422"/>
      <c r="M2745" s="422">
        <f t="shared" ref="M2745:M2757" si="64">H2745+J2745+L2745</f>
        <v>0</v>
      </c>
    </row>
    <row r="2746" spans="1:21" s="290" customFormat="1" hidden="1">
      <c r="A2746" s="83"/>
      <c r="B2746" s="1430"/>
      <c r="C2746" s="226" t="s">
        <v>79</v>
      </c>
      <c r="D2746" s="230" t="s">
        <v>80</v>
      </c>
      <c r="E2746" s="94">
        <v>2.06</v>
      </c>
      <c r="F2746" s="386">
        <f>F2745*E2746</f>
        <v>0</v>
      </c>
      <c r="G2746" s="225"/>
      <c r="H2746" s="604"/>
      <c r="I2746" s="225">
        <v>4.5999999999999996</v>
      </c>
      <c r="J2746" s="225">
        <f>F2746*I2746</f>
        <v>0</v>
      </c>
      <c r="K2746" s="225"/>
      <c r="L2746" s="225"/>
      <c r="M2746" s="225">
        <f t="shared" si="64"/>
        <v>0</v>
      </c>
    </row>
    <row r="2747" spans="1:21" s="85" customFormat="1" hidden="1">
      <c r="A2747" s="140">
        <v>2</v>
      </c>
      <c r="B2747" s="1429" t="s">
        <v>890</v>
      </c>
      <c r="C2747" s="227" t="s">
        <v>433</v>
      </c>
      <c r="D2747" s="228" t="s">
        <v>88</v>
      </c>
      <c r="E2747" s="248"/>
      <c r="F2747" s="384">
        <f>'დეფექტური აქტი'!E684*0.5*0.4</f>
        <v>0</v>
      </c>
      <c r="G2747" s="422"/>
      <c r="H2747" s="422"/>
      <c r="I2747" s="422"/>
      <c r="J2747" s="422"/>
      <c r="K2747" s="422"/>
      <c r="L2747" s="422"/>
      <c r="M2747" s="422">
        <f t="shared" si="64"/>
        <v>0</v>
      </c>
    </row>
    <row r="2748" spans="1:21" s="85" customFormat="1" hidden="1">
      <c r="A2748" s="83"/>
      <c r="B2748" s="1430"/>
      <c r="C2748" s="226" t="s">
        <v>209</v>
      </c>
      <c r="D2748" s="230" t="s">
        <v>80</v>
      </c>
      <c r="E2748" s="254">
        <v>1.21</v>
      </c>
      <c r="F2748" s="386">
        <f>F2747*E2748</f>
        <v>0</v>
      </c>
      <c r="G2748" s="225"/>
      <c r="H2748" s="604"/>
      <c r="I2748" s="225">
        <v>4.5999999999999996</v>
      </c>
      <c r="J2748" s="225">
        <f>F2748*I2748</f>
        <v>0</v>
      </c>
      <c r="K2748" s="225"/>
      <c r="L2748" s="225"/>
      <c r="M2748" s="225">
        <f t="shared" si="64"/>
        <v>0</v>
      </c>
    </row>
    <row r="2749" spans="1:21" s="306" customFormat="1" ht="27" hidden="1">
      <c r="A2749" s="304">
        <v>3</v>
      </c>
      <c r="B2749" s="1459" t="s">
        <v>935</v>
      </c>
      <c r="C2749" s="152" t="s">
        <v>936</v>
      </c>
      <c r="D2749" s="47" t="s">
        <v>122</v>
      </c>
      <c r="E2749" s="140"/>
      <c r="F2749" s="384">
        <f>'დეფექტური აქტი'!E685</f>
        <v>0</v>
      </c>
      <c r="G2749" s="422"/>
      <c r="H2749" s="422"/>
      <c r="I2749" s="422"/>
      <c r="J2749" s="422"/>
      <c r="K2749" s="422"/>
      <c r="L2749" s="422"/>
      <c r="M2749" s="422">
        <f>H2749+J2749+L2749</f>
        <v>0</v>
      </c>
      <c r="N2749" s="305"/>
      <c r="O2749" s="305"/>
      <c r="P2749" s="305"/>
      <c r="Q2749" s="305"/>
      <c r="R2749" s="305"/>
      <c r="S2749" s="305"/>
      <c r="T2749" s="305"/>
      <c r="U2749" s="305"/>
    </row>
    <row r="2750" spans="1:21" s="308" customFormat="1" hidden="1">
      <c r="A2750" s="83"/>
      <c r="B2750" s="1460"/>
      <c r="C2750" s="90" t="s">
        <v>79</v>
      </c>
      <c r="D2750" s="83" t="s">
        <v>80</v>
      </c>
      <c r="E2750" s="94">
        <v>0.40300000000000002</v>
      </c>
      <c r="F2750" s="386">
        <f>F2749*E2750</f>
        <v>0</v>
      </c>
      <c r="G2750" s="225"/>
      <c r="H2750" s="604"/>
      <c r="I2750" s="225">
        <v>6</v>
      </c>
      <c r="J2750" s="225">
        <f>F2750*I2750</f>
        <v>0</v>
      </c>
      <c r="K2750" s="225"/>
      <c r="L2750" s="225"/>
      <c r="M2750" s="225">
        <f>H2750+J2750+L2750</f>
        <v>0</v>
      </c>
      <c r="N2750" s="307"/>
      <c r="O2750" s="307"/>
      <c r="P2750" s="307"/>
      <c r="Q2750" s="307"/>
      <c r="R2750" s="307"/>
      <c r="S2750" s="307"/>
      <c r="T2750" s="307"/>
      <c r="U2750" s="307"/>
    </row>
    <row r="2751" spans="1:21" s="173" customFormat="1" hidden="1">
      <c r="A2751" s="83"/>
      <c r="B2751" s="1460"/>
      <c r="C2751" s="90" t="s">
        <v>133</v>
      </c>
      <c r="D2751" s="83" t="s">
        <v>57</v>
      </c>
      <c r="E2751" s="94">
        <v>0.16400000000000001</v>
      </c>
      <c r="F2751" s="386">
        <f>F2749*E2751</f>
        <v>0</v>
      </c>
      <c r="G2751" s="225"/>
      <c r="H2751" s="225"/>
      <c r="I2751" s="225"/>
      <c r="J2751" s="225"/>
      <c r="K2751" s="225">
        <v>3.2</v>
      </c>
      <c r="L2751" s="225">
        <f>F2751*K2751</f>
        <v>0</v>
      </c>
      <c r="M2751" s="225">
        <f>H2751+J2751+L2751</f>
        <v>0</v>
      </c>
    </row>
    <row r="2752" spans="1:21" s="173" customFormat="1" hidden="1">
      <c r="A2752" s="83"/>
      <c r="B2752" s="1460"/>
      <c r="C2752" s="15" t="s">
        <v>210</v>
      </c>
      <c r="D2752" s="83"/>
      <c r="E2752" s="94"/>
      <c r="F2752" s="386"/>
      <c r="G2752" s="225"/>
      <c r="H2752" s="225"/>
      <c r="I2752" s="225"/>
      <c r="J2752" s="225"/>
      <c r="K2752" s="225"/>
      <c r="L2752" s="225"/>
      <c r="M2752" s="225"/>
    </row>
    <row r="2753" spans="1:21" s="173" customFormat="1" hidden="1">
      <c r="A2753" s="83"/>
      <c r="B2753" s="1460"/>
      <c r="C2753" s="90" t="s">
        <v>937</v>
      </c>
      <c r="D2753" s="41" t="s">
        <v>122</v>
      </c>
      <c r="E2753" s="83">
        <v>1.01</v>
      </c>
      <c r="F2753" s="386">
        <f>F2749*E2753</f>
        <v>0</v>
      </c>
      <c r="G2753" s="225">
        <v>31.5</v>
      </c>
      <c r="H2753" s="225">
        <f>F2753*G2753</f>
        <v>0</v>
      </c>
      <c r="I2753" s="225"/>
      <c r="J2753" s="225"/>
      <c r="K2753" s="225"/>
      <c r="L2753" s="225"/>
      <c r="M2753" s="225">
        <f>H2753+J2753+L2753</f>
        <v>0</v>
      </c>
    </row>
    <row r="2754" spans="1:21" s="173" customFormat="1" hidden="1">
      <c r="A2754" s="83"/>
      <c r="B2754" s="1461"/>
      <c r="C2754" s="90" t="s">
        <v>214</v>
      </c>
      <c r="D2754" s="86" t="s">
        <v>57</v>
      </c>
      <c r="E2754" s="94">
        <v>2.0400000000000001E-2</v>
      </c>
      <c r="F2754" s="386">
        <f>F2749*E2754</f>
        <v>0</v>
      </c>
      <c r="G2754" s="225">
        <v>3.2</v>
      </c>
      <c r="H2754" s="225">
        <f>F2754*G2754</f>
        <v>0</v>
      </c>
      <c r="I2754" s="225"/>
      <c r="J2754" s="225"/>
      <c r="K2754" s="225"/>
      <c r="L2754" s="225"/>
      <c r="M2754" s="225">
        <f>H2754+J2754+L2754</f>
        <v>0</v>
      </c>
    </row>
    <row r="2755" spans="1:21" s="306" customFormat="1" ht="27" hidden="1">
      <c r="A2755" s="304">
        <v>4</v>
      </c>
      <c r="B2755" s="1459" t="s">
        <v>934</v>
      </c>
      <c r="C2755" s="152" t="s">
        <v>930</v>
      </c>
      <c r="D2755" s="47" t="s">
        <v>122</v>
      </c>
      <c r="E2755" s="140"/>
      <c r="F2755" s="384">
        <f>'დეფექტური აქტი'!E686</f>
        <v>0</v>
      </c>
      <c r="G2755" s="422"/>
      <c r="H2755" s="422"/>
      <c r="I2755" s="422"/>
      <c r="J2755" s="422"/>
      <c r="K2755" s="422"/>
      <c r="L2755" s="422"/>
      <c r="M2755" s="422">
        <f t="shared" si="64"/>
        <v>0</v>
      </c>
      <c r="N2755" s="305"/>
      <c r="O2755" s="305"/>
      <c r="P2755" s="305"/>
      <c r="Q2755" s="305"/>
      <c r="R2755" s="305"/>
      <c r="S2755" s="305"/>
      <c r="T2755" s="305"/>
      <c r="U2755" s="305"/>
    </row>
    <row r="2756" spans="1:21" s="308" customFormat="1" hidden="1">
      <c r="A2756" s="83"/>
      <c r="B2756" s="1460"/>
      <c r="C2756" s="90" t="s">
        <v>79</v>
      </c>
      <c r="D2756" s="83" t="s">
        <v>80</v>
      </c>
      <c r="E2756" s="94">
        <v>0.32300000000000001</v>
      </c>
      <c r="F2756" s="386">
        <f>F2755*E2756</f>
        <v>0</v>
      </c>
      <c r="G2756" s="225"/>
      <c r="H2756" s="604"/>
      <c r="I2756" s="225">
        <v>6</v>
      </c>
      <c r="J2756" s="225">
        <f>F2756*I2756</f>
        <v>0</v>
      </c>
      <c r="K2756" s="225"/>
      <c r="L2756" s="225"/>
      <c r="M2756" s="225">
        <f t="shared" si="64"/>
        <v>0</v>
      </c>
      <c r="N2756" s="307"/>
      <c r="O2756" s="307"/>
      <c r="P2756" s="307"/>
      <c r="Q2756" s="307"/>
      <c r="R2756" s="307"/>
      <c r="S2756" s="307"/>
      <c r="T2756" s="307"/>
      <c r="U2756" s="307"/>
    </row>
    <row r="2757" spans="1:21" s="173" customFormat="1" hidden="1">
      <c r="A2757" s="83"/>
      <c r="B2757" s="1460"/>
      <c r="C2757" s="90" t="s">
        <v>133</v>
      </c>
      <c r="D2757" s="83" t="s">
        <v>57</v>
      </c>
      <c r="E2757" s="94">
        <v>0.14000000000000001</v>
      </c>
      <c r="F2757" s="386">
        <f>F2755*E2757</f>
        <v>0</v>
      </c>
      <c r="G2757" s="225"/>
      <c r="H2757" s="225"/>
      <c r="I2757" s="225"/>
      <c r="J2757" s="225"/>
      <c r="K2757" s="225">
        <v>3.2</v>
      </c>
      <c r="L2757" s="225">
        <f>F2757*K2757</f>
        <v>0</v>
      </c>
      <c r="M2757" s="225">
        <f t="shared" si="64"/>
        <v>0</v>
      </c>
    </row>
    <row r="2758" spans="1:21" s="173" customFormat="1" hidden="1">
      <c r="A2758" s="83"/>
      <c r="B2758" s="1460"/>
      <c r="C2758" s="15" t="s">
        <v>210</v>
      </c>
      <c r="D2758" s="83"/>
      <c r="E2758" s="94"/>
      <c r="F2758" s="386"/>
      <c r="G2758" s="225"/>
      <c r="H2758" s="225"/>
      <c r="I2758" s="225"/>
      <c r="J2758" s="225"/>
      <c r="K2758" s="225"/>
      <c r="L2758" s="225"/>
      <c r="M2758" s="225"/>
    </row>
    <row r="2759" spans="1:21" s="173" customFormat="1" hidden="1">
      <c r="A2759" s="83"/>
      <c r="B2759" s="1460"/>
      <c r="C2759" s="90" t="s">
        <v>933</v>
      </c>
      <c r="D2759" s="41" t="s">
        <v>122</v>
      </c>
      <c r="E2759" s="83">
        <v>1.01</v>
      </c>
      <c r="F2759" s="386">
        <f>F2755*E2759</f>
        <v>0</v>
      </c>
      <c r="G2759" s="225">
        <v>20.3</v>
      </c>
      <c r="H2759" s="225">
        <f>F2759*G2759</f>
        <v>0</v>
      </c>
      <c r="I2759" s="225"/>
      <c r="J2759" s="225"/>
      <c r="K2759" s="225"/>
      <c r="L2759" s="225"/>
      <c r="M2759" s="225">
        <f>H2759+J2759+L2759</f>
        <v>0</v>
      </c>
    </row>
    <row r="2760" spans="1:21" s="173" customFormat="1" hidden="1">
      <c r="A2760" s="83"/>
      <c r="B2760" s="1461"/>
      <c r="C2760" s="90" t="s">
        <v>214</v>
      </c>
      <c r="D2760" s="86" t="s">
        <v>57</v>
      </c>
      <c r="E2760" s="94">
        <v>1.4200000000000001E-2</v>
      </c>
      <c r="F2760" s="386">
        <f>F2755*E2760</f>
        <v>0</v>
      </c>
      <c r="G2760" s="225">
        <v>3.2</v>
      </c>
      <c r="H2760" s="225">
        <f>F2760*G2760</f>
        <v>0</v>
      </c>
      <c r="I2760" s="225"/>
      <c r="J2760" s="225"/>
      <c r="K2760" s="225"/>
      <c r="L2760" s="225"/>
      <c r="M2760" s="225">
        <f>H2760+J2760+L2760</f>
        <v>0</v>
      </c>
    </row>
    <row r="2761" spans="1:21" s="306" customFormat="1" ht="27" hidden="1">
      <c r="A2761" s="304">
        <v>5</v>
      </c>
      <c r="B2761" s="1459" t="s">
        <v>578</v>
      </c>
      <c r="C2761" s="152" t="s">
        <v>518</v>
      </c>
      <c r="D2761" s="47" t="s">
        <v>122</v>
      </c>
      <c r="E2761" s="140"/>
      <c r="F2761" s="384">
        <f>'დეფექტური აქტი'!E687</f>
        <v>0</v>
      </c>
      <c r="G2761" s="422"/>
      <c r="H2761" s="422"/>
      <c r="I2761" s="422"/>
      <c r="J2761" s="422"/>
      <c r="K2761" s="422"/>
      <c r="L2761" s="422"/>
      <c r="M2761" s="422">
        <f>H2761+J2761+L2761</f>
        <v>0</v>
      </c>
      <c r="N2761" s="305"/>
      <c r="O2761" s="305"/>
      <c r="P2761" s="305"/>
      <c r="Q2761" s="305"/>
      <c r="R2761" s="305"/>
      <c r="S2761" s="305"/>
      <c r="T2761" s="305"/>
      <c r="U2761" s="305"/>
    </row>
    <row r="2762" spans="1:21" s="308" customFormat="1" hidden="1">
      <c r="A2762" s="83"/>
      <c r="B2762" s="1460"/>
      <c r="C2762" s="90" t="s">
        <v>79</v>
      </c>
      <c r="D2762" s="83" t="s">
        <v>80</v>
      </c>
      <c r="E2762" s="94">
        <v>0.245</v>
      </c>
      <c r="F2762" s="386">
        <f>F2761*E2762</f>
        <v>0</v>
      </c>
      <c r="G2762" s="225"/>
      <c r="H2762" s="604"/>
      <c r="I2762" s="225">
        <v>6</v>
      </c>
      <c r="J2762" s="225">
        <f>F2762*I2762</f>
        <v>0</v>
      </c>
      <c r="K2762" s="225"/>
      <c r="L2762" s="225"/>
      <c r="M2762" s="225">
        <f>H2762+J2762+L2762</f>
        <v>0</v>
      </c>
      <c r="N2762" s="307"/>
      <c r="O2762" s="307"/>
      <c r="P2762" s="307"/>
      <c r="Q2762" s="307"/>
      <c r="R2762" s="307"/>
      <c r="S2762" s="307"/>
      <c r="T2762" s="307"/>
      <c r="U2762" s="307"/>
    </row>
    <row r="2763" spans="1:21" s="173" customFormat="1" hidden="1">
      <c r="A2763" s="83"/>
      <c r="B2763" s="1460"/>
      <c r="C2763" s="90" t="s">
        <v>133</v>
      </c>
      <c r="D2763" s="83" t="s">
        <v>57</v>
      </c>
      <c r="E2763" s="94">
        <v>0.109</v>
      </c>
      <c r="F2763" s="386">
        <f>F2761*E2763</f>
        <v>0</v>
      </c>
      <c r="G2763" s="225"/>
      <c r="H2763" s="225"/>
      <c r="I2763" s="225"/>
      <c r="J2763" s="225"/>
      <c r="K2763" s="225">
        <v>3.2</v>
      </c>
      <c r="L2763" s="225">
        <f>F2763*K2763</f>
        <v>0</v>
      </c>
      <c r="M2763" s="225">
        <f>H2763+J2763+L2763</f>
        <v>0</v>
      </c>
    </row>
    <row r="2764" spans="1:21" s="173" customFormat="1" hidden="1">
      <c r="A2764" s="83"/>
      <c r="B2764" s="1460"/>
      <c r="C2764" s="15" t="s">
        <v>210</v>
      </c>
      <c r="D2764" s="83"/>
      <c r="E2764" s="94"/>
      <c r="F2764" s="386"/>
      <c r="G2764" s="225"/>
      <c r="H2764" s="225"/>
      <c r="I2764" s="225"/>
      <c r="J2764" s="225"/>
      <c r="K2764" s="225"/>
      <c r="L2764" s="225"/>
      <c r="M2764" s="225"/>
    </row>
    <row r="2765" spans="1:21" s="173" customFormat="1" hidden="1">
      <c r="A2765" s="83"/>
      <c r="B2765" s="1460"/>
      <c r="C2765" s="90" t="s">
        <v>579</v>
      </c>
      <c r="D2765" s="41" t="s">
        <v>122</v>
      </c>
      <c r="E2765" s="83">
        <v>1.01</v>
      </c>
      <c r="F2765" s="386">
        <f>F2761*E2765</f>
        <v>0</v>
      </c>
      <c r="G2765" s="225">
        <v>15.4</v>
      </c>
      <c r="H2765" s="225">
        <f>F2765*G2765</f>
        <v>0</v>
      </c>
      <c r="I2765" s="225"/>
      <c r="J2765" s="225"/>
      <c r="K2765" s="225"/>
      <c r="L2765" s="225"/>
      <c r="M2765" s="225">
        <f>H2765+J2765+L2765</f>
        <v>0</v>
      </c>
    </row>
    <row r="2766" spans="1:21" s="173" customFormat="1" hidden="1">
      <c r="A2766" s="83"/>
      <c r="B2766" s="1461"/>
      <c r="C2766" s="90" t="s">
        <v>214</v>
      </c>
      <c r="D2766" s="86" t="s">
        <v>57</v>
      </c>
      <c r="E2766" s="94">
        <v>8.8800000000000007E-3</v>
      </c>
      <c r="F2766" s="386">
        <f>F2761*E2766</f>
        <v>0</v>
      </c>
      <c r="G2766" s="225">
        <v>3.2</v>
      </c>
      <c r="H2766" s="225">
        <f>F2766*G2766</f>
        <v>0</v>
      </c>
      <c r="I2766" s="225"/>
      <c r="J2766" s="225"/>
      <c r="K2766" s="225"/>
      <c r="L2766" s="225"/>
      <c r="M2766" s="225">
        <f>H2766+J2766+L2766</f>
        <v>0</v>
      </c>
    </row>
    <row r="2767" spans="1:21" s="306" customFormat="1" ht="27" hidden="1">
      <c r="A2767" s="304">
        <v>6</v>
      </c>
      <c r="B2767" s="1459" t="s">
        <v>938</v>
      </c>
      <c r="C2767" s="152" t="s">
        <v>622</v>
      </c>
      <c r="D2767" s="47" t="s">
        <v>122</v>
      </c>
      <c r="E2767" s="140"/>
      <c r="F2767" s="384">
        <f>'დეფექტური აქტი'!E688</f>
        <v>0</v>
      </c>
      <c r="G2767" s="422"/>
      <c r="H2767" s="422"/>
      <c r="I2767" s="422"/>
      <c r="J2767" s="422"/>
      <c r="K2767" s="422"/>
      <c r="L2767" s="422"/>
      <c r="M2767" s="422">
        <f>H2767+J2767+L2767</f>
        <v>0</v>
      </c>
      <c r="N2767" s="305"/>
      <c r="O2767" s="305"/>
      <c r="P2767" s="305"/>
      <c r="Q2767" s="305"/>
      <c r="R2767" s="305"/>
      <c r="S2767" s="305"/>
      <c r="T2767" s="305"/>
      <c r="U2767" s="305"/>
    </row>
    <row r="2768" spans="1:21" s="308" customFormat="1" hidden="1">
      <c r="A2768" s="83"/>
      <c r="B2768" s="1460"/>
      <c r="C2768" s="90" t="s">
        <v>79</v>
      </c>
      <c r="D2768" s="83" t="s">
        <v>80</v>
      </c>
      <c r="E2768" s="94">
        <v>0.18099999999999999</v>
      </c>
      <c r="F2768" s="386">
        <f>F2767*E2768</f>
        <v>0</v>
      </c>
      <c r="G2768" s="225"/>
      <c r="H2768" s="604"/>
      <c r="I2768" s="225">
        <v>6</v>
      </c>
      <c r="J2768" s="225">
        <f>F2768*I2768</f>
        <v>0</v>
      </c>
      <c r="K2768" s="225"/>
      <c r="L2768" s="225"/>
      <c r="M2768" s="225">
        <f>H2768+J2768+L2768</f>
        <v>0</v>
      </c>
      <c r="N2768" s="307"/>
      <c r="O2768" s="307"/>
      <c r="P2768" s="307"/>
      <c r="Q2768" s="307"/>
      <c r="R2768" s="307"/>
      <c r="S2768" s="307"/>
      <c r="T2768" s="307"/>
      <c r="U2768" s="307"/>
    </row>
    <row r="2769" spans="1:13" s="173" customFormat="1" hidden="1">
      <c r="A2769" s="83"/>
      <c r="B2769" s="1460"/>
      <c r="C2769" s="90" t="s">
        <v>133</v>
      </c>
      <c r="D2769" s="83" t="s">
        <v>57</v>
      </c>
      <c r="E2769" s="94">
        <v>9.2100000000000001E-2</v>
      </c>
      <c r="F2769" s="386">
        <f>F2767*E2769</f>
        <v>0</v>
      </c>
      <c r="G2769" s="225"/>
      <c r="H2769" s="225"/>
      <c r="I2769" s="225"/>
      <c r="J2769" s="225"/>
      <c r="K2769" s="225">
        <v>3.2</v>
      </c>
      <c r="L2769" s="225">
        <f>F2769*K2769</f>
        <v>0</v>
      </c>
      <c r="M2769" s="225">
        <f>H2769+J2769+L2769</f>
        <v>0</v>
      </c>
    </row>
    <row r="2770" spans="1:13" s="173" customFormat="1" hidden="1">
      <c r="A2770" s="83"/>
      <c r="B2770" s="1460"/>
      <c r="C2770" s="15" t="s">
        <v>210</v>
      </c>
      <c r="D2770" s="83"/>
      <c r="E2770" s="94"/>
      <c r="F2770" s="386"/>
      <c r="G2770" s="225"/>
      <c r="H2770" s="225"/>
      <c r="I2770" s="225"/>
      <c r="J2770" s="225"/>
      <c r="K2770" s="225"/>
      <c r="L2770" s="225"/>
      <c r="M2770" s="225"/>
    </row>
    <row r="2771" spans="1:13" s="173" customFormat="1" hidden="1">
      <c r="A2771" s="83"/>
      <c r="B2771" s="1460"/>
      <c r="C2771" s="90" t="s">
        <v>738</v>
      </c>
      <c r="D2771" s="41" t="s">
        <v>122</v>
      </c>
      <c r="E2771" s="83">
        <v>1.01</v>
      </c>
      <c r="F2771" s="386">
        <f>F2767*E2771</f>
        <v>0</v>
      </c>
      <c r="G2771" s="225">
        <v>10.8</v>
      </c>
      <c r="H2771" s="225">
        <f>F2771*G2771</f>
        <v>0</v>
      </c>
      <c r="I2771" s="225"/>
      <c r="J2771" s="225"/>
      <c r="K2771" s="225"/>
      <c r="L2771" s="225"/>
      <c r="M2771" s="225">
        <f>H2771+J2771+L2771</f>
        <v>0</v>
      </c>
    </row>
    <row r="2772" spans="1:13" s="173" customFormat="1" hidden="1">
      <c r="A2772" s="83"/>
      <c r="B2772" s="1461"/>
      <c r="C2772" s="90" t="s">
        <v>214</v>
      </c>
      <c r="D2772" s="86" t="s">
        <v>57</v>
      </c>
      <c r="E2772" s="94">
        <v>5.1599999999999997E-3</v>
      </c>
      <c r="F2772" s="386">
        <f>F2767*E2772</f>
        <v>0</v>
      </c>
      <c r="G2772" s="225">
        <v>3.2</v>
      </c>
      <c r="H2772" s="225">
        <f>F2772*G2772</f>
        <v>0</v>
      </c>
      <c r="I2772" s="225"/>
      <c r="J2772" s="225"/>
      <c r="K2772" s="225"/>
      <c r="L2772" s="225"/>
      <c r="M2772" s="225">
        <f>H2772+J2772+L2772</f>
        <v>0</v>
      </c>
    </row>
    <row r="2773" spans="1:13" s="89" customFormat="1" ht="27" hidden="1">
      <c r="A2773" s="140">
        <v>7</v>
      </c>
      <c r="B2773" s="1459" t="s">
        <v>580</v>
      </c>
      <c r="C2773" s="227" t="s">
        <v>1322</v>
      </c>
      <c r="D2773" s="47" t="s">
        <v>122</v>
      </c>
      <c r="E2773" s="248"/>
      <c r="F2773" s="384">
        <f>'დეფექტური აქტი'!E689</f>
        <v>0</v>
      </c>
      <c r="G2773" s="422"/>
      <c r="H2773" s="422"/>
      <c r="I2773" s="422"/>
      <c r="J2773" s="422"/>
      <c r="K2773" s="422"/>
      <c r="L2773" s="422"/>
      <c r="M2773" s="422"/>
    </row>
    <row r="2774" spans="1:13" s="89" customFormat="1" hidden="1">
      <c r="A2774" s="309"/>
      <c r="B2774" s="1460"/>
      <c r="C2774" s="223" t="s">
        <v>581</v>
      </c>
      <c r="D2774" s="211" t="s">
        <v>80</v>
      </c>
      <c r="E2774" s="310">
        <v>9.6000000000000002E-2</v>
      </c>
      <c r="F2774" s="386">
        <f>F2773*E2774</f>
        <v>0</v>
      </c>
      <c r="G2774" s="626"/>
      <c r="H2774" s="394"/>
      <c r="I2774" s="225">
        <v>6</v>
      </c>
      <c r="J2774" s="394">
        <f>F2774*I2774</f>
        <v>0</v>
      </c>
      <c r="K2774" s="394"/>
      <c r="L2774" s="394"/>
      <c r="M2774" s="225">
        <f>H2774+J2774+L2774</f>
        <v>0</v>
      </c>
    </row>
    <row r="2775" spans="1:13" s="89" customFormat="1" hidden="1">
      <c r="A2775" s="309"/>
      <c r="B2775" s="1460"/>
      <c r="C2775" s="223" t="s">
        <v>582</v>
      </c>
      <c r="D2775" s="83" t="s">
        <v>57</v>
      </c>
      <c r="E2775" s="310">
        <v>4.5199999999999997E-2</v>
      </c>
      <c r="F2775" s="386">
        <f>F2773*E2775</f>
        <v>0</v>
      </c>
      <c r="G2775" s="626"/>
      <c r="H2775" s="394"/>
      <c r="I2775" s="394"/>
      <c r="J2775" s="394"/>
      <c r="K2775" s="225">
        <v>3.2</v>
      </c>
      <c r="L2775" s="225">
        <f>F2775*K2775</f>
        <v>0</v>
      </c>
      <c r="M2775" s="225">
        <f>H2775+J2775+L2775</f>
        <v>0</v>
      </c>
    </row>
    <row r="2776" spans="1:13" s="89" customFormat="1" hidden="1">
      <c r="A2776" s="309"/>
      <c r="B2776" s="1460"/>
      <c r="C2776" s="15" t="s">
        <v>210</v>
      </c>
      <c r="D2776" s="211"/>
      <c r="E2776" s="310"/>
      <c r="F2776" s="386"/>
      <c r="G2776" s="626"/>
      <c r="H2776" s="394"/>
      <c r="I2776" s="394"/>
      <c r="J2776" s="394"/>
      <c r="K2776" s="394"/>
      <c r="L2776" s="394"/>
      <c r="M2776" s="225"/>
    </row>
    <row r="2777" spans="1:13" s="89" customFormat="1" hidden="1">
      <c r="A2777" s="83"/>
      <c r="B2777" s="1460"/>
      <c r="C2777" s="226" t="s">
        <v>1126</v>
      </c>
      <c r="D2777" s="41" t="s">
        <v>122</v>
      </c>
      <c r="E2777" s="240">
        <v>1.01</v>
      </c>
      <c r="F2777" s="386">
        <f>F2773*E2777</f>
        <v>0</v>
      </c>
      <c r="G2777" s="225">
        <v>5.3</v>
      </c>
      <c r="H2777" s="225">
        <f>F2777*G2777</f>
        <v>0</v>
      </c>
      <c r="I2777" s="225"/>
      <c r="J2777" s="225"/>
      <c r="K2777" s="225"/>
      <c r="L2777" s="225"/>
      <c r="M2777" s="225">
        <f>H2777+J2777+L2777</f>
        <v>0</v>
      </c>
    </row>
    <row r="2778" spans="1:13" s="89" customFormat="1" hidden="1">
      <c r="A2778" s="311"/>
      <c r="B2778" s="1461"/>
      <c r="C2778" s="232" t="s">
        <v>367</v>
      </c>
      <c r="D2778" s="86" t="s">
        <v>57</v>
      </c>
      <c r="E2778" s="312">
        <v>5.9999999999999995E-4</v>
      </c>
      <c r="F2778" s="387">
        <f>F2773*E2778</f>
        <v>0</v>
      </c>
      <c r="G2778" s="393">
        <v>3.2</v>
      </c>
      <c r="H2778" s="627">
        <f>F2778*G2778</f>
        <v>0</v>
      </c>
      <c r="I2778" s="627"/>
      <c r="J2778" s="627"/>
      <c r="K2778" s="627"/>
      <c r="L2778" s="627"/>
      <c r="M2778" s="393">
        <f>H2778+J2778+L2778</f>
        <v>0</v>
      </c>
    </row>
    <row r="2779" spans="1:13" s="89" customFormat="1" ht="27" hidden="1">
      <c r="A2779" s="140">
        <v>8</v>
      </c>
      <c r="B2779" s="1459" t="s">
        <v>580</v>
      </c>
      <c r="C2779" s="227" t="s">
        <v>1323</v>
      </c>
      <c r="D2779" s="47" t="s">
        <v>122</v>
      </c>
      <c r="E2779" s="248"/>
      <c r="F2779" s="384">
        <f>'დეფექტური აქტი'!E690</f>
        <v>0</v>
      </c>
      <c r="G2779" s="422"/>
      <c r="H2779" s="422"/>
      <c r="I2779" s="422"/>
      <c r="J2779" s="422"/>
      <c r="K2779" s="422"/>
      <c r="L2779" s="422"/>
      <c r="M2779" s="422"/>
    </row>
    <row r="2780" spans="1:13" s="89" customFormat="1" hidden="1">
      <c r="A2780" s="309"/>
      <c r="B2780" s="1460"/>
      <c r="C2780" s="223" t="s">
        <v>581</v>
      </c>
      <c r="D2780" s="211" t="s">
        <v>80</v>
      </c>
      <c r="E2780" s="310">
        <v>9.6000000000000002E-2</v>
      </c>
      <c r="F2780" s="386">
        <f>F2779*E2780</f>
        <v>0</v>
      </c>
      <c r="G2780" s="626"/>
      <c r="H2780" s="394"/>
      <c r="I2780" s="225">
        <v>6</v>
      </c>
      <c r="J2780" s="394">
        <f>F2780*I2780</f>
        <v>0</v>
      </c>
      <c r="K2780" s="394"/>
      <c r="L2780" s="394"/>
      <c r="M2780" s="225">
        <f>H2780+J2780+L2780</f>
        <v>0</v>
      </c>
    </row>
    <row r="2781" spans="1:13" s="89" customFormat="1" hidden="1">
      <c r="A2781" s="309"/>
      <c r="B2781" s="1460"/>
      <c r="C2781" s="223" t="s">
        <v>582</v>
      </c>
      <c r="D2781" s="83" t="s">
        <v>57</v>
      </c>
      <c r="E2781" s="310">
        <v>4.5199999999999997E-2</v>
      </c>
      <c r="F2781" s="386">
        <f>F2779*E2781</f>
        <v>0</v>
      </c>
      <c r="G2781" s="626"/>
      <c r="H2781" s="394"/>
      <c r="I2781" s="394"/>
      <c r="J2781" s="394"/>
      <c r="K2781" s="225">
        <v>3.2</v>
      </c>
      <c r="L2781" s="225">
        <f>F2781*K2781</f>
        <v>0</v>
      </c>
      <c r="M2781" s="225">
        <f>H2781+J2781+L2781</f>
        <v>0</v>
      </c>
    </row>
    <row r="2782" spans="1:13" s="89" customFormat="1" hidden="1">
      <c r="A2782" s="309"/>
      <c r="B2782" s="1460"/>
      <c r="C2782" s="15" t="s">
        <v>210</v>
      </c>
      <c r="D2782" s="211"/>
      <c r="E2782" s="310"/>
      <c r="F2782" s="386"/>
      <c r="G2782" s="626"/>
      <c r="H2782" s="394"/>
      <c r="I2782" s="394"/>
      <c r="J2782" s="394"/>
      <c r="K2782" s="394"/>
      <c r="L2782" s="394"/>
      <c r="M2782" s="225"/>
    </row>
    <row r="2783" spans="1:13" s="89" customFormat="1" hidden="1">
      <c r="A2783" s="83"/>
      <c r="B2783" s="1460"/>
      <c r="C2783" s="226" t="s">
        <v>1088</v>
      </c>
      <c r="D2783" s="41" t="s">
        <v>122</v>
      </c>
      <c r="E2783" s="240">
        <v>1.01</v>
      </c>
      <c r="F2783" s="386">
        <f>F2779*E2783</f>
        <v>0</v>
      </c>
      <c r="G2783" s="225">
        <v>8.1999999999999993</v>
      </c>
      <c r="H2783" s="225">
        <f>F2783*G2783</f>
        <v>0</v>
      </c>
      <c r="I2783" s="225"/>
      <c r="J2783" s="225"/>
      <c r="K2783" s="225"/>
      <c r="L2783" s="225"/>
      <c r="M2783" s="225">
        <f>H2783+J2783+L2783</f>
        <v>0</v>
      </c>
    </row>
    <row r="2784" spans="1:13" s="89" customFormat="1" hidden="1">
      <c r="A2784" s="311"/>
      <c r="B2784" s="1461"/>
      <c r="C2784" s="232" t="s">
        <v>367</v>
      </c>
      <c r="D2784" s="86" t="s">
        <v>57</v>
      </c>
      <c r="E2784" s="312">
        <v>5.9999999999999995E-4</v>
      </c>
      <c r="F2784" s="387">
        <f>F2779*E2784</f>
        <v>0</v>
      </c>
      <c r="G2784" s="393">
        <v>3.2</v>
      </c>
      <c r="H2784" s="627">
        <f>F2784*G2784</f>
        <v>0</v>
      </c>
      <c r="I2784" s="627"/>
      <c r="J2784" s="627"/>
      <c r="K2784" s="627"/>
      <c r="L2784" s="627"/>
      <c r="M2784" s="393">
        <f>H2784+J2784+L2784</f>
        <v>0</v>
      </c>
    </row>
    <row r="2785" spans="1:13" s="95" customFormat="1" ht="27" hidden="1">
      <c r="A2785" s="140">
        <v>9</v>
      </c>
      <c r="B2785" s="1459" t="s">
        <v>939</v>
      </c>
      <c r="C2785" s="151" t="s">
        <v>1324</v>
      </c>
      <c r="D2785" s="47" t="s">
        <v>122</v>
      </c>
      <c r="E2785" s="153"/>
      <c r="F2785" s="384">
        <f>'დეფექტური აქტი'!E691</f>
        <v>0</v>
      </c>
      <c r="G2785" s="608"/>
      <c r="H2785" s="609"/>
      <c r="I2785" s="422"/>
      <c r="J2785" s="422"/>
      <c r="K2785" s="422"/>
      <c r="L2785" s="422"/>
      <c r="M2785" s="422"/>
    </row>
    <row r="2786" spans="1:13" s="95" customFormat="1" hidden="1">
      <c r="A2786" s="83"/>
      <c r="B2786" s="1460"/>
      <c r="C2786" s="226" t="s">
        <v>79</v>
      </c>
      <c r="D2786" s="211" t="s">
        <v>80</v>
      </c>
      <c r="E2786" s="94">
        <v>0.105</v>
      </c>
      <c r="F2786" s="386">
        <f>F2785*E2786</f>
        <v>0</v>
      </c>
      <c r="G2786" s="523"/>
      <c r="H2786" s="604"/>
      <c r="I2786" s="225">
        <v>6</v>
      </c>
      <c r="J2786" s="225">
        <f>F2786*I2786</f>
        <v>0</v>
      </c>
      <c r="K2786" s="225"/>
      <c r="L2786" s="225"/>
      <c r="M2786" s="225">
        <f>H2786+J2786+L2786</f>
        <v>0</v>
      </c>
    </row>
    <row r="2787" spans="1:13" s="95" customFormat="1" hidden="1">
      <c r="A2787" s="83"/>
      <c r="B2787" s="1460"/>
      <c r="C2787" s="226" t="s">
        <v>181</v>
      </c>
      <c r="D2787" s="83" t="s">
        <v>57</v>
      </c>
      <c r="E2787" s="240">
        <v>5.3800000000000001E-2</v>
      </c>
      <c r="F2787" s="386">
        <f>F2785*E2787</f>
        <v>0</v>
      </c>
      <c r="G2787" s="523"/>
      <c r="H2787" s="225"/>
      <c r="I2787" s="225"/>
      <c r="J2787" s="225"/>
      <c r="K2787" s="225">
        <v>3.2</v>
      </c>
      <c r="L2787" s="225">
        <f>F2787*K2787</f>
        <v>0</v>
      </c>
      <c r="M2787" s="225">
        <f>H2787+J2787+L2787</f>
        <v>0</v>
      </c>
    </row>
    <row r="2788" spans="1:13" s="95" customFormat="1" hidden="1">
      <c r="A2788" s="83"/>
      <c r="B2788" s="1460"/>
      <c r="C2788" s="15" t="s">
        <v>210</v>
      </c>
      <c r="D2788" s="211"/>
      <c r="E2788" s="240"/>
      <c r="F2788" s="386"/>
      <c r="G2788" s="523"/>
      <c r="H2788" s="225"/>
      <c r="I2788" s="225"/>
      <c r="J2788" s="225"/>
      <c r="K2788" s="225"/>
      <c r="L2788" s="225"/>
      <c r="M2788" s="225"/>
    </row>
    <row r="2789" spans="1:13" s="95" customFormat="1" hidden="1">
      <c r="A2789" s="83"/>
      <c r="B2789" s="1460"/>
      <c r="C2789" s="226" t="s">
        <v>1089</v>
      </c>
      <c r="D2789" s="41" t="s">
        <v>122</v>
      </c>
      <c r="E2789" s="211">
        <v>1.01</v>
      </c>
      <c r="F2789" s="386">
        <f>F2785*E2789</f>
        <v>0</v>
      </c>
      <c r="G2789" s="225">
        <v>12.6</v>
      </c>
      <c r="H2789" s="225">
        <f>F2789*G2789</f>
        <v>0</v>
      </c>
      <c r="I2789" s="225"/>
      <c r="J2789" s="225"/>
      <c r="K2789" s="225"/>
      <c r="L2789" s="225"/>
      <c r="M2789" s="225">
        <f>H2789+J2789+L2789</f>
        <v>0</v>
      </c>
    </row>
    <row r="2790" spans="1:13" s="95" customFormat="1" hidden="1">
      <c r="A2790" s="86"/>
      <c r="B2790" s="1461"/>
      <c r="C2790" s="229" t="s">
        <v>214</v>
      </c>
      <c r="D2790" s="86" t="s">
        <v>57</v>
      </c>
      <c r="E2790" s="241">
        <v>1.1999999999999999E-3</v>
      </c>
      <c r="F2790" s="387">
        <f>F2785*E2790</f>
        <v>0</v>
      </c>
      <c r="G2790" s="393">
        <v>3.2</v>
      </c>
      <c r="H2790" s="393">
        <f>F2790*G2790</f>
        <v>0</v>
      </c>
      <c r="I2790" s="393"/>
      <c r="J2790" s="393"/>
      <c r="K2790" s="393"/>
      <c r="L2790" s="393"/>
      <c r="M2790" s="393">
        <f>H2790+J2790+L2790</f>
        <v>0</v>
      </c>
    </row>
    <row r="2791" spans="1:13" s="95" customFormat="1" ht="27" hidden="1">
      <c r="A2791" s="83">
        <v>10</v>
      </c>
      <c r="B2791" s="1460" t="s">
        <v>939</v>
      </c>
      <c r="C2791" s="84" t="s">
        <v>1325</v>
      </c>
      <c r="D2791" s="41" t="s">
        <v>122</v>
      </c>
      <c r="E2791" s="94"/>
      <c r="F2791" s="388">
        <f>'დეფექტური აქტი'!E692</f>
        <v>0</v>
      </c>
      <c r="G2791" s="523"/>
      <c r="H2791" s="604"/>
      <c r="I2791" s="225"/>
      <c r="J2791" s="225"/>
      <c r="K2791" s="225"/>
      <c r="L2791" s="225"/>
      <c r="M2791" s="225"/>
    </row>
    <row r="2792" spans="1:13" s="95" customFormat="1" hidden="1">
      <c r="A2792" s="83"/>
      <c r="B2792" s="1460"/>
      <c r="C2792" s="226" t="s">
        <v>79</v>
      </c>
      <c r="D2792" s="211" t="s">
        <v>80</v>
      </c>
      <c r="E2792" s="94">
        <v>0.105</v>
      </c>
      <c r="F2792" s="386">
        <f>F2791*E2792</f>
        <v>0</v>
      </c>
      <c r="G2792" s="523"/>
      <c r="H2792" s="604"/>
      <c r="I2792" s="225">
        <v>6</v>
      </c>
      <c r="J2792" s="225">
        <f>F2792*I2792</f>
        <v>0</v>
      </c>
      <c r="K2792" s="225"/>
      <c r="L2792" s="225"/>
      <c r="M2792" s="225">
        <f>H2792+J2792+L2792</f>
        <v>0</v>
      </c>
    </row>
    <row r="2793" spans="1:13" s="95" customFormat="1" hidden="1">
      <c r="A2793" s="83"/>
      <c r="B2793" s="1460"/>
      <c r="C2793" s="226" t="s">
        <v>181</v>
      </c>
      <c r="D2793" s="83" t="s">
        <v>57</v>
      </c>
      <c r="E2793" s="240">
        <v>5.3800000000000001E-2</v>
      </c>
      <c r="F2793" s="386">
        <f>F2791*E2793</f>
        <v>0</v>
      </c>
      <c r="G2793" s="523"/>
      <c r="H2793" s="225"/>
      <c r="I2793" s="225"/>
      <c r="J2793" s="225"/>
      <c r="K2793" s="225">
        <v>3.2</v>
      </c>
      <c r="L2793" s="225">
        <f>F2793*K2793</f>
        <v>0</v>
      </c>
      <c r="M2793" s="225">
        <f>H2793+J2793+L2793</f>
        <v>0</v>
      </c>
    </row>
    <row r="2794" spans="1:13" s="95" customFormat="1" hidden="1">
      <c r="A2794" s="83"/>
      <c r="B2794" s="1460"/>
      <c r="C2794" s="15" t="s">
        <v>210</v>
      </c>
      <c r="D2794" s="211"/>
      <c r="E2794" s="240"/>
      <c r="F2794" s="386"/>
      <c r="G2794" s="523"/>
      <c r="H2794" s="225"/>
      <c r="I2794" s="225"/>
      <c r="J2794" s="225"/>
      <c r="K2794" s="225"/>
      <c r="L2794" s="225"/>
      <c r="M2794" s="225"/>
    </row>
    <row r="2795" spans="1:13" s="95" customFormat="1" hidden="1">
      <c r="A2795" s="83"/>
      <c r="B2795" s="1460"/>
      <c r="C2795" s="226" t="s">
        <v>940</v>
      </c>
      <c r="D2795" s="41" t="s">
        <v>122</v>
      </c>
      <c r="E2795" s="211">
        <v>1.01</v>
      </c>
      <c r="F2795" s="386">
        <f>F2791*E2795</f>
        <v>0</v>
      </c>
      <c r="G2795" s="225">
        <v>17.7</v>
      </c>
      <c r="H2795" s="225">
        <f>F2795*G2795</f>
        <v>0</v>
      </c>
      <c r="I2795" s="225"/>
      <c r="J2795" s="225"/>
      <c r="K2795" s="225"/>
      <c r="L2795" s="225"/>
      <c r="M2795" s="225">
        <f>H2795+J2795+L2795</f>
        <v>0</v>
      </c>
    </row>
    <row r="2796" spans="1:13" s="95" customFormat="1" hidden="1">
      <c r="A2796" s="83"/>
      <c r="B2796" s="1461"/>
      <c r="C2796" s="226" t="s">
        <v>214</v>
      </c>
      <c r="D2796" s="86" t="s">
        <v>57</v>
      </c>
      <c r="E2796" s="241">
        <v>1.1999999999999999E-3</v>
      </c>
      <c r="F2796" s="386">
        <f>F2791*E2796</f>
        <v>0</v>
      </c>
      <c r="G2796" s="225">
        <v>3.2</v>
      </c>
      <c r="H2796" s="225">
        <f>F2796*G2796</f>
        <v>0</v>
      </c>
      <c r="I2796" s="225"/>
      <c r="J2796" s="225"/>
      <c r="K2796" s="225"/>
      <c r="L2796" s="225"/>
      <c r="M2796" s="393">
        <f>H2796+J2796+L2796</f>
        <v>0</v>
      </c>
    </row>
    <row r="2797" spans="1:13" s="89" customFormat="1" hidden="1">
      <c r="A2797" s="313">
        <v>11</v>
      </c>
      <c r="B2797" s="314"/>
      <c r="C2797" s="28" t="s">
        <v>623</v>
      </c>
      <c r="D2797" s="24" t="s">
        <v>113</v>
      </c>
      <c r="E2797" s="287"/>
      <c r="F2797" s="397">
        <f>'დეფექტური აქტი'!E693</f>
        <v>0</v>
      </c>
      <c r="G2797" s="607">
        <v>4</v>
      </c>
      <c r="H2797" s="607">
        <f>F2797*G2797</f>
        <v>0</v>
      </c>
      <c r="I2797" s="617"/>
      <c r="J2797" s="617"/>
      <c r="K2797" s="617"/>
      <c r="L2797" s="617"/>
      <c r="M2797" s="225">
        <f>H2797+J2797+L2797</f>
        <v>0</v>
      </c>
    </row>
    <row r="2798" spans="1:13" s="93" customFormat="1" ht="27" hidden="1">
      <c r="A2798" s="140">
        <v>12</v>
      </c>
      <c r="B2798" s="1459" t="s">
        <v>555</v>
      </c>
      <c r="C2798" s="151" t="s">
        <v>1109</v>
      </c>
      <c r="D2798" s="228" t="s">
        <v>88</v>
      </c>
      <c r="E2798" s="248"/>
      <c r="F2798" s="388">
        <f>'დეფექტური აქტი'!E694</f>
        <v>0</v>
      </c>
      <c r="G2798" s="422"/>
      <c r="H2798" s="422"/>
      <c r="I2798" s="422"/>
      <c r="J2798" s="422"/>
      <c r="K2798" s="422"/>
      <c r="L2798" s="422"/>
      <c r="M2798" s="422"/>
    </row>
    <row r="2799" spans="1:13" s="93" customFormat="1" hidden="1">
      <c r="A2799" s="132"/>
      <c r="B2799" s="1460"/>
      <c r="C2799" s="226" t="s">
        <v>556</v>
      </c>
      <c r="D2799" s="211" t="s">
        <v>80</v>
      </c>
      <c r="E2799" s="94">
        <v>13.8</v>
      </c>
      <c r="F2799" s="386">
        <f>F2798*E2799</f>
        <v>0</v>
      </c>
      <c r="G2799" s="225"/>
      <c r="H2799" s="604"/>
      <c r="I2799" s="225">
        <v>4.5999999999999996</v>
      </c>
      <c r="J2799" s="225">
        <f>F2799*I2799</f>
        <v>0</v>
      </c>
      <c r="K2799" s="225"/>
      <c r="L2799" s="225"/>
      <c r="M2799" s="225">
        <f>H2799+J2799+L2799</f>
        <v>0</v>
      </c>
    </row>
    <row r="2800" spans="1:13" s="89" customFormat="1" hidden="1">
      <c r="A2800" s="132"/>
      <c r="B2800" s="1460"/>
      <c r="C2800" s="226" t="s">
        <v>181</v>
      </c>
      <c r="D2800" s="83" t="s">
        <v>57</v>
      </c>
      <c r="E2800" s="240">
        <v>0.17</v>
      </c>
      <c r="F2800" s="386">
        <f>F2798*E2800</f>
        <v>0</v>
      </c>
      <c r="G2800" s="225"/>
      <c r="H2800" s="225"/>
      <c r="I2800" s="225"/>
      <c r="J2800" s="225"/>
      <c r="K2800" s="225">
        <v>3.2</v>
      </c>
      <c r="L2800" s="225">
        <f>F2800*K2800</f>
        <v>0</v>
      </c>
      <c r="M2800" s="225">
        <f>H2800+J2800+L2800</f>
        <v>0</v>
      </c>
    </row>
    <row r="2801" spans="1:13" s="93" customFormat="1" hidden="1">
      <c r="A2801" s="132"/>
      <c r="B2801" s="1460"/>
      <c r="C2801" s="15" t="s">
        <v>210</v>
      </c>
      <c r="D2801" s="211"/>
      <c r="E2801" s="240"/>
      <c r="F2801" s="386"/>
      <c r="G2801" s="225"/>
      <c r="H2801" s="225"/>
      <c r="I2801" s="225"/>
      <c r="J2801" s="225"/>
      <c r="K2801" s="225"/>
      <c r="L2801" s="225"/>
      <c r="M2801" s="225"/>
    </row>
    <row r="2802" spans="1:13" s="93" customFormat="1" hidden="1">
      <c r="A2802" s="132"/>
      <c r="B2802" s="1460"/>
      <c r="C2802" s="226" t="s">
        <v>1084</v>
      </c>
      <c r="D2802" s="211" t="s">
        <v>78</v>
      </c>
      <c r="E2802" s="240">
        <v>1.03</v>
      </c>
      <c r="F2802" s="388">
        <f>E2802*F2798/0.05</f>
        <v>0</v>
      </c>
      <c r="G2802" s="225">
        <v>2.37</v>
      </c>
      <c r="H2802" s="225">
        <f>F2802*G2802</f>
        <v>0</v>
      </c>
      <c r="I2802" s="225"/>
      <c r="J2802" s="225"/>
      <c r="K2802" s="225"/>
      <c r="L2802" s="225"/>
      <c r="M2802" s="225">
        <f>H2802+J2802+L2802</f>
        <v>0</v>
      </c>
    </row>
    <row r="2803" spans="1:13" s="93" customFormat="1" hidden="1">
      <c r="A2803" s="132"/>
      <c r="B2803" s="1460"/>
      <c r="C2803" s="226" t="s">
        <v>557</v>
      </c>
      <c r="D2803" s="211" t="s">
        <v>97</v>
      </c>
      <c r="E2803" s="240">
        <v>10.6</v>
      </c>
      <c r="F2803" s="386">
        <f>F2798*E2803</f>
        <v>0</v>
      </c>
      <c r="G2803" s="225">
        <v>1.9</v>
      </c>
      <c r="H2803" s="225">
        <f>F2803*G2803</f>
        <v>0</v>
      </c>
      <c r="I2803" s="225"/>
      <c r="J2803" s="225"/>
      <c r="K2803" s="225"/>
      <c r="L2803" s="225"/>
      <c r="M2803" s="225">
        <f>H2803+J2803+L2803</f>
        <v>0</v>
      </c>
    </row>
    <row r="2804" spans="1:13" s="93" customFormat="1" hidden="1">
      <c r="A2804" s="132"/>
      <c r="B2804" s="1460"/>
      <c r="C2804" s="226" t="s">
        <v>558</v>
      </c>
      <c r="D2804" s="211" t="s">
        <v>97</v>
      </c>
      <c r="E2804" s="94">
        <v>1</v>
      </c>
      <c r="F2804" s="386">
        <f>F2798*E2804</f>
        <v>0</v>
      </c>
      <c r="G2804" s="225">
        <v>1.7</v>
      </c>
      <c r="H2804" s="225">
        <f>F2804*G2804</f>
        <v>0</v>
      </c>
      <c r="I2804" s="225"/>
      <c r="J2804" s="225"/>
      <c r="K2804" s="225"/>
      <c r="L2804" s="225"/>
      <c r="M2804" s="225">
        <f>H2804+J2804+L2804</f>
        <v>0</v>
      </c>
    </row>
    <row r="2805" spans="1:13" s="93" customFormat="1" hidden="1">
      <c r="A2805" s="133"/>
      <c r="B2805" s="1461"/>
      <c r="C2805" s="229" t="s">
        <v>214</v>
      </c>
      <c r="D2805" s="86" t="s">
        <v>57</v>
      </c>
      <c r="E2805" s="241">
        <v>0.9</v>
      </c>
      <c r="F2805" s="387">
        <f>F2798*E2805</f>
        <v>0</v>
      </c>
      <c r="G2805" s="393">
        <v>3.2</v>
      </c>
      <c r="H2805" s="393">
        <f>F2805*G2805</f>
        <v>0</v>
      </c>
      <c r="I2805" s="393"/>
      <c r="J2805" s="393"/>
      <c r="K2805" s="393"/>
      <c r="L2805" s="393"/>
      <c r="M2805" s="393">
        <f>H2805+J2805+L2805</f>
        <v>0</v>
      </c>
    </row>
    <row r="2806" spans="1:13" s="93" customFormat="1" hidden="1">
      <c r="A2806" s="24"/>
      <c r="B2806" s="24"/>
      <c r="C2806" s="170" t="s">
        <v>110</v>
      </c>
      <c r="D2806" s="277"/>
      <c r="E2806" s="275"/>
      <c r="F2806" s="403"/>
      <c r="G2806" s="613"/>
      <c r="H2806" s="613">
        <f>SUM(H2745:H2805)</f>
        <v>0</v>
      </c>
      <c r="I2806" s="613"/>
      <c r="J2806" s="613">
        <f>SUM(J2745:J2805)</f>
        <v>0</v>
      </c>
      <c r="K2806" s="613"/>
      <c r="L2806" s="613">
        <f>SUM(L2745:L2805)</f>
        <v>0</v>
      </c>
      <c r="M2806" s="613">
        <f>SUM(M2745:M2805)</f>
        <v>0</v>
      </c>
    </row>
    <row r="2807" spans="1:13" s="85" customFormat="1" hidden="1">
      <c r="A2807" s="279"/>
      <c r="B2807" s="280"/>
      <c r="C2807" s="110" t="s">
        <v>554</v>
      </c>
      <c r="D2807" s="303">
        <f>'დეფექტური აქტი'!E696%</f>
        <v>0.1</v>
      </c>
      <c r="E2807" s="282"/>
      <c r="F2807" s="403"/>
      <c r="G2807" s="613"/>
      <c r="H2807" s="613">
        <f>H2806*D2807</f>
        <v>0</v>
      </c>
      <c r="I2807" s="613">
        <f>I2806*0.1</f>
        <v>0</v>
      </c>
      <c r="J2807" s="613">
        <f>J2806*D2807</f>
        <v>0</v>
      </c>
      <c r="K2807" s="613">
        <f>K2806*0.1</f>
        <v>0</v>
      </c>
      <c r="L2807" s="613">
        <f>L2806*D2807</f>
        <v>0</v>
      </c>
      <c r="M2807" s="613">
        <f>M2806*D2807</f>
        <v>0</v>
      </c>
    </row>
    <row r="2808" spans="1:13" s="85" customFormat="1" hidden="1">
      <c r="A2808" s="279"/>
      <c r="B2808" s="280"/>
      <c r="C2808" s="170" t="s">
        <v>110</v>
      </c>
      <c r="D2808" s="274"/>
      <c r="E2808" s="283"/>
      <c r="F2808" s="405"/>
      <c r="G2808" s="615"/>
      <c r="H2808" s="625">
        <f t="shared" ref="H2808:M2808" si="65">H2806+H2807</f>
        <v>0</v>
      </c>
      <c r="I2808" s="625">
        <f t="shared" si="65"/>
        <v>0</v>
      </c>
      <c r="J2808" s="625">
        <f t="shared" si="65"/>
        <v>0</v>
      </c>
      <c r="K2808" s="625">
        <f t="shared" si="65"/>
        <v>0</v>
      </c>
      <c r="L2808" s="625">
        <f t="shared" si="65"/>
        <v>0</v>
      </c>
      <c r="M2808" s="625">
        <f t="shared" si="65"/>
        <v>0</v>
      </c>
    </row>
    <row r="2809" spans="1:13" s="85" customFormat="1" hidden="1">
      <c r="A2809" s="279"/>
      <c r="B2809" s="280"/>
      <c r="C2809" s="110" t="s">
        <v>116</v>
      </c>
      <c r="D2809" s="281">
        <f>'დეფექტური აქტი'!E698%</f>
        <v>0.08</v>
      </c>
      <c r="E2809" s="283"/>
      <c r="F2809" s="405"/>
      <c r="G2809" s="615"/>
      <c r="H2809" s="625">
        <f>H2808*D2809</f>
        <v>0</v>
      </c>
      <c r="I2809" s="625">
        <f>I2808*0.08</f>
        <v>0</v>
      </c>
      <c r="J2809" s="625">
        <f>J2808*D2809</f>
        <v>0</v>
      </c>
      <c r="K2809" s="625">
        <f>K2808*0.08</f>
        <v>0</v>
      </c>
      <c r="L2809" s="625">
        <f>L2808*D2809</f>
        <v>0</v>
      </c>
      <c r="M2809" s="625">
        <f>M2808*D2809</f>
        <v>0</v>
      </c>
    </row>
    <row r="2810" spans="1:13" s="85" customFormat="1" hidden="1">
      <c r="A2810" s="279"/>
      <c r="B2810" s="280"/>
      <c r="C2810" s="170" t="s">
        <v>1439</v>
      </c>
      <c r="D2810" s="283"/>
      <c r="E2810" s="283"/>
      <c r="F2810" s="405"/>
      <c r="G2810" s="615"/>
      <c r="H2810" s="625">
        <f>H2808+H2809</f>
        <v>0</v>
      </c>
      <c r="I2810" s="625"/>
      <c r="J2810" s="625">
        <f>J2808+J2809</f>
        <v>0</v>
      </c>
      <c r="K2810" s="625"/>
      <c r="L2810" s="625">
        <f>L2808+L2809</f>
        <v>0</v>
      </c>
      <c r="M2810" s="625">
        <f>M2808+M2809</f>
        <v>0</v>
      </c>
    </row>
    <row r="2811" spans="1:13" s="85" customFormat="1" hidden="1">
      <c r="A2811" s="279"/>
      <c r="B2811" s="280"/>
      <c r="C2811" s="150" t="s">
        <v>1447</v>
      </c>
      <c r="D2811" s="283"/>
      <c r="E2811" s="283"/>
      <c r="F2811" s="405"/>
      <c r="G2811" s="615"/>
      <c r="H2811" s="625"/>
      <c r="I2811" s="625"/>
      <c r="J2811" s="625"/>
      <c r="K2811" s="625"/>
      <c r="L2811" s="625"/>
      <c r="M2811" s="625"/>
    </row>
    <row r="2812" spans="1:13" s="85" customFormat="1" ht="14.25" hidden="1" customHeight="1">
      <c r="A2812" s="315">
        <v>1</v>
      </c>
      <c r="B2812" s="280"/>
      <c r="C2812" s="26" t="s">
        <v>882</v>
      </c>
      <c r="D2812" s="158" t="s">
        <v>4</v>
      </c>
      <c r="E2812" s="283"/>
      <c r="F2812" s="388"/>
      <c r="G2812" s="628">
        <v>16037</v>
      </c>
      <c r="H2812" s="616">
        <f>G2812*F2812</f>
        <v>0</v>
      </c>
      <c r="I2812" s="629">
        <v>5197</v>
      </c>
      <c r="J2812" s="616">
        <f>I2812*F2812</f>
        <v>0</v>
      </c>
      <c r="K2812" s="629">
        <v>430</v>
      </c>
      <c r="L2812" s="625">
        <f>K2812*F2812</f>
        <v>0</v>
      </c>
      <c r="M2812" s="225">
        <f>H2812+J2812+L2812</f>
        <v>0</v>
      </c>
    </row>
    <row r="2813" spans="1:13" s="85" customFormat="1" hidden="1">
      <c r="A2813" s="279"/>
      <c r="B2813" s="280"/>
      <c r="C2813" s="170" t="s">
        <v>1448</v>
      </c>
      <c r="D2813" s="283"/>
      <c r="E2813" s="283"/>
      <c r="F2813" s="405"/>
      <c r="G2813" s="615"/>
      <c r="H2813" s="625">
        <f>H2812</f>
        <v>0</v>
      </c>
      <c r="I2813" s="625"/>
      <c r="J2813" s="625">
        <f>J2812</f>
        <v>0</v>
      </c>
      <c r="K2813" s="625"/>
      <c r="L2813" s="625">
        <f>L2812</f>
        <v>0</v>
      </c>
      <c r="M2813" s="625">
        <f>M2812</f>
        <v>0</v>
      </c>
    </row>
    <row r="2814" spans="1:13" s="85" customFormat="1" hidden="1">
      <c r="A2814" s="784"/>
      <c r="B2814" s="585"/>
      <c r="C2814" s="586"/>
      <c r="D2814" s="587"/>
      <c r="E2814" s="587"/>
      <c r="F2814" s="588"/>
      <c r="G2814" s="630"/>
      <c r="H2814" s="631"/>
      <c r="I2814" s="631"/>
      <c r="J2814" s="631"/>
      <c r="K2814" s="631"/>
      <c r="L2814" s="631"/>
      <c r="M2814" s="631"/>
    </row>
    <row r="2815" spans="1:13" s="460" customFormat="1" ht="16.5">
      <c r="A2815" s="1198"/>
      <c r="B2815" s="497"/>
      <c r="C2815" s="459" t="s">
        <v>1876</v>
      </c>
      <c r="D2815" s="497"/>
      <c r="E2815" s="497"/>
      <c r="F2815" s="498"/>
      <c r="G2815" s="499"/>
      <c r="H2815" s="632"/>
      <c r="I2815" s="632"/>
      <c r="J2815" s="632"/>
      <c r="K2815" s="632"/>
      <c r="L2815" s="632"/>
      <c r="M2815" s="632"/>
    </row>
    <row r="2816" spans="1:13" s="460" customFormat="1" ht="15.75">
      <c r="A2816" s="1198"/>
      <c r="B2816" s="497"/>
      <c r="C2816" s="461" t="s">
        <v>1828</v>
      </c>
      <c r="D2816" s="497"/>
      <c r="E2816" s="497"/>
      <c r="F2816" s="498"/>
      <c r="G2816" s="499"/>
      <c r="H2816" s="632"/>
      <c r="I2816" s="632"/>
      <c r="J2816" s="632"/>
      <c r="K2816" s="632"/>
      <c r="L2816" s="632"/>
      <c r="M2816" s="632"/>
    </row>
    <row r="2817" spans="1:14" s="463" customFormat="1" ht="18" customHeight="1">
      <c r="A2817" s="1199"/>
      <c r="B2817" s="500"/>
      <c r="C2817" s="474" t="s">
        <v>1131</v>
      </c>
      <c r="D2817" s="421"/>
      <c r="E2817" s="421"/>
      <c r="F2817" s="475"/>
      <c r="G2817" s="425"/>
      <c r="H2817" s="425"/>
      <c r="I2817" s="425"/>
      <c r="J2817" s="425"/>
      <c r="K2817" s="425"/>
      <c r="L2817" s="425"/>
      <c r="M2817" s="425"/>
      <c r="N2817" s="348"/>
    </row>
    <row r="2818" spans="1:14" s="359" customFormat="1" ht="32.25" customHeight="1">
      <c r="A2818" s="1189">
        <v>1</v>
      </c>
      <c r="B2818" s="500" t="s">
        <v>1185</v>
      </c>
      <c r="C2818" s="420" t="s">
        <v>1132</v>
      </c>
      <c r="D2818" s="421" t="s">
        <v>88</v>
      </c>
      <c r="E2818" s="421"/>
      <c r="F2818" s="475">
        <f>'დეფექტური აქტი'!E706</f>
        <v>73</v>
      </c>
      <c r="G2818" s="425"/>
      <c r="H2818" s="425"/>
      <c r="I2818" s="425"/>
      <c r="J2818" s="425"/>
      <c r="K2818" s="425"/>
      <c r="L2818" s="425"/>
      <c r="M2818" s="425"/>
      <c r="N2818" s="358"/>
    </row>
    <row r="2819" spans="1:14" s="359" customFormat="1" ht="15.75" customHeight="1">
      <c r="A2819" s="1071"/>
      <c r="B2819" s="328"/>
      <c r="C2819" s="335" t="s">
        <v>209</v>
      </c>
      <c r="D2819" s="336" t="s">
        <v>80</v>
      </c>
      <c r="E2819" s="336">
        <v>0.02</v>
      </c>
      <c r="F2819" s="350">
        <f>F2818*E2819</f>
        <v>1.46</v>
      </c>
      <c r="G2819" s="389"/>
      <c r="H2819" s="389"/>
      <c r="I2819" s="389"/>
      <c r="J2819" s="389"/>
      <c r="K2819" s="389"/>
      <c r="L2819" s="389"/>
      <c r="M2819" s="389"/>
      <c r="N2819" s="358"/>
    </row>
    <row r="2820" spans="1:14" s="359" customFormat="1" ht="27.75" customHeight="1">
      <c r="A2820" s="1071"/>
      <c r="B2820" s="328"/>
      <c r="C2820" s="335" t="s">
        <v>1186</v>
      </c>
      <c r="D2820" s="336" t="s">
        <v>217</v>
      </c>
      <c r="E2820" s="336">
        <v>4.48E-2</v>
      </c>
      <c r="F2820" s="350">
        <f>F2818*E2820</f>
        <v>3.2704</v>
      </c>
      <c r="G2820" s="389"/>
      <c r="H2820" s="389"/>
      <c r="I2820" s="389"/>
      <c r="J2820" s="389"/>
      <c r="K2820" s="389"/>
      <c r="L2820" s="389"/>
      <c r="M2820" s="389"/>
      <c r="N2820" s="358"/>
    </row>
    <row r="2821" spans="1:14" s="359" customFormat="1">
      <c r="A2821" s="1071"/>
      <c r="B2821" s="328"/>
      <c r="C2821" s="335" t="s">
        <v>81</v>
      </c>
      <c r="D2821" s="336" t="s">
        <v>57</v>
      </c>
      <c r="E2821" s="336">
        <v>2.0999999999999999E-3</v>
      </c>
      <c r="F2821" s="350">
        <f>F2818*E2821</f>
        <v>0.15329999999999999</v>
      </c>
      <c r="G2821" s="389"/>
      <c r="H2821" s="389"/>
      <c r="I2821" s="389"/>
      <c r="J2821" s="389"/>
      <c r="K2821" s="389"/>
      <c r="L2821" s="389"/>
      <c r="M2821" s="389"/>
      <c r="N2821" s="358"/>
    </row>
    <row r="2822" spans="1:14" s="359" customFormat="1" hidden="1">
      <c r="A2822" s="330"/>
      <c r="B2822" s="328"/>
      <c r="C2822" s="335" t="s">
        <v>210</v>
      </c>
      <c r="D2822" s="336"/>
      <c r="E2822" s="336"/>
      <c r="F2822" s="350"/>
      <c r="G2822" s="389"/>
      <c r="H2822" s="389"/>
      <c r="I2822" s="389"/>
      <c r="J2822" s="389"/>
      <c r="K2822" s="389"/>
      <c r="L2822" s="389"/>
      <c r="M2822" s="389"/>
      <c r="N2822" s="358"/>
    </row>
    <row r="2823" spans="1:14" s="359" customFormat="1" ht="15" customHeight="1">
      <c r="A2823" s="1071"/>
      <c r="B2823" s="328"/>
      <c r="C2823" s="335" t="s">
        <v>1187</v>
      </c>
      <c r="D2823" s="336" t="s">
        <v>88</v>
      </c>
      <c r="E2823" s="336">
        <v>5.0000000000000002E-5</v>
      </c>
      <c r="F2823" s="350">
        <f>F2818*E2823</f>
        <v>3.65E-3</v>
      </c>
      <c r="G2823" s="389"/>
      <c r="H2823" s="389"/>
      <c r="I2823" s="389"/>
      <c r="J2823" s="389"/>
      <c r="K2823" s="389"/>
      <c r="L2823" s="389"/>
      <c r="M2823" s="389"/>
      <c r="N2823" s="358"/>
    </row>
    <row r="2824" spans="1:14" s="359" customFormat="1">
      <c r="A2824" s="1070">
        <v>2</v>
      </c>
      <c r="B2824" s="462"/>
      <c r="C2824" s="127" t="s">
        <v>1188</v>
      </c>
      <c r="D2824" s="99" t="s">
        <v>206</v>
      </c>
      <c r="E2824" s="99"/>
      <c r="F2824" s="476">
        <f>F2818*1.95</f>
        <v>142.35</v>
      </c>
      <c r="G2824" s="501"/>
      <c r="H2824" s="501"/>
      <c r="I2824" s="501"/>
      <c r="J2824" s="501"/>
      <c r="K2824" s="501"/>
      <c r="L2824" s="501"/>
      <c r="M2824" s="501"/>
      <c r="N2824" s="502"/>
    </row>
    <row r="2825" spans="1:14" s="359" customFormat="1">
      <c r="A2825" s="1071">
        <v>3</v>
      </c>
      <c r="B2825" s="328" t="s">
        <v>1189</v>
      </c>
      <c r="C2825" s="329" t="s">
        <v>1133</v>
      </c>
      <c r="D2825" s="330" t="s">
        <v>88</v>
      </c>
      <c r="E2825" s="330"/>
      <c r="F2825" s="350">
        <f>'დეფექტური აქტი'!E708</f>
        <v>73</v>
      </c>
      <c r="G2825" s="389"/>
      <c r="H2825" s="389"/>
      <c r="I2825" s="389"/>
      <c r="J2825" s="389"/>
      <c r="K2825" s="389"/>
      <c r="L2825" s="389"/>
      <c r="M2825" s="389"/>
      <c r="N2825" s="348"/>
    </row>
    <row r="2826" spans="1:14" s="359" customFormat="1">
      <c r="A2826" s="1071"/>
      <c r="B2826" s="328"/>
      <c r="C2826" s="335" t="s">
        <v>209</v>
      </c>
      <c r="D2826" s="336" t="s">
        <v>80</v>
      </c>
      <c r="E2826" s="336">
        <v>3.2299999999999998E-3</v>
      </c>
      <c r="F2826" s="350">
        <f>F2825*E2826</f>
        <v>0.23578999999999997</v>
      </c>
      <c r="G2826" s="389"/>
      <c r="H2826" s="389"/>
      <c r="I2826" s="389"/>
      <c r="J2826" s="389"/>
      <c r="K2826" s="389"/>
      <c r="L2826" s="389"/>
      <c r="M2826" s="389"/>
      <c r="N2826" s="348"/>
    </row>
    <row r="2827" spans="1:14" s="359" customFormat="1" ht="27">
      <c r="A2827" s="1071"/>
      <c r="B2827" s="328"/>
      <c r="C2827" s="335" t="s">
        <v>1190</v>
      </c>
      <c r="D2827" s="336" t="s">
        <v>217</v>
      </c>
      <c r="E2827" s="336">
        <v>3.62E-3</v>
      </c>
      <c r="F2827" s="350">
        <f>F2825*E2827</f>
        <v>0.26425999999999999</v>
      </c>
      <c r="G2827" s="389"/>
      <c r="H2827" s="389"/>
      <c r="I2827" s="389"/>
      <c r="J2827" s="389"/>
      <c r="K2827" s="389"/>
      <c r="L2827" s="389"/>
      <c r="M2827" s="389"/>
      <c r="N2827" s="348"/>
    </row>
    <row r="2828" spans="1:14" s="359" customFormat="1" ht="13.5" customHeight="1">
      <c r="A2828" s="1071"/>
      <c r="B2828" s="328"/>
      <c r="C2828" s="335" t="s">
        <v>81</v>
      </c>
      <c r="D2828" s="336" t="s">
        <v>57</v>
      </c>
      <c r="E2828" s="336">
        <v>1.8000000000000001E-4</v>
      </c>
      <c r="F2828" s="350">
        <f>F2825*E2828</f>
        <v>1.3140000000000001E-2</v>
      </c>
      <c r="G2828" s="389"/>
      <c r="H2828" s="389"/>
      <c r="I2828" s="389"/>
      <c r="J2828" s="389"/>
      <c r="K2828" s="389"/>
      <c r="L2828" s="389"/>
      <c r="M2828" s="389"/>
      <c r="N2828" s="348"/>
    </row>
    <row r="2829" spans="1:14" s="359" customFormat="1" ht="27.75" customHeight="1">
      <c r="A2829" s="1189">
        <v>4</v>
      </c>
      <c r="B2829" s="500" t="s">
        <v>1191</v>
      </c>
      <c r="C2829" s="420" t="s">
        <v>1192</v>
      </c>
      <c r="D2829" s="421" t="s">
        <v>88</v>
      </c>
      <c r="E2829" s="421"/>
      <c r="F2829" s="475">
        <f>'დეფექტური აქტი'!E709</f>
        <v>32</v>
      </c>
      <c r="G2829" s="425"/>
      <c r="H2829" s="425"/>
      <c r="I2829" s="425"/>
      <c r="J2829" s="425"/>
      <c r="K2829" s="425"/>
      <c r="L2829" s="425"/>
      <c r="M2829" s="425"/>
      <c r="N2829" s="358"/>
    </row>
    <row r="2830" spans="1:14" s="359" customFormat="1" ht="14.25" customHeight="1">
      <c r="A2830" s="1071"/>
      <c r="B2830" s="328"/>
      <c r="C2830" s="335" t="s">
        <v>209</v>
      </c>
      <c r="D2830" s="336" t="s">
        <v>80</v>
      </c>
      <c r="E2830" s="336">
        <v>1.6500000000000001E-2</v>
      </c>
      <c r="F2830" s="350">
        <f>F2829*E2830</f>
        <v>0.52800000000000002</v>
      </c>
      <c r="G2830" s="389"/>
      <c r="H2830" s="389"/>
      <c r="I2830" s="389"/>
      <c r="J2830" s="389"/>
      <c r="K2830" s="389"/>
      <c r="L2830" s="389"/>
      <c r="M2830" s="389"/>
      <c r="N2830" s="358"/>
    </row>
    <row r="2831" spans="1:14" s="359" customFormat="1" ht="27" customHeight="1">
      <c r="A2831" s="1071"/>
      <c r="B2831" s="328"/>
      <c r="C2831" s="335" t="s">
        <v>1186</v>
      </c>
      <c r="D2831" s="336" t="s">
        <v>217</v>
      </c>
      <c r="E2831" s="336">
        <v>3.6999999999999998E-2</v>
      </c>
      <c r="F2831" s="350">
        <f>F2829*E2831</f>
        <v>1.1839999999999999</v>
      </c>
      <c r="G2831" s="389"/>
      <c r="H2831" s="389"/>
      <c r="I2831" s="389"/>
      <c r="J2831" s="389"/>
      <c r="K2831" s="389"/>
      <c r="L2831" s="389"/>
      <c r="M2831" s="389"/>
      <c r="N2831" s="358"/>
    </row>
    <row r="2832" spans="1:14" s="359" customFormat="1" ht="16.5" customHeight="1">
      <c r="A2832" s="1189">
        <v>5</v>
      </c>
      <c r="B2832" s="500" t="s">
        <v>888</v>
      </c>
      <c r="C2832" s="420" t="s">
        <v>1193</v>
      </c>
      <c r="D2832" s="421" t="s">
        <v>88</v>
      </c>
      <c r="E2832" s="421"/>
      <c r="F2832" s="475">
        <f>'დეფექტური აქტი'!E710</f>
        <v>3</v>
      </c>
      <c r="G2832" s="425"/>
      <c r="H2832" s="425"/>
      <c r="I2832" s="425"/>
      <c r="J2832" s="425"/>
      <c r="K2832" s="425"/>
      <c r="L2832" s="425"/>
      <c r="M2832" s="425"/>
      <c r="N2832" s="348"/>
    </row>
    <row r="2833" spans="1:14" s="359" customFormat="1">
      <c r="A2833" s="1071"/>
      <c r="B2833" s="328"/>
      <c r="C2833" s="335" t="s">
        <v>1194</v>
      </c>
      <c r="D2833" s="336" t="s">
        <v>80</v>
      </c>
      <c r="E2833" s="336">
        <v>3.2349999999999999</v>
      </c>
      <c r="F2833" s="350">
        <f>F2832*E2833</f>
        <v>9.7050000000000001</v>
      </c>
      <c r="G2833" s="389"/>
      <c r="H2833" s="389"/>
      <c r="I2833" s="389"/>
      <c r="J2833" s="389"/>
      <c r="K2833" s="389"/>
      <c r="L2833" s="389"/>
      <c r="M2833" s="389"/>
      <c r="N2833" s="348"/>
    </row>
    <row r="2834" spans="1:14" s="361" customFormat="1" ht="27">
      <c r="A2834" s="1189">
        <v>6</v>
      </c>
      <c r="B2834" s="500" t="s">
        <v>1195</v>
      </c>
      <c r="C2834" s="420" t="s">
        <v>1196</v>
      </c>
      <c r="D2834" s="421" t="s">
        <v>88</v>
      </c>
      <c r="E2834" s="421"/>
      <c r="F2834" s="475">
        <f>'დეფექტური აქტი'!E711</f>
        <v>35</v>
      </c>
      <c r="G2834" s="425"/>
      <c r="H2834" s="425"/>
      <c r="I2834" s="425"/>
      <c r="J2834" s="425"/>
      <c r="K2834" s="425"/>
      <c r="L2834" s="425"/>
      <c r="M2834" s="425"/>
      <c r="N2834" s="348"/>
    </row>
    <row r="2835" spans="1:14" s="361" customFormat="1" ht="15.75" customHeight="1">
      <c r="A2835" s="1071"/>
      <c r="B2835" s="328"/>
      <c r="C2835" s="335" t="s">
        <v>1197</v>
      </c>
      <c r="D2835" s="336" t="s">
        <v>217</v>
      </c>
      <c r="E2835" s="336">
        <v>7.4900000000000001E-3</v>
      </c>
      <c r="F2835" s="350">
        <f>F2834*E2835</f>
        <v>0.26214999999999999</v>
      </c>
      <c r="G2835" s="389"/>
      <c r="H2835" s="389"/>
      <c r="I2835" s="389"/>
      <c r="J2835" s="389"/>
      <c r="K2835" s="389"/>
      <c r="L2835" s="389"/>
      <c r="M2835" s="389"/>
      <c r="N2835" s="348"/>
    </row>
    <row r="2836" spans="1:14" s="463" customFormat="1" ht="27.75" customHeight="1">
      <c r="A2836" s="1189">
        <v>7</v>
      </c>
      <c r="B2836" s="500" t="s">
        <v>1198</v>
      </c>
      <c r="C2836" s="420" t="s">
        <v>1137</v>
      </c>
      <c r="D2836" s="421" t="s">
        <v>88</v>
      </c>
      <c r="E2836" s="421"/>
      <c r="F2836" s="475">
        <f>'დეფექტური აქტი'!E712</f>
        <v>35</v>
      </c>
      <c r="G2836" s="425"/>
      <c r="H2836" s="425"/>
      <c r="I2836" s="425"/>
      <c r="J2836" s="425"/>
      <c r="K2836" s="425"/>
      <c r="L2836" s="425"/>
      <c r="M2836" s="425"/>
      <c r="N2836" s="348"/>
    </row>
    <row r="2837" spans="1:14" s="463" customFormat="1" ht="14.25" customHeight="1">
      <c r="A2837" s="1071"/>
      <c r="B2837" s="328"/>
      <c r="C2837" s="335" t="s">
        <v>209</v>
      </c>
      <c r="D2837" s="336" t="s">
        <v>80</v>
      </c>
      <c r="E2837" s="336">
        <v>0.13400000000000001</v>
      </c>
      <c r="F2837" s="350">
        <f>F2836*E2837</f>
        <v>4.6900000000000004</v>
      </c>
      <c r="G2837" s="389"/>
      <c r="H2837" s="389"/>
      <c r="I2837" s="389"/>
      <c r="J2837" s="389"/>
      <c r="K2837" s="389"/>
      <c r="L2837" s="389"/>
      <c r="M2837" s="389"/>
      <c r="N2837" s="348"/>
    </row>
    <row r="2838" spans="1:14" s="463" customFormat="1" ht="18" customHeight="1">
      <c r="A2838" s="1071"/>
      <c r="B2838" s="328"/>
      <c r="C2838" s="335" t="s">
        <v>1199</v>
      </c>
      <c r="D2838" s="336" t="s">
        <v>217</v>
      </c>
      <c r="E2838" s="336">
        <v>0.13</v>
      </c>
      <c r="F2838" s="350">
        <f>F2836*E2838</f>
        <v>4.55</v>
      </c>
      <c r="G2838" s="389"/>
      <c r="H2838" s="389"/>
      <c r="I2838" s="389"/>
      <c r="J2838" s="389"/>
      <c r="K2838" s="389"/>
      <c r="L2838" s="389"/>
      <c r="M2838" s="389"/>
      <c r="N2838" s="348"/>
    </row>
    <row r="2839" spans="1:14" s="359" customFormat="1">
      <c r="A2839" s="1189">
        <v>8</v>
      </c>
      <c r="B2839" s="500" t="s">
        <v>1200</v>
      </c>
      <c r="C2839" s="503" t="s">
        <v>1138</v>
      </c>
      <c r="D2839" s="421" t="s">
        <v>88</v>
      </c>
      <c r="E2839" s="421"/>
      <c r="F2839" s="475">
        <f>'დეფექტური აქტი'!E713</f>
        <v>3</v>
      </c>
      <c r="G2839" s="425"/>
      <c r="H2839" s="425"/>
      <c r="I2839" s="425"/>
      <c r="J2839" s="425"/>
      <c r="K2839" s="425"/>
      <c r="L2839" s="425"/>
      <c r="M2839" s="425"/>
      <c r="N2839" s="358"/>
    </row>
    <row r="2840" spans="1:14" s="359" customFormat="1" ht="16.5" customHeight="1">
      <c r="A2840" s="1071"/>
      <c r="B2840" s="328"/>
      <c r="C2840" s="341" t="s">
        <v>209</v>
      </c>
      <c r="D2840" s="336" t="s">
        <v>80</v>
      </c>
      <c r="E2840" s="336">
        <v>3.16</v>
      </c>
      <c r="F2840" s="350">
        <f>F2839*E2840</f>
        <v>9.48</v>
      </c>
      <c r="G2840" s="389"/>
      <c r="H2840" s="389"/>
      <c r="I2840" s="389"/>
      <c r="J2840" s="389"/>
      <c r="K2840" s="389"/>
      <c r="L2840" s="389"/>
      <c r="M2840" s="389"/>
      <c r="N2840" s="358"/>
    </row>
    <row r="2841" spans="1:14" s="359" customFormat="1" hidden="1">
      <c r="A2841" s="330"/>
      <c r="B2841" s="328"/>
      <c r="C2841" s="341" t="s">
        <v>210</v>
      </c>
      <c r="D2841" s="336"/>
      <c r="E2841" s="336"/>
      <c r="F2841" s="350">
        <f>E2841*2353</f>
        <v>0</v>
      </c>
      <c r="G2841" s="389"/>
      <c r="H2841" s="389"/>
      <c r="I2841" s="389"/>
      <c r="J2841" s="389"/>
      <c r="K2841" s="389"/>
      <c r="L2841" s="389"/>
      <c r="M2841" s="389"/>
      <c r="N2841" s="358"/>
    </row>
    <row r="2842" spans="1:14" s="359" customFormat="1">
      <c r="A2842" s="1071"/>
      <c r="B2842" s="328"/>
      <c r="C2842" s="341" t="s">
        <v>532</v>
      </c>
      <c r="D2842" s="336" t="s">
        <v>88</v>
      </c>
      <c r="E2842" s="336">
        <v>1.25</v>
      </c>
      <c r="F2842" s="350">
        <f>F2839*E2842</f>
        <v>3.75</v>
      </c>
      <c r="G2842" s="389"/>
      <c r="H2842" s="389"/>
      <c r="I2842" s="389"/>
      <c r="J2842" s="389"/>
      <c r="K2842" s="389"/>
      <c r="L2842" s="389"/>
      <c r="M2842" s="389"/>
      <c r="N2842" s="358"/>
    </row>
    <row r="2843" spans="1:14" s="359" customFormat="1">
      <c r="A2843" s="1071"/>
      <c r="B2843" s="328"/>
      <c r="C2843" s="341" t="s">
        <v>214</v>
      </c>
      <c r="D2843" s="336" t="s">
        <v>57</v>
      </c>
      <c r="E2843" s="336">
        <v>0.01</v>
      </c>
      <c r="F2843" s="350">
        <f>F2839*E2843</f>
        <v>0.03</v>
      </c>
      <c r="G2843" s="389"/>
      <c r="H2843" s="389"/>
      <c r="I2843" s="389"/>
      <c r="J2843" s="389"/>
      <c r="K2843" s="389"/>
      <c r="L2843" s="389"/>
      <c r="M2843" s="389"/>
      <c r="N2843" s="358"/>
    </row>
    <row r="2844" spans="1:14" s="359" customFormat="1">
      <c r="A2844" s="1194"/>
      <c r="B2844" s="504"/>
      <c r="C2844" s="491" t="s">
        <v>207</v>
      </c>
      <c r="D2844" s="479"/>
      <c r="E2844" s="479"/>
      <c r="F2844" s="480"/>
      <c r="G2844" s="505"/>
      <c r="H2844" s="505"/>
      <c r="I2844" s="505"/>
      <c r="J2844" s="505"/>
      <c r="K2844" s="505"/>
      <c r="L2844" s="505"/>
      <c r="M2844" s="505"/>
      <c r="N2844" s="502"/>
    </row>
    <row r="2845" spans="1:14" s="359" customFormat="1" ht="18.75" customHeight="1">
      <c r="A2845" s="1200"/>
      <c r="B2845" s="506"/>
      <c r="C2845" s="474" t="s">
        <v>1139</v>
      </c>
      <c r="D2845" s="477"/>
      <c r="E2845" s="477"/>
      <c r="F2845" s="478"/>
      <c r="G2845" s="507"/>
      <c r="H2845" s="507"/>
      <c r="I2845" s="507"/>
      <c r="J2845" s="507"/>
      <c r="K2845" s="507"/>
      <c r="L2845" s="507"/>
      <c r="M2845" s="507"/>
      <c r="N2845" s="348"/>
    </row>
    <row r="2846" spans="1:14" s="361" customFormat="1" ht="54" customHeight="1">
      <c r="A2846" s="1189">
        <v>9</v>
      </c>
      <c r="B2846" s="500" t="s">
        <v>700</v>
      </c>
      <c r="C2846" s="26" t="s">
        <v>1575</v>
      </c>
      <c r="D2846" s="421" t="s">
        <v>88</v>
      </c>
      <c r="E2846" s="421"/>
      <c r="F2846" s="475">
        <f>'დეფექტური აქტი'!E715</f>
        <v>16.5</v>
      </c>
      <c r="G2846" s="425"/>
      <c r="H2846" s="425"/>
      <c r="I2846" s="425"/>
      <c r="J2846" s="425"/>
      <c r="K2846" s="425"/>
      <c r="L2846" s="425"/>
      <c r="M2846" s="425"/>
      <c r="N2846" s="348"/>
    </row>
    <row r="2847" spans="1:14" s="361" customFormat="1" ht="15" customHeight="1">
      <c r="A2847" s="1071"/>
      <c r="B2847" s="328"/>
      <c r="C2847" s="341" t="s">
        <v>209</v>
      </c>
      <c r="D2847" s="336" t="s">
        <v>80</v>
      </c>
      <c r="E2847" s="336">
        <v>8.44</v>
      </c>
      <c r="F2847" s="350">
        <f>F2846*E2847</f>
        <v>139.26</v>
      </c>
      <c r="G2847" s="389"/>
      <c r="H2847" s="389"/>
      <c r="I2847" s="389"/>
      <c r="J2847" s="389"/>
      <c r="K2847" s="389"/>
      <c r="L2847" s="389"/>
      <c r="M2847" s="389"/>
      <c r="N2847" s="348"/>
    </row>
    <row r="2848" spans="1:14" s="361" customFormat="1">
      <c r="A2848" s="1071"/>
      <c r="B2848" s="328"/>
      <c r="C2848" s="341" t="s">
        <v>81</v>
      </c>
      <c r="D2848" s="336" t="s">
        <v>57</v>
      </c>
      <c r="E2848" s="336">
        <v>1.1000000000000001</v>
      </c>
      <c r="F2848" s="350">
        <f>F2846*E2848</f>
        <v>18.150000000000002</v>
      </c>
      <c r="G2848" s="389"/>
      <c r="H2848" s="389"/>
      <c r="I2848" s="389"/>
      <c r="J2848" s="389"/>
      <c r="K2848" s="389"/>
      <c r="L2848" s="389"/>
      <c r="M2848" s="389"/>
      <c r="N2848" s="348"/>
    </row>
    <row r="2849" spans="1:14" s="361" customFormat="1" hidden="1">
      <c r="A2849" s="330"/>
      <c r="B2849" s="328"/>
      <c r="C2849" s="341" t="s">
        <v>210</v>
      </c>
      <c r="D2849" s="336"/>
      <c r="E2849" s="336"/>
      <c r="F2849" s="350">
        <f>E2849*2353</f>
        <v>0</v>
      </c>
      <c r="G2849" s="389"/>
      <c r="H2849" s="389"/>
      <c r="I2849" s="389"/>
      <c r="J2849" s="389"/>
      <c r="K2849" s="389"/>
      <c r="L2849" s="389"/>
      <c r="M2849" s="389"/>
      <c r="N2849" s="348"/>
    </row>
    <row r="2850" spans="1:14" s="361" customFormat="1">
      <c r="A2850" s="1071"/>
      <c r="B2850" s="328"/>
      <c r="C2850" s="26" t="s">
        <v>1579</v>
      </c>
      <c r="D2850" s="336" t="s">
        <v>88</v>
      </c>
      <c r="E2850" s="336">
        <v>1.0149999999999999</v>
      </c>
      <c r="F2850" s="350">
        <f>F2846*E2850</f>
        <v>16.747499999999999</v>
      </c>
      <c r="G2850" s="511"/>
      <c r="H2850" s="389"/>
      <c r="I2850" s="389"/>
      <c r="J2850" s="389"/>
      <c r="K2850" s="389"/>
      <c r="L2850" s="389"/>
      <c r="M2850" s="389"/>
      <c r="N2850" s="348"/>
    </row>
    <row r="2851" spans="1:14" s="361" customFormat="1">
      <c r="A2851" s="1071"/>
      <c r="B2851" s="328"/>
      <c r="C2851" s="341" t="s">
        <v>301</v>
      </c>
      <c r="D2851" s="336" t="s">
        <v>78</v>
      </c>
      <c r="E2851" s="336">
        <v>1.84</v>
      </c>
      <c r="F2851" s="350">
        <f>F2846*E2851</f>
        <v>30.360000000000003</v>
      </c>
      <c r="G2851" s="511"/>
      <c r="H2851" s="389"/>
      <c r="I2851" s="389"/>
      <c r="J2851" s="389"/>
      <c r="K2851" s="389"/>
      <c r="L2851" s="389"/>
      <c r="M2851" s="389"/>
      <c r="N2851" s="348"/>
    </row>
    <row r="2852" spans="1:14" s="361" customFormat="1">
      <c r="A2852" s="1071"/>
      <c r="B2852" s="328"/>
      <c r="C2852" s="341" t="s">
        <v>264</v>
      </c>
      <c r="D2852" s="336" t="s">
        <v>88</v>
      </c>
      <c r="E2852" s="336">
        <v>3.3999999999999998E-3</v>
      </c>
      <c r="F2852" s="350">
        <f>F2846*E2852</f>
        <v>5.6099999999999997E-2</v>
      </c>
      <c r="G2852" s="511"/>
      <c r="H2852" s="389"/>
      <c r="I2852" s="389"/>
      <c r="J2852" s="389"/>
      <c r="K2852" s="389"/>
      <c r="L2852" s="389"/>
      <c r="M2852" s="389"/>
      <c r="N2852" s="348"/>
    </row>
    <row r="2853" spans="1:14" s="361" customFormat="1">
      <c r="A2853" s="1071"/>
      <c r="B2853" s="328"/>
      <c r="C2853" s="341" t="s">
        <v>302</v>
      </c>
      <c r="D2853" s="336" t="s">
        <v>88</v>
      </c>
      <c r="E2853" s="336">
        <v>3.9100000000000003E-2</v>
      </c>
      <c r="F2853" s="350">
        <f>F2846*E2853</f>
        <v>0.64515</v>
      </c>
      <c r="G2853" s="511"/>
      <c r="H2853" s="389"/>
      <c r="I2853" s="389"/>
      <c r="J2853" s="389"/>
      <c r="K2853" s="389"/>
      <c r="L2853" s="389"/>
      <c r="M2853" s="389"/>
      <c r="N2853" s="348"/>
    </row>
    <row r="2854" spans="1:14" s="361" customFormat="1">
      <c r="A2854" s="1071"/>
      <c r="B2854" s="328"/>
      <c r="C2854" s="341" t="s">
        <v>303</v>
      </c>
      <c r="D2854" s="336" t="s">
        <v>97</v>
      </c>
      <c r="E2854" s="336">
        <v>2.2000000000000002</v>
      </c>
      <c r="F2854" s="350">
        <f>F2846*E2854</f>
        <v>36.300000000000004</v>
      </c>
      <c r="G2854" s="511"/>
      <c r="H2854" s="389"/>
      <c r="I2854" s="389"/>
      <c r="J2854" s="389"/>
      <c r="K2854" s="389"/>
      <c r="L2854" s="389"/>
      <c r="M2854" s="389"/>
      <c r="N2854" s="348"/>
    </row>
    <row r="2855" spans="1:14" s="361" customFormat="1">
      <c r="A2855" s="1071"/>
      <c r="B2855" s="328"/>
      <c r="C2855" s="341" t="s">
        <v>307</v>
      </c>
      <c r="D2855" s="336" t="s">
        <v>97</v>
      </c>
      <c r="E2855" s="336">
        <v>1</v>
      </c>
      <c r="F2855" s="350">
        <f>F2846*E2855</f>
        <v>16.5</v>
      </c>
      <c r="G2855" s="511"/>
      <c r="H2855" s="389"/>
      <c r="I2855" s="389"/>
      <c r="J2855" s="389"/>
      <c r="K2855" s="389"/>
      <c r="L2855" s="389"/>
      <c r="M2855" s="389"/>
      <c r="N2855" s="348"/>
    </row>
    <row r="2856" spans="1:14" s="361" customFormat="1">
      <c r="A2856" s="1071"/>
      <c r="B2856" s="328"/>
      <c r="C2856" s="341" t="s">
        <v>214</v>
      </c>
      <c r="D2856" s="336" t="s">
        <v>57</v>
      </c>
      <c r="E2856" s="336">
        <v>0.46</v>
      </c>
      <c r="F2856" s="350">
        <f>F2846*E2856</f>
        <v>7.5900000000000007</v>
      </c>
      <c r="G2856" s="511"/>
      <c r="H2856" s="389"/>
      <c r="I2856" s="389"/>
      <c r="J2856" s="389"/>
      <c r="K2856" s="389"/>
      <c r="L2856" s="389"/>
      <c r="M2856" s="389"/>
      <c r="N2856" s="348"/>
    </row>
    <row r="2857" spans="1:14" s="463" customFormat="1" ht="14.25" customHeight="1">
      <c r="A2857" s="1070">
        <v>10</v>
      </c>
      <c r="B2857" s="462"/>
      <c r="C2857" s="128" t="s">
        <v>884</v>
      </c>
      <c r="D2857" s="98" t="s">
        <v>206</v>
      </c>
      <c r="E2857" s="98"/>
      <c r="F2857" s="476">
        <f>'დეფექტური აქტი'!E716</f>
        <v>0.1</v>
      </c>
      <c r="G2857" s="1334"/>
      <c r="H2857" s="501"/>
      <c r="I2857" s="501"/>
      <c r="J2857" s="501"/>
      <c r="K2857" s="501"/>
      <c r="L2857" s="501"/>
      <c r="M2857" s="501"/>
      <c r="N2857" s="348"/>
    </row>
    <row r="2858" spans="1:14" s="463" customFormat="1" ht="14.25" customHeight="1">
      <c r="A2858" s="1070">
        <v>11</v>
      </c>
      <c r="B2858" s="462"/>
      <c r="C2858" s="128" t="s">
        <v>501</v>
      </c>
      <c r="D2858" s="98" t="s">
        <v>206</v>
      </c>
      <c r="E2858" s="98"/>
      <c r="F2858" s="476">
        <f>'დეფექტური აქტი'!E717</f>
        <v>1.39</v>
      </c>
      <c r="G2858" s="1334"/>
      <c r="H2858" s="501"/>
      <c r="I2858" s="501"/>
      <c r="J2858" s="501"/>
      <c r="K2858" s="501"/>
      <c r="L2858" s="501"/>
      <c r="M2858" s="501"/>
      <c r="N2858" s="348"/>
    </row>
    <row r="2859" spans="1:14" s="359" customFormat="1" ht="27">
      <c r="A2859" s="1189">
        <v>12</v>
      </c>
      <c r="B2859" s="500" t="s">
        <v>1201</v>
      </c>
      <c r="C2859" s="420" t="s">
        <v>1256</v>
      </c>
      <c r="D2859" s="421" t="s">
        <v>78</v>
      </c>
      <c r="E2859" s="421"/>
      <c r="F2859" s="475">
        <f>'დეფექტური აქტი'!E718</f>
        <v>6</v>
      </c>
      <c r="G2859" s="425"/>
      <c r="H2859" s="425"/>
      <c r="I2859" s="425"/>
      <c r="J2859" s="425"/>
      <c r="K2859" s="425"/>
      <c r="L2859" s="425"/>
      <c r="M2859" s="425"/>
      <c r="N2859" s="358"/>
    </row>
    <row r="2860" spans="1:14" s="359" customFormat="1" ht="15.75" customHeight="1">
      <c r="A2860" s="1071"/>
      <c r="B2860" s="328"/>
      <c r="C2860" s="341" t="s">
        <v>209</v>
      </c>
      <c r="D2860" s="336" t="s">
        <v>80</v>
      </c>
      <c r="E2860" s="336">
        <v>0.33600000000000002</v>
      </c>
      <c r="F2860" s="350">
        <f>F2859*E2860</f>
        <v>2.016</v>
      </c>
      <c r="G2860" s="389"/>
      <c r="H2860" s="389"/>
      <c r="I2860" s="389"/>
      <c r="J2860" s="389"/>
      <c r="K2860" s="389"/>
      <c r="L2860" s="389"/>
      <c r="M2860" s="389"/>
      <c r="N2860" s="358"/>
    </row>
    <row r="2861" spans="1:14" s="359" customFormat="1">
      <c r="A2861" s="1071"/>
      <c r="B2861" s="328"/>
      <c r="C2861" s="341" t="s">
        <v>81</v>
      </c>
      <c r="D2861" s="336" t="s">
        <v>57</v>
      </c>
      <c r="E2861" s="336">
        <v>1.4999999999999999E-2</v>
      </c>
      <c r="F2861" s="350">
        <f>F2859*E2861</f>
        <v>0.09</v>
      </c>
      <c r="G2861" s="389"/>
      <c r="H2861" s="389"/>
      <c r="I2861" s="389"/>
      <c r="J2861" s="389"/>
      <c r="K2861" s="389"/>
      <c r="L2861" s="389"/>
      <c r="M2861" s="389"/>
      <c r="N2861" s="358"/>
    </row>
    <row r="2862" spans="1:14" s="359" customFormat="1" hidden="1">
      <c r="A2862" s="330"/>
      <c r="B2862" s="328"/>
      <c r="C2862" s="341" t="s">
        <v>210</v>
      </c>
      <c r="D2862" s="336"/>
      <c r="E2862" s="336"/>
      <c r="F2862" s="350">
        <f>E2862*2353</f>
        <v>0</v>
      </c>
      <c r="G2862" s="389"/>
      <c r="H2862" s="389"/>
      <c r="I2862" s="389"/>
      <c r="J2862" s="389"/>
      <c r="K2862" s="389"/>
      <c r="L2862" s="389"/>
      <c r="M2862" s="389"/>
      <c r="N2862" s="358"/>
    </row>
    <row r="2863" spans="1:14" s="359" customFormat="1">
      <c r="A2863" s="1071"/>
      <c r="B2863" s="328"/>
      <c r="C2863" s="341" t="s">
        <v>993</v>
      </c>
      <c r="D2863" s="336" t="s">
        <v>97</v>
      </c>
      <c r="E2863" s="336">
        <v>2.4</v>
      </c>
      <c r="F2863" s="350">
        <f>F2859*E2863</f>
        <v>14.399999999999999</v>
      </c>
      <c r="G2863" s="389"/>
      <c r="H2863" s="389"/>
      <c r="I2863" s="389"/>
      <c r="J2863" s="389"/>
      <c r="K2863" s="389"/>
      <c r="L2863" s="389"/>
      <c r="M2863" s="389"/>
      <c r="N2863" s="358"/>
    </row>
    <row r="2864" spans="1:14" s="359" customFormat="1">
      <c r="A2864" s="1071"/>
      <c r="B2864" s="328"/>
      <c r="C2864" s="341" t="s">
        <v>214</v>
      </c>
      <c r="D2864" s="336" t="s">
        <v>57</v>
      </c>
      <c r="E2864" s="336">
        <v>2.2800000000000001E-2</v>
      </c>
      <c r="F2864" s="350">
        <f>F2859*E2864</f>
        <v>0.1368</v>
      </c>
      <c r="G2864" s="389"/>
      <c r="H2864" s="389"/>
      <c r="I2864" s="389"/>
      <c r="J2864" s="389"/>
      <c r="K2864" s="389"/>
      <c r="L2864" s="389"/>
      <c r="M2864" s="389"/>
      <c r="N2864" s="358"/>
    </row>
    <row r="2865" spans="1:14" s="464" customFormat="1">
      <c r="A2865" s="1070"/>
      <c r="B2865" s="462"/>
      <c r="C2865" s="491" t="s">
        <v>327</v>
      </c>
      <c r="D2865" s="98"/>
      <c r="E2865" s="98"/>
      <c r="F2865" s="476"/>
      <c r="G2865" s="501"/>
      <c r="H2865" s="501"/>
      <c r="I2865" s="505"/>
      <c r="J2865" s="505"/>
      <c r="K2865" s="505"/>
      <c r="L2865" s="505"/>
      <c r="M2865" s="505"/>
      <c r="N2865" s="502"/>
    </row>
    <row r="2866" spans="1:14" s="464" customFormat="1" ht="18" customHeight="1">
      <c r="A2866" s="1070"/>
      <c r="B2866" s="462"/>
      <c r="C2866" s="467" t="s">
        <v>1140</v>
      </c>
      <c r="D2866" s="98"/>
      <c r="E2866" s="98"/>
      <c r="F2866" s="476"/>
      <c r="G2866" s="501"/>
      <c r="H2866" s="501"/>
      <c r="I2866" s="501"/>
      <c r="J2866" s="501"/>
      <c r="K2866" s="501"/>
      <c r="L2866" s="501"/>
      <c r="M2866" s="501"/>
      <c r="N2866" s="348"/>
    </row>
    <row r="2867" spans="1:14" s="359" customFormat="1" ht="43.5" hidden="1" customHeight="1">
      <c r="A2867" s="330">
        <v>13</v>
      </c>
      <c r="B2867" s="328" t="s">
        <v>917</v>
      </c>
      <c r="C2867" s="26" t="s">
        <v>1577</v>
      </c>
      <c r="D2867" s="330" t="s">
        <v>88</v>
      </c>
      <c r="E2867" s="330"/>
      <c r="F2867" s="457">
        <f>'დეფექტური აქტი'!E720</f>
        <v>0</v>
      </c>
      <c r="G2867" s="389"/>
      <c r="H2867" s="389"/>
      <c r="I2867" s="389"/>
      <c r="J2867" s="389"/>
      <c r="K2867" s="389"/>
      <c r="L2867" s="389"/>
      <c r="M2867" s="389"/>
      <c r="N2867" s="358"/>
    </row>
    <row r="2868" spans="1:14" s="359" customFormat="1" ht="14.25" hidden="1" customHeight="1">
      <c r="A2868" s="330"/>
      <c r="B2868" s="328"/>
      <c r="C2868" s="341" t="s">
        <v>209</v>
      </c>
      <c r="D2868" s="336" t="s">
        <v>80</v>
      </c>
      <c r="E2868" s="336">
        <v>13.3</v>
      </c>
      <c r="F2868" s="350">
        <f>F2867*E2868</f>
        <v>0</v>
      </c>
      <c r="G2868" s="389"/>
      <c r="H2868" s="389"/>
      <c r="I2868" s="389">
        <v>4.5999999999999996</v>
      </c>
      <c r="J2868" s="389">
        <f>F2868*I2868</f>
        <v>0</v>
      </c>
      <c r="K2868" s="389"/>
      <c r="L2868" s="389"/>
      <c r="M2868" s="389">
        <f>H2868+J2868+L2868</f>
        <v>0</v>
      </c>
      <c r="N2868" s="358"/>
    </row>
    <row r="2869" spans="1:14" s="359" customFormat="1" hidden="1">
      <c r="A2869" s="330"/>
      <c r="B2869" s="328"/>
      <c r="C2869" s="341" t="s">
        <v>81</v>
      </c>
      <c r="D2869" s="336" t="s">
        <v>57</v>
      </c>
      <c r="E2869" s="336">
        <v>3.36</v>
      </c>
      <c r="F2869" s="350">
        <f>F2867*E2869</f>
        <v>0</v>
      </c>
      <c r="G2869" s="389"/>
      <c r="H2869" s="389"/>
      <c r="I2869" s="389"/>
      <c r="J2869" s="389"/>
      <c r="K2869" s="389">
        <v>3.2</v>
      </c>
      <c r="L2869" s="389">
        <f>F2869*K2869</f>
        <v>0</v>
      </c>
      <c r="M2869" s="389">
        <f>H2869+J2869+L2869</f>
        <v>0</v>
      </c>
      <c r="N2869" s="358"/>
    </row>
    <row r="2870" spans="1:14" s="359" customFormat="1" hidden="1">
      <c r="A2870" s="330"/>
      <c r="B2870" s="328"/>
      <c r="C2870" s="341" t="s">
        <v>210</v>
      </c>
      <c r="D2870" s="336"/>
      <c r="E2870" s="336"/>
      <c r="F2870" s="350">
        <f>E2870*2353</f>
        <v>0</v>
      </c>
      <c r="G2870" s="389"/>
      <c r="H2870" s="389"/>
      <c r="I2870" s="389"/>
      <c r="J2870" s="389"/>
      <c r="K2870" s="389"/>
      <c r="L2870" s="389"/>
      <c r="M2870" s="389"/>
      <c r="N2870" s="358"/>
    </row>
    <row r="2871" spans="1:14" s="359" customFormat="1" hidden="1">
      <c r="A2871" s="330"/>
      <c r="B2871" s="328"/>
      <c r="C2871" s="341" t="s">
        <v>856</v>
      </c>
      <c r="D2871" s="336" t="s">
        <v>88</v>
      </c>
      <c r="E2871" s="336">
        <v>1.0149999999999999</v>
      </c>
      <c r="F2871" s="350">
        <f>F2867*E2871</f>
        <v>0</v>
      </c>
      <c r="G2871" s="389">
        <v>110</v>
      </c>
      <c r="H2871" s="389">
        <f t="shared" ref="H2871:H2877" si="66">F2871*G2871</f>
        <v>0</v>
      </c>
      <c r="I2871" s="389"/>
      <c r="J2871" s="389"/>
      <c r="K2871" s="389"/>
      <c r="L2871" s="389"/>
      <c r="M2871" s="389">
        <f t="shared" ref="M2871:M2877" si="67">H2871+J2871+L2871</f>
        <v>0</v>
      </c>
      <c r="N2871" s="358"/>
    </row>
    <row r="2872" spans="1:14" s="359" customFormat="1" hidden="1">
      <c r="A2872" s="330"/>
      <c r="B2872" s="328"/>
      <c r="C2872" s="341" t="s">
        <v>301</v>
      </c>
      <c r="D2872" s="336" t="s">
        <v>78</v>
      </c>
      <c r="E2872" s="336">
        <v>2.42</v>
      </c>
      <c r="F2872" s="350">
        <f>F2867*E2872</f>
        <v>0</v>
      </c>
      <c r="G2872" s="389">
        <v>10.5</v>
      </c>
      <c r="H2872" s="389">
        <f t="shared" si="66"/>
        <v>0</v>
      </c>
      <c r="I2872" s="389"/>
      <c r="J2872" s="389"/>
      <c r="K2872" s="389"/>
      <c r="L2872" s="389"/>
      <c r="M2872" s="389">
        <f t="shared" si="67"/>
        <v>0</v>
      </c>
      <c r="N2872" s="358"/>
    </row>
    <row r="2873" spans="1:14" s="359" customFormat="1" hidden="1">
      <c r="A2873" s="330"/>
      <c r="B2873" s="328"/>
      <c r="C2873" s="341" t="s">
        <v>539</v>
      </c>
      <c r="D2873" s="336" t="s">
        <v>88</v>
      </c>
      <c r="E2873" s="336">
        <v>5.8099999999999999E-2</v>
      </c>
      <c r="F2873" s="350">
        <f>F2867*E2873</f>
        <v>0</v>
      </c>
      <c r="G2873" s="389">
        <v>453</v>
      </c>
      <c r="H2873" s="389">
        <f t="shared" si="66"/>
        <v>0</v>
      </c>
      <c r="I2873" s="389"/>
      <c r="J2873" s="389"/>
      <c r="K2873" s="389"/>
      <c r="L2873" s="389"/>
      <c r="M2873" s="389">
        <f t="shared" si="67"/>
        <v>0</v>
      </c>
      <c r="N2873" s="358"/>
    </row>
    <row r="2874" spans="1:14" s="359" customFormat="1" hidden="1">
      <c r="A2874" s="330"/>
      <c r="B2874" s="328"/>
      <c r="C2874" s="341" t="s">
        <v>302</v>
      </c>
      <c r="D2874" s="336" t="s">
        <v>88</v>
      </c>
      <c r="E2874" s="336">
        <v>6.7000000000000002E-3</v>
      </c>
      <c r="F2874" s="350">
        <f>F2867*E2874</f>
        <v>0</v>
      </c>
      <c r="G2874" s="389">
        <v>403</v>
      </c>
      <c r="H2874" s="389">
        <f>F2874*G2874</f>
        <v>0</v>
      </c>
      <c r="I2874" s="389"/>
      <c r="J2874" s="389"/>
      <c r="K2874" s="389"/>
      <c r="L2874" s="389"/>
      <c r="M2874" s="389">
        <f>H2874+J2874+L2874</f>
        <v>0</v>
      </c>
      <c r="N2874" s="358"/>
    </row>
    <row r="2875" spans="1:14" s="359" customFormat="1" hidden="1">
      <c r="A2875" s="330"/>
      <c r="B2875" s="328"/>
      <c r="C2875" s="341" t="s">
        <v>307</v>
      </c>
      <c r="D2875" s="336" t="s">
        <v>97</v>
      </c>
      <c r="E2875" s="336">
        <v>1.5</v>
      </c>
      <c r="F2875" s="350">
        <f>F2867*E2875</f>
        <v>0</v>
      </c>
      <c r="G2875" s="389">
        <v>3.75</v>
      </c>
      <c r="H2875" s="389">
        <f>F2875*G2875</f>
        <v>0</v>
      </c>
      <c r="I2875" s="389"/>
      <c r="J2875" s="389"/>
      <c r="K2875" s="389"/>
      <c r="L2875" s="389"/>
      <c r="M2875" s="389">
        <f>H2875+J2875+L2875</f>
        <v>0</v>
      </c>
      <c r="N2875" s="358"/>
    </row>
    <row r="2876" spans="1:14" s="359" customFormat="1" hidden="1">
      <c r="A2876" s="330"/>
      <c r="B2876" s="328"/>
      <c r="C2876" s="341" t="s">
        <v>214</v>
      </c>
      <c r="D2876" s="336" t="s">
        <v>57</v>
      </c>
      <c r="E2876" s="336">
        <v>0.6</v>
      </c>
      <c r="F2876" s="350">
        <f>F2867*E2876</f>
        <v>0</v>
      </c>
      <c r="G2876" s="389">
        <v>3.2</v>
      </c>
      <c r="H2876" s="389">
        <f t="shared" si="66"/>
        <v>0</v>
      </c>
      <c r="I2876" s="389"/>
      <c r="J2876" s="389"/>
      <c r="K2876" s="389"/>
      <c r="L2876" s="389"/>
      <c r="M2876" s="389">
        <f t="shared" si="67"/>
        <v>0</v>
      </c>
      <c r="N2876" s="358"/>
    </row>
    <row r="2877" spans="1:14" s="88" customFormat="1" hidden="1">
      <c r="A2877" s="24">
        <v>14</v>
      </c>
      <c r="B2877" s="175"/>
      <c r="C2877" s="260" t="s">
        <v>501</v>
      </c>
      <c r="D2877" s="158" t="s">
        <v>206</v>
      </c>
      <c r="E2877" s="261"/>
      <c r="F2877" s="508">
        <f>'დეფექტური აქტი'!E721</f>
        <v>0</v>
      </c>
      <c r="G2877" s="501">
        <v>953</v>
      </c>
      <c r="H2877" s="607">
        <f t="shared" si="66"/>
        <v>0</v>
      </c>
      <c r="I2877" s="607"/>
      <c r="J2877" s="607"/>
      <c r="K2877" s="607"/>
      <c r="L2877" s="607"/>
      <c r="M2877" s="607">
        <f t="shared" si="67"/>
        <v>0</v>
      </c>
    </row>
    <row r="2878" spans="1:14" s="359" customFormat="1" hidden="1">
      <c r="A2878" s="24">
        <v>15</v>
      </c>
      <c r="B2878" s="175"/>
      <c r="C2878" s="260" t="s">
        <v>884</v>
      </c>
      <c r="D2878" s="158" t="s">
        <v>206</v>
      </c>
      <c r="E2878" s="261"/>
      <c r="F2878" s="508">
        <f>'დეფექტური აქტი'!E722</f>
        <v>0</v>
      </c>
      <c r="G2878" s="501">
        <v>1019</v>
      </c>
      <c r="H2878" s="607">
        <f>F2878*G2878</f>
        <v>0</v>
      </c>
      <c r="I2878" s="607"/>
      <c r="J2878" s="607"/>
      <c r="K2878" s="607"/>
      <c r="L2878" s="607"/>
      <c r="M2878" s="607">
        <f>H2878+J2878+L2878</f>
        <v>0</v>
      </c>
      <c r="N2878" s="358"/>
    </row>
    <row r="2879" spans="1:14" s="361" customFormat="1" ht="27">
      <c r="A2879" s="1189">
        <v>16</v>
      </c>
      <c r="B2879" s="500" t="s">
        <v>1202</v>
      </c>
      <c r="C2879" s="26" t="s">
        <v>1576</v>
      </c>
      <c r="D2879" s="421" t="s">
        <v>88</v>
      </c>
      <c r="E2879" s="421"/>
      <c r="F2879" s="475">
        <f>'დეფექტური აქტი'!E723</f>
        <v>7</v>
      </c>
      <c r="G2879" s="425"/>
      <c r="H2879" s="425"/>
      <c r="I2879" s="425"/>
      <c r="J2879" s="425"/>
      <c r="K2879" s="425"/>
      <c r="L2879" s="425"/>
      <c r="M2879" s="425"/>
      <c r="N2879" s="348"/>
    </row>
    <row r="2880" spans="1:14" s="361" customFormat="1" ht="15.75" customHeight="1">
      <c r="A2880" s="1071"/>
      <c r="B2880" s="328"/>
      <c r="C2880" s="341" t="s">
        <v>209</v>
      </c>
      <c r="D2880" s="336" t="s">
        <v>80</v>
      </c>
      <c r="E2880" s="336">
        <v>13.9</v>
      </c>
      <c r="F2880" s="350">
        <f>F2879*E2880</f>
        <v>97.3</v>
      </c>
      <c r="G2880" s="389"/>
      <c r="H2880" s="389"/>
      <c r="I2880" s="389"/>
      <c r="J2880" s="389"/>
      <c r="K2880" s="389"/>
      <c r="L2880" s="389"/>
      <c r="M2880" s="389"/>
      <c r="N2880" s="348"/>
    </row>
    <row r="2881" spans="1:14" s="361" customFormat="1">
      <c r="A2881" s="1071"/>
      <c r="B2881" s="328"/>
      <c r="C2881" s="341" t="s">
        <v>81</v>
      </c>
      <c r="D2881" s="336" t="s">
        <v>57</v>
      </c>
      <c r="E2881" s="336">
        <v>1.28</v>
      </c>
      <c r="F2881" s="350">
        <f>F2879*E2881</f>
        <v>8.9600000000000009</v>
      </c>
      <c r="G2881" s="389"/>
      <c r="H2881" s="389"/>
      <c r="I2881" s="389"/>
      <c r="J2881" s="389"/>
      <c r="K2881" s="389"/>
      <c r="L2881" s="389"/>
      <c r="M2881" s="389"/>
      <c r="N2881" s="348"/>
    </row>
    <row r="2882" spans="1:14" s="361" customFormat="1" hidden="1">
      <c r="A2882" s="330"/>
      <c r="B2882" s="328"/>
      <c r="C2882" s="341" t="s">
        <v>210</v>
      </c>
      <c r="D2882" s="336"/>
      <c r="E2882" s="336"/>
      <c r="F2882" s="350">
        <f>E2882*2353</f>
        <v>0</v>
      </c>
      <c r="G2882" s="389"/>
      <c r="H2882" s="389"/>
      <c r="I2882" s="389"/>
      <c r="J2882" s="389"/>
      <c r="K2882" s="389"/>
      <c r="L2882" s="389"/>
      <c r="M2882" s="389"/>
      <c r="N2882" s="348"/>
    </row>
    <row r="2883" spans="1:14" s="361" customFormat="1">
      <c r="A2883" s="1071"/>
      <c r="B2883" s="328"/>
      <c r="C2883" s="26" t="s">
        <v>1579</v>
      </c>
      <c r="D2883" s="336" t="s">
        <v>88</v>
      </c>
      <c r="E2883" s="336">
        <v>1.0149999999999999</v>
      </c>
      <c r="F2883" s="350">
        <f>F2879*E2883</f>
        <v>7.1049999999999995</v>
      </c>
      <c r="G2883" s="389"/>
      <c r="H2883" s="389"/>
      <c r="I2883" s="389"/>
      <c r="J2883" s="389"/>
      <c r="K2883" s="389"/>
      <c r="L2883" s="389"/>
      <c r="M2883" s="389"/>
      <c r="N2883" s="348"/>
    </row>
    <row r="2884" spans="1:14" s="361" customFormat="1">
      <c r="A2884" s="1071"/>
      <c r="B2884" s="328"/>
      <c r="C2884" s="341" t="s">
        <v>301</v>
      </c>
      <c r="D2884" s="336" t="s">
        <v>78</v>
      </c>
      <c r="E2884" s="336">
        <v>2.29</v>
      </c>
      <c r="F2884" s="350">
        <f>F2879*E2884</f>
        <v>16.03</v>
      </c>
      <c r="G2884" s="389"/>
      <c r="H2884" s="389"/>
      <c r="I2884" s="389"/>
      <c r="J2884" s="389"/>
      <c r="K2884" s="389"/>
      <c r="L2884" s="389"/>
      <c r="M2884" s="389"/>
      <c r="N2884" s="348"/>
    </row>
    <row r="2885" spans="1:14" s="361" customFormat="1">
      <c r="A2885" s="1071"/>
      <c r="B2885" s="328"/>
      <c r="C2885" s="341" t="s">
        <v>1203</v>
      </c>
      <c r="D2885" s="336" t="s">
        <v>88</v>
      </c>
      <c r="E2885" s="336">
        <v>1.4E-2</v>
      </c>
      <c r="F2885" s="350">
        <f>F2879*E2885</f>
        <v>9.8000000000000004E-2</v>
      </c>
      <c r="G2885" s="389"/>
      <c r="H2885" s="389"/>
      <c r="I2885" s="389"/>
      <c r="J2885" s="389"/>
      <c r="K2885" s="389"/>
      <c r="L2885" s="389"/>
      <c r="M2885" s="389"/>
      <c r="N2885" s="348"/>
    </row>
    <row r="2886" spans="1:14" s="361" customFormat="1">
      <c r="A2886" s="1071"/>
      <c r="B2886" s="328"/>
      <c r="C2886" s="341" t="s">
        <v>539</v>
      </c>
      <c r="D2886" s="336" t="s">
        <v>88</v>
      </c>
      <c r="E2886" s="336">
        <v>4.2900000000000001E-2</v>
      </c>
      <c r="F2886" s="350">
        <f>F2879*E2886</f>
        <v>0.30030000000000001</v>
      </c>
      <c r="G2886" s="389"/>
      <c r="H2886" s="389"/>
      <c r="I2886" s="389"/>
      <c r="J2886" s="389"/>
      <c r="K2886" s="389"/>
      <c r="L2886" s="389"/>
      <c r="M2886" s="389"/>
      <c r="N2886" s="348"/>
    </row>
    <row r="2887" spans="1:14" s="361" customFormat="1">
      <c r="A2887" s="1071"/>
      <c r="B2887" s="328"/>
      <c r="C2887" s="341" t="s">
        <v>302</v>
      </c>
      <c r="D2887" s="336" t="s">
        <v>88</v>
      </c>
      <c r="E2887" s="336">
        <v>2E-3</v>
      </c>
      <c r="F2887" s="350">
        <f>F2879*E2887</f>
        <v>1.4E-2</v>
      </c>
      <c r="G2887" s="389"/>
      <c r="H2887" s="389"/>
      <c r="I2887" s="389"/>
      <c r="J2887" s="389"/>
      <c r="K2887" s="389"/>
      <c r="L2887" s="389"/>
      <c r="M2887" s="389"/>
      <c r="N2887" s="348"/>
    </row>
    <row r="2888" spans="1:14" s="361" customFormat="1">
      <c r="A2888" s="1071"/>
      <c r="B2888" s="328"/>
      <c r="C2888" s="341" t="s">
        <v>214</v>
      </c>
      <c r="D2888" s="336" t="s">
        <v>57</v>
      </c>
      <c r="E2888" s="336">
        <v>0.93</v>
      </c>
      <c r="F2888" s="350">
        <f>F2879*E2888</f>
        <v>6.5100000000000007</v>
      </c>
      <c r="G2888" s="389"/>
      <c r="H2888" s="389"/>
      <c r="I2888" s="389"/>
      <c r="J2888" s="389"/>
      <c r="K2888" s="389"/>
      <c r="L2888" s="389"/>
      <c r="M2888" s="389"/>
      <c r="N2888" s="348"/>
    </row>
    <row r="2889" spans="1:14" s="464" customFormat="1">
      <c r="A2889" s="1070">
        <v>17</v>
      </c>
      <c r="B2889" s="462"/>
      <c r="C2889" s="128" t="s">
        <v>884</v>
      </c>
      <c r="D2889" s="98" t="s">
        <v>206</v>
      </c>
      <c r="E2889" s="98"/>
      <c r="F2889" s="508">
        <f>'დეფექტური აქტი'!E724</f>
        <v>0.13</v>
      </c>
      <c r="G2889" s="501"/>
      <c r="H2889" s="501"/>
      <c r="I2889" s="501"/>
      <c r="J2889" s="501"/>
      <c r="K2889" s="501"/>
      <c r="L2889" s="501"/>
      <c r="M2889" s="501"/>
      <c r="N2889" s="348"/>
    </row>
    <row r="2890" spans="1:14" s="464" customFormat="1">
      <c r="A2890" s="1070">
        <v>18</v>
      </c>
      <c r="B2890" s="462"/>
      <c r="C2890" s="128" t="s">
        <v>501</v>
      </c>
      <c r="D2890" s="98" t="s">
        <v>206</v>
      </c>
      <c r="E2890" s="98"/>
      <c r="F2890" s="508">
        <f>'დეფექტური აქტი'!E725</f>
        <v>1.1499999999999999</v>
      </c>
      <c r="G2890" s="501"/>
      <c r="H2890" s="501"/>
      <c r="I2890" s="501"/>
      <c r="J2890" s="501"/>
      <c r="K2890" s="501"/>
      <c r="L2890" s="501"/>
      <c r="M2890" s="501"/>
      <c r="N2890" s="348"/>
    </row>
    <row r="2891" spans="1:14" s="359" customFormat="1" ht="30.75" hidden="1" customHeight="1">
      <c r="A2891" s="330">
        <v>19</v>
      </c>
      <c r="B2891" s="328" t="s">
        <v>538</v>
      </c>
      <c r="C2891" s="26" t="s">
        <v>1578</v>
      </c>
      <c r="D2891" s="330" t="s">
        <v>88</v>
      </c>
      <c r="E2891" s="330"/>
      <c r="F2891" s="350">
        <f>'დეფექტური აქტი'!E727</f>
        <v>0</v>
      </c>
      <c r="G2891" s="389"/>
      <c r="H2891" s="389"/>
      <c r="I2891" s="389"/>
      <c r="J2891" s="389"/>
      <c r="K2891" s="389"/>
      <c r="L2891" s="389"/>
      <c r="M2891" s="389"/>
      <c r="N2891" s="358"/>
    </row>
    <row r="2892" spans="1:14" s="359" customFormat="1" ht="16.5" hidden="1" customHeight="1">
      <c r="A2892" s="330"/>
      <c r="B2892" s="328"/>
      <c r="C2892" s="341" t="s">
        <v>209</v>
      </c>
      <c r="D2892" s="336" t="s">
        <v>80</v>
      </c>
      <c r="E2892" s="336">
        <v>8.5399999999999991</v>
      </c>
      <c r="F2892" s="350">
        <f>F2891*E2892</f>
        <v>0</v>
      </c>
      <c r="G2892" s="389"/>
      <c r="H2892" s="389"/>
      <c r="I2892" s="389">
        <v>4.5999999999999996</v>
      </c>
      <c r="J2892" s="389">
        <f>F2892*I2892</f>
        <v>0</v>
      </c>
      <c r="K2892" s="389"/>
      <c r="L2892" s="389"/>
      <c r="M2892" s="389">
        <f>H2892+J2892+L2892</f>
        <v>0</v>
      </c>
      <c r="N2892" s="358"/>
    </row>
    <row r="2893" spans="1:14" s="359" customFormat="1" hidden="1">
      <c r="A2893" s="330"/>
      <c r="B2893" s="328"/>
      <c r="C2893" s="341" t="s">
        <v>81</v>
      </c>
      <c r="D2893" s="336" t="s">
        <v>57</v>
      </c>
      <c r="E2893" s="336">
        <v>1.06</v>
      </c>
      <c r="F2893" s="350">
        <f>F2891*E2893</f>
        <v>0</v>
      </c>
      <c r="G2893" s="389"/>
      <c r="H2893" s="389"/>
      <c r="I2893" s="389"/>
      <c r="J2893" s="389"/>
      <c r="K2893" s="389">
        <v>3.2</v>
      </c>
      <c r="L2893" s="389">
        <f>F2893*K2893</f>
        <v>0</v>
      </c>
      <c r="M2893" s="389">
        <f>H2893+J2893+L2893</f>
        <v>0</v>
      </c>
      <c r="N2893" s="358"/>
    </row>
    <row r="2894" spans="1:14" s="359" customFormat="1" hidden="1">
      <c r="A2894" s="330"/>
      <c r="B2894" s="328"/>
      <c r="C2894" s="341" t="s">
        <v>210</v>
      </c>
      <c r="D2894" s="336"/>
      <c r="E2894" s="336"/>
      <c r="F2894" s="350">
        <f>E2894*2353</f>
        <v>0</v>
      </c>
      <c r="G2894" s="389"/>
      <c r="H2894" s="389"/>
      <c r="I2894" s="389"/>
      <c r="J2894" s="389"/>
      <c r="K2894" s="389"/>
      <c r="L2894" s="389"/>
      <c r="M2894" s="389"/>
      <c r="N2894" s="358"/>
    </row>
    <row r="2895" spans="1:14" s="359" customFormat="1" hidden="1">
      <c r="A2895" s="330"/>
      <c r="B2895" s="328"/>
      <c r="C2895" s="26" t="s">
        <v>1120</v>
      </c>
      <c r="D2895" s="336" t="s">
        <v>88</v>
      </c>
      <c r="E2895" s="336">
        <v>1.0149999999999999</v>
      </c>
      <c r="F2895" s="350">
        <f>F2891*E2895</f>
        <v>0</v>
      </c>
      <c r="G2895" s="389">
        <v>110</v>
      </c>
      <c r="H2895" s="389">
        <f t="shared" ref="H2895:H2901" si="68">F2895*G2895</f>
        <v>0</v>
      </c>
      <c r="I2895" s="389"/>
      <c r="J2895" s="389"/>
      <c r="K2895" s="389"/>
      <c r="L2895" s="389"/>
      <c r="M2895" s="389">
        <f t="shared" ref="M2895:M2901" si="69">H2895+J2895+L2895</f>
        <v>0</v>
      </c>
      <c r="N2895" s="358"/>
    </row>
    <row r="2896" spans="1:14" s="359" customFormat="1" hidden="1">
      <c r="A2896" s="330"/>
      <c r="B2896" s="328"/>
      <c r="C2896" s="341" t="s">
        <v>301</v>
      </c>
      <c r="D2896" s="336" t="s">
        <v>78</v>
      </c>
      <c r="E2896" s="336">
        <v>1.4</v>
      </c>
      <c r="F2896" s="350">
        <f>F2891*E2896</f>
        <v>0</v>
      </c>
      <c r="G2896" s="389">
        <v>10.5</v>
      </c>
      <c r="H2896" s="389">
        <f t="shared" si="68"/>
        <v>0</v>
      </c>
      <c r="I2896" s="389"/>
      <c r="J2896" s="389"/>
      <c r="K2896" s="389"/>
      <c r="L2896" s="389"/>
      <c r="M2896" s="389">
        <f t="shared" si="69"/>
        <v>0</v>
      </c>
      <c r="N2896" s="358"/>
    </row>
    <row r="2897" spans="1:14" s="359" customFormat="1" hidden="1">
      <c r="A2897" s="330"/>
      <c r="B2897" s="328"/>
      <c r="C2897" s="341" t="s">
        <v>539</v>
      </c>
      <c r="D2897" s="336" t="s">
        <v>88</v>
      </c>
      <c r="E2897" s="336">
        <v>1.4500000000000001E-2</v>
      </c>
      <c r="F2897" s="350">
        <f>F2891*E2897</f>
        <v>0</v>
      </c>
      <c r="G2897" s="389">
        <v>453</v>
      </c>
      <c r="H2897" s="389">
        <f t="shared" si="68"/>
        <v>0</v>
      </c>
      <c r="I2897" s="389"/>
      <c r="J2897" s="389"/>
      <c r="K2897" s="389"/>
      <c r="L2897" s="389"/>
      <c r="M2897" s="389">
        <f t="shared" si="69"/>
        <v>0</v>
      </c>
      <c r="N2897" s="358"/>
    </row>
    <row r="2898" spans="1:14" s="359" customFormat="1" hidden="1">
      <c r="A2898" s="330"/>
      <c r="B2898" s="328"/>
      <c r="C2898" s="341" t="s">
        <v>307</v>
      </c>
      <c r="D2898" s="336" t="s">
        <v>97</v>
      </c>
      <c r="E2898" s="336">
        <v>2.5</v>
      </c>
      <c r="F2898" s="350">
        <f>F2891*E2898</f>
        <v>0</v>
      </c>
      <c r="G2898" s="389">
        <v>3.75</v>
      </c>
      <c r="H2898" s="389">
        <f t="shared" si="68"/>
        <v>0</v>
      </c>
      <c r="I2898" s="389"/>
      <c r="J2898" s="389"/>
      <c r="K2898" s="389"/>
      <c r="L2898" s="389"/>
      <c r="M2898" s="389">
        <f t="shared" si="69"/>
        <v>0</v>
      </c>
      <c r="N2898" s="358"/>
    </row>
    <row r="2899" spans="1:14" s="359" customFormat="1" hidden="1">
      <c r="A2899" s="330"/>
      <c r="B2899" s="328"/>
      <c r="C2899" s="341" t="s">
        <v>214</v>
      </c>
      <c r="D2899" s="336" t="s">
        <v>57</v>
      </c>
      <c r="E2899" s="336">
        <v>0.74</v>
      </c>
      <c r="F2899" s="350">
        <f>F2891*E2899</f>
        <v>0</v>
      </c>
      <c r="G2899" s="389">
        <v>3.2</v>
      </c>
      <c r="H2899" s="389">
        <f t="shared" si="68"/>
        <v>0</v>
      </c>
      <c r="I2899" s="389"/>
      <c r="J2899" s="389"/>
      <c r="K2899" s="389"/>
      <c r="L2899" s="389"/>
      <c r="M2899" s="389">
        <f t="shared" si="69"/>
        <v>0</v>
      </c>
      <c r="N2899" s="358"/>
    </row>
    <row r="2900" spans="1:14" s="464" customFormat="1" hidden="1">
      <c r="A2900" s="99">
        <v>20</v>
      </c>
      <c r="B2900" s="462"/>
      <c r="C2900" s="128" t="s">
        <v>884</v>
      </c>
      <c r="D2900" s="98" t="s">
        <v>206</v>
      </c>
      <c r="E2900" s="98"/>
      <c r="F2900" s="476">
        <f>'დეფექტური აქტი'!E728</f>
        <v>0</v>
      </c>
      <c r="G2900" s="501">
        <v>1019</v>
      </c>
      <c r="H2900" s="501">
        <f t="shared" si="68"/>
        <v>0</v>
      </c>
      <c r="I2900" s="501"/>
      <c r="J2900" s="501"/>
      <c r="K2900" s="501"/>
      <c r="L2900" s="501"/>
      <c r="M2900" s="501">
        <f t="shared" si="69"/>
        <v>0</v>
      </c>
      <c r="N2900" s="348"/>
    </row>
    <row r="2901" spans="1:14" s="464" customFormat="1" hidden="1">
      <c r="A2901" s="99">
        <v>21</v>
      </c>
      <c r="B2901" s="462"/>
      <c r="C2901" s="128" t="s">
        <v>501</v>
      </c>
      <c r="D2901" s="98" t="s">
        <v>206</v>
      </c>
      <c r="E2901" s="98"/>
      <c r="F2901" s="476">
        <f>'დეფექტური აქტი'!E729</f>
        <v>0</v>
      </c>
      <c r="G2901" s="501">
        <v>953</v>
      </c>
      <c r="H2901" s="501">
        <f t="shared" si="68"/>
        <v>0</v>
      </c>
      <c r="I2901" s="501"/>
      <c r="J2901" s="501"/>
      <c r="K2901" s="501"/>
      <c r="L2901" s="501"/>
      <c r="M2901" s="501">
        <f t="shared" si="69"/>
        <v>0</v>
      </c>
      <c r="N2901" s="348"/>
    </row>
    <row r="2902" spans="1:14" s="359" customFormat="1" ht="29.25" hidden="1" customHeight="1">
      <c r="A2902" s="336"/>
      <c r="B2902" s="328" t="s">
        <v>1785</v>
      </c>
      <c r="C2902" s="413" t="s">
        <v>1786</v>
      </c>
      <c r="D2902" s="516" t="s">
        <v>97</v>
      </c>
      <c r="E2902" s="330"/>
      <c r="F2902" s="331">
        <f>'დეფექტური აქტი'!E726</f>
        <v>0</v>
      </c>
      <c r="G2902" s="1103"/>
      <c r="H2902" s="1103"/>
      <c r="I2902" s="1103"/>
      <c r="J2902" s="1103"/>
      <c r="K2902" s="1103"/>
      <c r="L2902" s="1103"/>
      <c r="M2902" s="1103"/>
      <c r="N2902" s="358"/>
    </row>
    <row r="2903" spans="1:14" s="359" customFormat="1" ht="15" hidden="1" customHeight="1">
      <c r="A2903" s="336"/>
      <c r="B2903" s="328"/>
      <c r="C2903" s="341" t="s">
        <v>209</v>
      </c>
      <c r="D2903" s="336" t="s">
        <v>80</v>
      </c>
      <c r="E2903" s="336">
        <f>64/1000</f>
        <v>6.4000000000000001E-2</v>
      </c>
      <c r="F2903" s="890">
        <f>F2902*E2903</f>
        <v>0</v>
      </c>
      <c r="G2903" s="1103"/>
      <c r="H2903" s="1103"/>
      <c r="I2903" s="331">
        <v>4.5999999999999996</v>
      </c>
      <c r="J2903" s="331">
        <f>F2903*I2903</f>
        <v>0</v>
      </c>
      <c r="K2903" s="331"/>
      <c r="L2903" s="331"/>
      <c r="M2903" s="1103">
        <f>H2903+J2903+L2903</f>
        <v>0</v>
      </c>
      <c r="N2903" s="358"/>
    </row>
    <row r="2904" spans="1:14" s="359" customFormat="1" hidden="1">
      <c r="A2904" s="336"/>
      <c r="B2904" s="328"/>
      <c r="C2904" s="341" t="s">
        <v>81</v>
      </c>
      <c r="D2904" s="336" t="s">
        <v>57</v>
      </c>
      <c r="E2904" s="336">
        <f>1.3/1000</f>
        <v>1.2999999999999999E-3</v>
      </c>
      <c r="F2904" s="1103">
        <f>F2902*E2904</f>
        <v>0</v>
      </c>
      <c r="G2904" s="1103"/>
      <c r="H2904" s="1103"/>
      <c r="I2904" s="331"/>
      <c r="J2904" s="331"/>
      <c r="K2904" s="331">
        <v>3.2</v>
      </c>
      <c r="L2904" s="1103">
        <f>F2904*K2904</f>
        <v>0</v>
      </c>
      <c r="M2904" s="1103">
        <f>H2904+J2904+L2904</f>
        <v>0</v>
      </c>
      <c r="N2904" s="358"/>
    </row>
    <row r="2905" spans="1:14" s="359" customFormat="1" hidden="1">
      <c r="A2905" s="336"/>
      <c r="B2905" s="328"/>
      <c r="C2905" s="341" t="s">
        <v>210</v>
      </c>
      <c r="D2905" s="336"/>
      <c r="E2905" s="336"/>
      <c r="F2905" s="1103">
        <f>E2905*2353</f>
        <v>0</v>
      </c>
      <c r="G2905" s="1103"/>
      <c r="H2905" s="1103"/>
      <c r="I2905" s="1103"/>
      <c r="J2905" s="1103"/>
      <c r="K2905" s="1103"/>
      <c r="L2905" s="1103"/>
      <c r="M2905" s="1103"/>
      <c r="N2905" s="358"/>
    </row>
    <row r="2906" spans="1:14" s="359" customFormat="1" hidden="1">
      <c r="A2906" s="336"/>
      <c r="B2906" s="328"/>
      <c r="C2906" s="341" t="s">
        <v>1639</v>
      </c>
      <c r="D2906" s="336" t="s">
        <v>97</v>
      </c>
      <c r="E2906" s="336">
        <v>1</v>
      </c>
      <c r="F2906" s="1104">
        <f>F2902*E2906</f>
        <v>0</v>
      </c>
      <c r="G2906" s="907">
        <v>1.4</v>
      </c>
      <c r="H2906" s="907">
        <f>F2906*G2906</f>
        <v>0</v>
      </c>
      <c r="I2906" s="907"/>
      <c r="J2906" s="907"/>
      <c r="K2906" s="907"/>
      <c r="L2906" s="907"/>
      <c r="M2906" s="907">
        <f>H2906+J2906+L2906</f>
        <v>0</v>
      </c>
      <c r="N2906" s="358"/>
    </row>
    <row r="2907" spans="1:14" s="359" customFormat="1" hidden="1">
      <c r="A2907" s="336"/>
      <c r="B2907" s="328"/>
      <c r="C2907" s="341" t="s">
        <v>214</v>
      </c>
      <c r="D2907" s="336" t="s">
        <v>57</v>
      </c>
      <c r="E2907" s="336">
        <f>2/1000</f>
        <v>2E-3</v>
      </c>
      <c r="F2907" s="1103">
        <f>F2902*E2907</f>
        <v>0</v>
      </c>
      <c r="G2907" s="331">
        <v>3.2</v>
      </c>
      <c r="H2907" s="331">
        <f>F2907*G2907</f>
        <v>0</v>
      </c>
      <c r="I2907" s="331"/>
      <c r="J2907" s="331"/>
      <c r="K2907" s="331"/>
      <c r="L2907" s="331"/>
      <c r="M2907" s="1105">
        <f>H2907+J2907+L2907</f>
        <v>0</v>
      </c>
      <c r="N2907" s="358"/>
    </row>
    <row r="2908" spans="1:14" s="339" customFormat="1" ht="27" hidden="1">
      <c r="A2908" s="345">
        <v>22</v>
      </c>
      <c r="B2908" s="373" t="s">
        <v>410</v>
      </c>
      <c r="C2908" s="151" t="s">
        <v>1787</v>
      </c>
      <c r="D2908" s="140" t="s">
        <v>88</v>
      </c>
      <c r="E2908" s="140"/>
      <c r="F2908" s="406">
        <f>'დეფექტური აქტი'!E730</f>
        <v>0</v>
      </c>
      <c r="G2908" s="422"/>
      <c r="H2908" s="422"/>
      <c r="I2908" s="422"/>
      <c r="J2908" s="422"/>
      <c r="K2908" s="422"/>
      <c r="L2908" s="422"/>
      <c r="M2908" s="422"/>
    </row>
    <row r="2909" spans="1:14" s="361" customFormat="1" ht="14.25" hidden="1" customHeight="1">
      <c r="A2909" s="330"/>
      <c r="B2909" s="374"/>
      <c r="C2909" s="223" t="s">
        <v>209</v>
      </c>
      <c r="D2909" s="211" t="s">
        <v>80</v>
      </c>
      <c r="E2909" s="211">
        <v>3.36</v>
      </c>
      <c r="F2909" s="386">
        <f>F2908*E2909</f>
        <v>0</v>
      </c>
      <c r="G2909" s="225"/>
      <c r="H2909" s="225"/>
      <c r="I2909" s="225">
        <v>6</v>
      </c>
      <c r="J2909" s="225">
        <f>F2909*I2909</f>
        <v>0</v>
      </c>
      <c r="K2909" s="225"/>
      <c r="L2909" s="225"/>
      <c r="M2909" s="225">
        <f>H2909+J2909+L2909</f>
        <v>0</v>
      </c>
      <c r="N2909" s="348"/>
    </row>
    <row r="2910" spans="1:14" s="361" customFormat="1" hidden="1">
      <c r="A2910" s="330"/>
      <c r="B2910" s="374"/>
      <c r="C2910" s="223" t="s">
        <v>81</v>
      </c>
      <c r="D2910" s="83" t="s">
        <v>57</v>
      </c>
      <c r="E2910" s="211">
        <v>0.92</v>
      </c>
      <c r="F2910" s="386">
        <f>F2908*E2910</f>
        <v>0</v>
      </c>
      <c r="G2910" s="225"/>
      <c r="H2910" s="225"/>
      <c r="I2910" s="225"/>
      <c r="J2910" s="225"/>
      <c r="K2910" s="225">
        <v>3.2</v>
      </c>
      <c r="L2910" s="225">
        <f>F2910*K2910</f>
        <v>0</v>
      </c>
      <c r="M2910" s="225">
        <f>H2910+J2910+L2910</f>
        <v>0</v>
      </c>
      <c r="N2910" s="348"/>
    </row>
    <row r="2911" spans="1:14" s="361" customFormat="1" hidden="1">
      <c r="A2911" s="330"/>
      <c r="B2911" s="221"/>
      <c r="C2911" s="365" t="s">
        <v>210</v>
      </c>
      <c r="D2911" s="211"/>
      <c r="E2911" s="211"/>
      <c r="F2911" s="386"/>
      <c r="G2911" s="225"/>
      <c r="H2911" s="225"/>
      <c r="I2911" s="225"/>
      <c r="J2911" s="225"/>
      <c r="K2911" s="225"/>
      <c r="L2911" s="225"/>
      <c r="M2911" s="225"/>
      <c r="N2911" s="348"/>
    </row>
    <row r="2912" spans="1:14" s="361" customFormat="1" hidden="1">
      <c r="A2912" s="330"/>
      <c r="B2912" s="374"/>
      <c r="C2912" s="223" t="s">
        <v>513</v>
      </c>
      <c r="D2912" s="211" t="s">
        <v>88</v>
      </c>
      <c r="E2912" s="211">
        <v>0.11</v>
      </c>
      <c r="F2912" s="386">
        <f>F2908*E2912</f>
        <v>0</v>
      </c>
      <c r="G2912" s="386">
        <v>80</v>
      </c>
      <c r="H2912" s="225">
        <f>F2912*G2912</f>
        <v>0</v>
      </c>
      <c r="I2912" s="225"/>
      <c r="J2912" s="225"/>
      <c r="K2912" s="225"/>
      <c r="L2912" s="225"/>
      <c r="M2912" s="225">
        <f>H2912+J2912+L2912</f>
        <v>0</v>
      </c>
      <c r="N2912" s="348"/>
    </row>
    <row r="2913" spans="1:14" s="361" customFormat="1" hidden="1">
      <c r="A2913" s="330"/>
      <c r="B2913" s="374"/>
      <c r="C2913" s="223" t="s">
        <v>412</v>
      </c>
      <c r="D2913" s="83" t="s">
        <v>113</v>
      </c>
      <c r="E2913" s="211">
        <v>65.349999999999994</v>
      </c>
      <c r="F2913" s="386">
        <f>F2908*E2913</f>
        <v>0</v>
      </c>
      <c r="G2913" s="386">
        <v>1.35</v>
      </c>
      <c r="H2913" s="225">
        <f>F2913*G2913</f>
        <v>0</v>
      </c>
      <c r="I2913" s="225"/>
      <c r="J2913" s="225"/>
      <c r="K2913" s="225"/>
      <c r="L2913" s="225"/>
      <c r="M2913" s="225">
        <f>H2913+J2913+L2913</f>
        <v>0</v>
      </c>
      <c r="N2913" s="348"/>
    </row>
    <row r="2914" spans="1:14" s="361" customFormat="1" hidden="1">
      <c r="A2914" s="330"/>
      <c r="B2914" s="374"/>
      <c r="C2914" s="223" t="s">
        <v>1343</v>
      </c>
      <c r="D2914" s="83" t="s">
        <v>206</v>
      </c>
      <c r="E2914" s="211">
        <v>1</v>
      </c>
      <c r="F2914" s="386">
        <f>'დეფექტური აქტი'!E731</f>
        <v>0</v>
      </c>
      <c r="G2914" s="386">
        <v>1169</v>
      </c>
      <c r="H2914" s="225">
        <f>F2914*G2914</f>
        <v>0</v>
      </c>
      <c r="I2914" s="225"/>
      <c r="J2914" s="225"/>
      <c r="K2914" s="225"/>
      <c r="L2914" s="225"/>
      <c r="M2914" s="225">
        <f>H2914+J2914+L2914</f>
        <v>0</v>
      </c>
      <c r="N2914" s="348"/>
    </row>
    <row r="2915" spans="1:14" s="361" customFormat="1" hidden="1">
      <c r="A2915" s="330"/>
      <c r="B2915" s="374"/>
      <c r="C2915" s="223" t="s">
        <v>214</v>
      </c>
      <c r="D2915" s="83" t="s">
        <v>57</v>
      </c>
      <c r="E2915" s="211">
        <v>0.16</v>
      </c>
      <c r="F2915" s="386">
        <f>F2908*E2915</f>
        <v>0</v>
      </c>
      <c r="G2915" s="386">
        <v>3.2</v>
      </c>
      <c r="H2915" s="225">
        <f>F2915*G2915</f>
        <v>0</v>
      </c>
      <c r="I2915" s="225"/>
      <c r="J2915" s="225"/>
      <c r="K2915" s="225"/>
      <c r="L2915" s="225"/>
      <c r="M2915" s="225">
        <f>H2915+J2915+L2915</f>
        <v>0</v>
      </c>
      <c r="N2915" s="348"/>
    </row>
    <row r="2916" spans="1:14" s="361" customFormat="1" ht="15" hidden="1" customHeight="1">
      <c r="A2916" s="330"/>
      <c r="B2916" s="500" t="s">
        <v>1788</v>
      </c>
      <c r="C2916" s="420" t="s">
        <v>1789</v>
      </c>
      <c r="D2916" s="421" t="s">
        <v>78</v>
      </c>
      <c r="E2916" s="421"/>
      <c r="F2916" s="406">
        <f>'დეფექტური აქტი'!E732</f>
        <v>0</v>
      </c>
      <c r="G2916" s="421"/>
      <c r="H2916" s="787"/>
      <c r="I2916" s="786"/>
      <c r="J2916" s="787"/>
      <c r="K2916" s="786"/>
      <c r="L2916" s="787"/>
      <c r="M2916" s="787"/>
      <c r="N2916" s="348"/>
    </row>
    <row r="2917" spans="1:14" s="361" customFormat="1" hidden="1">
      <c r="A2917" s="330"/>
      <c r="B2917" s="328"/>
      <c r="C2917" s="341" t="s">
        <v>209</v>
      </c>
      <c r="D2917" s="336" t="s">
        <v>80</v>
      </c>
      <c r="E2917" s="336">
        <v>1</v>
      </c>
      <c r="F2917" s="331">
        <f>F2916*E2917</f>
        <v>0</v>
      </c>
      <c r="G2917" s="330"/>
      <c r="H2917" s="331"/>
      <c r="I2917" s="414">
        <v>4.5999999999999996</v>
      </c>
      <c r="J2917" s="331">
        <f>F2917*I2917</f>
        <v>0</v>
      </c>
      <c r="K2917" s="414"/>
      <c r="L2917" s="331"/>
      <c r="M2917" s="331">
        <f>H2917+J2917+L2917</f>
        <v>0</v>
      </c>
      <c r="N2917" s="348"/>
    </row>
    <row r="2918" spans="1:14" s="361" customFormat="1" hidden="1">
      <c r="A2918" s="330"/>
      <c r="B2918" s="328"/>
      <c r="C2918" s="341" t="s">
        <v>81</v>
      </c>
      <c r="D2918" s="336" t="s">
        <v>57</v>
      </c>
      <c r="E2918" s="336">
        <v>6.4399999999999999E-2</v>
      </c>
      <c r="F2918" s="331">
        <f>F2916*E2918</f>
        <v>0</v>
      </c>
      <c r="G2918" s="330"/>
      <c r="H2918" s="331"/>
      <c r="I2918" s="414"/>
      <c r="J2918" s="331"/>
      <c r="K2918" s="414">
        <v>3.2</v>
      </c>
      <c r="L2918" s="331">
        <f>F2918*K2918</f>
        <v>0</v>
      </c>
      <c r="M2918" s="331">
        <f>H2918+J2918+L2918</f>
        <v>0</v>
      </c>
      <c r="N2918" s="348"/>
    </row>
    <row r="2919" spans="1:14" s="361" customFormat="1" hidden="1">
      <c r="A2919" s="330"/>
      <c r="B2919" s="328"/>
      <c r="C2919" s="341" t="s">
        <v>210</v>
      </c>
      <c r="D2919" s="336"/>
      <c r="E2919" s="336"/>
      <c r="F2919" s="331">
        <f>E2919*2353</f>
        <v>0</v>
      </c>
      <c r="G2919" s="330"/>
      <c r="H2919" s="331"/>
      <c r="I2919" s="414"/>
      <c r="J2919" s="331"/>
      <c r="K2919" s="414"/>
      <c r="L2919" s="331"/>
      <c r="M2919" s="331"/>
      <c r="N2919" s="348"/>
    </row>
    <row r="2920" spans="1:14" s="361" customFormat="1" hidden="1">
      <c r="A2920" s="330"/>
      <c r="B2920" s="328"/>
      <c r="C2920" s="341" t="s">
        <v>411</v>
      </c>
      <c r="D2920" s="336" t="s">
        <v>88</v>
      </c>
      <c r="E2920" s="336">
        <v>5.0000000000000001E-3</v>
      </c>
      <c r="F2920" s="331">
        <f>F2916*E2920</f>
        <v>0</v>
      </c>
      <c r="G2920" s="330">
        <v>82</v>
      </c>
      <c r="H2920" s="331">
        <f t="shared" ref="H2920:H2925" si="70">F2920*G2920</f>
        <v>0</v>
      </c>
      <c r="I2920" s="414"/>
      <c r="J2920" s="331"/>
      <c r="K2920" s="414"/>
      <c r="L2920" s="331"/>
      <c r="M2920" s="331">
        <f t="shared" ref="M2920:M2925" si="71">H2920+J2920+L2920</f>
        <v>0</v>
      </c>
      <c r="N2920" s="348"/>
    </row>
    <row r="2921" spans="1:14" s="361" customFormat="1" hidden="1">
      <c r="A2921" s="330"/>
      <c r="B2921" s="328"/>
      <c r="C2921" s="341" t="s">
        <v>1790</v>
      </c>
      <c r="D2921" s="336" t="s">
        <v>816</v>
      </c>
      <c r="E2921" s="336">
        <v>10.875</v>
      </c>
      <c r="F2921" s="331">
        <f>F2916*E2921</f>
        <v>0</v>
      </c>
      <c r="G2921" s="330">
        <v>0.57999999999999996</v>
      </c>
      <c r="H2921" s="331">
        <f t="shared" si="70"/>
        <v>0</v>
      </c>
      <c r="I2921" s="414"/>
      <c r="J2921" s="331"/>
      <c r="K2921" s="414"/>
      <c r="L2921" s="331"/>
      <c r="M2921" s="331">
        <f t="shared" si="71"/>
        <v>0</v>
      </c>
      <c r="N2921" s="348"/>
    </row>
    <row r="2922" spans="1:14" s="361" customFormat="1" hidden="1">
      <c r="A2922" s="330"/>
      <c r="B2922" s="328"/>
      <c r="C2922" s="341" t="s">
        <v>264</v>
      </c>
      <c r="D2922" s="336" t="s">
        <v>88</v>
      </c>
      <c r="E2922" s="336">
        <v>1E-3</v>
      </c>
      <c r="F2922" s="331">
        <f>F2916*E2922</f>
        <v>0</v>
      </c>
      <c r="G2922" s="330">
        <v>490</v>
      </c>
      <c r="H2922" s="331">
        <f t="shared" si="70"/>
        <v>0</v>
      </c>
      <c r="I2922" s="414"/>
      <c r="J2922" s="331"/>
      <c r="K2922" s="414"/>
      <c r="L2922" s="331"/>
      <c r="M2922" s="331">
        <f t="shared" si="71"/>
        <v>0</v>
      </c>
      <c r="N2922" s="348"/>
    </row>
    <row r="2923" spans="1:14" s="361" customFormat="1" hidden="1">
      <c r="A2923" s="330"/>
      <c r="B2923" s="328"/>
      <c r="C2923" s="341" t="s">
        <v>391</v>
      </c>
      <c r="D2923" s="336" t="s">
        <v>97</v>
      </c>
      <c r="E2923" s="336">
        <v>0.08</v>
      </c>
      <c r="F2923" s="331">
        <f>F2916*E2923</f>
        <v>0</v>
      </c>
      <c r="G2923" s="330">
        <v>2.4</v>
      </c>
      <c r="H2923" s="331">
        <f t="shared" si="70"/>
        <v>0</v>
      </c>
      <c r="I2923" s="414"/>
      <c r="J2923" s="331"/>
      <c r="K2923" s="414"/>
      <c r="L2923" s="331"/>
      <c r="M2923" s="331">
        <f t="shared" si="71"/>
        <v>0</v>
      </c>
      <c r="N2923" s="348"/>
    </row>
    <row r="2924" spans="1:14" s="361" customFormat="1" hidden="1">
      <c r="A2924" s="330"/>
      <c r="B2924" s="328"/>
      <c r="C2924" s="341" t="s">
        <v>184</v>
      </c>
      <c r="D2924" s="336" t="s">
        <v>78</v>
      </c>
      <c r="E2924" s="336">
        <v>0.06</v>
      </c>
      <c r="F2924" s="331">
        <f>F2916*E2924</f>
        <v>0</v>
      </c>
      <c r="G2924" s="330">
        <v>2.1</v>
      </c>
      <c r="H2924" s="331">
        <f t="shared" si="70"/>
        <v>0</v>
      </c>
      <c r="I2924" s="414"/>
      <c r="J2924" s="331"/>
      <c r="K2924" s="414"/>
      <c r="L2924" s="331"/>
      <c r="M2924" s="331">
        <f t="shared" si="71"/>
        <v>0</v>
      </c>
      <c r="N2924" s="348"/>
    </row>
    <row r="2925" spans="1:14" s="464" customFormat="1" hidden="1">
      <c r="A2925" s="466"/>
      <c r="B2925" s="417"/>
      <c r="C2925" s="344" t="s">
        <v>214</v>
      </c>
      <c r="D2925" s="342" t="s">
        <v>57</v>
      </c>
      <c r="E2925" s="342">
        <v>1.1999999999999999E-3</v>
      </c>
      <c r="F2925" s="418">
        <f>F2916*E2925</f>
        <v>0</v>
      </c>
      <c r="G2925" s="895">
        <v>3.2</v>
      </c>
      <c r="H2925" s="418">
        <f t="shared" si="70"/>
        <v>0</v>
      </c>
      <c r="I2925" s="895"/>
      <c r="J2925" s="418"/>
      <c r="K2925" s="895"/>
      <c r="L2925" s="418"/>
      <c r="M2925" s="418">
        <f t="shared" si="71"/>
        <v>0</v>
      </c>
      <c r="N2925" s="502">
        <f>H2925+J2925+L2925</f>
        <v>0</v>
      </c>
    </row>
    <row r="2926" spans="1:14" s="1114" customFormat="1" ht="27">
      <c r="A2926" s="1186">
        <v>16</v>
      </c>
      <c r="B2926" s="1107" t="s">
        <v>1791</v>
      </c>
      <c r="C2926" s="1108" t="s">
        <v>1797</v>
      </c>
      <c r="D2926" s="1109" t="s">
        <v>1793</v>
      </c>
      <c r="E2926" s="1342"/>
      <c r="F2926" s="1343">
        <f>'დეფექტური აქტი'!E733</f>
        <v>0.25</v>
      </c>
      <c r="G2926" s="1338"/>
      <c r="H2926" s="1338"/>
      <c r="I2926" s="1338"/>
      <c r="J2926" s="1338"/>
      <c r="K2926" s="1338"/>
      <c r="L2926" s="1338"/>
      <c r="M2926" s="1335"/>
      <c r="N2926" s="1113"/>
    </row>
    <row r="2927" spans="1:14" s="1114" customFormat="1">
      <c r="A2927" s="1187"/>
      <c r="B2927" s="1116"/>
      <c r="C2927" s="1117" t="s">
        <v>209</v>
      </c>
      <c r="D2927" s="1118" t="s">
        <v>80</v>
      </c>
      <c r="E2927" s="1341">
        <v>0.245</v>
      </c>
      <c r="F2927" s="1344">
        <f>F2926*E2927</f>
        <v>6.1249999999999999E-2</v>
      </c>
      <c r="G2927" s="1339"/>
      <c r="H2927" s="1339"/>
      <c r="I2927" s="1339"/>
      <c r="J2927" s="1339"/>
      <c r="K2927" s="1339"/>
      <c r="L2927" s="1339"/>
      <c r="M2927" s="1336"/>
      <c r="N2927" s="1113"/>
    </row>
    <row r="2928" spans="1:14" s="1114" customFormat="1">
      <c r="A2928" s="1187"/>
      <c r="B2928" s="1116"/>
      <c r="C2928" s="1117" t="s">
        <v>81</v>
      </c>
      <c r="D2928" s="1118" t="s">
        <v>57</v>
      </c>
      <c r="E2928" s="1341">
        <v>0.109</v>
      </c>
      <c r="F2928" s="1339">
        <f>F2926*E2928</f>
        <v>2.725E-2</v>
      </c>
      <c r="G2928" s="1339"/>
      <c r="H2928" s="1339"/>
      <c r="I2928" s="1339"/>
      <c r="J2928" s="1339"/>
      <c r="K2928" s="1339"/>
      <c r="L2928" s="1339"/>
      <c r="M2928" s="1336"/>
      <c r="N2928" s="1113"/>
    </row>
    <row r="2929" spans="1:14" s="1114" customFormat="1">
      <c r="A2929" s="1186"/>
      <c r="B2929" s="1116"/>
      <c r="C2929" s="1122" t="s">
        <v>1794</v>
      </c>
      <c r="D2929" s="1120" t="s">
        <v>1793</v>
      </c>
      <c r="E2929" s="1339">
        <v>1.01</v>
      </c>
      <c r="F2929" s="1339">
        <f>F2926*E2929</f>
        <v>0.2525</v>
      </c>
      <c r="G2929" s="1339"/>
      <c r="H2929" s="1339"/>
      <c r="I2929" s="1339"/>
      <c r="J2929" s="1339"/>
      <c r="K2929" s="1339"/>
      <c r="L2929" s="1339"/>
      <c r="M2929" s="1336"/>
      <c r="N2929" s="1113"/>
    </row>
    <row r="2930" spans="1:14" s="1114" customFormat="1">
      <c r="A2930" s="1186"/>
      <c r="B2930" s="1123"/>
      <c r="C2930" s="1124" t="s">
        <v>1795</v>
      </c>
      <c r="D2930" s="1125" t="s">
        <v>1796</v>
      </c>
      <c r="E2930" s="1340">
        <v>8.8800000000000007E-3</v>
      </c>
      <c r="F2930" s="1340">
        <f>F2926*E2930</f>
        <v>2.2200000000000002E-3</v>
      </c>
      <c r="G2930" s="1340"/>
      <c r="H2930" s="1340"/>
      <c r="I2930" s="1340"/>
      <c r="J2930" s="1340"/>
      <c r="K2930" s="1340"/>
      <c r="L2930" s="1340"/>
      <c r="M2930" s="1337"/>
      <c r="N2930" s="1113"/>
    </row>
    <row r="2931" spans="1:14" s="1114" customFormat="1" ht="27" hidden="1">
      <c r="A2931" s="1106">
        <v>16</v>
      </c>
      <c r="B2931" s="1107" t="s">
        <v>1791</v>
      </c>
      <c r="C2931" s="1108" t="s">
        <v>1792</v>
      </c>
      <c r="D2931" s="1163" t="s">
        <v>1825</v>
      </c>
      <c r="E2931" s="1109"/>
      <c r="F2931" s="1110">
        <f>'დეფექტური აქტი'!E734</f>
        <v>0</v>
      </c>
      <c r="G2931" s="1111"/>
      <c r="H2931" s="1111"/>
      <c r="I2931" s="1111"/>
      <c r="J2931" s="1111"/>
      <c r="K2931" s="1111"/>
      <c r="L2931" s="1111"/>
      <c r="M2931" s="1112"/>
      <c r="N2931" s="1113"/>
    </row>
    <row r="2932" spans="1:14" s="1114" customFormat="1" hidden="1">
      <c r="A2932" s="1115"/>
      <c r="B2932" s="1116"/>
      <c r="C2932" s="1117" t="s">
        <v>209</v>
      </c>
      <c r="D2932" s="1118" t="s">
        <v>80</v>
      </c>
      <c r="E2932" s="1118">
        <v>0.245</v>
      </c>
      <c r="F2932" s="1119">
        <f>F2931*E2932</f>
        <v>0</v>
      </c>
      <c r="G2932" s="1120"/>
      <c r="H2932" s="1120"/>
      <c r="I2932" s="1120">
        <v>4.5999999999999996</v>
      </c>
      <c r="J2932" s="1120">
        <f>I2932*F2932</f>
        <v>0</v>
      </c>
      <c r="K2932" s="1120"/>
      <c r="L2932" s="1120"/>
      <c r="M2932" s="1121">
        <f>L2932+J2932+H2932</f>
        <v>0</v>
      </c>
      <c r="N2932" s="1113"/>
    </row>
    <row r="2933" spans="1:14" s="1114" customFormat="1" hidden="1">
      <c r="A2933" s="1115"/>
      <c r="B2933" s="1116"/>
      <c r="C2933" s="1117" t="s">
        <v>81</v>
      </c>
      <c r="D2933" s="1118" t="s">
        <v>57</v>
      </c>
      <c r="E2933" s="1118">
        <v>0.109</v>
      </c>
      <c r="F2933" s="1120">
        <f>F2931*E2933</f>
        <v>0</v>
      </c>
      <c r="G2933" s="1120"/>
      <c r="H2933" s="1120"/>
      <c r="I2933" s="1120"/>
      <c r="J2933" s="1120"/>
      <c r="K2933" s="1120">
        <v>3.2</v>
      </c>
      <c r="L2933" s="1120">
        <f>K2933*F2933</f>
        <v>0</v>
      </c>
      <c r="M2933" s="1121">
        <f>L2933+J2933+H2933</f>
        <v>0</v>
      </c>
      <c r="N2933" s="1113"/>
    </row>
    <row r="2934" spans="1:14" s="1114" customFormat="1" hidden="1">
      <c r="A2934" s="1106"/>
      <c r="B2934" s="1116"/>
      <c r="C2934" s="1122" t="s">
        <v>1794</v>
      </c>
      <c r="D2934" s="1120" t="s">
        <v>1793</v>
      </c>
      <c r="E2934" s="1120">
        <v>1.01</v>
      </c>
      <c r="F2934" s="1120">
        <f>F2931*E2934</f>
        <v>0</v>
      </c>
      <c r="G2934" s="1120">
        <v>21.2</v>
      </c>
      <c r="H2934" s="1120">
        <f>G2934*F2934</f>
        <v>0</v>
      </c>
      <c r="I2934" s="1120"/>
      <c r="J2934" s="1120"/>
      <c r="K2934" s="1120"/>
      <c r="L2934" s="1120"/>
      <c r="M2934" s="1121">
        <f>L2934+J2934+H2934</f>
        <v>0</v>
      </c>
      <c r="N2934" s="1113"/>
    </row>
    <row r="2935" spans="1:14" s="1114" customFormat="1" hidden="1">
      <c r="A2935" s="1106"/>
      <c r="B2935" s="1123"/>
      <c r="C2935" s="1124" t="s">
        <v>1795</v>
      </c>
      <c r="D2935" s="1125" t="s">
        <v>1796</v>
      </c>
      <c r="E2935" s="1125">
        <v>8.8800000000000007E-3</v>
      </c>
      <c r="F2935" s="1125">
        <f>F2931*E2935</f>
        <v>0</v>
      </c>
      <c r="G2935" s="1125">
        <v>3.2</v>
      </c>
      <c r="H2935" s="1125">
        <f>G2935*F2935</f>
        <v>0</v>
      </c>
      <c r="I2935" s="1125"/>
      <c r="J2935" s="1125"/>
      <c r="K2935" s="1125"/>
      <c r="L2935" s="1125"/>
      <c r="M2935" s="1126">
        <f>L2935+J2935+H2935</f>
        <v>0</v>
      </c>
      <c r="N2935" s="1113"/>
    </row>
    <row r="2936" spans="1:14" s="831" customFormat="1" ht="27">
      <c r="A2936" s="1189">
        <v>1</v>
      </c>
      <c r="B2936" s="1206" t="s">
        <v>1842</v>
      </c>
      <c r="C2936" s="1204" t="s">
        <v>1841</v>
      </c>
      <c r="D2936" s="370" t="s">
        <v>122</v>
      </c>
      <c r="E2936" s="473"/>
      <c r="F2936" s="456">
        <f>'დეფექტური აქტი'!E735</f>
        <v>2</v>
      </c>
      <c r="G2936" s="1207"/>
      <c r="H2936" s="787"/>
      <c r="I2936" s="786"/>
      <c r="J2936" s="787"/>
      <c r="K2936" s="786"/>
      <c r="L2936" s="787"/>
      <c r="M2936" s="787"/>
      <c r="N2936" s="811"/>
    </row>
    <row r="2937" spans="1:14" s="831" customFormat="1" ht="15" customHeight="1">
      <c r="A2937" s="1071"/>
      <c r="B2937" s="540"/>
      <c r="C2937" s="335" t="s">
        <v>209</v>
      </c>
      <c r="D2937" s="486" t="s">
        <v>80</v>
      </c>
      <c r="E2937" s="330">
        <v>0.66300000000000003</v>
      </c>
      <c r="F2937" s="350">
        <f>F2936*E2937</f>
        <v>1.3260000000000001</v>
      </c>
      <c r="G2937" s="1208"/>
      <c r="H2937" s="1043"/>
      <c r="I2937" s="414"/>
      <c r="J2937" s="331"/>
      <c r="K2937" s="414"/>
      <c r="L2937" s="331"/>
      <c r="M2937" s="331"/>
      <c r="N2937" s="811"/>
    </row>
    <row r="2938" spans="1:14" s="831" customFormat="1">
      <c r="A2938" s="1071"/>
      <c r="B2938" s="543"/>
      <c r="C2938" s="335" t="s">
        <v>133</v>
      </c>
      <c r="D2938" s="486" t="s">
        <v>57</v>
      </c>
      <c r="E2938" s="336">
        <v>4.5999999999999999E-2</v>
      </c>
      <c r="F2938" s="350">
        <f>F2936*E2938</f>
        <v>9.1999999999999998E-2</v>
      </c>
      <c r="G2938" s="1208"/>
      <c r="H2938" s="331"/>
      <c r="I2938" s="414"/>
      <c r="J2938" s="331"/>
      <c r="K2938" s="414"/>
      <c r="L2938" s="331"/>
      <c r="M2938" s="331"/>
      <c r="N2938" s="811"/>
    </row>
    <row r="2939" spans="1:14" s="831" customFormat="1" hidden="1">
      <c r="A2939" s="330"/>
      <c r="B2939" s="543"/>
      <c r="C2939" s="335" t="s">
        <v>210</v>
      </c>
      <c r="D2939" s="486"/>
      <c r="E2939" s="336"/>
      <c r="F2939" s="350">
        <f>E2939*6</f>
        <v>0</v>
      </c>
      <c r="G2939" s="1208"/>
      <c r="H2939" s="331"/>
      <c r="I2939" s="414"/>
      <c r="J2939" s="331"/>
      <c r="K2939" s="414"/>
      <c r="L2939" s="331"/>
      <c r="M2939" s="331"/>
      <c r="N2939" s="811"/>
    </row>
    <row r="2940" spans="1:14" s="831" customFormat="1">
      <c r="A2940" s="1071"/>
      <c r="B2940" s="543"/>
      <c r="C2940" s="335" t="s">
        <v>1843</v>
      </c>
      <c r="D2940" s="486" t="s">
        <v>122</v>
      </c>
      <c r="E2940" s="336">
        <v>1</v>
      </c>
      <c r="F2940" s="1209">
        <f>F2936*E2940</f>
        <v>2</v>
      </c>
      <c r="G2940" s="1210"/>
      <c r="H2940" s="331"/>
      <c r="I2940" s="414"/>
      <c r="J2940" s="331"/>
      <c r="K2940" s="414"/>
      <c r="L2940" s="331"/>
      <c r="M2940" s="331"/>
      <c r="N2940" s="811"/>
    </row>
    <row r="2941" spans="1:14" s="831" customFormat="1">
      <c r="A2941" s="1080"/>
      <c r="B2941" s="556"/>
      <c r="C2941" s="551" t="s">
        <v>214</v>
      </c>
      <c r="D2941" s="552" t="s">
        <v>57</v>
      </c>
      <c r="E2941" s="342">
        <v>2.8000000000000001E-2</v>
      </c>
      <c r="F2941" s="372">
        <f>F2936*E2941</f>
        <v>5.6000000000000001E-2</v>
      </c>
      <c r="G2941" s="419"/>
      <c r="H2941" s="418"/>
      <c r="I2941" s="895"/>
      <c r="J2941" s="418"/>
      <c r="K2941" s="895"/>
      <c r="L2941" s="418"/>
      <c r="M2941" s="418"/>
      <c r="N2941" s="811"/>
    </row>
    <row r="2942" spans="1:14" s="1114" customFormat="1" ht="27">
      <c r="A2942" s="1186">
        <v>17</v>
      </c>
      <c r="B2942" s="1107" t="s">
        <v>1798</v>
      </c>
      <c r="C2942" s="1162" t="s">
        <v>1799</v>
      </c>
      <c r="D2942" s="1342" t="s">
        <v>1800</v>
      </c>
      <c r="E2942" s="1164"/>
      <c r="F2942" s="1342">
        <f>'დეფექტური აქტი'!E736</f>
        <v>2</v>
      </c>
      <c r="G2942" s="1211"/>
      <c r="H2942" s="1211"/>
      <c r="I2942" s="1211"/>
      <c r="J2942" s="1211"/>
      <c r="K2942" s="1211"/>
      <c r="L2942" s="1211"/>
      <c r="M2942" s="1212"/>
      <c r="N2942" s="1113"/>
    </row>
    <row r="2943" spans="1:14" s="1114" customFormat="1">
      <c r="A2943" s="1186"/>
      <c r="B2943" s="1116"/>
      <c r="C2943" s="1117" t="s">
        <v>209</v>
      </c>
      <c r="D2943" s="1118" t="s">
        <v>80</v>
      </c>
      <c r="E2943" s="1213">
        <v>1.54</v>
      </c>
      <c r="F2943" s="1213">
        <f>F2942*E2943</f>
        <v>3.08</v>
      </c>
      <c r="G2943" s="1213"/>
      <c r="H2943" s="1213"/>
      <c r="I2943" s="1213"/>
      <c r="J2943" s="1213"/>
      <c r="K2943" s="1213"/>
      <c r="L2943" s="1213"/>
      <c r="M2943" s="1214"/>
      <c r="N2943" s="1113"/>
    </row>
    <row r="2944" spans="1:14" s="1114" customFormat="1">
      <c r="A2944" s="1186"/>
      <c r="B2944" s="1116"/>
      <c r="C2944" s="1117" t="s">
        <v>81</v>
      </c>
      <c r="D2944" s="1118" t="s">
        <v>57</v>
      </c>
      <c r="E2944" s="1127">
        <v>0.09</v>
      </c>
      <c r="F2944" s="1215">
        <f>F2942*E2944</f>
        <v>0.18</v>
      </c>
      <c r="G2944" s="1216"/>
      <c r="H2944" s="1216"/>
      <c r="I2944" s="1216"/>
      <c r="J2944" s="1216"/>
      <c r="K2944" s="1216"/>
      <c r="L2944" s="1216"/>
      <c r="M2944" s="1217"/>
      <c r="N2944" s="1113"/>
    </row>
    <row r="2945" spans="1:14" s="1114" customFormat="1">
      <c r="A2945" s="1186"/>
      <c r="B2945" s="1116"/>
      <c r="C2945" s="1122" t="s">
        <v>1801</v>
      </c>
      <c r="D2945" s="1127" t="s">
        <v>1802</v>
      </c>
      <c r="E2945" s="1127">
        <v>1.4E-2</v>
      </c>
      <c r="F2945" s="1215">
        <f>F2942*E2945</f>
        <v>2.8000000000000001E-2</v>
      </c>
      <c r="G2945" s="1216"/>
      <c r="H2945" s="1216"/>
      <c r="I2945" s="1216"/>
      <c r="J2945" s="1216"/>
      <c r="K2945" s="1216"/>
      <c r="L2945" s="1216"/>
      <c r="M2945" s="1217"/>
      <c r="N2945" s="1113"/>
    </row>
    <row r="2946" spans="1:14" s="1114" customFormat="1">
      <c r="A2946" s="1186"/>
      <c r="B2946" s="1123"/>
      <c r="C2946" s="1124" t="s">
        <v>1803</v>
      </c>
      <c r="D2946" s="1128" t="s">
        <v>1800</v>
      </c>
      <c r="E2946" s="1218"/>
      <c r="F2946" s="1219">
        <f>F2942</f>
        <v>2</v>
      </c>
      <c r="G2946" s="1218"/>
      <c r="H2946" s="1218"/>
      <c r="I2946" s="1218"/>
      <c r="J2946" s="1218"/>
      <c r="K2946" s="1218"/>
      <c r="L2946" s="1218"/>
      <c r="M2946" s="1220"/>
      <c r="N2946" s="1113"/>
    </row>
    <row r="2947" spans="1:14" s="339" customFormat="1" ht="27" hidden="1">
      <c r="A2947" s="345">
        <v>22</v>
      </c>
      <c r="B2947" s="373" t="s">
        <v>1580</v>
      </c>
      <c r="C2947" s="151" t="s">
        <v>1499</v>
      </c>
      <c r="D2947" s="140" t="s">
        <v>88</v>
      </c>
      <c r="E2947" s="345"/>
      <c r="F2947" s="384">
        <f>'დეფექტური აქტი'!E737</f>
        <v>0</v>
      </c>
      <c r="G2947" s="597"/>
      <c r="H2947" s="597"/>
      <c r="I2947" s="597"/>
      <c r="J2947" s="597"/>
      <c r="K2947" s="597"/>
      <c r="L2947" s="597"/>
      <c r="M2947" s="597"/>
    </row>
    <row r="2948" spans="1:14" s="361" customFormat="1" ht="14.25" hidden="1" customHeight="1">
      <c r="A2948" s="330"/>
      <c r="B2948" s="340"/>
      <c r="C2948" s="341" t="s">
        <v>209</v>
      </c>
      <c r="D2948" s="336" t="s">
        <v>80</v>
      </c>
      <c r="E2948" s="336">
        <v>4.2300000000000004</v>
      </c>
      <c r="F2948" s="389">
        <f>F2947*E2948</f>
        <v>0</v>
      </c>
      <c r="G2948" s="389"/>
      <c r="H2948" s="389"/>
      <c r="I2948" s="389">
        <v>6</v>
      </c>
      <c r="J2948" s="389">
        <f>F2948*I2948</f>
        <v>0</v>
      </c>
      <c r="K2948" s="389"/>
      <c r="L2948" s="389"/>
      <c r="M2948" s="389">
        <f>H2948+J2948+L2948</f>
        <v>0</v>
      </c>
      <c r="N2948" s="348"/>
    </row>
    <row r="2949" spans="1:14" s="361" customFormat="1" hidden="1">
      <c r="A2949" s="330"/>
      <c r="B2949" s="340"/>
      <c r="C2949" s="341" t="s">
        <v>81</v>
      </c>
      <c r="D2949" s="336" t="s">
        <v>57</v>
      </c>
      <c r="E2949" s="336">
        <v>0.78</v>
      </c>
      <c r="F2949" s="389">
        <f>F2947*E2949</f>
        <v>0</v>
      </c>
      <c r="G2949" s="389"/>
      <c r="H2949" s="389"/>
      <c r="I2949" s="389"/>
      <c r="J2949" s="389"/>
      <c r="K2949" s="389">
        <v>3.2</v>
      </c>
      <c r="L2949" s="389">
        <f>F2949*K2949</f>
        <v>0</v>
      </c>
      <c r="M2949" s="389">
        <f>H2949+J2949+L2949</f>
        <v>0</v>
      </c>
      <c r="N2949" s="348"/>
    </row>
    <row r="2950" spans="1:14" s="361" customFormat="1" hidden="1">
      <c r="A2950" s="330"/>
      <c r="B2950" s="340"/>
      <c r="C2950" s="341" t="s">
        <v>210</v>
      </c>
      <c r="D2950" s="336"/>
      <c r="E2950" s="336"/>
      <c r="F2950" s="389">
        <f>E2950*2353</f>
        <v>0</v>
      </c>
      <c r="G2950" s="389"/>
      <c r="H2950" s="389"/>
      <c r="I2950" s="389"/>
      <c r="J2950" s="389"/>
      <c r="K2950" s="389"/>
      <c r="L2950" s="389"/>
      <c r="M2950" s="389"/>
      <c r="N2950" s="348"/>
    </row>
    <row r="2951" spans="1:14" s="361" customFormat="1" hidden="1">
      <c r="A2951" s="330"/>
      <c r="B2951" s="340"/>
      <c r="C2951" s="341" t="s">
        <v>211</v>
      </c>
      <c r="D2951" s="336" t="s">
        <v>88</v>
      </c>
      <c r="E2951" s="336">
        <v>0.23</v>
      </c>
      <c r="F2951" s="389">
        <f>F2947*E2951</f>
        <v>0</v>
      </c>
      <c r="G2951" s="389">
        <v>88</v>
      </c>
      <c r="H2951" s="389">
        <f>F2951*G2951</f>
        <v>0</v>
      </c>
      <c r="I2951" s="389"/>
      <c r="J2951" s="389"/>
      <c r="K2951" s="389"/>
      <c r="L2951" s="389"/>
      <c r="M2951" s="389">
        <f>H2951+J2951+L2951</f>
        <v>0</v>
      </c>
      <c r="N2951" s="348"/>
    </row>
    <row r="2952" spans="1:14" s="361" customFormat="1" hidden="1">
      <c r="A2952" s="330"/>
      <c r="B2952" s="340"/>
      <c r="C2952" s="341" t="s">
        <v>901</v>
      </c>
      <c r="D2952" s="336" t="s">
        <v>213</v>
      </c>
      <c r="E2952" s="336">
        <v>0.38400000000000001</v>
      </c>
      <c r="F2952" s="389">
        <f>F2947*E2952</f>
        <v>0</v>
      </c>
      <c r="G2952" s="511">
        <v>410</v>
      </c>
      <c r="H2952" s="389">
        <f>F2952*G2952</f>
        <v>0</v>
      </c>
      <c r="I2952" s="389"/>
      <c r="J2952" s="389"/>
      <c r="K2952" s="389"/>
      <c r="L2952" s="389"/>
      <c r="M2952" s="389">
        <f>H2952+J2952+L2952</f>
        <v>0</v>
      </c>
      <c r="N2952" s="348"/>
    </row>
    <row r="2953" spans="1:14" s="361" customFormat="1" hidden="1">
      <c r="A2953" s="419"/>
      <c r="B2953" s="343"/>
      <c r="C2953" s="344" t="s">
        <v>214</v>
      </c>
      <c r="D2953" s="342" t="s">
        <v>57</v>
      </c>
      <c r="E2953" s="342">
        <v>0.17</v>
      </c>
      <c r="F2953" s="392">
        <f>F2947*E2953</f>
        <v>0</v>
      </c>
      <c r="G2953" s="392">
        <v>3.2</v>
      </c>
      <c r="H2953" s="392">
        <f>F2953*G2953</f>
        <v>0</v>
      </c>
      <c r="I2953" s="392"/>
      <c r="J2953" s="392"/>
      <c r="K2953" s="392"/>
      <c r="L2953" s="392"/>
      <c r="M2953" s="392">
        <f>H2953+J2953+L2953</f>
        <v>0</v>
      </c>
      <c r="N2953" s="348"/>
    </row>
    <row r="2954" spans="1:14" s="88" customFormat="1" ht="27" hidden="1">
      <c r="A2954" s="140">
        <v>23</v>
      </c>
      <c r="B2954" s="373" t="s">
        <v>410</v>
      </c>
      <c r="C2954" s="151" t="s">
        <v>998</v>
      </c>
      <c r="D2954" s="140" t="s">
        <v>88</v>
      </c>
      <c r="E2954" s="140"/>
      <c r="F2954" s="406">
        <f>'დეფექტური აქტი'!E738</f>
        <v>0</v>
      </c>
      <c r="G2954" s="422"/>
      <c r="H2954" s="422"/>
      <c r="I2954" s="422"/>
      <c r="J2954" s="422"/>
      <c r="K2954" s="422"/>
      <c r="L2954" s="422"/>
      <c r="M2954" s="422"/>
    </row>
    <row r="2955" spans="1:14" s="88" customFormat="1" hidden="1">
      <c r="A2955" s="83"/>
      <c r="B2955" s="374"/>
      <c r="C2955" s="223" t="s">
        <v>209</v>
      </c>
      <c r="D2955" s="211" t="s">
        <v>80</v>
      </c>
      <c r="E2955" s="211">
        <v>3.36</v>
      </c>
      <c r="F2955" s="386">
        <f>F2954*E2955</f>
        <v>0</v>
      </c>
      <c r="G2955" s="225"/>
      <c r="H2955" s="225"/>
      <c r="I2955" s="225">
        <v>6</v>
      </c>
      <c r="J2955" s="225">
        <f>F2955*I2955</f>
        <v>0</v>
      </c>
      <c r="K2955" s="225"/>
      <c r="L2955" s="225"/>
      <c r="M2955" s="225">
        <f>H2955+J2955+L2955</f>
        <v>0</v>
      </c>
    </row>
    <row r="2956" spans="1:14" s="88" customFormat="1" hidden="1">
      <c r="A2956" s="83"/>
      <c r="B2956" s="374"/>
      <c r="C2956" s="223" t="s">
        <v>81</v>
      </c>
      <c r="D2956" s="83" t="s">
        <v>57</v>
      </c>
      <c r="E2956" s="211">
        <v>0.92</v>
      </c>
      <c r="F2956" s="386">
        <f>F2954*E2956</f>
        <v>0</v>
      </c>
      <c r="G2956" s="225"/>
      <c r="H2956" s="225"/>
      <c r="I2956" s="225"/>
      <c r="J2956" s="225"/>
      <c r="K2956" s="225">
        <v>3.2</v>
      </c>
      <c r="L2956" s="225">
        <f>F2956*K2956</f>
        <v>0</v>
      </c>
      <c r="M2956" s="225">
        <f>H2956+J2956+L2956</f>
        <v>0</v>
      </c>
    </row>
    <row r="2957" spans="1:14" s="88" customFormat="1" ht="13.5" hidden="1" customHeight="1">
      <c r="A2957" s="83"/>
      <c r="B2957" s="221"/>
      <c r="C2957" s="365" t="s">
        <v>210</v>
      </c>
      <c r="D2957" s="211"/>
      <c r="E2957" s="211"/>
      <c r="F2957" s="386"/>
      <c r="G2957" s="225"/>
      <c r="H2957" s="225"/>
      <c r="I2957" s="225"/>
      <c r="J2957" s="225"/>
      <c r="K2957" s="225"/>
      <c r="L2957" s="225"/>
      <c r="M2957" s="225"/>
    </row>
    <row r="2958" spans="1:14" s="88" customFormat="1" hidden="1">
      <c r="A2958" s="83"/>
      <c r="B2958" s="374"/>
      <c r="C2958" s="223" t="s">
        <v>513</v>
      </c>
      <c r="D2958" s="211" t="s">
        <v>88</v>
      </c>
      <c r="E2958" s="211">
        <v>0.11</v>
      </c>
      <c r="F2958" s="386">
        <f>F2954*E2958</f>
        <v>0</v>
      </c>
      <c r="G2958" s="386">
        <v>77</v>
      </c>
      <c r="H2958" s="225">
        <f>F2958*G2958</f>
        <v>0</v>
      </c>
      <c r="I2958" s="225"/>
      <c r="J2958" s="225"/>
      <c r="K2958" s="225"/>
      <c r="L2958" s="225"/>
      <c r="M2958" s="225">
        <f>H2958+J2958+L2958</f>
        <v>0</v>
      </c>
    </row>
    <row r="2959" spans="1:14" s="88" customFormat="1" hidden="1">
      <c r="A2959" s="83"/>
      <c r="B2959" s="374"/>
      <c r="C2959" s="223" t="s">
        <v>412</v>
      </c>
      <c r="D2959" s="83" t="s">
        <v>113</v>
      </c>
      <c r="E2959" s="211">
        <v>65.346000000000004</v>
      </c>
      <c r="F2959" s="386">
        <f>F2954*E2959</f>
        <v>0</v>
      </c>
      <c r="G2959" s="386">
        <v>0.97</v>
      </c>
      <c r="H2959" s="225">
        <f>F2959*G2959</f>
        <v>0</v>
      </c>
      <c r="I2959" s="225"/>
      <c r="J2959" s="225"/>
      <c r="K2959" s="225"/>
      <c r="L2959" s="225"/>
      <c r="M2959" s="225">
        <f>H2959+J2959+L2959</f>
        <v>0</v>
      </c>
    </row>
    <row r="2960" spans="1:14" s="85" customFormat="1" hidden="1">
      <c r="A2960" s="83"/>
      <c r="B2960" s="375"/>
      <c r="C2960" s="223" t="s">
        <v>214</v>
      </c>
      <c r="D2960" s="86" t="s">
        <v>57</v>
      </c>
      <c r="E2960" s="211">
        <v>0.16</v>
      </c>
      <c r="F2960" s="386">
        <f>F2954*E2960</f>
        <v>0</v>
      </c>
      <c r="G2960" s="386">
        <v>3.2</v>
      </c>
      <c r="H2960" s="225">
        <f>F2960*G2960</f>
        <v>0</v>
      </c>
      <c r="I2960" s="225"/>
      <c r="J2960" s="225"/>
      <c r="K2960" s="225"/>
      <c r="L2960" s="225"/>
      <c r="M2960" s="225">
        <f>H2960+J2960+L2960</f>
        <v>0</v>
      </c>
    </row>
    <row r="2961" spans="1:14" s="361" customFormat="1" ht="27" hidden="1">
      <c r="A2961" s="421">
        <v>24</v>
      </c>
      <c r="B2961" s="500" t="s">
        <v>208</v>
      </c>
      <c r="C2961" s="353" t="s">
        <v>1502</v>
      </c>
      <c r="D2961" s="421" t="s">
        <v>78</v>
      </c>
      <c r="E2961" s="421"/>
      <c r="F2961" s="406">
        <f>'დეფექტური აქტი'!E739</f>
        <v>0</v>
      </c>
      <c r="G2961" s="425"/>
      <c r="H2961" s="425"/>
      <c r="I2961" s="425"/>
      <c r="J2961" s="425"/>
      <c r="K2961" s="425"/>
      <c r="L2961" s="425"/>
      <c r="M2961" s="425"/>
      <c r="N2961" s="348"/>
    </row>
    <row r="2962" spans="1:14" s="361" customFormat="1" ht="15" hidden="1" customHeight="1">
      <c r="A2962" s="330"/>
      <c r="B2962" s="328"/>
      <c r="C2962" s="341" t="s">
        <v>209</v>
      </c>
      <c r="D2962" s="336" t="s">
        <v>80</v>
      </c>
      <c r="E2962" s="336">
        <v>1.1499999999999999</v>
      </c>
      <c r="F2962" s="350">
        <f>F2961*E2962</f>
        <v>0</v>
      </c>
      <c r="G2962" s="389"/>
      <c r="H2962" s="389"/>
      <c r="I2962" s="389">
        <v>6</v>
      </c>
      <c r="J2962" s="389">
        <f>F2962*I2962</f>
        <v>0</v>
      </c>
      <c r="K2962" s="389"/>
      <c r="L2962" s="389"/>
      <c r="M2962" s="389">
        <f>H2962+J2962+L2962</f>
        <v>0</v>
      </c>
      <c r="N2962" s="348"/>
    </row>
    <row r="2963" spans="1:14" s="361" customFormat="1" hidden="1">
      <c r="A2963" s="330"/>
      <c r="B2963" s="328"/>
      <c r="C2963" s="341" t="s">
        <v>81</v>
      </c>
      <c r="D2963" s="336" t="s">
        <v>57</v>
      </c>
      <c r="E2963" s="336">
        <v>7.5899999999999995E-2</v>
      </c>
      <c r="F2963" s="350">
        <f>F2961*E2963</f>
        <v>0</v>
      </c>
      <c r="G2963" s="389"/>
      <c r="H2963" s="389"/>
      <c r="I2963" s="389"/>
      <c r="J2963" s="389"/>
      <c r="K2963" s="389">
        <v>3.2</v>
      </c>
      <c r="L2963" s="389">
        <f>F2963*K2963</f>
        <v>0</v>
      </c>
      <c r="M2963" s="389">
        <f>H2963+J2963+L2963</f>
        <v>0</v>
      </c>
      <c r="N2963" s="348"/>
    </row>
    <row r="2964" spans="1:14" s="361" customFormat="1" hidden="1">
      <c r="A2964" s="330"/>
      <c r="B2964" s="328"/>
      <c r="C2964" s="341" t="s">
        <v>210</v>
      </c>
      <c r="D2964" s="336"/>
      <c r="E2964" s="336"/>
      <c r="F2964" s="350">
        <f>E2964*2353</f>
        <v>0</v>
      </c>
      <c r="G2964" s="389"/>
      <c r="H2964" s="389"/>
      <c r="I2964" s="389"/>
      <c r="J2964" s="389"/>
      <c r="K2964" s="389"/>
      <c r="L2964" s="389"/>
      <c r="M2964" s="389"/>
      <c r="N2964" s="348"/>
    </row>
    <row r="2965" spans="1:14" s="361" customFormat="1" hidden="1">
      <c r="A2965" s="330"/>
      <c r="B2965" s="328"/>
      <c r="C2965" s="341" t="s">
        <v>513</v>
      </c>
      <c r="D2965" s="336" t="s">
        <v>88</v>
      </c>
      <c r="E2965" s="336">
        <v>2.3E-2</v>
      </c>
      <c r="F2965" s="350">
        <f>F2961*E2965</f>
        <v>0</v>
      </c>
      <c r="G2965" s="389">
        <v>77</v>
      </c>
      <c r="H2965" s="389">
        <f>F2965*G2965</f>
        <v>0</v>
      </c>
      <c r="I2965" s="389"/>
      <c r="J2965" s="389"/>
      <c r="K2965" s="389"/>
      <c r="L2965" s="389"/>
      <c r="M2965" s="389">
        <f>H2965+J2965+L2965</f>
        <v>0</v>
      </c>
      <c r="N2965" s="348"/>
    </row>
    <row r="2966" spans="1:14" s="361" customFormat="1" hidden="1">
      <c r="A2966" s="330"/>
      <c r="B2966" s="328"/>
      <c r="C2966" s="341" t="s">
        <v>901</v>
      </c>
      <c r="D2966" s="336" t="s">
        <v>213</v>
      </c>
      <c r="E2966" s="336">
        <v>5.04E-2</v>
      </c>
      <c r="F2966" s="350">
        <f>F2961*E2966</f>
        <v>0</v>
      </c>
      <c r="G2966" s="511">
        <v>410</v>
      </c>
      <c r="H2966" s="389">
        <f>F2966*G2966</f>
        <v>0</v>
      </c>
      <c r="I2966" s="389"/>
      <c r="J2966" s="389"/>
      <c r="K2966" s="389"/>
      <c r="L2966" s="389"/>
      <c r="M2966" s="389">
        <f>H2966+J2966+L2966</f>
        <v>0</v>
      </c>
      <c r="N2966" s="348"/>
    </row>
    <row r="2967" spans="1:14" s="361" customFormat="1" hidden="1">
      <c r="A2967" s="330"/>
      <c r="B2967" s="328"/>
      <c r="C2967" s="341" t="s">
        <v>214</v>
      </c>
      <c r="D2967" s="336" t="s">
        <v>57</v>
      </c>
      <c r="E2967" s="336">
        <v>5.7599999999999998E-2</v>
      </c>
      <c r="F2967" s="350">
        <f>F2961*E2967</f>
        <v>0</v>
      </c>
      <c r="G2967" s="389">
        <v>3.2</v>
      </c>
      <c r="H2967" s="389">
        <f>F2967*G2967</f>
        <v>0</v>
      </c>
      <c r="I2967" s="389"/>
      <c r="J2967" s="389"/>
      <c r="K2967" s="389"/>
      <c r="L2967" s="389"/>
      <c r="M2967" s="389">
        <f>H2967+J2967+L2967</f>
        <v>0</v>
      </c>
      <c r="N2967" s="348"/>
    </row>
    <row r="2968" spans="1:14" s="464" customFormat="1">
      <c r="A2968" s="1194"/>
      <c r="B2968" s="504"/>
      <c r="C2968" s="491" t="s">
        <v>242</v>
      </c>
      <c r="D2968" s="479"/>
      <c r="E2968" s="479"/>
      <c r="F2968" s="480"/>
      <c r="G2968" s="505"/>
      <c r="H2968" s="505"/>
      <c r="I2968" s="505"/>
      <c r="J2968" s="505"/>
      <c r="K2968" s="505"/>
      <c r="L2968" s="505"/>
      <c r="M2968" s="505"/>
      <c r="N2968" s="502"/>
    </row>
    <row r="2969" spans="1:14" s="464" customFormat="1" hidden="1">
      <c r="A2969" s="465"/>
      <c r="B2969" s="506"/>
      <c r="C2969" s="474" t="s">
        <v>1141</v>
      </c>
      <c r="D2969" s="477"/>
      <c r="E2969" s="477"/>
      <c r="F2969" s="478"/>
      <c r="G2969" s="507"/>
      <c r="H2969" s="507"/>
      <c r="I2969" s="507"/>
      <c r="J2969" s="507"/>
      <c r="K2969" s="507"/>
      <c r="L2969" s="507"/>
      <c r="M2969" s="507"/>
      <c r="N2969" s="348"/>
    </row>
    <row r="2970" spans="1:14" s="464" customFormat="1" hidden="1">
      <c r="A2970" s="421">
        <v>25</v>
      </c>
      <c r="B2970" s="500" t="s">
        <v>262</v>
      </c>
      <c r="C2970" s="453" t="s">
        <v>263</v>
      </c>
      <c r="D2970" s="421" t="s">
        <v>88</v>
      </c>
      <c r="E2970" s="421"/>
      <c r="F2970" s="475">
        <f>'დეფექტური აქტი'!E741</f>
        <v>0</v>
      </c>
      <c r="G2970" s="425"/>
      <c r="H2970" s="425"/>
      <c r="I2970" s="425"/>
      <c r="J2970" s="425"/>
      <c r="K2970" s="425"/>
      <c r="L2970" s="425"/>
      <c r="M2970" s="425"/>
      <c r="N2970" s="348"/>
    </row>
    <row r="2971" spans="1:14" s="464" customFormat="1" hidden="1">
      <c r="A2971" s="330"/>
      <c r="B2971" s="334"/>
      <c r="C2971" s="335" t="s">
        <v>209</v>
      </c>
      <c r="D2971" s="336" t="s">
        <v>80</v>
      </c>
      <c r="E2971" s="336">
        <v>23.8</v>
      </c>
      <c r="F2971" s="350">
        <f>F2970*E2971</f>
        <v>0</v>
      </c>
      <c r="G2971" s="389"/>
      <c r="H2971" s="389"/>
      <c r="I2971" s="389">
        <v>6</v>
      </c>
      <c r="J2971" s="389">
        <f>F2971*I2971</f>
        <v>0</v>
      </c>
      <c r="K2971" s="389"/>
      <c r="L2971" s="389"/>
      <c r="M2971" s="389">
        <f>H2971+J2971+L2971</f>
        <v>0</v>
      </c>
      <c r="N2971" s="348"/>
    </row>
    <row r="2972" spans="1:14" s="464" customFormat="1" hidden="1">
      <c r="A2972" s="330"/>
      <c r="B2972" s="334"/>
      <c r="C2972" s="335" t="s">
        <v>81</v>
      </c>
      <c r="D2972" s="336" t="s">
        <v>57</v>
      </c>
      <c r="E2972" s="336">
        <v>2.1</v>
      </c>
      <c r="F2972" s="350">
        <f>F2970*E2972</f>
        <v>0</v>
      </c>
      <c r="G2972" s="389"/>
      <c r="H2972" s="389"/>
      <c r="I2972" s="389"/>
      <c r="J2972" s="389"/>
      <c r="K2972" s="389">
        <v>3.2</v>
      </c>
      <c r="L2972" s="389">
        <f>F2972*K2972</f>
        <v>0</v>
      </c>
      <c r="M2972" s="389">
        <f>H2972+J2972+L2972</f>
        <v>0</v>
      </c>
      <c r="N2972" s="348"/>
    </row>
    <row r="2973" spans="1:14" s="464" customFormat="1" hidden="1">
      <c r="A2973" s="330"/>
      <c r="B2973" s="334"/>
      <c r="C2973" s="335" t="s">
        <v>210</v>
      </c>
      <c r="D2973" s="336"/>
      <c r="E2973" s="336"/>
      <c r="F2973" s="350"/>
      <c r="G2973" s="389"/>
      <c r="H2973" s="389"/>
      <c r="I2973" s="389"/>
      <c r="J2973" s="389"/>
      <c r="K2973" s="389"/>
      <c r="L2973" s="389"/>
      <c r="M2973" s="389"/>
      <c r="N2973" s="348"/>
    </row>
    <row r="2974" spans="1:14" s="464" customFormat="1" hidden="1">
      <c r="A2974" s="330"/>
      <c r="B2974" s="334"/>
      <c r="C2974" s="335" t="s">
        <v>264</v>
      </c>
      <c r="D2974" s="336" t="s">
        <v>88</v>
      </c>
      <c r="E2974" s="336">
        <v>0.22</v>
      </c>
      <c r="F2974" s="350">
        <f>F2970*E2974</f>
        <v>0</v>
      </c>
      <c r="G2974" s="389">
        <v>490</v>
      </c>
      <c r="H2974" s="389">
        <f t="shared" ref="H2974:H2980" si="72">F2974*G2974</f>
        <v>0</v>
      </c>
      <c r="I2974" s="389"/>
      <c r="J2974" s="389"/>
      <c r="K2974" s="389"/>
      <c r="L2974" s="389"/>
      <c r="M2974" s="389">
        <f t="shared" ref="M2974:M2980" si="73">H2974+J2974+L2974</f>
        <v>0</v>
      </c>
      <c r="N2974" s="348"/>
    </row>
    <row r="2975" spans="1:14" s="464" customFormat="1" hidden="1">
      <c r="A2975" s="330"/>
      <c r="B2975" s="334"/>
      <c r="C2975" s="335" t="s">
        <v>540</v>
      </c>
      <c r="D2975" s="336" t="s">
        <v>88</v>
      </c>
      <c r="E2975" s="336">
        <v>0.83</v>
      </c>
      <c r="F2975" s="350">
        <f>F2970*E2975</f>
        <v>0</v>
      </c>
      <c r="G2975" s="389">
        <v>485</v>
      </c>
      <c r="H2975" s="389">
        <f t="shared" si="72"/>
        <v>0</v>
      </c>
      <c r="I2975" s="389"/>
      <c r="J2975" s="389"/>
      <c r="K2975" s="389"/>
      <c r="L2975" s="389"/>
      <c r="M2975" s="389">
        <f t="shared" si="73"/>
        <v>0</v>
      </c>
      <c r="N2975" s="510"/>
    </row>
    <row r="2976" spans="1:14" s="464" customFormat="1" hidden="1">
      <c r="A2976" s="330"/>
      <c r="B2976" s="334"/>
      <c r="C2976" s="335" t="s">
        <v>265</v>
      </c>
      <c r="D2976" s="336" t="s">
        <v>97</v>
      </c>
      <c r="E2976" s="336">
        <v>7.2</v>
      </c>
      <c r="F2976" s="350">
        <f>F2970*E2976</f>
        <v>0</v>
      </c>
      <c r="G2976" s="389">
        <v>2.4</v>
      </c>
      <c r="H2976" s="389">
        <f t="shared" si="72"/>
        <v>0</v>
      </c>
      <c r="I2976" s="389"/>
      <c r="J2976" s="389"/>
      <c r="K2976" s="389"/>
      <c r="L2976" s="389"/>
      <c r="M2976" s="389">
        <f t="shared" si="73"/>
        <v>0</v>
      </c>
      <c r="N2976" s="348"/>
    </row>
    <row r="2977" spans="1:14" s="464" customFormat="1" hidden="1">
      <c r="A2977" s="330"/>
      <c r="B2977" s="334"/>
      <c r="C2977" s="335" t="s">
        <v>435</v>
      </c>
      <c r="D2977" s="336" t="s">
        <v>97</v>
      </c>
      <c r="E2977" s="336">
        <v>1.96</v>
      </c>
      <c r="F2977" s="350">
        <f>F2970*E2977</f>
        <v>0</v>
      </c>
      <c r="G2977" s="389">
        <v>5.5</v>
      </c>
      <c r="H2977" s="389">
        <f t="shared" si="72"/>
        <v>0</v>
      </c>
      <c r="I2977" s="389"/>
      <c r="J2977" s="389"/>
      <c r="K2977" s="389"/>
      <c r="L2977" s="389"/>
      <c r="M2977" s="389">
        <f t="shared" si="73"/>
        <v>0</v>
      </c>
      <c r="N2977" s="348"/>
    </row>
    <row r="2978" spans="1:14" s="464" customFormat="1" hidden="1">
      <c r="A2978" s="330"/>
      <c r="B2978" s="334"/>
      <c r="C2978" s="335" t="s">
        <v>184</v>
      </c>
      <c r="D2978" s="336" t="s">
        <v>78</v>
      </c>
      <c r="E2978" s="336">
        <v>3.38</v>
      </c>
      <c r="F2978" s="350">
        <f>F2970*E2978</f>
        <v>0</v>
      </c>
      <c r="G2978" s="389">
        <v>2.1</v>
      </c>
      <c r="H2978" s="389">
        <f t="shared" si="72"/>
        <v>0</v>
      </c>
      <c r="I2978" s="389"/>
      <c r="J2978" s="389"/>
      <c r="K2978" s="389"/>
      <c r="L2978" s="389"/>
      <c r="M2978" s="389">
        <f t="shared" si="73"/>
        <v>0</v>
      </c>
      <c r="N2978" s="348"/>
    </row>
    <row r="2979" spans="1:14" s="464" customFormat="1" hidden="1">
      <c r="A2979" s="330"/>
      <c r="B2979" s="334"/>
      <c r="C2979" s="335" t="s">
        <v>266</v>
      </c>
      <c r="D2979" s="336" t="s">
        <v>97</v>
      </c>
      <c r="E2979" s="336">
        <v>4.38</v>
      </c>
      <c r="F2979" s="350">
        <f>F2970*E2979</f>
        <v>0</v>
      </c>
      <c r="G2979" s="389">
        <v>1.4750000000000001</v>
      </c>
      <c r="H2979" s="389">
        <f>F2979*G2979</f>
        <v>0</v>
      </c>
      <c r="I2979" s="389"/>
      <c r="J2979" s="389"/>
      <c r="K2979" s="389"/>
      <c r="L2979" s="389"/>
      <c r="M2979" s="389">
        <f>H2979+J2979+L2979</f>
        <v>0</v>
      </c>
      <c r="N2979" s="348"/>
    </row>
    <row r="2980" spans="1:14" s="464" customFormat="1" hidden="1">
      <c r="A2980" s="330"/>
      <c r="B2980" s="334"/>
      <c r="C2980" s="335" t="s">
        <v>214</v>
      </c>
      <c r="D2980" s="336" t="s">
        <v>57</v>
      </c>
      <c r="E2980" s="336">
        <v>3.44</v>
      </c>
      <c r="F2980" s="350">
        <f>F2970*E2980</f>
        <v>0</v>
      </c>
      <c r="G2980" s="389">
        <v>3.2</v>
      </c>
      <c r="H2980" s="389">
        <f t="shared" si="72"/>
        <v>0</v>
      </c>
      <c r="I2980" s="389"/>
      <c r="J2980" s="389"/>
      <c r="K2980" s="389"/>
      <c r="L2980" s="389"/>
      <c r="M2980" s="389">
        <f t="shared" si="73"/>
        <v>0</v>
      </c>
      <c r="N2980" s="348"/>
    </row>
    <row r="2981" spans="1:14" s="464" customFormat="1" hidden="1">
      <c r="A2981" s="421">
        <v>26</v>
      </c>
      <c r="B2981" s="500" t="s">
        <v>379</v>
      </c>
      <c r="C2981" s="420" t="s">
        <v>380</v>
      </c>
      <c r="D2981" s="421" t="s">
        <v>88</v>
      </c>
      <c r="E2981" s="421"/>
      <c r="F2981" s="475">
        <f>'დეფექტური აქტი'!E742</f>
        <v>0</v>
      </c>
      <c r="G2981" s="425"/>
      <c r="H2981" s="425"/>
      <c r="I2981" s="425"/>
      <c r="J2981" s="425"/>
      <c r="K2981" s="425"/>
      <c r="L2981" s="425"/>
      <c r="M2981" s="425"/>
      <c r="N2981" s="348"/>
    </row>
    <row r="2982" spans="1:14" s="464" customFormat="1" hidden="1">
      <c r="A2982" s="330"/>
      <c r="B2982" s="334"/>
      <c r="C2982" s="335" t="s">
        <v>209</v>
      </c>
      <c r="D2982" s="336" t="s">
        <v>80</v>
      </c>
      <c r="E2982" s="336">
        <v>0.87</v>
      </c>
      <c r="F2982" s="350">
        <f>F2981*E2982</f>
        <v>0</v>
      </c>
      <c r="G2982" s="389"/>
      <c r="H2982" s="389"/>
      <c r="I2982" s="389">
        <v>6</v>
      </c>
      <c r="J2982" s="389">
        <f>F2982*I2982</f>
        <v>0</v>
      </c>
      <c r="K2982" s="389"/>
      <c r="L2982" s="389"/>
      <c r="M2982" s="389">
        <f>H2982+J2982+L2982</f>
        <v>0</v>
      </c>
      <c r="N2982" s="348"/>
    </row>
    <row r="2983" spans="1:14" s="464" customFormat="1" hidden="1">
      <c r="A2983" s="330"/>
      <c r="B2983" s="334"/>
      <c r="C2983" s="335" t="s">
        <v>81</v>
      </c>
      <c r="D2983" s="336" t="s">
        <v>57</v>
      </c>
      <c r="E2983" s="336">
        <v>0.13</v>
      </c>
      <c r="F2983" s="350">
        <f>F2981*E2983</f>
        <v>0</v>
      </c>
      <c r="G2983" s="389"/>
      <c r="H2983" s="389"/>
      <c r="I2983" s="389"/>
      <c r="J2983" s="389"/>
      <c r="K2983" s="389">
        <v>3.2</v>
      </c>
      <c r="L2983" s="389">
        <f>F2983*K2983</f>
        <v>0</v>
      </c>
      <c r="M2983" s="389">
        <f>H2983+J2983+L2983</f>
        <v>0</v>
      </c>
      <c r="N2983" s="348"/>
    </row>
    <row r="2984" spans="1:14" s="464" customFormat="1" hidden="1">
      <c r="A2984" s="330"/>
      <c r="B2984" s="334"/>
      <c r="C2984" s="335" t="s">
        <v>210</v>
      </c>
      <c r="D2984" s="336"/>
      <c r="E2984" s="336"/>
      <c r="F2984" s="350"/>
      <c r="G2984" s="389"/>
      <c r="H2984" s="389"/>
      <c r="I2984" s="389"/>
      <c r="J2984" s="389"/>
      <c r="K2984" s="389"/>
      <c r="L2984" s="389"/>
      <c r="M2984" s="389"/>
      <c r="N2984" s="348"/>
    </row>
    <row r="2985" spans="1:14" s="464" customFormat="1" hidden="1">
      <c r="A2985" s="330"/>
      <c r="B2985" s="334"/>
      <c r="C2985" s="335" t="s">
        <v>381</v>
      </c>
      <c r="D2985" s="336" t="s">
        <v>97</v>
      </c>
      <c r="E2985" s="336">
        <v>7.2</v>
      </c>
      <c r="F2985" s="350">
        <f>F2981*E2985</f>
        <v>0</v>
      </c>
      <c r="G2985" s="389">
        <v>0.8</v>
      </c>
      <c r="H2985" s="389">
        <f>F2985*G2985</f>
        <v>0</v>
      </c>
      <c r="I2985" s="389"/>
      <c r="J2985" s="389"/>
      <c r="K2985" s="389"/>
      <c r="L2985" s="389"/>
      <c r="M2985" s="389">
        <f>H2985+J2985+L2985</f>
        <v>0</v>
      </c>
      <c r="N2985" s="348"/>
    </row>
    <row r="2986" spans="1:14" s="464" customFormat="1" hidden="1">
      <c r="A2986" s="330"/>
      <c r="B2986" s="334"/>
      <c r="C2986" s="335" t="s">
        <v>382</v>
      </c>
      <c r="D2986" s="336" t="s">
        <v>97</v>
      </c>
      <c r="E2986" s="336">
        <v>1.79</v>
      </c>
      <c r="F2986" s="350">
        <f>F2981*E2986</f>
        <v>0</v>
      </c>
      <c r="G2986" s="389">
        <v>0.3</v>
      </c>
      <c r="H2986" s="389">
        <f>F2986*G2986</f>
        <v>0</v>
      </c>
      <c r="I2986" s="389"/>
      <c r="J2986" s="389"/>
      <c r="K2986" s="389"/>
      <c r="L2986" s="389"/>
      <c r="M2986" s="389">
        <f>H2986+J2986+L2986</f>
        <v>0</v>
      </c>
      <c r="N2986" s="348"/>
    </row>
    <row r="2987" spans="1:14" s="464" customFormat="1" hidden="1">
      <c r="A2987" s="330"/>
      <c r="B2987" s="334"/>
      <c r="C2987" s="335" t="s">
        <v>383</v>
      </c>
      <c r="D2987" s="336" t="s">
        <v>97</v>
      </c>
      <c r="E2987" s="336">
        <v>1.07</v>
      </c>
      <c r="F2987" s="350">
        <f>F2981*E2987</f>
        <v>0</v>
      </c>
      <c r="G2987" s="389">
        <v>0.4</v>
      </c>
      <c r="H2987" s="389">
        <f>F2987*G2987</f>
        <v>0</v>
      </c>
      <c r="I2987" s="389"/>
      <c r="J2987" s="389"/>
      <c r="K2987" s="389"/>
      <c r="L2987" s="389"/>
      <c r="M2987" s="389">
        <f>H2987+J2987+L2987</f>
        <v>0</v>
      </c>
      <c r="N2987" s="348"/>
    </row>
    <row r="2988" spans="1:14" s="464" customFormat="1" hidden="1">
      <c r="A2988" s="330"/>
      <c r="B2988" s="334"/>
      <c r="C2988" s="335" t="s">
        <v>214</v>
      </c>
      <c r="D2988" s="336" t="s">
        <v>57</v>
      </c>
      <c r="E2988" s="336">
        <v>0.1</v>
      </c>
      <c r="F2988" s="350">
        <f>F2981*E2988</f>
        <v>0</v>
      </c>
      <c r="G2988" s="389">
        <v>3.2</v>
      </c>
      <c r="H2988" s="389">
        <f>F2988*G2988</f>
        <v>0</v>
      </c>
      <c r="I2988" s="389"/>
      <c r="J2988" s="389"/>
      <c r="K2988" s="389"/>
      <c r="L2988" s="389"/>
      <c r="M2988" s="389">
        <f>H2988+J2988+L2988</f>
        <v>0</v>
      </c>
      <c r="N2988" s="348"/>
    </row>
    <row r="2989" spans="1:14" s="92" customFormat="1" hidden="1">
      <c r="A2989" s="140">
        <v>27</v>
      </c>
      <c r="B2989" s="1446" t="s">
        <v>541</v>
      </c>
      <c r="C2989" s="278" t="s">
        <v>1533</v>
      </c>
      <c r="D2989" s="140" t="s">
        <v>78</v>
      </c>
      <c r="E2989" s="140"/>
      <c r="F2989" s="456">
        <f>'დეფექტური აქტი'!E743</f>
        <v>0</v>
      </c>
      <c r="G2989" s="422"/>
      <c r="H2989" s="422"/>
      <c r="I2989" s="422"/>
      <c r="J2989" s="422"/>
      <c r="K2989" s="422"/>
      <c r="L2989" s="422"/>
      <c r="M2989" s="422"/>
    </row>
    <row r="2990" spans="1:14" s="92" customFormat="1" hidden="1">
      <c r="A2990" s="83"/>
      <c r="B2990" s="1432"/>
      <c r="C2990" s="226" t="s">
        <v>209</v>
      </c>
      <c r="D2990" s="211" t="s">
        <v>80</v>
      </c>
      <c r="E2990" s="211">
        <v>0.22700000000000001</v>
      </c>
      <c r="F2990" s="60">
        <f>F2989*E2990</f>
        <v>0</v>
      </c>
      <c r="G2990" s="225"/>
      <c r="H2990" s="225"/>
      <c r="I2990" s="225">
        <v>6</v>
      </c>
      <c r="J2990" s="225">
        <f>F2990*I2990</f>
        <v>0</v>
      </c>
      <c r="K2990" s="225"/>
      <c r="L2990" s="225"/>
      <c r="M2990" s="225">
        <f>H2990+J2990+L2990</f>
        <v>0</v>
      </c>
    </row>
    <row r="2991" spans="1:14" s="92" customFormat="1" hidden="1">
      <c r="A2991" s="83"/>
      <c r="B2991" s="1432"/>
      <c r="C2991" s="226" t="s">
        <v>81</v>
      </c>
      <c r="D2991" s="83" t="s">
        <v>57</v>
      </c>
      <c r="E2991" s="211">
        <v>2.76E-2</v>
      </c>
      <c r="F2991" s="60">
        <f>F2989*E2991</f>
        <v>0</v>
      </c>
      <c r="G2991" s="225"/>
      <c r="H2991" s="225"/>
      <c r="I2991" s="225"/>
      <c r="J2991" s="225"/>
      <c r="K2991" s="225">
        <v>3.2</v>
      </c>
      <c r="L2991" s="225">
        <f>F2991*K2991</f>
        <v>0</v>
      </c>
      <c r="M2991" s="225">
        <f>H2991+J2991+L2991</f>
        <v>0</v>
      </c>
    </row>
    <row r="2992" spans="1:14" s="92" customFormat="1" hidden="1">
      <c r="A2992" s="83"/>
      <c r="B2992" s="1432"/>
      <c r="C2992" s="15" t="s">
        <v>210</v>
      </c>
      <c r="D2992" s="211"/>
      <c r="E2992" s="211"/>
      <c r="F2992" s="60"/>
      <c r="G2992" s="225"/>
      <c r="H2992" s="225"/>
      <c r="I2992" s="225"/>
      <c r="J2992" s="225"/>
      <c r="K2992" s="225"/>
      <c r="L2992" s="225"/>
      <c r="M2992" s="225"/>
    </row>
    <row r="2993" spans="1:14" s="92" customFormat="1" hidden="1">
      <c r="A2993" s="83"/>
      <c r="B2993" s="1432"/>
      <c r="C2993" s="226" t="s">
        <v>819</v>
      </c>
      <c r="D2993" s="211" t="s">
        <v>88</v>
      </c>
      <c r="E2993" s="211">
        <v>2.1000000000000001E-2</v>
      </c>
      <c r="F2993" s="60">
        <f>F2989*E2993</f>
        <v>0</v>
      </c>
      <c r="G2993" s="225">
        <v>375</v>
      </c>
      <c r="H2993" s="225">
        <f>F2993*G2993</f>
        <v>0</v>
      </c>
      <c r="I2993" s="225"/>
      <c r="J2993" s="225"/>
      <c r="K2993" s="225"/>
      <c r="L2993" s="225"/>
      <c r="M2993" s="225">
        <f>H2993+J2993+L2993</f>
        <v>0</v>
      </c>
    </row>
    <row r="2994" spans="1:14" s="92" customFormat="1" hidden="1">
      <c r="A2994" s="83"/>
      <c r="B2994" s="1432"/>
      <c r="C2994" s="226" t="s">
        <v>270</v>
      </c>
      <c r="D2994" s="211" t="s">
        <v>97</v>
      </c>
      <c r="E2994" s="211">
        <v>7.0000000000000007E-2</v>
      </c>
      <c r="F2994" s="60">
        <f>F2989*E2994</f>
        <v>0</v>
      </c>
      <c r="G2994" s="225">
        <v>2.4</v>
      </c>
      <c r="H2994" s="225">
        <f>F2994*G2994</f>
        <v>0</v>
      </c>
      <c r="I2994" s="225"/>
      <c r="J2994" s="225"/>
      <c r="K2994" s="225"/>
      <c r="L2994" s="225"/>
      <c r="M2994" s="225">
        <f>H2994+J2994+L2994</f>
        <v>0</v>
      </c>
    </row>
    <row r="2995" spans="1:14" s="92" customFormat="1" hidden="1">
      <c r="A2995" s="83"/>
      <c r="B2995" s="1437"/>
      <c r="C2995" s="226" t="s">
        <v>214</v>
      </c>
      <c r="D2995" s="86" t="s">
        <v>57</v>
      </c>
      <c r="E2995" s="211">
        <v>4.4400000000000002E-2</v>
      </c>
      <c r="F2995" s="60">
        <f>F2989*E2995</f>
        <v>0</v>
      </c>
      <c r="G2995" s="225">
        <v>3.2</v>
      </c>
      <c r="H2995" s="225">
        <f>F2995*G2995</f>
        <v>0</v>
      </c>
      <c r="I2995" s="225"/>
      <c r="J2995" s="225"/>
      <c r="K2995" s="225"/>
      <c r="L2995" s="225"/>
      <c r="M2995" s="225">
        <f>H2995+J2995+L2995</f>
        <v>0</v>
      </c>
    </row>
    <row r="2996" spans="1:14" s="464" customFormat="1" ht="27" hidden="1" customHeight="1">
      <c r="A2996" s="421">
        <v>28</v>
      </c>
      <c r="B2996" s="500" t="s">
        <v>194</v>
      </c>
      <c r="C2996" s="420" t="s">
        <v>1205</v>
      </c>
      <c r="D2996" s="421" t="s">
        <v>78</v>
      </c>
      <c r="E2996" s="421"/>
      <c r="F2996" s="475">
        <f>'დეფექტური აქტი'!E744</f>
        <v>0</v>
      </c>
      <c r="G2996" s="425"/>
      <c r="H2996" s="425"/>
      <c r="I2996" s="425"/>
      <c r="J2996" s="425"/>
      <c r="K2996" s="425"/>
      <c r="L2996" s="425"/>
      <c r="M2996" s="425"/>
      <c r="N2996" s="348"/>
    </row>
    <row r="2997" spans="1:14" s="464" customFormat="1" hidden="1">
      <c r="A2997" s="330"/>
      <c r="B2997" s="328"/>
      <c r="C2997" s="341" t="s">
        <v>209</v>
      </c>
      <c r="D2997" s="336" t="s">
        <v>80</v>
      </c>
      <c r="E2997" s="336">
        <v>0.83</v>
      </c>
      <c r="F2997" s="350">
        <f>F2996*E2997</f>
        <v>0</v>
      </c>
      <c r="G2997" s="389"/>
      <c r="H2997" s="389"/>
      <c r="I2997" s="389">
        <v>6</v>
      </c>
      <c r="J2997" s="389">
        <f>F2997*I2997</f>
        <v>0</v>
      </c>
      <c r="K2997" s="389"/>
      <c r="L2997" s="389"/>
      <c r="M2997" s="389">
        <f>H2997+J2997+L2997</f>
        <v>0</v>
      </c>
      <c r="N2997" s="358"/>
    </row>
    <row r="2998" spans="1:14" s="464" customFormat="1" hidden="1">
      <c r="A2998" s="330"/>
      <c r="B2998" s="328"/>
      <c r="C2998" s="335" t="s">
        <v>81</v>
      </c>
      <c r="D2998" s="336" t="s">
        <v>57</v>
      </c>
      <c r="E2998" s="336">
        <v>4.1000000000000003E-3</v>
      </c>
      <c r="F2998" s="350">
        <f>F2996*E2998</f>
        <v>0</v>
      </c>
      <c r="G2998" s="389"/>
      <c r="H2998" s="389"/>
      <c r="I2998" s="389"/>
      <c r="J2998" s="389"/>
      <c r="K2998" s="389">
        <v>3.2</v>
      </c>
      <c r="L2998" s="389">
        <f>F2998*K2998</f>
        <v>0</v>
      </c>
      <c r="M2998" s="389">
        <f>H2998+J2998+L2998</f>
        <v>0</v>
      </c>
      <c r="N2998" s="348"/>
    </row>
    <row r="2999" spans="1:14" s="464" customFormat="1" hidden="1">
      <c r="A2999" s="330"/>
      <c r="B2999" s="328"/>
      <c r="C2999" s="335" t="s">
        <v>210</v>
      </c>
      <c r="D2999" s="336"/>
      <c r="E2999" s="336"/>
      <c r="F2999" s="350"/>
      <c r="G2999" s="389"/>
      <c r="H2999" s="389"/>
      <c r="I2999" s="389"/>
      <c r="J2999" s="389"/>
      <c r="K2999" s="389"/>
      <c r="L2999" s="389"/>
      <c r="M2999" s="389"/>
      <c r="N2999" s="348"/>
    </row>
    <row r="3000" spans="1:14" s="464" customFormat="1" ht="27" hidden="1">
      <c r="A3000" s="330"/>
      <c r="B3000" s="328"/>
      <c r="C3000" s="809" t="s">
        <v>1309</v>
      </c>
      <c r="D3000" s="330" t="s">
        <v>78</v>
      </c>
      <c r="E3000" s="330">
        <v>1.17</v>
      </c>
      <c r="F3000" s="350">
        <f>F2996*E3000</f>
        <v>0</v>
      </c>
      <c r="G3000" s="389">
        <v>9.9</v>
      </c>
      <c r="H3000" s="389">
        <f>F3000*G3000</f>
        <v>0</v>
      </c>
      <c r="I3000" s="389"/>
      <c r="J3000" s="389"/>
      <c r="K3000" s="389"/>
      <c r="L3000" s="389"/>
      <c r="M3000" s="389">
        <f>H3000+J3000+L3000</f>
        <v>0</v>
      </c>
      <c r="N3000" s="348"/>
    </row>
    <row r="3001" spans="1:14" s="464" customFormat="1" hidden="1">
      <c r="A3001" s="330"/>
      <c r="B3001" s="328"/>
      <c r="C3001" s="335" t="s">
        <v>214</v>
      </c>
      <c r="D3001" s="336" t="s">
        <v>57</v>
      </c>
      <c r="E3001" s="336">
        <v>7.8E-2</v>
      </c>
      <c r="F3001" s="350">
        <f>F2996*E3001</f>
        <v>0</v>
      </c>
      <c r="G3001" s="389">
        <v>3.2</v>
      </c>
      <c r="H3001" s="389">
        <f>F3001*G3001</f>
        <v>0</v>
      </c>
      <c r="I3001" s="389"/>
      <c r="J3001" s="389"/>
      <c r="K3001" s="389"/>
      <c r="L3001" s="389"/>
      <c r="M3001" s="389">
        <f>H3001+J3001+L3001</f>
        <v>0</v>
      </c>
      <c r="N3001" s="348"/>
    </row>
    <row r="3002" spans="1:14" s="88" customFormat="1" hidden="1">
      <c r="A3002" s="140">
        <v>29</v>
      </c>
      <c r="B3002" s="1446" t="s">
        <v>897</v>
      </c>
      <c r="C3002" s="151" t="s">
        <v>894</v>
      </c>
      <c r="D3002" s="140" t="s">
        <v>78</v>
      </c>
      <c r="E3002" s="140"/>
      <c r="F3002" s="384">
        <f>'დეფექტური აქტი'!E745</f>
        <v>0</v>
      </c>
      <c r="G3002" s="422"/>
      <c r="H3002" s="422"/>
      <c r="I3002" s="422"/>
      <c r="J3002" s="422"/>
      <c r="K3002" s="422"/>
      <c r="L3002" s="422"/>
      <c r="M3002" s="422"/>
    </row>
    <row r="3003" spans="1:14" s="88" customFormat="1" hidden="1">
      <c r="A3003" s="83"/>
      <c r="B3003" s="1432"/>
      <c r="C3003" s="223" t="s">
        <v>209</v>
      </c>
      <c r="D3003" s="211" t="s">
        <v>80</v>
      </c>
      <c r="E3003" s="211">
        <v>0.72499999999999998</v>
      </c>
      <c r="F3003" s="386">
        <f>F3002*E3003</f>
        <v>0</v>
      </c>
      <c r="G3003" s="225"/>
      <c r="H3003" s="225"/>
      <c r="I3003" s="386">
        <v>6</v>
      </c>
      <c r="J3003" s="225">
        <f>F3003*I3003</f>
        <v>0</v>
      </c>
      <c r="K3003" s="225"/>
      <c r="L3003" s="225"/>
      <c r="M3003" s="225">
        <f>H3003+J3003+L3003</f>
        <v>0</v>
      </c>
    </row>
    <row r="3004" spans="1:14" s="88" customFormat="1" hidden="1">
      <c r="A3004" s="83"/>
      <c r="B3004" s="1432"/>
      <c r="C3004" s="84" t="s">
        <v>81</v>
      </c>
      <c r="D3004" s="83" t="s">
        <v>57</v>
      </c>
      <c r="E3004" s="83">
        <v>3.5700000000000003E-2</v>
      </c>
      <c r="F3004" s="386">
        <f>F3002*E3004</f>
        <v>0</v>
      </c>
      <c r="G3004" s="225"/>
      <c r="H3004" s="225"/>
      <c r="I3004" s="225"/>
      <c r="J3004" s="225"/>
      <c r="K3004" s="225">
        <v>3.2</v>
      </c>
      <c r="L3004" s="225">
        <f>F3004*K3004</f>
        <v>0</v>
      </c>
      <c r="M3004" s="225">
        <f>H3004+J3004+L3004</f>
        <v>0</v>
      </c>
    </row>
    <row r="3005" spans="1:14" s="88" customFormat="1" hidden="1">
      <c r="A3005" s="96"/>
      <c r="B3005" s="1432"/>
      <c r="C3005" s="226" t="s">
        <v>210</v>
      </c>
      <c r="D3005" s="211"/>
      <c r="E3005" s="211"/>
      <c r="F3005" s="225"/>
      <c r="G3005" s="225"/>
      <c r="H3005" s="225"/>
      <c r="I3005" s="225"/>
      <c r="J3005" s="225"/>
      <c r="K3005" s="225"/>
      <c r="L3005" s="225"/>
      <c r="M3005" s="225"/>
      <c r="N3005" s="236"/>
    </row>
    <row r="3006" spans="1:14" s="88" customFormat="1" hidden="1">
      <c r="A3006" s="83"/>
      <c r="B3006" s="1432"/>
      <c r="C3006" s="84" t="s">
        <v>898</v>
      </c>
      <c r="D3006" s="83" t="s">
        <v>88</v>
      </c>
      <c r="E3006" s="83">
        <v>1.3599999999999999E-2</v>
      </c>
      <c r="F3006" s="386">
        <f>F3002*E3006</f>
        <v>0</v>
      </c>
      <c r="G3006" s="386">
        <v>403</v>
      </c>
      <c r="H3006" s="225">
        <f>F3006*G3006</f>
        <v>0</v>
      </c>
      <c r="I3006" s="225"/>
      <c r="J3006" s="225"/>
      <c r="K3006" s="225"/>
      <c r="L3006" s="225"/>
      <c r="M3006" s="225">
        <f>H3006+J3006+L3006</f>
        <v>0</v>
      </c>
    </row>
    <row r="3007" spans="1:14" s="88" customFormat="1" hidden="1">
      <c r="A3007" s="83"/>
      <c r="B3007" s="1432"/>
      <c r="C3007" s="84" t="s">
        <v>899</v>
      </c>
      <c r="D3007" s="83" t="s">
        <v>88</v>
      </c>
      <c r="E3007" s="83">
        <v>1.5800000000000002E-2</v>
      </c>
      <c r="F3007" s="386">
        <f>F3002*E3007</f>
        <v>0</v>
      </c>
      <c r="G3007" s="386">
        <v>471</v>
      </c>
      <c r="H3007" s="225">
        <f>F3007*G3007</f>
        <v>0</v>
      </c>
      <c r="I3007" s="225"/>
      <c r="J3007" s="225"/>
      <c r="K3007" s="225"/>
      <c r="L3007" s="225"/>
      <c r="M3007" s="225">
        <f>H3007+J3007+L3007</f>
        <v>0</v>
      </c>
    </row>
    <row r="3008" spans="1:14" s="88" customFormat="1" hidden="1">
      <c r="A3008" s="86"/>
      <c r="B3008" s="1437"/>
      <c r="C3008" s="87" t="s">
        <v>214</v>
      </c>
      <c r="D3008" s="86" t="s">
        <v>57</v>
      </c>
      <c r="E3008" s="86">
        <v>3.2800000000000003E-2</v>
      </c>
      <c r="F3008" s="387">
        <f>F3002*E3008</f>
        <v>0</v>
      </c>
      <c r="G3008" s="393">
        <v>3.2</v>
      </c>
      <c r="H3008" s="393">
        <f>F3008*G3008</f>
        <v>0</v>
      </c>
      <c r="I3008" s="393"/>
      <c r="J3008" s="393"/>
      <c r="K3008" s="393"/>
      <c r="L3008" s="393"/>
      <c r="M3008" s="393">
        <f>H3008+J3008+L3008</f>
        <v>0</v>
      </c>
    </row>
    <row r="3009" spans="1:14" s="88" customFormat="1" ht="27" hidden="1">
      <c r="A3009" s="83">
        <v>30</v>
      </c>
      <c r="B3009" s="1432" t="s">
        <v>849</v>
      </c>
      <c r="C3009" s="84" t="s">
        <v>896</v>
      </c>
      <c r="D3009" s="83" t="s">
        <v>78</v>
      </c>
      <c r="E3009" s="83"/>
      <c r="F3009" s="388">
        <f>'დეფექტური აქტი'!E746</f>
        <v>0</v>
      </c>
      <c r="G3009" s="225"/>
      <c r="H3009" s="225"/>
      <c r="I3009" s="225"/>
      <c r="J3009" s="225"/>
      <c r="K3009" s="225"/>
      <c r="L3009" s="225"/>
      <c r="M3009" s="225"/>
    </row>
    <row r="3010" spans="1:14" s="88" customFormat="1" hidden="1">
      <c r="A3010" s="83"/>
      <c r="B3010" s="1432"/>
      <c r="C3010" s="223" t="s">
        <v>209</v>
      </c>
      <c r="D3010" s="211" t="s">
        <v>80</v>
      </c>
      <c r="E3010" s="211">
        <v>0.68799999999999994</v>
      </c>
      <c r="F3010" s="386">
        <f>F3009*E3010</f>
        <v>0</v>
      </c>
      <c r="G3010" s="225"/>
      <c r="H3010" s="225"/>
      <c r="I3010" s="386">
        <v>6</v>
      </c>
      <c r="J3010" s="225">
        <f>F3010*I3010</f>
        <v>0</v>
      </c>
      <c r="K3010" s="225"/>
      <c r="L3010" s="225"/>
      <c r="M3010" s="225">
        <f>H3010+J3010+L3010</f>
        <v>0</v>
      </c>
    </row>
    <row r="3011" spans="1:14" s="88" customFormat="1" hidden="1">
      <c r="A3011" s="83"/>
      <c r="B3011" s="1432"/>
      <c r="C3011" s="223" t="s">
        <v>81</v>
      </c>
      <c r="D3011" s="83" t="s">
        <v>57</v>
      </c>
      <c r="E3011" s="211">
        <v>1.15E-2</v>
      </c>
      <c r="F3011" s="386">
        <f>F3009*E3011</f>
        <v>0</v>
      </c>
      <c r="G3011" s="225"/>
      <c r="H3011" s="225"/>
      <c r="I3011" s="225"/>
      <c r="J3011" s="225"/>
      <c r="K3011" s="225">
        <v>3.2</v>
      </c>
      <c r="L3011" s="225">
        <f>F3011*K3011</f>
        <v>0</v>
      </c>
      <c r="M3011" s="225">
        <f>H3011+J3011+L3011</f>
        <v>0</v>
      </c>
    </row>
    <row r="3012" spans="1:14" s="88" customFormat="1" hidden="1">
      <c r="A3012" s="83"/>
      <c r="B3012" s="1432"/>
      <c r="C3012" s="15" t="s">
        <v>210</v>
      </c>
      <c r="D3012" s="211"/>
      <c r="E3012" s="211"/>
      <c r="F3012" s="386"/>
      <c r="G3012" s="225"/>
      <c r="H3012" s="225"/>
      <c r="I3012" s="225"/>
      <c r="J3012" s="225"/>
      <c r="K3012" s="225"/>
      <c r="L3012" s="225"/>
      <c r="M3012" s="225"/>
    </row>
    <row r="3013" spans="1:14" s="88" customFormat="1" hidden="1">
      <c r="A3013" s="83"/>
      <c r="B3013" s="1432"/>
      <c r="C3013" s="223" t="s">
        <v>186</v>
      </c>
      <c r="D3013" s="211" t="s">
        <v>97</v>
      </c>
      <c r="E3013" s="211">
        <v>0.29799999999999999</v>
      </c>
      <c r="F3013" s="386">
        <f>F3009*E3013</f>
        <v>0</v>
      </c>
      <c r="G3013" s="225">
        <v>5.0999999999999996</v>
      </c>
      <c r="H3013" s="225">
        <f>F3013*G3013</f>
        <v>0</v>
      </c>
      <c r="I3013" s="225"/>
      <c r="J3013" s="225"/>
      <c r="K3013" s="225"/>
      <c r="L3013" s="225"/>
      <c r="M3013" s="225">
        <f>H3013+J3013+L3013</f>
        <v>0</v>
      </c>
    </row>
    <row r="3014" spans="1:14" s="88" customFormat="1" hidden="1">
      <c r="A3014" s="83"/>
      <c r="B3014" s="1432"/>
      <c r="C3014" s="223" t="s">
        <v>134</v>
      </c>
      <c r="D3014" s="211" t="s">
        <v>97</v>
      </c>
      <c r="E3014" s="211">
        <v>0.41</v>
      </c>
      <c r="F3014" s="386">
        <f>F3009*E3014</f>
        <v>0</v>
      </c>
      <c r="G3014" s="225">
        <v>0.5</v>
      </c>
      <c r="H3014" s="225">
        <f>F3014*G3014</f>
        <v>0</v>
      </c>
      <c r="I3014" s="225"/>
      <c r="J3014" s="225"/>
      <c r="K3014" s="225"/>
      <c r="L3014" s="225"/>
      <c r="M3014" s="225">
        <f>H3014+J3014+L3014</f>
        <v>0</v>
      </c>
    </row>
    <row r="3015" spans="1:14" s="88" customFormat="1" hidden="1">
      <c r="A3015" s="83"/>
      <c r="B3015" s="1432"/>
      <c r="C3015" s="223" t="s">
        <v>138</v>
      </c>
      <c r="D3015" s="211" t="s">
        <v>97</v>
      </c>
      <c r="E3015" s="211">
        <v>0.1</v>
      </c>
      <c r="F3015" s="386">
        <f>F3009*E3015</f>
        <v>0</v>
      </c>
      <c r="G3015" s="225">
        <v>3.5</v>
      </c>
      <c r="H3015" s="225">
        <f>F3015*G3015</f>
        <v>0</v>
      </c>
      <c r="I3015" s="225"/>
      <c r="J3015" s="225"/>
      <c r="K3015" s="225"/>
      <c r="L3015" s="225"/>
      <c r="M3015" s="225">
        <f>H3015+J3015+L3015</f>
        <v>0</v>
      </c>
    </row>
    <row r="3016" spans="1:14" s="88" customFormat="1" hidden="1">
      <c r="A3016" s="86"/>
      <c r="B3016" s="1437"/>
      <c r="C3016" s="232" t="s">
        <v>214</v>
      </c>
      <c r="D3016" s="86" t="s">
        <v>57</v>
      </c>
      <c r="E3016" s="211">
        <v>7.0000000000000001E-3</v>
      </c>
      <c r="F3016" s="387">
        <f>F3009*E3016</f>
        <v>0</v>
      </c>
      <c r="G3016" s="393">
        <v>3.2</v>
      </c>
      <c r="H3016" s="393">
        <f>F3016*G3016</f>
        <v>0</v>
      </c>
      <c r="I3016" s="393"/>
      <c r="J3016" s="393"/>
      <c r="K3016" s="393"/>
      <c r="L3016" s="393"/>
      <c r="M3016" s="393">
        <f>H3016+J3016+L3016</f>
        <v>0</v>
      </c>
    </row>
    <row r="3017" spans="1:14" s="464" customFormat="1" hidden="1">
      <c r="A3017" s="466"/>
      <c r="B3017" s="504"/>
      <c r="C3017" s="491" t="s">
        <v>504</v>
      </c>
      <c r="D3017" s="479"/>
      <c r="E3017" s="479"/>
      <c r="F3017" s="480"/>
      <c r="G3017" s="505"/>
      <c r="H3017" s="505">
        <f>SUM(H2970:H3016)</f>
        <v>0</v>
      </c>
      <c r="I3017" s="505"/>
      <c r="J3017" s="505">
        <f>SUM(J2970:J3016)</f>
        <v>0</v>
      </c>
      <c r="K3017" s="505"/>
      <c r="L3017" s="505">
        <f>SUM(L2970:L3016)</f>
        <v>0</v>
      </c>
      <c r="M3017" s="505">
        <f>SUM(M2970:M3016)</f>
        <v>0</v>
      </c>
      <c r="N3017" s="502">
        <f>H3017+J3017+L3017</f>
        <v>0</v>
      </c>
    </row>
    <row r="3018" spans="1:14" s="464" customFormat="1" hidden="1">
      <c r="A3018" s="465"/>
      <c r="B3018" s="506"/>
      <c r="C3018" s="474" t="s">
        <v>1142</v>
      </c>
      <c r="D3018" s="477"/>
      <c r="E3018" s="477"/>
      <c r="F3018" s="478"/>
      <c r="G3018" s="507"/>
      <c r="H3018" s="507"/>
      <c r="I3018" s="507"/>
      <c r="J3018" s="507"/>
      <c r="K3018" s="507"/>
      <c r="L3018" s="507"/>
      <c r="M3018" s="507"/>
      <c r="N3018" s="348"/>
    </row>
    <row r="3019" spans="1:14" s="359" customFormat="1" ht="28.5" hidden="1" customHeight="1">
      <c r="A3019" s="421">
        <v>31</v>
      </c>
      <c r="B3019" s="500" t="s">
        <v>187</v>
      </c>
      <c r="C3019" s="512" t="s">
        <v>1143</v>
      </c>
      <c r="D3019" s="473" t="s">
        <v>78</v>
      </c>
      <c r="E3019" s="473"/>
      <c r="F3019" s="475">
        <f>'დეფექტური აქტი'!E748</f>
        <v>0</v>
      </c>
      <c r="G3019" s="425"/>
      <c r="H3019" s="425"/>
      <c r="I3019" s="425"/>
      <c r="J3019" s="425"/>
      <c r="K3019" s="425"/>
      <c r="L3019" s="425"/>
      <c r="M3019" s="425"/>
      <c r="N3019" s="358"/>
    </row>
    <row r="3020" spans="1:14" s="359" customFormat="1" ht="15.75" hidden="1" customHeight="1">
      <c r="A3020" s="330"/>
      <c r="B3020" s="513"/>
      <c r="C3020" s="341" t="s">
        <v>209</v>
      </c>
      <c r="D3020" s="336" t="s">
        <v>78</v>
      </c>
      <c r="E3020" s="336">
        <v>2.78</v>
      </c>
      <c r="F3020" s="350">
        <f>F3019*E3020</f>
        <v>0</v>
      </c>
      <c r="G3020" s="389"/>
      <c r="H3020" s="389"/>
      <c r="I3020" s="389">
        <v>4.5999999999999996</v>
      </c>
      <c r="J3020" s="389">
        <f>F3020*I3020</f>
        <v>0</v>
      </c>
      <c r="K3020" s="389"/>
      <c r="L3020" s="389"/>
      <c r="M3020" s="389">
        <f>H3020+J3020+L3020</f>
        <v>0</v>
      </c>
      <c r="N3020" s="358"/>
    </row>
    <row r="3021" spans="1:14" s="359" customFormat="1" hidden="1">
      <c r="A3021" s="330"/>
      <c r="B3021" s="514"/>
      <c r="C3021" s="341" t="s">
        <v>81</v>
      </c>
      <c r="D3021" s="336" t="s">
        <v>57</v>
      </c>
      <c r="E3021" s="336">
        <v>0.67</v>
      </c>
      <c r="F3021" s="350">
        <f>F3019*E3021</f>
        <v>0</v>
      </c>
      <c r="G3021" s="389"/>
      <c r="H3021" s="389"/>
      <c r="I3021" s="389"/>
      <c r="J3021" s="389"/>
      <c r="K3021" s="389">
        <v>3.2</v>
      </c>
      <c r="L3021" s="389">
        <f>F3021*K3021</f>
        <v>0</v>
      </c>
      <c r="M3021" s="389">
        <f>H3021+J3021+L3021</f>
        <v>0</v>
      </c>
      <c r="N3021" s="358"/>
    </row>
    <row r="3022" spans="1:14" s="359" customFormat="1" hidden="1">
      <c r="A3022" s="330"/>
      <c r="B3022" s="514"/>
      <c r="C3022" s="341" t="s">
        <v>210</v>
      </c>
      <c r="D3022" s="336"/>
      <c r="E3022" s="336"/>
      <c r="F3022" s="350">
        <f>E3022*2353</f>
        <v>0</v>
      </c>
      <c r="G3022" s="389"/>
      <c r="H3022" s="389"/>
      <c r="I3022" s="389"/>
      <c r="J3022" s="389"/>
      <c r="K3022" s="389"/>
      <c r="L3022" s="389"/>
      <c r="M3022" s="389"/>
      <c r="N3022" s="358"/>
    </row>
    <row r="3023" spans="1:14" s="359" customFormat="1" hidden="1">
      <c r="A3023" s="330"/>
      <c r="B3023" s="328"/>
      <c r="C3023" s="341" t="s">
        <v>1206</v>
      </c>
      <c r="D3023" s="336" t="s">
        <v>78</v>
      </c>
      <c r="E3023" s="336">
        <v>1</v>
      </c>
      <c r="F3023" s="350">
        <f>F3019*E3023</f>
        <v>0</v>
      </c>
      <c r="G3023" s="389">
        <v>115</v>
      </c>
      <c r="H3023" s="389">
        <f>F3023*G3023</f>
        <v>0</v>
      </c>
      <c r="I3023" s="389"/>
      <c r="J3023" s="389"/>
      <c r="K3023" s="389"/>
      <c r="L3023" s="389"/>
      <c r="M3023" s="389">
        <f>H3023+J3023+L3023</f>
        <v>0</v>
      </c>
      <c r="N3023" s="358"/>
    </row>
    <row r="3024" spans="1:14" s="359" customFormat="1" ht="21" hidden="1" customHeight="1">
      <c r="A3024" s="330"/>
      <c r="B3024" s="514"/>
      <c r="C3024" s="341" t="s">
        <v>214</v>
      </c>
      <c r="D3024" s="336" t="s">
        <v>57</v>
      </c>
      <c r="E3024" s="336">
        <v>0.65700000000000003</v>
      </c>
      <c r="F3024" s="350">
        <f>F3019*E3024</f>
        <v>0</v>
      </c>
      <c r="G3024" s="389">
        <v>3.2</v>
      </c>
      <c r="H3024" s="389">
        <f>F3024*G3024</f>
        <v>0</v>
      </c>
      <c r="I3024" s="389"/>
      <c r="J3024" s="389"/>
      <c r="K3024" s="389"/>
      <c r="L3024" s="389"/>
      <c r="M3024" s="389">
        <f>H3024+J3024+L3024</f>
        <v>0</v>
      </c>
      <c r="N3024" s="358"/>
    </row>
    <row r="3025" spans="1:14" s="359" customFormat="1" ht="27" hidden="1">
      <c r="A3025" s="421">
        <v>32</v>
      </c>
      <c r="B3025" s="500" t="s">
        <v>1207</v>
      </c>
      <c r="C3025" s="512" t="s">
        <v>1144</v>
      </c>
      <c r="D3025" s="473" t="s">
        <v>78</v>
      </c>
      <c r="E3025" s="473"/>
      <c r="F3025" s="509">
        <f>'დეფექტური აქტი'!E749</f>
        <v>0</v>
      </c>
      <c r="G3025" s="425"/>
      <c r="H3025" s="425"/>
      <c r="I3025" s="425"/>
      <c r="J3025" s="425"/>
      <c r="K3025" s="425"/>
      <c r="L3025" s="425"/>
      <c r="M3025" s="425"/>
      <c r="N3025" s="358"/>
    </row>
    <row r="3026" spans="1:14" s="359" customFormat="1" ht="15.75" hidden="1" customHeight="1">
      <c r="A3026" s="330"/>
      <c r="B3026" s="513"/>
      <c r="C3026" s="341" t="s">
        <v>209</v>
      </c>
      <c r="D3026" s="336" t="s">
        <v>80</v>
      </c>
      <c r="E3026" s="336">
        <v>1.1599999999999999</v>
      </c>
      <c r="F3026" s="350">
        <f>F3025*E3026</f>
        <v>0</v>
      </c>
      <c r="G3026" s="389"/>
      <c r="H3026" s="389"/>
      <c r="I3026" s="389">
        <v>6</v>
      </c>
      <c r="J3026" s="389">
        <f>F3026*I3026</f>
        <v>0</v>
      </c>
      <c r="K3026" s="389"/>
      <c r="L3026" s="389"/>
      <c r="M3026" s="389">
        <f>H3026+J3026+L3026</f>
        <v>0</v>
      </c>
      <c r="N3026" s="358"/>
    </row>
    <row r="3027" spans="1:14" s="359" customFormat="1" hidden="1">
      <c r="A3027" s="330"/>
      <c r="B3027" s="514"/>
      <c r="C3027" s="341" t="s">
        <v>81</v>
      </c>
      <c r="D3027" s="336" t="s">
        <v>57</v>
      </c>
      <c r="E3027" s="336">
        <v>0.13</v>
      </c>
      <c r="F3027" s="350">
        <f>F3025*E3027</f>
        <v>0</v>
      </c>
      <c r="G3027" s="389"/>
      <c r="H3027" s="389"/>
      <c r="I3027" s="389"/>
      <c r="J3027" s="389"/>
      <c r="K3027" s="389">
        <v>3.2</v>
      </c>
      <c r="L3027" s="389">
        <f>F3027*K3027</f>
        <v>0</v>
      </c>
      <c r="M3027" s="389">
        <f>H3027+J3027+L3027</f>
        <v>0</v>
      </c>
      <c r="N3027" s="358"/>
    </row>
    <row r="3028" spans="1:14" s="359" customFormat="1" hidden="1">
      <c r="A3028" s="330"/>
      <c r="B3028" s="514"/>
      <c r="C3028" s="341" t="s">
        <v>210</v>
      </c>
      <c r="D3028" s="336"/>
      <c r="E3028" s="336"/>
      <c r="F3028" s="350">
        <f>E3028*2353</f>
        <v>0</v>
      </c>
      <c r="G3028" s="389"/>
      <c r="H3028" s="389"/>
      <c r="I3028" s="389"/>
      <c r="J3028" s="389"/>
      <c r="K3028" s="389"/>
      <c r="L3028" s="389"/>
      <c r="M3028" s="389"/>
      <c r="N3028" s="358"/>
    </row>
    <row r="3029" spans="1:14" s="359" customFormat="1" hidden="1">
      <c r="A3029" s="330"/>
      <c r="B3029" s="328"/>
      <c r="C3029" s="341" t="s">
        <v>1208</v>
      </c>
      <c r="D3029" s="336" t="s">
        <v>78</v>
      </c>
      <c r="E3029" s="336">
        <v>1</v>
      </c>
      <c r="F3029" s="350">
        <f>F3025*E3029</f>
        <v>0</v>
      </c>
      <c r="G3029" s="389">
        <v>120</v>
      </c>
      <c r="H3029" s="389">
        <f>F3029*G3029</f>
        <v>0</v>
      </c>
      <c r="I3029" s="389"/>
      <c r="J3029" s="389"/>
      <c r="K3029" s="389"/>
      <c r="L3029" s="389"/>
      <c r="M3029" s="389">
        <f>H3029+J3029+L3029</f>
        <v>0</v>
      </c>
      <c r="N3029" s="358"/>
    </row>
    <row r="3030" spans="1:14" s="359" customFormat="1" hidden="1">
      <c r="A3030" s="330"/>
      <c r="B3030" s="515"/>
      <c r="C3030" s="341" t="s">
        <v>1209</v>
      </c>
      <c r="D3030" s="336" t="s">
        <v>876</v>
      </c>
      <c r="E3030" s="336">
        <v>5.4</v>
      </c>
      <c r="F3030" s="350">
        <f>F3025*E3030</f>
        <v>0</v>
      </c>
      <c r="G3030" s="389">
        <v>2.5</v>
      </c>
      <c r="H3030" s="389">
        <f>F3030*G3030</f>
        <v>0</v>
      </c>
      <c r="I3030" s="389"/>
      <c r="J3030" s="389"/>
      <c r="K3030" s="389"/>
      <c r="L3030" s="389"/>
      <c r="M3030" s="389">
        <f>H3030+J3030+L3030</f>
        <v>0</v>
      </c>
      <c r="N3030" s="358"/>
    </row>
    <row r="3031" spans="1:14" s="359" customFormat="1" hidden="1">
      <c r="A3031" s="330"/>
      <c r="B3031" s="515"/>
      <c r="C3031" s="341" t="s">
        <v>1210</v>
      </c>
      <c r="D3031" s="336" t="s">
        <v>88</v>
      </c>
      <c r="E3031" s="336">
        <v>8.0000000000000004E-4</v>
      </c>
      <c r="F3031" s="350">
        <f>F3025*E3031</f>
        <v>0</v>
      </c>
      <c r="G3031" s="389">
        <v>375</v>
      </c>
      <c r="H3031" s="389">
        <f>F3031*G3031</f>
        <v>0</v>
      </c>
      <c r="I3031" s="389"/>
      <c r="J3031" s="389"/>
      <c r="K3031" s="389"/>
      <c r="L3031" s="389"/>
      <c r="M3031" s="389">
        <f>H3031+J3031+L3031</f>
        <v>0</v>
      </c>
      <c r="N3031" s="358"/>
    </row>
    <row r="3032" spans="1:14" s="359" customFormat="1" hidden="1">
      <c r="A3032" s="330"/>
      <c r="B3032" s="328"/>
      <c r="C3032" s="341" t="s">
        <v>185</v>
      </c>
      <c r="D3032" s="336" t="s">
        <v>821</v>
      </c>
      <c r="E3032" s="336"/>
      <c r="F3032" s="350">
        <f>'დეფექტური აქტი'!E750</f>
        <v>0</v>
      </c>
      <c r="G3032" s="389">
        <v>20</v>
      </c>
      <c r="H3032" s="389">
        <f>F3032*G3032</f>
        <v>0</v>
      </c>
      <c r="I3032" s="389"/>
      <c r="J3032" s="389"/>
      <c r="K3032" s="389"/>
      <c r="L3032" s="389"/>
      <c r="M3032" s="389">
        <f>H3032+J3032+L3032</f>
        <v>0</v>
      </c>
      <c r="N3032" s="358"/>
    </row>
    <row r="3033" spans="1:14" s="359" customFormat="1" ht="16.5" hidden="1" customHeight="1">
      <c r="A3033" s="330"/>
      <c r="B3033" s="514"/>
      <c r="C3033" s="341" t="s">
        <v>214</v>
      </c>
      <c r="D3033" s="336" t="s">
        <v>57</v>
      </c>
      <c r="E3033" s="336">
        <v>2.06E-2</v>
      </c>
      <c r="F3033" s="350">
        <f>F3025*E3033</f>
        <v>0</v>
      </c>
      <c r="G3033" s="389">
        <v>3.2</v>
      </c>
      <c r="H3033" s="389">
        <f>F3033*G3033</f>
        <v>0</v>
      </c>
      <c r="I3033" s="389"/>
      <c r="J3033" s="389"/>
      <c r="K3033" s="389"/>
      <c r="L3033" s="389"/>
      <c r="M3033" s="389">
        <f>H3033+J3033+L3033</f>
        <v>0</v>
      </c>
      <c r="N3033" s="358"/>
    </row>
    <row r="3034" spans="1:14" s="359" customFormat="1" ht="25.5" hidden="1" customHeight="1">
      <c r="A3034" s="421">
        <v>33</v>
      </c>
      <c r="B3034" s="500" t="s">
        <v>368</v>
      </c>
      <c r="C3034" s="420" t="s">
        <v>1211</v>
      </c>
      <c r="D3034" s="421" t="s">
        <v>78</v>
      </c>
      <c r="E3034" s="421"/>
      <c r="F3034" s="509">
        <f>'დეფექტური აქტი'!E751</f>
        <v>0</v>
      </c>
      <c r="G3034" s="425"/>
      <c r="H3034" s="425"/>
      <c r="I3034" s="425"/>
      <c r="J3034" s="425"/>
      <c r="K3034" s="425"/>
      <c r="L3034" s="425"/>
      <c r="M3034" s="425"/>
      <c r="N3034" s="358"/>
    </row>
    <row r="3035" spans="1:14" s="359" customFormat="1" ht="16.5" hidden="1" customHeight="1">
      <c r="A3035" s="330"/>
      <c r="B3035" s="328"/>
      <c r="C3035" s="341" t="s">
        <v>209</v>
      </c>
      <c r="D3035" s="336" t="s">
        <v>80</v>
      </c>
      <c r="E3035" s="336">
        <v>0.88700000000000001</v>
      </c>
      <c r="F3035" s="350">
        <f>F3034*E3035</f>
        <v>0</v>
      </c>
      <c r="G3035" s="389"/>
      <c r="H3035" s="389"/>
      <c r="I3035" s="389">
        <v>6</v>
      </c>
      <c r="J3035" s="389">
        <f>F3035*I3035</f>
        <v>0</v>
      </c>
      <c r="K3035" s="389"/>
      <c r="L3035" s="389"/>
      <c r="M3035" s="389">
        <f>H3035+J3035+L3035</f>
        <v>0</v>
      </c>
      <c r="N3035" s="358"/>
    </row>
    <row r="3036" spans="1:14" s="359" customFormat="1" hidden="1">
      <c r="A3036" s="330"/>
      <c r="B3036" s="328"/>
      <c r="C3036" s="341" t="s">
        <v>81</v>
      </c>
      <c r="D3036" s="336" t="s">
        <v>57</v>
      </c>
      <c r="E3036" s="336">
        <v>8.0000000000000004E-4</v>
      </c>
      <c r="F3036" s="350">
        <f>F3034*E3036</f>
        <v>0</v>
      </c>
      <c r="G3036" s="389"/>
      <c r="H3036" s="389"/>
      <c r="I3036" s="389"/>
      <c r="J3036" s="389"/>
      <c r="K3036" s="389">
        <v>3.2</v>
      </c>
      <c r="L3036" s="389">
        <f>F3036*K3036</f>
        <v>0</v>
      </c>
      <c r="M3036" s="389">
        <f>H3036+J3036+L3036</f>
        <v>0</v>
      </c>
      <c r="N3036" s="358"/>
    </row>
    <row r="3037" spans="1:14" s="359" customFormat="1" hidden="1">
      <c r="A3037" s="330"/>
      <c r="B3037" s="328"/>
      <c r="C3037" s="341" t="s">
        <v>210</v>
      </c>
      <c r="D3037" s="336"/>
      <c r="E3037" s="336"/>
      <c r="F3037" s="350">
        <f>F3034*E3037</f>
        <v>0</v>
      </c>
      <c r="G3037" s="389"/>
      <c r="H3037" s="389"/>
      <c r="I3037" s="389"/>
      <c r="J3037" s="389"/>
      <c r="K3037" s="389"/>
      <c r="L3037" s="389"/>
      <c r="M3037" s="389"/>
      <c r="N3037" s="358"/>
    </row>
    <row r="3038" spans="1:14" s="359" customFormat="1" hidden="1">
      <c r="A3038" s="330"/>
      <c r="B3038" s="328"/>
      <c r="C3038" s="341" t="s">
        <v>186</v>
      </c>
      <c r="D3038" s="336" t="s">
        <v>97</v>
      </c>
      <c r="E3038" s="336">
        <v>0.24740000000000001</v>
      </c>
      <c r="F3038" s="350">
        <f>F3034*E3038</f>
        <v>0</v>
      </c>
      <c r="G3038" s="389">
        <v>5</v>
      </c>
      <c r="H3038" s="389">
        <f>F3038*G3038</f>
        <v>0</v>
      </c>
      <c r="I3038" s="389"/>
      <c r="J3038" s="389"/>
      <c r="K3038" s="389"/>
      <c r="L3038" s="389"/>
      <c r="M3038" s="389">
        <f>H3038+J3038+L3038</f>
        <v>0</v>
      </c>
      <c r="N3038" s="358"/>
    </row>
    <row r="3039" spans="1:14" s="359" customFormat="1" hidden="1">
      <c r="A3039" s="330"/>
      <c r="B3039" s="328"/>
      <c r="C3039" s="341" t="s">
        <v>134</v>
      </c>
      <c r="D3039" s="336" t="s">
        <v>97</v>
      </c>
      <c r="E3039" s="336">
        <v>0.41</v>
      </c>
      <c r="F3039" s="350">
        <f>F3034*E3039</f>
        <v>0</v>
      </c>
      <c r="G3039" s="389">
        <v>0.5</v>
      </c>
      <c r="H3039" s="389">
        <f>F3039*G3039</f>
        <v>0</v>
      </c>
      <c r="I3039" s="389"/>
      <c r="J3039" s="389"/>
      <c r="K3039" s="389"/>
      <c r="L3039" s="389"/>
      <c r="M3039" s="389">
        <f>H3039+J3039+L3039</f>
        <v>0</v>
      </c>
      <c r="N3039" s="358"/>
    </row>
    <row r="3040" spans="1:14" s="359" customFormat="1" hidden="1">
      <c r="A3040" s="330"/>
      <c r="B3040" s="328"/>
      <c r="C3040" s="341" t="s">
        <v>138</v>
      </c>
      <c r="D3040" s="336" t="s">
        <v>97</v>
      </c>
      <c r="E3040" s="336">
        <v>2.5000000000000001E-2</v>
      </c>
      <c r="F3040" s="350">
        <f>F3034*E3040</f>
        <v>0</v>
      </c>
      <c r="G3040" s="389">
        <v>3.5</v>
      </c>
      <c r="H3040" s="389">
        <f>F3040*G3040</f>
        <v>0</v>
      </c>
      <c r="I3040" s="389"/>
      <c r="J3040" s="389"/>
      <c r="K3040" s="389"/>
      <c r="L3040" s="389"/>
      <c r="M3040" s="389">
        <f>H3040+J3040+L3040</f>
        <v>0</v>
      </c>
      <c r="N3040" s="358"/>
    </row>
    <row r="3041" spans="1:14" s="359" customFormat="1" hidden="1">
      <c r="A3041" s="330"/>
      <c r="B3041" s="328"/>
      <c r="C3041" s="341" t="s">
        <v>214</v>
      </c>
      <c r="D3041" s="336" t="s">
        <v>57</v>
      </c>
      <c r="E3041" s="336">
        <v>7.0000000000000001E-3</v>
      </c>
      <c r="F3041" s="350">
        <f>F3034*E3041</f>
        <v>0</v>
      </c>
      <c r="G3041" s="389">
        <v>3.2</v>
      </c>
      <c r="H3041" s="389">
        <f>F3041*G3041</f>
        <v>0</v>
      </c>
      <c r="I3041" s="389"/>
      <c r="J3041" s="389"/>
      <c r="K3041" s="389"/>
      <c r="L3041" s="389"/>
      <c r="M3041" s="389">
        <f>H3041+J3041+L3041</f>
        <v>0</v>
      </c>
      <c r="N3041" s="358"/>
    </row>
    <row r="3042" spans="1:14" s="359" customFormat="1" ht="27" hidden="1">
      <c r="A3042" s="421">
        <v>32</v>
      </c>
      <c r="B3042" s="500" t="s">
        <v>187</v>
      </c>
      <c r="C3042" s="512" t="s">
        <v>1776</v>
      </c>
      <c r="D3042" s="473" t="s">
        <v>78</v>
      </c>
      <c r="E3042" s="473"/>
      <c r="F3042" s="509">
        <f>'დეფექტური აქტი'!E752</f>
        <v>0</v>
      </c>
      <c r="G3042" s="425"/>
      <c r="H3042" s="425"/>
      <c r="I3042" s="425"/>
      <c r="J3042" s="425"/>
      <c r="K3042" s="425"/>
      <c r="L3042" s="425"/>
      <c r="M3042" s="425"/>
      <c r="N3042" s="358"/>
    </row>
    <row r="3043" spans="1:14" s="359" customFormat="1" ht="15.75" hidden="1" customHeight="1">
      <c r="A3043" s="330"/>
      <c r="B3043" s="513"/>
      <c r="C3043" s="341" t="s">
        <v>209</v>
      </c>
      <c r="D3043" s="336" t="s">
        <v>80</v>
      </c>
      <c r="E3043" s="336">
        <v>1.1599999999999999</v>
      </c>
      <c r="F3043" s="350">
        <f>F3042*E3043</f>
        <v>0</v>
      </c>
      <c r="G3043" s="389"/>
      <c r="H3043" s="389"/>
      <c r="I3043" s="389">
        <v>6</v>
      </c>
      <c r="J3043" s="389">
        <f>F3043*I3043</f>
        <v>0</v>
      </c>
      <c r="K3043" s="389"/>
      <c r="L3043" s="389"/>
      <c r="M3043" s="389">
        <f>H3043+J3043+L3043</f>
        <v>0</v>
      </c>
      <c r="N3043" s="358"/>
    </row>
    <row r="3044" spans="1:14" s="359" customFormat="1" hidden="1">
      <c r="A3044" s="330"/>
      <c r="B3044" s="514"/>
      <c r="C3044" s="341" t="s">
        <v>81</v>
      </c>
      <c r="D3044" s="336" t="s">
        <v>57</v>
      </c>
      <c r="E3044" s="336">
        <v>0.13</v>
      </c>
      <c r="F3044" s="350">
        <f>F3042*E3044</f>
        <v>0</v>
      </c>
      <c r="G3044" s="389"/>
      <c r="H3044" s="389"/>
      <c r="I3044" s="389"/>
      <c r="J3044" s="389"/>
      <c r="K3044" s="389">
        <v>3.2</v>
      </c>
      <c r="L3044" s="389">
        <f>F3044*K3044</f>
        <v>0</v>
      </c>
      <c r="M3044" s="389">
        <f>H3044+J3044+L3044</f>
        <v>0</v>
      </c>
      <c r="N3044" s="358"/>
    </row>
    <row r="3045" spans="1:14" s="359" customFormat="1" hidden="1">
      <c r="A3045" s="330"/>
      <c r="B3045" s="514"/>
      <c r="C3045" s="341" t="s">
        <v>210</v>
      </c>
      <c r="D3045" s="336"/>
      <c r="E3045" s="336"/>
      <c r="F3045" s="350">
        <f>E3045*2353</f>
        <v>0</v>
      </c>
      <c r="G3045" s="389"/>
      <c r="H3045" s="389"/>
      <c r="I3045" s="389"/>
      <c r="J3045" s="389"/>
      <c r="K3045" s="389"/>
      <c r="L3045" s="389"/>
      <c r="M3045" s="389"/>
      <c r="N3045" s="358"/>
    </row>
    <row r="3046" spans="1:14" s="359" customFormat="1" hidden="1">
      <c r="A3046" s="330"/>
      <c r="B3046" s="328"/>
      <c r="C3046" s="341" t="s">
        <v>1777</v>
      </c>
      <c r="D3046" s="336" t="s">
        <v>78</v>
      </c>
      <c r="E3046" s="336">
        <v>1</v>
      </c>
      <c r="F3046" s="350">
        <f>F3042*E3046</f>
        <v>0</v>
      </c>
      <c r="G3046" s="389">
        <v>145</v>
      </c>
      <c r="H3046" s="389">
        <f>F3046*G3046</f>
        <v>0</v>
      </c>
      <c r="I3046" s="389"/>
      <c r="J3046" s="389"/>
      <c r="K3046" s="389"/>
      <c r="L3046" s="389"/>
      <c r="M3046" s="389">
        <f>H3046+J3046+L3046</f>
        <v>0</v>
      </c>
      <c r="N3046" s="358"/>
    </row>
    <row r="3047" spans="1:14" s="359" customFormat="1" hidden="1">
      <c r="A3047" s="330"/>
      <c r="B3047" s="515"/>
      <c r="C3047" s="341" t="s">
        <v>214</v>
      </c>
      <c r="D3047" s="336" t="s">
        <v>876</v>
      </c>
      <c r="E3047" s="336">
        <v>5.4</v>
      </c>
      <c r="F3047" s="350">
        <f>F3042*E3047</f>
        <v>0</v>
      </c>
      <c r="G3047" s="389">
        <v>2.5</v>
      </c>
      <c r="H3047" s="389">
        <f>F3047*G3047</f>
        <v>0</v>
      </c>
      <c r="I3047" s="389"/>
      <c r="J3047" s="389"/>
      <c r="K3047" s="389"/>
      <c r="L3047" s="389"/>
      <c r="M3047" s="389">
        <f>H3047+J3047+L3047</f>
        <v>0</v>
      </c>
      <c r="N3047" s="358"/>
    </row>
    <row r="3048" spans="1:14" s="877" customFormat="1" ht="27" hidden="1">
      <c r="A3048" s="370">
        <v>34</v>
      </c>
      <c r="B3048" s="1427" t="s">
        <v>194</v>
      </c>
      <c r="C3048" s="885" t="s">
        <v>243</v>
      </c>
      <c r="D3048" s="370" t="s">
        <v>78</v>
      </c>
      <c r="E3048" s="370"/>
      <c r="F3048" s="456">
        <f>'დეფექტური აქტი'!E753</f>
        <v>0</v>
      </c>
      <c r="G3048" s="385"/>
      <c r="H3048" s="385"/>
      <c r="I3048" s="385"/>
      <c r="J3048" s="385"/>
      <c r="K3048" s="385"/>
      <c r="L3048" s="385"/>
      <c r="M3048" s="385"/>
    </row>
    <row r="3049" spans="1:14" s="877" customFormat="1" hidden="1">
      <c r="A3049" s="371"/>
      <c r="B3049" s="1428"/>
      <c r="C3049" s="84" t="s">
        <v>209</v>
      </c>
      <c r="D3049" s="83" t="s">
        <v>80</v>
      </c>
      <c r="E3049" s="83">
        <v>0.83</v>
      </c>
      <c r="F3049" s="386">
        <f>F3048*E3049</f>
        <v>0</v>
      </c>
      <c r="G3049" s="386"/>
      <c r="H3049" s="386"/>
      <c r="I3049" s="386">
        <v>6</v>
      </c>
      <c r="J3049" s="386">
        <f>F3049*I3049</f>
        <v>0</v>
      </c>
      <c r="K3049" s="386"/>
      <c r="L3049" s="386"/>
      <c r="M3049" s="386">
        <f>H3049+J3049+L3049</f>
        <v>0</v>
      </c>
    </row>
    <row r="3050" spans="1:14" s="877" customFormat="1" hidden="1">
      <c r="A3050" s="371"/>
      <c r="B3050" s="1428"/>
      <c r="C3050" s="84" t="s">
        <v>81</v>
      </c>
      <c r="D3050" s="83" t="s">
        <v>57</v>
      </c>
      <c r="E3050" s="83">
        <v>4.1000000000000003E-3</v>
      </c>
      <c r="F3050" s="386">
        <f>F3048*E3050</f>
        <v>0</v>
      </c>
      <c r="G3050" s="386"/>
      <c r="H3050" s="386"/>
      <c r="I3050" s="386"/>
      <c r="J3050" s="386"/>
      <c r="K3050" s="386">
        <v>3.2</v>
      </c>
      <c r="L3050" s="386">
        <f>F3050*K3050</f>
        <v>0</v>
      </c>
      <c r="M3050" s="386">
        <f>H3050+J3050+L3050</f>
        <v>0</v>
      </c>
    </row>
    <row r="3051" spans="1:14" s="877" customFormat="1" hidden="1">
      <c r="A3051" s="371"/>
      <c r="B3051" s="1428"/>
      <c r="C3051" s="365" t="s">
        <v>210</v>
      </c>
      <c r="D3051" s="83"/>
      <c r="E3051" s="83"/>
      <c r="F3051" s="386"/>
      <c r="G3051" s="386"/>
      <c r="H3051" s="386"/>
      <c r="I3051" s="386"/>
      <c r="J3051" s="386"/>
      <c r="K3051" s="386"/>
      <c r="L3051" s="386"/>
      <c r="M3051" s="386"/>
    </row>
    <row r="3052" spans="1:14" s="877" customFormat="1" hidden="1">
      <c r="A3052" s="371"/>
      <c r="B3052" s="1428"/>
      <c r="C3052" s="84" t="s">
        <v>1295</v>
      </c>
      <c r="D3052" s="83" t="s">
        <v>206</v>
      </c>
      <c r="E3052" s="83">
        <v>4.1000000000000003E-3</v>
      </c>
      <c r="F3052" s="386">
        <f>F3048*E3052</f>
        <v>0</v>
      </c>
      <c r="G3052" s="386">
        <f>9.1/0.0043</f>
        <v>2116.2790697674418</v>
      </c>
      <c r="H3052" s="386">
        <f>F3052*G3052</f>
        <v>0</v>
      </c>
      <c r="I3052" s="386"/>
      <c r="J3052" s="386"/>
      <c r="K3052" s="386"/>
      <c r="L3052" s="386"/>
      <c r="M3052" s="386">
        <f>H3052+J3052+L3052</f>
        <v>0</v>
      </c>
    </row>
    <row r="3053" spans="1:14" s="877" customFormat="1" hidden="1">
      <c r="A3053" s="371"/>
      <c r="B3053" s="1428"/>
      <c r="C3053" s="84" t="s">
        <v>214</v>
      </c>
      <c r="D3053" s="86" t="s">
        <v>57</v>
      </c>
      <c r="E3053" s="83">
        <v>7.8E-2</v>
      </c>
      <c r="F3053" s="386">
        <f>F3048*E3053</f>
        <v>0</v>
      </c>
      <c r="G3053" s="386">
        <v>3.2</v>
      </c>
      <c r="H3053" s="386">
        <f>F3053*G3053</f>
        <v>0</v>
      </c>
      <c r="I3053" s="386"/>
      <c r="J3053" s="386"/>
      <c r="K3053" s="386"/>
      <c r="L3053" s="386"/>
      <c r="M3053" s="386">
        <f>H3053+J3053+L3053</f>
        <v>0</v>
      </c>
    </row>
    <row r="3054" spans="1:14" s="464" customFormat="1" ht="15.75" hidden="1" customHeight="1">
      <c r="A3054" s="466"/>
      <c r="B3054" s="504"/>
      <c r="C3054" s="491" t="s">
        <v>505</v>
      </c>
      <c r="D3054" s="479"/>
      <c r="E3054" s="479"/>
      <c r="F3054" s="480"/>
      <c r="G3054" s="505"/>
      <c r="H3054" s="505">
        <f>SUM(H3019:H3053)</f>
        <v>0</v>
      </c>
      <c r="I3054" s="505"/>
      <c r="J3054" s="505">
        <f>SUM(J3019:J3053)</f>
        <v>0</v>
      </c>
      <c r="K3054" s="505"/>
      <c r="L3054" s="505">
        <f>SUM(L3019:L3053)</f>
        <v>0</v>
      </c>
      <c r="M3054" s="505">
        <f>SUM(M3019:M3053)</f>
        <v>0</v>
      </c>
      <c r="N3054" s="502">
        <f>H3054+J3054+L3054</f>
        <v>0</v>
      </c>
    </row>
    <row r="3055" spans="1:14" s="464" customFormat="1" hidden="1">
      <c r="A3055" s="466"/>
      <c r="B3055" s="504"/>
      <c r="C3055" s="467" t="s">
        <v>1145</v>
      </c>
      <c r="D3055" s="479"/>
      <c r="E3055" s="479"/>
      <c r="F3055" s="480"/>
      <c r="G3055" s="505"/>
      <c r="H3055" s="505"/>
      <c r="I3055" s="505"/>
      <c r="J3055" s="505"/>
      <c r="K3055" s="505"/>
      <c r="L3055" s="505"/>
      <c r="M3055" s="505"/>
      <c r="N3055" s="348"/>
    </row>
    <row r="3056" spans="1:14" s="359" customFormat="1" ht="20.25" hidden="1" customHeight="1">
      <c r="A3056" s="330">
        <v>35</v>
      </c>
      <c r="B3056" s="328" t="s">
        <v>1212</v>
      </c>
      <c r="C3056" s="341" t="s">
        <v>1146</v>
      </c>
      <c r="D3056" s="516" t="s">
        <v>78</v>
      </c>
      <c r="E3056" s="330"/>
      <c r="F3056" s="456">
        <f>'დეფექტური აქტი'!E755</f>
        <v>0</v>
      </c>
      <c r="G3056" s="389"/>
      <c r="H3056" s="389"/>
      <c r="I3056" s="389"/>
      <c r="J3056" s="389"/>
      <c r="K3056" s="389"/>
      <c r="L3056" s="389"/>
      <c r="M3056" s="389"/>
      <c r="N3056" s="358"/>
    </row>
    <row r="3057" spans="1:14" s="359" customFormat="1" ht="16.5" hidden="1" customHeight="1">
      <c r="A3057" s="330"/>
      <c r="B3057" s="328" t="s">
        <v>1213</v>
      </c>
      <c r="C3057" s="341" t="s">
        <v>1214</v>
      </c>
      <c r="D3057" s="336" t="s">
        <v>80</v>
      </c>
      <c r="E3057" s="336">
        <v>0.42320000000000002</v>
      </c>
      <c r="F3057" s="350">
        <f>F3056*E3057</f>
        <v>0</v>
      </c>
      <c r="G3057" s="389"/>
      <c r="H3057" s="389"/>
      <c r="I3057" s="389">
        <v>6</v>
      </c>
      <c r="J3057" s="389">
        <f>F3057*I3057</f>
        <v>0</v>
      </c>
      <c r="K3057" s="389"/>
      <c r="L3057" s="389"/>
      <c r="M3057" s="389">
        <f>H3057+J3057+L3057</f>
        <v>0</v>
      </c>
      <c r="N3057" s="358"/>
    </row>
    <row r="3058" spans="1:14" s="359" customFormat="1" hidden="1">
      <c r="A3058" s="330"/>
      <c r="B3058" s="328"/>
      <c r="C3058" s="341" t="s">
        <v>1215</v>
      </c>
      <c r="D3058" s="336" t="s">
        <v>57</v>
      </c>
      <c r="E3058" s="336">
        <v>2.3E-2</v>
      </c>
      <c r="F3058" s="350">
        <f>F3056*E3058</f>
        <v>0</v>
      </c>
      <c r="G3058" s="389"/>
      <c r="H3058" s="389"/>
      <c r="I3058" s="389"/>
      <c r="J3058" s="389"/>
      <c r="K3058" s="389">
        <v>3.2</v>
      </c>
      <c r="L3058" s="389">
        <f>F3058*K3058</f>
        <v>0</v>
      </c>
      <c r="M3058" s="389">
        <f>H3058+J3058+L3058</f>
        <v>0</v>
      </c>
      <c r="N3058" s="358"/>
    </row>
    <row r="3059" spans="1:14" s="359" customFormat="1" hidden="1">
      <c r="A3059" s="330"/>
      <c r="B3059" s="328"/>
      <c r="C3059" s="341" t="s">
        <v>210</v>
      </c>
      <c r="D3059" s="336"/>
      <c r="E3059" s="336"/>
      <c r="F3059" s="350">
        <f>E3059*2353</f>
        <v>0</v>
      </c>
      <c r="G3059" s="389"/>
      <c r="H3059" s="389"/>
      <c r="I3059" s="389"/>
      <c r="J3059" s="389"/>
      <c r="K3059" s="389"/>
      <c r="L3059" s="389"/>
      <c r="M3059" s="389"/>
      <c r="N3059" s="358"/>
    </row>
    <row r="3060" spans="1:14" s="359" customFormat="1" hidden="1">
      <c r="A3060" s="330"/>
      <c r="B3060" s="328"/>
      <c r="C3060" s="341" t="s">
        <v>1216</v>
      </c>
      <c r="D3060" s="336" t="s">
        <v>88</v>
      </c>
      <c r="E3060" s="336">
        <v>4.0800000000000003E-2</v>
      </c>
      <c r="F3060" s="350">
        <f>F3056*E3060</f>
        <v>0</v>
      </c>
      <c r="G3060" s="389">
        <v>99</v>
      </c>
      <c r="H3060" s="389">
        <f>F3060*G3060</f>
        <v>0</v>
      </c>
      <c r="I3060" s="389"/>
      <c r="J3060" s="389"/>
      <c r="K3060" s="389"/>
      <c r="L3060" s="389"/>
      <c r="M3060" s="389">
        <f>H3060+J3060+L3060</f>
        <v>0</v>
      </c>
      <c r="N3060" s="358"/>
    </row>
    <row r="3061" spans="1:14" s="359" customFormat="1" hidden="1">
      <c r="A3061" s="330"/>
      <c r="B3061" s="328"/>
      <c r="C3061" s="341" t="s">
        <v>1217</v>
      </c>
      <c r="D3061" s="336" t="s">
        <v>88</v>
      </c>
      <c r="E3061" s="336">
        <v>1.6000000000000001E-3</v>
      </c>
      <c r="F3061" s="350">
        <f>F3056*E3061</f>
        <v>0</v>
      </c>
      <c r="G3061" s="389">
        <v>87</v>
      </c>
      <c r="H3061" s="389">
        <f>F3061*G3061</f>
        <v>0</v>
      </c>
      <c r="I3061" s="389"/>
      <c r="J3061" s="389"/>
      <c r="K3061" s="389"/>
      <c r="L3061" s="389"/>
      <c r="M3061" s="389">
        <f>H3061+J3061+L3061</f>
        <v>0</v>
      </c>
      <c r="N3061" s="358"/>
    </row>
    <row r="3062" spans="1:14" s="359" customFormat="1" hidden="1">
      <c r="A3062" s="419"/>
      <c r="B3062" s="417"/>
      <c r="C3062" s="344" t="s">
        <v>214</v>
      </c>
      <c r="D3062" s="342" t="s">
        <v>57</v>
      </c>
      <c r="E3062" s="342">
        <v>6.6400000000000001E-2</v>
      </c>
      <c r="F3062" s="372">
        <f>F3056*E3062</f>
        <v>0</v>
      </c>
      <c r="G3062" s="392">
        <v>3.2</v>
      </c>
      <c r="H3062" s="392">
        <f>F3062*G3062</f>
        <v>0</v>
      </c>
      <c r="I3062" s="392"/>
      <c r="J3062" s="392"/>
      <c r="K3062" s="392"/>
      <c r="L3062" s="392"/>
      <c r="M3062" s="392">
        <f>H3062+J3062+L3062</f>
        <v>0</v>
      </c>
      <c r="N3062" s="358"/>
    </row>
    <row r="3063" spans="1:14" s="359" customFormat="1" ht="27" hidden="1">
      <c r="A3063" s="421">
        <v>36</v>
      </c>
      <c r="B3063" s="500" t="s">
        <v>1552</v>
      </c>
      <c r="C3063" s="151" t="s">
        <v>1553</v>
      </c>
      <c r="D3063" s="421" t="s">
        <v>78</v>
      </c>
      <c r="E3063" s="421"/>
      <c r="F3063" s="384">
        <f>'დეფექტური აქტი'!E756</f>
        <v>0</v>
      </c>
      <c r="G3063" s="425"/>
      <c r="H3063" s="425"/>
      <c r="I3063" s="425"/>
      <c r="J3063" s="425"/>
      <c r="K3063" s="425"/>
      <c r="L3063" s="425"/>
      <c r="M3063" s="425"/>
      <c r="N3063" s="415"/>
    </row>
    <row r="3064" spans="1:14" s="359" customFormat="1" hidden="1">
      <c r="A3064" s="330"/>
      <c r="B3064" s="416"/>
      <c r="C3064" s="341" t="s">
        <v>209</v>
      </c>
      <c r="D3064" s="336" t="s">
        <v>80</v>
      </c>
      <c r="E3064" s="336">
        <v>0.126</v>
      </c>
      <c r="F3064" s="331">
        <f>F3063*E3064</f>
        <v>0</v>
      </c>
      <c r="G3064" s="389"/>
      <c r="H3064" s="389"/>
      <c r="I3064" s="389">
        <v>6</v>
      </c>
      <c r="J3064" s="389">
        <f>F3064*I3064</f>
        <v>0</v>
      </c>
      <c r="K3064" s="389"/>
      <c r="L3064" s="389"/>
      <c r="M3064" s="389">
        <f>H3064+J3064+L3064</f>
        <v>0</v>
      </c>
      <c r="N3064" s="415"/>
    </row>
    <row r="3065" spans="1:14" s="359" customFormat="1" hidden="1">
      <c r="A3065" s="330"/>
      <c r="B3065" s="416"/>
      <c r="C3065" s="341" t="s">
        <v>81</v>
      </c>
      <c r="D3065" s="336" t="s">
        <v>57</v>
      </c>
      <c r="E3065" s="336">
        <v>8.0000000000000004E-4</v>
      </c>
      <c r="F3065" s="331">
        <f>F3063*E3065</f>
        <v>0</v>
      </c>
      <c r="G3065" s="389"/>
      <c r="H3065" s="389"/>
      <c r="I3065" s="389"/>
      <c r="J3065" s="389"/>
      <c r="K3065" s="389">
        <v>3.2</v>
      </c>
      <c r="L3065" s="389">
        <f>F3065*K3065</f>
        <v>0</v>
      </c>
      <c r="M3065" s="389">
        <f>H3065+J3065+L3065</f>
        <v>0</v>
      </c>
      <c r="N3065" s="415"/>
    </row>
    <row r="3066" spans="1:14" s="359" customFormat="1" hidden="1">
      <c r="A3066" s="330"/>
      <c r="B3066" s="416"/>
      <c r="C3066" s="341" t="s">
        <v>210</v>
      </c>
      <c r="D3066" s="336"/>
      <c r="E3066" s="336"/>
      <c r="F3066" s="331">
        <f>E3066*2353</f>
        <v>0</v>
      </c>
      <c r="G3066" s="389"/>
      <c r="H3066" s="389"/>
      <c r="I3066" s="389"/>
      <c r="J3066" s="389"/>
      <c r="K3066" s="389"/>
      <c r="L3066" s="389"/>
      <c r="M3066" s="389"/>
      <c r="N3066" s="415"/>
    </row>
    <row r="3067" spans="1:14" s="359" customFormat="1" hidden="1">
      <c r="A3067" s="330"/>
      <c r="B3067" s="416"/>
      <c r="C3067" s="329" t="s">
        <v>345</v>
      </c>
      <c r="D3067" s="330" t="s">
        <v>206</v>
      </c>
      <c r="E3067" s="330">
        <v>5.9999999999999995E-4</v>
      </c>
      <c r="F3067" s="331">
        <f>F3063*E3067</f>
        <v>0</v>
      </c>
      <c r="G3067" s="389">
        <v>145</v>
      </c>
      <c r="H3067" s="389">
        <f>G3067*F3067</f>
        <v>0</v>
      </c>
      <c r="I3067" s="389"/>
      <c r="J3067" s="389"/>
      <c r="K3067" s="389"/>
      <c r="L3067" s="389"/>
      <c r="M3067" s="389">
        <f>H3067+J3067+L3067</f>
        <v>0</v>
      </c>
      <c r="N3067" s="415"/>
    </row>
    <row r="3068" spans="1:14" s="359" customFormat="1" ht="20.25" hidden="1" customHeight="1">
      <c r="A3068" s="330">
        <v>35</v>
      </c>
      <c r="B3068" s="1451" t="s">
        <v>444</v>
      </c>
      <c r="C3068" s="885" t="s">
        <v>155</v>
      </c>
      <c r="D3068" s="370" t="s">
        <v>78</v>
      </c>
      <c r="E3068" s="370"/>
      <c r="F3068" s="384">
        <f>'დეფექტური აქტი'!E757</f>
        <v>0</v>
      </c>
      <c r="G3068" s="385"/>
      <c r="H3068" s="385"/>
      <c r="I3068" s="385"/>
      <c r="J3068" s="385"/>
      <c r="K3068" s="385"/>
      <c r="L3068" s="385"/>
      <c r="M3068" s="385"/>
      <c r="N3068" s="358"/>
    </row>
    <row r="3069" spans="1:14" s="359" customFormat="1" ht="16.5" hidden="1" customHeight="1">
      <c r="A3069" s="330"/>
      <c r="B3069" s="1428"/>
      <c r="C3069" s="365" t="s">
        <v>156</v>
      </c>
      <c r="D3069" s="371">
        <v>0.2016</v>
      </c>
      <c r="E3069" s="371">
        <v>0.2016</v>
      </c>
      <c r="F3069" s="386">
        <f>F3068*E3069</f>
        <v>0</v>
      </c>
      <c r="G3069" s="386"/>
      <c r="H3069" s="386"/>
      <c r="I3069" s="386">
        <v>6</v>
      </c>
      <c r="J3069" s="386">
        <f>F3069*I3069</f>
        <v>0</v>
      </c>
      <c r="K3069" s="386"/>
      <c r="L3069" s="386"/>
      <c r="M3069" s="386">
        <f>H3069+J3069+L3069</f>
        <v>0</v>
      </c>
      <c r="N3069" s="358"/>
    </row>
    <row r="3070" spans="1:14" s="359" customFormat="1" ht="27" hidden="1">
      <c r="A3070" s="330"/>
      <c r="B3070" s="1428"/>
      <c r="C3070" s="365" t="s">
        <v>157</v>
      </c>
      <c r="D3070" s="83" t="s">
        <v>57</v>
      </c>
      <c r="E3070" s="371">
        <v>1.8700000000000001E-2</v>
      </c>
      <c r="F3070" s="386">
        <f>F3068*E3070</f>
        <v>0</v>
      </c>
      <c r="G3070" s="386"/>
      <c r="H3070" s="386"/>
      <c r="I3070" s="386"/>
      <c r="J3070" s="386"/>
      <c r="K3070" s="386">
        <v>3.2</v>
      </c>
      <c r="L3070" s="386">
        <f>F3070*K3070</f>
        <v>0</v>
      </c>
      <c r="M3070" s="386">
        <f>H3070+J3070+L3070</f>
        <v>0</v>
      </c>
      <c r="N3070" s="358"/>
    </row>
    <row r="3071" spans="1:14" s="359" customFormat="1" hidden="1">
      <c r="A3071" s="330"/>
      <c r="B3071" s="1428"/>
      <c r="C3071" s="365" t="s">
        <v>210</v>
      </c>
      <c r="D3071" s="371"/>
      <c r="E3071" s="371"/>
      <c r="F3071" s="386"/>
      <c r="G3071" s="386"/>
      <c r="H3071" s="386"/>
      <c r="I3071" s="386"/>
      <c r="J3071" s="386"/>
      <c r="K3071" s="386"/>
      <c r="L3071" s="386"/>
      <c r="M3071" s="386"/>
      <c r="N3071" s="358"/>
    </row>
    <row r="3072" spans="1:14" s="359" customFormat="1" hidden="1">
      <c r="A3072" s="330"/>
      <c r="B3072" s="1428"/>
      <c r="C3072" s="365" t="s">
        <v>158</v>
      </c>
      <c r="D3072" s="371" t="s">
        <v>88</v>
      </c>
      <c r="E3072" s="371">
        <v>4.0800000000000003E-2</v>
      </c>
      <c r="F3072" s="386">
        <f>F3068*E3072</f>
        <v>0</v>
      </c>
      <c r="G3072" s="386">
        <v>89.5</v>
      </c>
      <c r="H3072" s="386">
        <f>F3072*G3072</f>
        <v>0</v>
      </c>
      <c r="I3072" s="386"/>
      <c r="J3072" s="386"/>
      <c r="K3072" s="386"/>
      <c r="L3072" s="386"/>
      <c r="M3072" s="386">
        <f>H3072+J3072+L3072</f>
        <v>0</v>
      </c>
      <c r="N3072" s="358"/>
    </row>
    <row r="3073" spans="1:14" s="359" customFormat="1" hidden="1">
      <c r="A3073" s="330"/>
      <c r="B3073" s="1452"/>
      <c r="C3073" s="880" t="s">
        <v>144</v>
      </c>
      <c r="D3073" s="86" t="s">
        <v>57</v>
      </c>
      <c r="E3073" s="879">
        <v>6.3600000000000004E-2</v>
      </c>
      <c r="F3073" s="387">
        <f>F3068*E3073</f>
        <v>0</v>
      </c>
      <c r="G3073" s="387">
        <v>3.2</v>
      </c>
      <c r="H3073" s="387">
        <f>F3073*G3073</f>
        <v>0</v>
      </c>
      <c r="I3073" s="387"/>
      <c r="J3073" s="387"/>
      <c r="K3073" s="387"/>
      <c r="L3073" s="387"/>
      <c r="M3073" s="387">
        <f>H3073+J3073+L3073</f>
        <v>0</v>
      </c>
      <c r="N3073" s="358"/>
    </row>
    <row r="3074" spans="1:14" s="359" customFormat="1" hidden="1">
      <c r="A3074" s="330">
        <v>31</v>
      </c>
      <c r="B3074" s="328" t="s">
        <v>1468</v>
      </c>
      <c r="C3074" s="888" t="s">
        <v>1489</v>
      </c>
      <c r="D3074" s="330" t="s">
        <v>78</v>
      </c>
      <c r="E3074" s="330"/>
      <c r="F3074" s="384">
        <f>'დეფექტური აქტი'!E758</f>
        <v>0</v>
      </c>
      <c r="G3074" s="330"/>
      <c r="H3074" s="331"/>
      <c r="I3074" s="414"/>
      <c r="J3074" s="331"/>
      <c r="K3074" s="414"/>
      <c r="L3074" s="331"/>
      <c r="M3074" s="331"/>
      <c r="N3074" s="358"/>
    </row>
    <row r="3075" spans="1:14" s="359" customFormat="1" ht="15" hidden="1" customHeight="1">
      <c r="A3075" s="330"/>
      <c r="B3075" s="328"/>
      <c r="C3075" s="335" t="s">
        <v>209</v>
      </c>
      <c r="D3075" s="336" t="s">
        <v>80</v>
      </c>
      <c r="E3075" s="336">
        <v>1.08</v>
      </c>
      <c r="F3075" s="331">
        <f>F3074*E3075</f>
        <v>0</v>
      </c>
      <c r="G3075" s="330"/>
      <c r="H3075" s="331"/>
      <c r="I3075" s="414">
        <v>6</v>
      </c>
      <c r="J3075" s="331">
        <f>F3075*I3075</f>
        <v>0</v>
      </c>
      <c r="K3075" s="414"/>
      <c r="L3075" s="331"/>
      <c r="M3075" s="331">
        <f>H3075+J3075+L3075</f>
        <v>0</v>
      </c>
      <c r="N3075" s="358"/>
    </row>
    <row r="3076" spans="1:14" s="359" customFormat="1" hidden="1">
      <c r="A3076" s="330"/>
      <c r="B3076" s="328"/>
      <c r="C3076" s="335" t="s">
        <v>81</v>
      </c>
      <c r="D3076" s="336" t="s">
        <v>57</v>
      </c>
      <c r="E3076" s="336">
        <v>4.5199999999999997E-2</v>
      </c>
      <c r="F3076" s="331">
        <f>F3074*E3076</f>
        <v>0</v>
      </c>
      <c r="G3076" s="330"/>
      <c r="H3076" s="331"/>
      <c r="I3076" s="414"/>
      <c r="J3076" s="331"/>
      <c r="K3076" s="414">
        <v>3.2</v>
      </c>
      <c r="L3076" s="331">
        <f>F3076*K3076</f>
        <v>0</v>
      </c>
      <c r="M3076" s="331">
        <f>H3076+J3076+L3076</f>
        <v>0</v>
      </c>
      <c r="N3076" s="358"/>
    </row>
    <row r="3077" spans="1:14" s="359" customFormat="1" hidden="1">
      <c r="A3077" s="330"/>
      <c r="B3077" s="328"/>
      <c r="C3077" s="335" t="s">
        <v>210</v>
      </c>
      <c r="D3077" s="336"/>
      <c r="E3077" s="336"/>
      <c r="F3077" s="331">
        <f>E3077*2353</f>
        <v>0</v>
      </c>
      <c r="G3077" s="330"/>
      <c r="H3077" s="331"/>
      <c r="I3077" s="414"/>
      <c r="J3077" s="331"/>
      <c r="K3077" s="414"/>
      <c r="L3077" s="331"/>
      <c r="M3077" s="331"/>
      <c r="N3077" s="358"/>
    </row>
    <row r="3078" spans="1:14" s="359" customFormat="1" hidden="1">
      <c r="A3078" s="330"/>
      <c r="B3078" s="328"/>
      <c r="C3078" s="335" t="s">
        <v>198</v>
      </c>
      <c r="D3078" s="336" t="s">
        <v>88</v>
      </c>
      <c r="E3078" s="336">
        <v>2.23E-2</v>
      </c>
      <c r="F3078" s="331">
        <f>F3074*E3078</f>
        <v>0</v>
      </c>
      <c r="G3078" s="350">
        <v>86</v>
      </c>
      <c r="H3078" s="331">
        <f>F3078*G3078</f>
        <v>0</v>
      </c>
      <c r="I3078" s="414"/>
      <c r="J3078" s="331"/>
      <c r="K3078" s="414"/>
      <c r="L3078" s="331"/>
      <c r="M3078" s="331">
        <f>H3078+J3078+L3078</f>
        <v>0</v>
      </c>
      <c r="N3078" s="358"/>
    </row>
    <row r="3079" spans="1:14" s="359" customFormat="1" hidden="1">
      <c r="A3079" s="330"/>
      <c r="B3079" s="328"/>
      <c r="C3079" s="335" t="s">
        <v>1601</v>
      </c>
      <c r="D3079" s="336" t="s">
        <v>78</v>
      </c>
      <c r="E3079" s="336">
        <v>1.02</v>
      </c>
      <c r="F3079" s="331">
        <f>F3074*E3079</f>
        <v>0</v>
      </c>
      <c r="G3079" s="350">
        <v>13</v>
      </c>
      <c r="H3079" s="331">
        <f>F3079*G3079</f>
        <v>0</v>
      </c>
      <c r="I3079" s="414"/>
      <c r="J3079" s="331"/>
      <c r="K3079" s="414"/>
      <c r="L3079" s="331"/>
      <c r="M3079" s="331">
        <f>H3079+J3079+L3079</f>
        <v>0</v>
      </c>
      <c r="N3079" s="358"/>
    </row>
    <row r="3080" spans="1:14" s="359" customFormat="1" hidden="1">
      <c r="A3080" s="330"/>
      <c r="B3080" s="328"/>
      <c r="C3080" s="335" t="s">
        <v>214</v>
      </c>
      <c r="D3080" s="336" t="s">
        <v>57</v>
      </c>
      <c r="E3080" s="336">
        <v>4.6600000000000003E-2</v>
      </c>
      <c r="F3080" s="331">
        <f>F3074*E3080</f>
        <v>0</v>
      </c>
      <c r="G3080" s="350">
        <v>3.2</v>
      </c>
      <c r="H3080" s="331">
        <f>F3080*G3080</f>
        <v>0</v>
      </c>
      <c r="I3080" s="414"/>
      <c r="J3080" s="331"/>
      <c r="K3080" s="414"/>
      <c r="L3080" s="331"/>
      <c r="M3080" s="331">
        <f>H3080+J3080+L3080</f>
        <v>0</v>
      </c>
      <c r="N3080" s="358"/>
    </row>
    <row r="3081" spans="1:14" s="877" customFormat="1" ht="27" hidden="1">
      <c r="A3081" s="370">
        <v>32</v>
      </c>
      <c r="B3081" s="1453" t="s">
        <v>277</v>
      </c>
      <c r="C3081" s="885" t="s">
        <v>1773</v>
      </c>
      <c r="D3081" s="370" t="s">
        <v>122</v>
      </c>
      <c r="E3081" s="370"/>
      <c r="F3081" s="384">
        <f>'დეფექტური აქტი'!E759</f>
        <v>0</v>
      </c>
      <c r="G3081" s="385"/>
      <c r="H3081" s="385"/>
      <c r="I3081" s="385"/>
      <c r="J3081" s="385"/>
      <c r="K3081" s="385"/>
      <c r="L3081" s="385"/>
      <c r="M3081" s="385"/>
    </row>
    <row r="3082" spans="1:14" s="877" customFormat="1" hidden="1">
      <c r="A3082" s="371"/>
      <c r="B3082" s="1454"/>
      <c r="C3082" s="365" t="s">
        <v>209</v>
      </c>
      <c r="D3082" s="371" t="s">
        <v>80</v>
      </c>
      <c r="E3082" s="371">
        <v>0.26900000000000002</v>
      </c>
      <c r="F3082" s="386">
        <f>F3081*E3082</f>
        <v>0</v>
      </c>
      <c r="G3082" s="386"/>
      <c r="H3082" s="386"/>
      <c r="I3082" s="386">
        <v>6</v>
      </c>
      <c r="J3082" s="386">
        <f>F3082*I3082</f>
        <v>0</v>
      </c>
      <c r="K3082" s="386"/>
      <c r="L3082" s="386"/>
      <c r="M3082" s="386">
        <f>H3082+J3082+L3082</f>
        <v>0</v>
      </c>
    </row>
    <row r="3083" spans="1:14" s="877" customFormat="1" hidden="1">
      <c r="A3083" s="371"/>
      <c r="B3083" s="1454"/>
      <c r="C3083" s="365" t="s">
        <v>81</v>
      </c>
      <c r="D3083" s="83" t="s">
        <v>57</v>
      </c>
      <c r="E3083" s="371">
        <v>1.1599999999999999E-2</v>
      </c>
      <c r="F3083" s="386">
        <f>F3081*E3083</f>
        <v>0</v>
      </c>
      <c r="G3083" s="386"/>
      <c r="H3083" s="386"/>
      <c r="I3083" s="386"/>
      <c r="J3083" s="386"/>
      <c r="K3083" s="386">
        <v>3.2</v>
      </c>
      <c r="L3083" s="386">
        <f>F3083*K3083</f>
        <v>0</v>
      </c>
      <c r="M3083" s="386">
        <f>H3083+J3083+L3083</f>
        <v>0</v>
      </c>
    </row>
    <row r="3084" spans="1:14" s="877" customFormat="1" hidden="1">
      <c r="A3084" s="371"/>
      <c r="B3084" s="1454"/>
      <c r="C3084" s="365" t="s">
        <v>210</v>
      </c>
      <c r="D3084" s="371"/>
      <c r="E3084" s="371"/>
      <c r="F3084" s="386"/>
      <c r="G3084" s="386"/>
      <c r="H3084" s="386"/>
      <c r="I3084" s="386"/>
      <c r="J3084" s="386"/>
      <c r="K3084" s="386"/>
      <c r="L3084" s="386"/>
      <c r="M3084" s="386"/>
    </row>
    <row r="3085" spans="1:14" s="877" customFormat="1" hidden="1">
      <c r="A3085" s="371"/>
      <c r="B3085" s="1454"/>
      <c r="C3085" s="365" t="s">
        <v>1774</v>
      </c>
      <c r="D3085" s="371" t="s">
        <v>78</v>
      </c>
      <c r="E3085" s="371">
        <v>0.157</v>
      </c>
      <c r="F3085" s="386">
        <f>F3081*E3085</f>
        <v>0</v>
      </c>
      <c r="G3085" s="601">
        <v>13</v>
      </c>
      <c r="H3085" s="386">
        <f>F3085*G3085</f>
        <v>0</v>
      </c>
      <c r="I3085" s="386"/>
      <c r="J3085" s="386"/>
      <c r="K3085" s="386"/>
      <c r="L3085" s="386"/>
      <c r="M3085" s="386">
        <f>H3085+J3085+L3085</f>
        <v>0</v>
      </c>
    </row>
    <row r="3086" spans="1:14" s="877" customFormat="1" hidden="1">
      <c r="A3086" s="879"/>
      <c r="B3086" s="1455"/>
      <c r="C3086" s="880" t="s">
        <v>1101</v>
      </c>
      <c r="D3086" s="879" t="s">
        <v>97</v>
      </c>
      <c r="E3086" s="879">
        <v>0.78500000000000003</v>
      </c>
      <c r="F3086" s="387">
        <f>F3081*E3086</f>
        <v>0</v>
      </c>
      <c r="G3086" s="387">
        <v>0.34</v>
      </c>
      <c r="H3086" s="387">
        <f>F3086*G3086</f>
        <v>0</v>
      </c>
      <c r="I3086" s="387"/>
      <c r="J3086" s="387"/>
      <c r="K3086" s="387"/>
      <c r="L3086" s="387"/>
      <c r="M3086" s="387">
        <f>H3086+J3086+L3086</f>
        <v>0</v>
      </c>
    </row>
    <row r="3087" spans="1:14" s="464" customFormat="1" hidden="1">
      <c r="A3087" s="99"/>
      <c r="B3087" s="462"/>
      <c r="C3087" s="491" t="s">
        <v>1218</v>
      </c>
      <c r="D3087" s="98"/>
      <c r="E3087" s="98"/>
      <c r="F3087" s="476"/>
      <c r="G3087" s="501"/>
      <c r="H3087" s="505">
        <f>SUM(H3056:H3086)</f>
        <v>0</v>
      </c>
      <c r="I3087" s="505"/>
      <c r="J3087" s="505">
        <f>SUM(J3056:J3086)</f>
        <v>0</v>
      </c>
      <c r="K3087" s="505"/>
      <c r="L3087" s="505">
        <f>SUM(L3056:L3086)</f>
        <v>0</v>
      </c>
      <c r="M3087" s="505">
        <f>SUM(M3056:M3086)</f>
        <v>0</v>
      </c>
      <c r="N3087" s="502">
        <f>H3087+J3087+L3087</f>
        <v>0</v>
      </c>
    </row>
    <row r="3088" spans="1:14" s="464" customFormat="1" hidden="1">
      <c r="A3088" s="421"/>
      <c r="B3088" s="500"/>
      <c r="C3088" s="474" t="s">
        <v>1329</v>
      </c>
      <c r="D3088" s="473"/>
      <c r="E3088" s="473"/>
      <c r="F3088" s="475"/>
      <c r="G3088" s="425"/>
      <c r="H3088" s="425"/>
      <c r="I3088" s="425"/>
      <c r="J3088" s="425"/>
      <c r="K3088" s="425"/>
      <c r="L3088" s="425"/>
      <c r="M3088" s="425"/>
      <c r="N3088" s="348"/>
    </row>
    <row r="3089" spans="1:14" s="359" customFormat="1" ht="29.25" hidden="1" customHeight="1">
      <c r="A3089" s="421">
        <v>37</v>
      </c>
      <c r="B3089" s="500" t="s">
        <v>250</v>
      </c>
      <c r="C3089" s="420" t="s">
        <v>215</v>
      </c>
      <c r="D3089" s="421" t="s">
        <v>78</v>
      </c>
      <c r="E3089" s="421"/>
      <c r="F3089" s="475">
        <f>'დეფექტური აქტი'!E761</f>
        <v>0</v>
      </c>
      <c r="G3089" s="425"/>
      <c r="H3089" s="425"/>
      <c r="I3089" s="425"/>
      <c r="J3089" s="425"/>
      <c r="K3089" s="425"/>
      <c r="L3089" s="425"/>
      <c r="M3089" s="425"/>
      <c r="N3089" s="358"/>
    </row>
    <row r="3090" spans="1:14" s="359" customFormat="1" ht="16.5" hidden="1" customHeight="1">
      <c r="A3090" s="330"/>
      <c r="B3090" s="328"/>
      <c r="C3090" s="341" t="s">
        <v>209</v>
      </c>
      <c r="D3090" s="336" t="s">
        <v>80</v>
      </c>
      <c r="E3090" s="336">
        <f>0.64*1.16</f>
        <v>0.74239999999999995</v>
      </c>
      <c r="F3090" s="350">
        <f>F3089*E3090</f>
        <v>0</v>
      </c>
      <c r="G3090" s="389"/>
      <c r="H3090" s="389"/>
      <c r="I3090" s="389">
        <v>6</v>
      </c>
      <c r="J3090" s="389">
        <f>F3090*I3090</f>
        <v>0</v>
      </c>
      <c r="K3090" s="389"/>
      <c r="L3090" s="389"/>
      <c r="M3090" s="389">
        <f>H3090+J3090+L3090</f>
        <v>0</v>
      </c>
      <c r="N3090" s="358"/>
    </row>
    <row r="3091" spans="1:14" s="359" customFormat="1" ht="16.5" hidden="1" customHeight="1">
      <c r="A3091" s="330"/>
      <c r="B3091" s="328"/>
      <c r="C3091" s="341" t="s">
        <v>216</v>
      </c>
      <c r="D3091" s="336" t="s">
        <v>217</v>
      </c>
      <c r="E3091" s="336">
        <f>0.0472*1.15</f>
        <v>5.4279999999999995E-2</v>
      </c>
      <c r="F3091" s="350">
        <f>F3089*E3091</f>
        <v>0</v>
      </c>
      <c r="G3091" s="389"/>
      <c r="H3091" s="389"/>
      <c r="I3091" s="389"/>
      <c r="J3091" s="389"/>
      <c r="K3091" s="389">
        <v>7.16</v>
      </c>
      <c r="L3091" s="389">
        <f>F3091*K3091</f>
        <v>0</v>
      </c>
      <c r="M3091" s="389">
        <f>H3091+J3091+L3091</f>
        <v>0</v>
      </c>
      <c r="N3091" s="358"/>
    </row>
    <row r="3092" spans="1:14" s="359" customFormat="1" ht="14.25" hidden="1" customHeight="1">
      <c r="A3092" s="330"/>
      <c r="B3092" s="328"/>
      <c r="C3092" s="341" t="s">
        <v>81</v>
      </c>
      <c r="D3092" s="336" t="s">
        <v>57</v>
      </c>
      <c r="E3092" s="336">
        <v>2.7E-2</v>
      </c>
      <c r="F3092" s="350">
        <f>F3089*E3092</f>
        <v>0</v>
      </c>
      <c r="G3092" s="389"/>
      <c r="H3092" s="389"/>
      <c r="I3092" s="389"/>
      <c r="J3092" s="389"/>
      <c r="K3092" s="389">
        <v>3.2</v>
      </c>
      <c r="L3092" s="389">
        <f>F3092*K3092</f>
        <v>0</v>
      </c>
      <c r="M3092" s="389">
        <f>H3092+J3092+L3092</f>
        <v>0</v>
      </c>
      <c r="N3092" s="358"/>
    </row>
    <row r="3093" spans="1:14" s="359" customFormat="1" ht="16.5" hidden="1" customHeight="1">
      <c r="A3093" s="330"/>
      <c r="B3093" s="328"/>
      <c r="C3093" s="341" t="s">
        <v>210</v>
      </c>
      <c r="D3093" s="336"/>
      <c r="E3093" s="336"/>
      <c r="F3093" s="350">
        <f>F3089*E3093</f>
        <v>0</v>
      </c>
      <c r="G3093" s="389"/>
      <c r="H3093" s="389"/>
      <c r="I3093" s="389"/>
      <c r="J3093" s="389"/>
      <c r="K3093" s="389"/>
      <c r="L3093" s="389"/>
      <c r="M3093" s="389"/>
      <c r="N3093" s="358"/>
    </row>
    <row r="3094" spans="1:14" s="359" customFormat="1" ht="16.5" hidden="1" customHeight="1">
      <c r="A3094" s="330"/>
      <c r="B3094" s="328"/>
      <c r="C3094" s="341" t="s">
        <v>218</v>
      </c>
      <c r="D3094" s="336" t="s">
        <v>88</v>
      </c>
      <c r="E3094" s="336">
        <f>0.025*1.05</f>
        <v>2.6250000000000002E-2</v>
      </c>
      <c r="F3094" s="350">
        <f>F3089*E3094</f>
        <v>0</v>
      </c>
      <c r="G3094" s="389">
        <v>87</v>
      </c>
      <c r="H3094" s="389">
        <f>F3094*G3094</f>
        <v>0</v>
      </c>
      <c r="I3094" s="389"/>
      <c r="J3094" s="389"/>
      <c r="K3094" s="389"/>
      <c r="L3094" s="389"/>
      <c r="M3094" s="389">
        <f>H3094+J3094+L3094</f>
        <v>0</v>
      </c>
      <c r="N3094" s="358"/>
    </row>
    <row r="3095" spans="1:14" s="359" customFormat="1" ht="16.5" hidden="1" customHeight="1">
      <c r="A3095" s="330"/>
      <c r="B3095" s="328"/>
      <c r="C3095" s="341" t="s">
        <v>219</v>
      </c>
      <c r="D3095" s="336" t="s">
        <v>78</v>
      </c>
      <c r="E3095" s="336">
        <v>5.28E-2</v>
      </c>
      <c r="F3095" s="350">
        <f>F3089*E3095</f>
        <v>0</v>
      </c>
      <c r="G3095" s="389">
        <v>4.5999999999999996</v>
      </c>
      <c r="H3095" s="389">
        <f>F3095*G3095</f>
        <v>0</v>
      </c>
      <c r="I3095" s="389"/>
      <c r="J3095" s="389"/>
      <c r="K3095" s="389"/>
      <c r="L3095" s="389"/>
      <c r="M3095" s="389">
        <f>H3095+J3095+L3095</f>
        <v>0</v>
      </c>
      <c r="N3095" s="358"/>
    </row>
    <row r="3096" spans="1:14" s="359" customFormat="1" ht="16.5" hidden="1" customHeight="1">
      <c r="A3096" s="330"/>
      <c r="B3096" s="328"/>
      <c r="C3096" s="341" t="s">
        <v>214</v>
      </c>
      <c r="D3096" s="336" t="s">
        <v>57</v>
      </c>
      <c r="E3096" s="336">
        <v>3.0000000000000001E-3</v>
      </c>
      <c r="F3096" s="350">
        <f>F3089*E3096</f>
        <v>0</v>
      </c>
      <c r="G3096" s="389">
        <v>3.2</v>
      </c>
      <c r="H3096" s="389">
        <f>F3096*G3096</f>
        <v>0</v>
      </c>
      <c r="I3096" s="389"/>
      <c r="J3096" s="389"/>
      <c r="K3096" s="389"/>
      <c r="L3096" s="389"/>
      <c r="M3096" s="389">
        <f>H3096+J3096+L3096</f>
        <v>0</v>
      </c>
      <c r="N3096" s="358"/>
    </row>
    <row r="3097" spans="1:14" s="464" customFormat="1" ht="27" hidden="1">
      <c r="A3097" s="421">
        <v>38</v>
      </c>
      <c r="B3097" s="500" t="s">
        <v>846</v>
      </c>
      <c r="C3097" s="420" t="s">
        <v>1148</v>
      </c>
      <c r="D3097" s="421" t="s">
        <v>78</v>
      </c>
      <c r="E3097" s="421"/>
      <c r="F3097" s="475">
        <f>'დეფექტური აქტი'!E762</f>
        <v>0</v>
      </c>
      <c r="G3097" s="425"/>
      <c r="H3097" s="425"/>
      <c r="I3097" s="425"/>
      <c r="J3097" s="425"/>
      <c r="K3097" s="425"/>
      <c r="L3097" s="425"/>
      <c r="M3097" s="425"/>
      <c r="N3097" s="348"/>
    </row>
    <row r="3098" spans="1:14" s="464" customFormat="1" hidden="1">
      <c r="A3098" s="330"/>
      <c r="B3098" s="328"/>
      <c r="C3098" s="341" t="s">
        <v>209</v>
      </c>
      <c r="D3098" s="336" t="s">
        <v>80</v>
      </c>
      <c r="E3098" s="336">
        <v>0.49299999999999999</v>
      </c>
      <c r="F3098" s="350">
        <f>F3097*E3098</f>
        <v>0</v>
      </c>
      <c r="G3098" s="389"/>
      <c r="H3098" s="389"/>
      <c r="I3098" s="389">
        <v>6</v>
      </c>
      <c r="J3098" s="389">
        <f>F3098*I3098</f>
        <v>0</v>
      </c>
      <c r="K3098" s="389"/>
      <c r="L3098" s="389"/>
      <c r="M3098" s="389">
        <f>H3098+J3098+L3098</f>
        <v>0</v>
      </c>
      <c r="N3098" s="348"/>
    </row>
    <row r="3099" spans="1:14" s="464" customFormat="1" hidden="1">
      <c r="A3099" s="330"/>
      <c r="B3099" s="328"/>
      <c r="C3099" s="341" t="s">
        <v>81</v>
      </c>
      <c r="D3099" s="336" t="s">
        <v>57</v>
      </c>
      <c r="E3099" s="336">
        <v>8.0000000000000002E-3</v>
      </c>
      <c r="F3099" s="350">
        <f>F3097*E3099</f>
        <v>0</v>
      </c>
      <c r="G3099" s="389"/>
      <c r="H3099" s="389"/>
      <c r="I3099" s="389"/>
      <c r="J3099" s="389"/>
      <c r="K3099" s="389">
        <v>3.2</v>
      </c>
      <c r="L3099" s="389">
        <f>F3099*K3099</f>
        <v>0</v>
      </c>
      <c r="M3099" s="389">
        <f>H3099+J3099+L3099</f>
        <v>0</v>
      </c>
      <c r="N3099" s="348"/>
    </row>
    <row r="3100" spans="1:14" s="464" customFormat="1" hidden="1">
      <c r="A3100" s="330"/>
      <c r="B3100" s="328"/>
      <c r="C3100" s="341" t="s">
        <v>210</v>
      </c>
      <c r="D3100" s="336"/>
      <c r="E3100" s="336"/>
      <c r="F3100" s="350">
        <f>F3097*E3100</f>
        <v>0</v>
      </c>
      <c r="G3100" s="389"/>
      <c r="H3100" s="389"/>
      <c r="I3100" s="389"/>
      <c r="J3100" s="389"/>
      <c r="K3100" s="389"/>
      <c r="L3100" s="389"/>
      <c r="M3100" s="389"/>
      <c r="N3100" s="348"/>
    </row>
    <row r="3101" spans="1:14" s="464" customFormat="1" hidden="1">
      <c r="A3101" s="330"/>
      <c r="B3101" s="328"/>
      <c r="C3101" s="341" t="s">
        <v>1219</v>
      </c>
      <c r="D3101" s="336" t="s">
        <v>97</v>
      </c>
      <c r="E3101" s="336">
        <v>0.25869999999999999</v>
      </c>
      <c r="F3101" s="350">
        <f>F3097*E3101</f>
        <v>0</v>
      </c>
      <c r="G3101" s="389">
        <v>3</v>
      </c>
      <c r="H3101" s="389">
        <f>F3101*G3101</f>
        <v>0</v>
      </c>
      <c r="I3101" s="389"/>
      <c r="J3101" s="389"/>
      <c r="K3101" s="389"/>
      <c r="L3101" s="389"/>
      <c r="M3101" s="389">
        <f>H3101+J3101+L3101</f>
        <v>0</v>
      </c>
      <c r="N3101" s="348"/>
    </row>
    <row r="3102" spans="1:14" s="464" customFormat="1" hidden="1">
      <c r="A3102" s="330"/>
      <c r="B3102" s="328"/>
      <c r="C3102" s="341" t="s">
        <v>134</v>
      </c>
      <c r="D3102" s="336" t="s">
        <v>97</v>
      </c>
      <c r="E3102" s="336">
        <v>0.51</v>
      </c>
      <c r="F3102" s="350">
        <f>F3097*E3102</f>
        <v>0</v>
      </c>
      <c r="G3102" s="389">
        <v>0.5</v>
      </c>
      <c r="H3102" s="389">
        <f>F3102*G3102</f>
        <v>0</v>
      </c>
      <c r="I3102" s="389"/>
      <c r="J3102" s="389"/>
      <c r="K3102" s="389"/>
      <c r="L3102" s="389"/>
      <c r="M3102" s="389">
        <f>H3102+J3102+L3102</f>
        <v>0</v>
      </c>
      <c r="N3102" s="348"/>
    </row>
    <row r="3103" spans="1:14" s="464" customFormat="1" hidden="1">
      <c r="A3103" s="330"/>
      <c r="B3103" s="328"/>
      <c r="C3103" s="341" t="s">
        <v>138</v>
      </c>
      <c r="D3103" s="336" t="s">
        <v>97</v>
      </c>
      <c r="E3103" s="336">
        <v>0.113</v>
      </c>
      <c r="F3103" s="350">
        <f>F3097*E3103</f>
        <v>0</v>
      </c>
      <c r="G3103" s="389">
        <v>3.5</v>
      </c>
      <c r="H3103" s="389">
        <f>F3103*G3103</f>
        <v>0</v>
      </c>
      <c r="I3103" s="389"/>
      <c r="J3103" s="389"/>
      <c r="K3103" s="389"/>
      <c r="L3103" s="389"/>
      <c r="M3103" s="389">
        <f>H3103+J3103+L3103</f>
        <v>0</v>
      </c>
      <c r="N3103" s="348"/>
    </row>
    <row r="3104" spans="1:14" s="464" customFormat="1" hidden="1">
      <c r="A3104" s="330"/>
      <c r="B3104" s="328"/>
      <c r="C3104" s="341" t="s">
        <v>214</v>
      </c>
      <c r="D3104" s="336" t="s">
        <v>57</v>
      </c>
      <c r="E3104" s="336">
        <v>7.0000000000000001E-3</v>
      </c>
      <c r="F3104" s="350">
        <f>F3097*E3104</f>
        <v>0</v>
      </c>
      <c r="G3104" s="389">
        <v>3.2</v>
      </c>
      <c r="H3104" s="389">
        <f>F3104*G3104</f>
        <v>0</v>
      </c>
      <c r="I3104" s="389"/>
      <c r="J3104" s="389"/>
      <c r="K3104" s="389"/>
      <c r="L3104" s="389"/>
      <c r="M3104" s="389">
        <f>H3104+J3104+L3104</f>
        <v>0</v>
      </c>
      <c r="N3104" s="348"/>
    </row>
    <row r="3105" spans="1:14" s="877" customFormat="1" ht="27" hidden="1">
      <c r="A3105" s="370">
        <v>15</v>
      </c>
      <c r="B3105" s="1446" t="s">
        <v>845</v>
      </c>
      <c r="C3105" s="885" t="s">
        <v>139</v>
      </c>
      <c r="D3105" s="370" t="s">
        <v>78</v>
      </c>
      <c r="E3105" s="370"/>
      <c r="F3105" s="384">
        <f>'დეფექტური აქტი'!E763</f>
        <v>0</v>
      </c>
      <c r="G3105" s="385"/>
      <c r="H3105" s="385"/>
      <c r="I3105" s="385"/>
      <c r="J3105" s="385"/>
      <c r="K3105" s="385"/>
      <c r="L3105" s="385"/>
      <c r="M3105" s="385"/>
    </row>
    <row r="3106" spans="1:14" s="877" customFormat="1" hidden="1">
      <c r="A3106" s="371"/>
      <c r="B3106" s="1432"/>
      <c r="C3106" s="84" t="s">
        <v>209</v>
      </c>
      <c r="D3106" s="371" t="s">
        <v>80</v>
      </c>
      <c r="E3106" s="211">
        <v>0.41</v>
      </c>
      <c r="F3106" s="386">
        <f>F3105*E3106</f>
        <v>0</v>
      </c>
      <c r="G3106" s="386"/>
      <c r="H3106" s="386"/>
      <c r="I3106" s="386">
        <v>6</v>
      </c>
      <c r="J3106" s="386">
        <f>F3106*I3106</f>
        <v>0</v>
      </c>
      <c r="K3106" s="386"/>
      <c r="L3106" s="386"/>
      <c r="M3106" s="386">
        <f>H3106+J3106+L3106</f>
        <v>0</v>
      </c>
    </row>
    <row r="3107" spans="1:14" s="877" customFormat="1" hidden="1">
      <c r="A3107" s="371"/>
      <c r="B3107" s="1432"/>
      <c r="C3107" s="365" t="s">
        <v>81</v>
      </c>
      <c r="D3107" s="83" t="s">
        <v>57</v>
      </c>
      <c r="E3107" s="371">
        <v>8.9999999999999993E-3</v>
      </c>
      <c r="F3107" s="386">
        <f>F3105*E3107</f>
        <v>0</v>
      </c>
      <c r="G3107" s="386"/>
      <c r="H3107" s="386"/>
      <c r="I3107" s="386"/>
      <c r="J3107" s="386"/>
      <c r="K3107" s="386">
        <v>3.2</v>
      </c>
      <c r="L3107" s="386">
        <f>F3107*K3107</f>
        <v>0</v>
      </c>
      <c r="M3107" s="386">
        <f>H3107+J3107+L3107</f>
        <v>0</v>
      </c>
    </row>
    <row r="3108" spans="1:14" s="877" customFormat="1" hidden="1">
      <c r="A3108" s="371"/>
      <c r="B3108" s="1432"/>
      <c r="C3108" s="365" t="s">
        <v>210</v>
      </c>
      <c r="D3108" s="371"/>
      <c r="E3108" s="371"/>
      <c r="F3108" s="386"/>
      <c r="G3108" s="386"/>
      <c r="H3108" s="386"/>
      <c r="I3108" s="386"/>
      <c r="J3108" s="386"/>
      <c r="K3108" s="386"/>
      <c r="L3108" s="386"/>
      <c r="M3108" s="386"/>
    </row>
    <row r="3109" spans="1:14" s="877" customFormat="1" hidden="1">
      <c r="A3109" s="371"/>
      <c r="B3109" s="1432"/>
      <c r="C3109" s="365" t="s">
        <v>944</v>
      </c>
      <c r="D3109" s="371" t="s">
        <v>97</v>
      </c>
      <c r="E3109" s="371">
        <v>0.63</v>
      </c>
      <c r="F3109" s="386">
        <f>F3105*E3109</f>
        <v>0</v>
      </c>
      <c r="G3109" s="386">
        <v>3</v>
      </c>
      <c r="H3109" s="386">
        <f>F3109*G3109</f>
        <v>0</v>
      </c>
      <c r="I3109" s="386"/>
      <c r="J3109" s="386"/>
      <c r="K3109" s="386"/>
      <c r="L3109" s="386"/>
      <c r="M3109" s="386">
        <f>H3109+J3109+L3109</f>
        <v>0</v>
      </c>
    </row>
    <row r="3110" spans="1:14" s="877" customFormat="1" hidden="1">
      <c r="A3110" s="371"/>
      <c r="B3110" s="1432"/>
      <c r="C3110" s="365" t="s">
        <v>134</v>
      </c>
      <c r="D3110" s="371" t="s">
        <v>97</v>
      </c>
      <c r="E3110" s="371">
        <v>0.51</v>
      </c>
      <c r="F3110" s="386">
        <f>F3105*E3110</f>
        <v>0</v>
      </c>
      <c r="G3110" s="386">
        <v>0.5</v>
      </c>
      <c r="H3110" s="386">
        <f>F3110*G3110</f>
        <v>0</v>
      </c>
      <c r="I3110" s="386"/>
      <c r="J3110" s="386"/>
      <c r="K3110" s="386"/>
      <c r="L3110" s="386"/>
      <c r="M3110" s="386">
        <f>H3110+J3110+L3110</f>
        <v>0</v>
      </c>
    </row>
    <row r="3111" spans="1:14" s="877" customFormat="1" hidden="1">
      <c r="A3111" s="371"/>
      <c r="B3111" s="1437"/>
      <c r="C3111" s="365" t="s">
        <v>214</v>
      </c>
      <c r="D3111" s="86" t="s">
        <v>57</v>
      </c>
      <c r="E3111" s="371">
        <v>7.0000000000000001E-3</v>
      </c>
      <c r="F3111" s="386">
        <f>F3105*E3111</f>
        <v>0</v>
      </c>
      <c r="G3111" s="386">
        <v>3.2</v>
      </c>
      <c r="H3111" s="386">
        <f>F3111*G3111</f>
        <v>0</v>
      </c>
      <c r="I3111" s="386"/>
      <c r="J3111" s="386"/>
      <c r="K3111" s="386"/>
      <c r="L3111" s="386"/>
      <c r="M3111" s="386">
        <f>H3111+J3111+L3111</f>
        <v>0</v>
      </c>
    </row>
    <row r="3112" spans="1:14" s="359" customFormat="1" hidden="1">
      <c r="A3112" s="421">
        <v>39</v>
      </c>
      <c r="B3112" s="500" t="s">
        <v>697</v>
      </c>
      <c r="C3112" s="796" t="s">
        <v>1149</v>
      </c>
      <c r="D3112" s="421" t="s">
        <v>78</v>
      </c>
      <c r="E3112" s="421"/>
      <c r="F3112" s="786">
        <f>'დეფექტური აქტი'!E764</f>
        <v>0</v>
      </c>
      <c r="G3112" s="425"/>
      <c r="H3112" s="425"/>
      <c r="I3112" s="425"/>
      <c r="J3112" s="425"/>
      <c r="K3112" s="425"/>
      <c r="L3112" s="425"/>
      <c r="M3112" s="425"/>
      <c r="N3112" s="358"/>
    </row>
    <row r="3113" spans="1:14" s="359" customFormat="1" ht="13.5" hidden="1" customHeight="1">
      <c r="A3113" s="330"/>
      <c r="B3113" s="328"/>
      <c r="C3113" s="341" t="s">
        <v>209</v>
      </c>
      <c r="D3113" s="336" t="s">
        <v>80</v>
      </c>
      <c r="E3113" s="336">
        <v>0.23599999999999999</v>
      </c>
      <c r="F3113" s="331">
        <f>F3112*E3113</f>
        <v>0</v>
      </c>
      <c r="G3113" s="389"/>
      <c r="H3113" s="389"/>
      <c r="I3113" s="389">
        <v>6</v>
      </c>
      <c r="J3113" s="389">
        <f>F3113*I3113</f>
        <v>0</v>
      </c>
      <c r="K3113" s="389"/>
      <c r="L3113" s="389"/>
      <c r="M3113" s="389">
        <f>H3113+J3113+L3113</f>
        <v>0</v>
      </c>
      <c r="N3113" s="358"/>
    </row>
    <row r="3114" spans="1:14" s="359" customFormat="1" hidden="1">
      <c r="A3114" s="330"/>
      <c r="B3114" s="328"/>
      <c r="C3114" s="341" t="s">
        <v>81</v>
      </c>
      <c r="D3114" s="336" t="s">
        <v>57</v>
      </c>
      <c r="E3114" s="336">
        <v>2.2499999999999999E-2</v>
      </c>
      <c r="F3114" s="331">
        <f>F3112*E3114</f>
        <v>0</v>
      </c>
      <c r="G3114" s="389"/>
      <c r="H3114" s="389"/>
      <c r="I3114" s="389"/>
      <c r="J3114" s="389"/>
      <c r="K3114" s="389">
        <v>3.2</v>
      </c>
      <c r="L3114" s="389">
        <f>F3114*K3114</f>
        <v>0</v>
      </c>
      <c r="M3114" s="389">
        <f>H3114+J3114+L3114</f>
        <v>0</v>
      </c>
      <c r="N3114" s="358"/>
    </row>
    <row r="3115" spans="1:14" s="359" customFormat="1" hidden="1">
      <c r="A3115" s="330"/>
      <c r="B3115" s="328"/>
      <c r="C3115" s="341" t="s">
        <v>210</v>
      </c>
      <c r="D3115" s="336"/>
      <c r="E3115" s="336"/>
      <c r="F3115" s="331">
        <f>E3115*2353</f>
        <v>0</v>
      </c>
      <c r="G3115" s="389"/>
      <c r="H3115" s="389"/>
      <c r="I3115" s="389"/>
      <c r="J3115" s="389"/>
      <c r="K3115" s="389"/>
      <c r="L3115" s="389"/>
      <c r="M3115" s="389"/>
      <c r="N3115" s="358"/>
    </row>
    <row r="3116" spans="1:14" s="359" customFormat="1" hidden="1">
      <c r="A3116" s="330"/>
      <c r="B3116" s="328"/>
      <c r="C3116" s="341" t="s">
        <v>1220</v>
      </c>
      <c r="D3116" s="336" t="s">
        <v>88</v>
      </c>
      <c r="E3116" s="336">
        <v>1.8599999999999998E-2</v>
      </c>
      <c r="F3116" s="331">
        <f>F3112*E3116</f>
        <v>0</v>
      </c>
      <c r="G3116" s="389">
        <v>471</v>
      </c>
      <c r="H3116" s="389">
        <f>F3116*G3116</f>
        <v>0</v>
      </c>
      <c r="I3116" s="389"/>
      <c r="J3116" s="389"/>
      <c r="K3116" s="389"/>
      <c r="L3116" s="389"/>
      <c r="M3116" s="389">
        <f>H3116+J3116+L3116</f>
        <v>0</v>
      </c>
      <c r="N3116" s="358"/>
    </row>
    <row r="3117" spans="1:14" s="359" customFormat="1" hidden="1">
      <c r="A3117" s="419"/>
      <c r="B3117" s="417"/>
      <c r="C3117" s="344" t="s">
        <v>214</v>
      </c>
      <c r="D3117" s="342" t="s">
        <v>57</v>
      </c>
      <c r="E3117" s="342">
        <v>1.2800000000000001E-2</v>
      </c>
      <c r="F3117" s="418">
        <f>F3112*E3117</f>
        <v>0</v>
      </c>
      <c r="G3117" s="392">
        <v>3.2</v>
      </c>
      <c r="H3117" s="392">
        <f>F3117*G3117</f>
        <v>0</v>
      </c>
      <c r="I3117" s="392"/>
      <c r="J3117" s="392"/>
      <c r="K3117" s="392"/>
      <c r="L3117" s="392"/>
      <c r="M3117" s="392">
        <f>H3117+J3117+L3117</f>
        <v>0</v>
      </c>
      <c r="N3117" s="358"/>
    </row>
    <row r="3118" spans="1:14" s="359" customFormat="1" ht="25.5" hidden="1">
      <c r="A3118" s="330">
        <v>40</v>
      </c>
      <c r="B3118" s="328" t="s">
        <v>1582</v>
      </c>
      <c r="C3118" s="26" t="s">
        <v>1581</v>
      </c>
      <c r="D3118" s="330" t="s">
        <v>78</v>
      </c>
      <c r="E3118" s="330"/>
      <c r="F3118" s="414">
        <f>'დეფექტური აქტი'!E765</f>
        <v>0</v>
      </c>
      <c r="G3118" s="389"/>
      <c r="H3118" s="389"/>
      <c r="I3118" s="389"/>
      <c r="J3118" s="389"/>
      <c r="K3118" s="389"/>
      <c r="L3118" s="389"/>
      <c r="M3118" s="389"/>
      <c r="N3118" s="358"/>
    </row>
    <row r="3119" spans="1:14" s="359" customFormat="1" ht="15" hidden="1" customHeight="1">
      <c r="A3119" s="330"/>
      <c r="B3119" s="328"/>
      <c r="C3119" s="341" t="s">
        <v>209</v>
      </c>
      <c r="D3119" s="336" t="s">
        <v>80</v>
      </c>
      <c r="E3119" s="336">
        <f>0.077*2.5</f>
        <v>0.1925</v>
      </c>
      <c r="F3119" s="331">
        <f>F3118*E3119</f>
        <v>0</v>
      </c>
      <c r="G3119" s="389"/>
      <c r="H3119" s="389"/>
      <c r="I3119" s="389">
        <v>6</v>
      </c>
      <c r="J3119" s="389">
        <f>F3119*I3119</f>
        <v>0</v>
      </c>
      <c r="K3119" s="389"/>
      <c r="L3119" s="389"/>
      <c r="M3119" s="389">
        <f>H3119+J3119+L3119</f>
        <v>0</v>
      </c>
      <c r="N3119" s="358"/>
    </row>
    <row r="3120" spans="1:14" s="359" customFormat="1" hidden="1">
      <c r="A3120" s="330"/>
      <c r="B3120" s="328"/>
      <c r="C3120" s="341" t="s">
        <v>81</v>
      </c>
      <c r="D3120" s="336" t="s">
        <v>57</v>
      </c>
      <c r="E3120" s="336">
        <v>1.4E-2</v>
      </c>
      <c r="F3120" s="331">
        <f>F3118*E3120</f>
        <v>0</v>
      </c>
      <c r="G3120" s="389"/>
      <c r="H3120" s="389"/>
      <c r="I3120" s="389"/>
      <c r="J3120" s="389"/>
      <c r="K3120" s="389">
        <v>3.2</v>
      </c>
      <c r="L3120" s="389">
        <f>F3120*K3120</f>
        <v>0</v>
      </c>
      <c r="M3120" s="389">
        <f>H3120+J3120+L3120</f>
        <v>0</v>
      </c>
      <c r="N3120" s="358"/>
    </row>
    <row r="3121" spans="1:14" s="359" customFormat="1" hidden="1">
      <c r="A3121" s="330"/>
      <c r="B3121" s="328"/>
      <c r="C3121" s="341" t="s">
        <v>210</v>
      </c>
      <c r="D3121" s="336"/>
      <c r="E3121" s="336"/>
      <c r="F3121" s="331">
        <f>F3118*E3121</f>
        <v>0</v>
      </c>
      <c r="G3121" s="389"/>
      <c r="H3121" s="389"/>
      <c r="I3121" s="389"/>
      <c r="J3121" s="389"/>
      <c r="K3121" s="389"/>
      <c r="L3121" s="389"/>
      <c r="M3121" s="389"/>
      <c r="N3121" s="358"/>
    </row>
    <row r="3122" spans="1:14" s="359" customFormat="1" hidden="1">
      <c r="A3122" s="330"/>
      <c r="B3122" s="328"/>
      <c r="C3122" s="341" t="s">
        <v>274</v>
      </c>
      <c r="D3122" s="336" t="s">
        <v>97</v>
      </c>
      <c r="E3122" s="336">
        <f>0.11*2</f>
        <v>0.22</v>
      </c>
      <c r="F3122" s="331">
        <f>F3118*E3122</f>
        <v>0</v>
      </c>
      <c r="G3122" s="389">
        <v>6</v>
      </c>
      <c r="H3122" s="389">
        <f>F3122*G3122</f>
        <v>0</v>
      </c>
      <c r="I3122" s="389"/>
      <c r="J3122" s="389"/>
      <c r="K3122" s="389"/>
      <c r="L3122" s="389"/>
      <c r="M3122" s="389">
        <f>H3122+J3122+L3122</f>
        <v>0</v>
      </c>
      <c r="N3122" s="358"/>
    </row>
    <row r="3123" spans="1:14" s="359" customFormat="1" hidden="1">
      <c r="A3123" s="419"/>
      <c r="B3123" s="417"/>
      <c r="C3123" s="344" t="s">
        <v>214</v>
      </c>
      <c r="D3123" s="342" t="s">
        <v>57</v>
      </c>
      <c r="E3123" s="342">
        <v>1E-3</v>
      </c>
      <c r="F3123" s="418">
        <f>F3118*E3123</f>
        <v>0</v>
      </c>
      <c r="G3123" s="392">
        <v>3.2</v>
      </c>
      <c r="H3123" s="392">
        <f>F3123*G3123</f>
        <v>0</v>
      </c>
      <c r="I3123" s="392"/>
      <c r="J3123" s="392"/>
      <c r="K3123" s="392"/>
      <c r="L3123" s="392"/>
      <c r="M3123" s="392">
        <f>H3123+J3123+L3123</f>
        <v>0</v>
      </c>
      <c r="N3123" s="358"/>
    </row>
    <row r="3124" spans="1:14" s="464" customFormat="1" hidden="1">
      <c r="A3124" s="466"/>
      <c r="B3124" s="504"/>
      <c r="C3124" s="491" t="s">
        <v>1221</v>
      </c>
      <c r="D3124" s="479"/>
      <c r="E3124" s="479"/>
      <c r="F3124" s="480"/>
      <c r="G3124" s="505"/>
      <c r="H3124" s="505">
        <f>SUM(H3089:H3123)</f>
        <v>0</v>
      </c>
      <c r="I3124" s="505"/>
      <c r="J3124" s="505">
        <f>SUM(J3089:J3123)</f>
        <v>0</v>
      </c>
      <c r="K3124" s="505"/>
      <c r="L3124" s="505">
        <f>SUM(L3089:L3123)</f>
        <v>0</v>
      </c>
      <c r="M3124" s="505">
        <f>SUM(M3089:M3123)</f>
        <v>0</v>
      </c>
      <c r="N3124" s="502">
        <f>H3124+J3124+L3124</f>
        <v>0</v>
      </c>
    </row>
    <row r="3125" spans="1:14" s="464" customFormat="1" hidden="1">
      <c r="A3125" s="465"/>
      <c r="B3125" s="506"/>
      <c r="C3125" s="474" t="s">
        <v>1150</v>
      </c>
      <c r="D3125" s="477"/>
      <c r="E3125" s="477"/>
      <c r="F3125" s="478"/>
      <c r="G3125" s="507"/>
      <c r="H3125" s="507"/>
      <c r="I3125" s="507"/>
      <c r="J3125" s="507"/>
      <c r="K3125" s="507"/>
      <c r="L3125" s="507"/>
      <c r="M3125" s="507"/>
      <c r="N3125" s="348"/>
    </row>
    <row r="3126" spans="1:14" s="464" customFormat="1" hidden="1">
      <c r="A3126" s="421">
        <v>41</v>
      </c>
      <c r="B3126" s="500" t="s">
        <v>1222</v>
      </c>
      <c r="C3126" s="347" t="s">
        <v>1151</v>
      </c>
      <c r="D3126" s="473"/>
      <c r="E3126" s="473"/>
      <c r="F3126" s="475">
        <f>'დეფექტური აქტი'!E767</f>
        <v>0</v>
      </c>
      <c r="G3126" s="425"/>
      <c r="H3126" s="425"/>
      <c r="I3126" s="425"/>
      <c r="J3126" s="425"/>
      <c r="K3126" s="425"/>
      <c r="L3126" s="425"/>
      <c r="M3126" s="425"/>
      <c r="N3126" s="348"/>
    </row>
    <row r="3127" spans="1:14" s="361" customFormat="1" ht="17.25" hidden="1" customHeight="1">
      <c r="A3127" s="330"/>
      <c r="B3127" s="328"/>
      <c r="C3127" s="341" t="s">
        <v>209</v>
      </c>
      <c r="D3127" s="336" t="s">
        <v>80</v>
      </c>
      <c r="E3127" s="336">
        <v>0.21</v>
      </c>
      <c r="F3127" s="350">
        <f>F3126*E3127</f>
        <v>0</v>
      </c>
      <c r="G3127" s="389"/>
      <c r="H3127" s="389"/>
      <c r="I3127" s="389">
        <v>6</v>
      </c>
      <c r="J3127" s="389">
        <f>F3127*I3127</f>
        <v>0</v>
      </c>
      <c r="K3127" s="389"/>
      <c r="L3127" s="389"/>
      <c r="M3127" s="389">
        <f>H3127+J3127+L3127</f>
        <v>0</v>
      </c>
      <c r="N3127" s="348"/>
    </row>
    <row r="3128" spans="1:14" s="88" customFormat="1" ht="27" hidden="1">
      <c r="A3128" s="1147">
        <v>37</v>
      </c>
      <c r="B3128" s="373" t="s">
        <v>633</v>
      </c>
      <c r="C3128" s="765" t="s">
        <v>1768</v>
      </c>
      <c r="D3128" s="140" t="s">
        <v>78</v>
      </c>
      <c r="E3128" s="140"/>
      <c r="F3128" s="384">
        <f>'დეფექტური აქტი'!E768</f>
        <v>0</v>
      </c>
      <c r="G3128" s="385"/>
      <c r="H3128" s="385"/>
      <c r="I3128" s="385"/>
      <c r="J3128" s="385"/>
      <c r="K3128" s="385"/>
      <c r="L3128" s="385"/>
      <c r="M3128" s="385"/>
    </row>
    <row r="3129" spans="1:14" s="877" customFormat="1" hidden="1">
      <c r="A3129" s="371"/>
      <c r="B3129" s="374"/>
      <c r="C3129" s="84" t="s">
        <v>209</v>
      </c>
      <c r="D3129" s="371" t="s">
        <v>80</v>
      </c>
      <c r="E3129" s="83">
        <v>0.93</v>
      </c>
      <c r="F3129" s="386">
        <f>F3128*E3129</f>
        <v>0</v>
      </c>
      <c r="G3129" s="386"/>
      <c r="H3129" s="386"/>
      <c r="I3129" s="386">
        <v>6</v>
      </c>
      <c r="J3129" s="386">
        <f>F3129*I3129</f>
        <v>0</v>
      </c>
      <c r="K3129" s="386"/>
      <c r="L3129" s="386"/>
      <c r="M3129" s="386">
        <f>H3129+J3129+L3129</f>
        <v>0</v>
      </c>
    </row>
    <row r="3130" spans="1:14" s="88" customFormat="1" ht="16.5" hidden="1" customHeight="1">
      <c r="A3130" s="1145"/>
      <c r="B3130" s="374"/>
      <c r="C3130" s="84" t="s">
        <v>375</v>
      </c>
      <c r="D3130" s="83" t="s">
        <v>217</v>
      </c>
      <c r="E3130" s="83">
        <v>2.4E-2</v>
      </c>
      <c r="F3130" s="386">
        <f>F3128*E3130</f>
        <v>0</v>
      </c>
      <c r="G3130" s="386"/>
      <c r="H3130" s="386"/>
      <c r="I3130" s="386"/>
      <c r="J3130" s="386"/>
      <c r="K3130" s="386">
        <v>7.72</v>
      </c>
      <c r="L3130" s="386">
        <f>F3130*K3130</f>
        <v>0</v>
      </c>
      <c r="M3130" s="386">
        <f>H3130+J3130+L3130</f>
        <v>0</v>
      </c>
    </row>
    <row r="3131" spans="1:14" s="88" customFormat="1" hidden="1">
      <c r="A3131" s="1145"/>
      <c r="B3131" s="374"/>
      <c r="C3131" s="84" t="s">
        <v>81</v>
      </c>
      <c r="D3131" s="83" t="s">
        <v>57</v>
      </c>
      <c r="E3131" s="83">
        <v>2.1000000000000001E-2</v>
      </c>
      <c r="F3131" s="386">
        <f>F3128*E3131</f>
        <v>0</v>
      </c>
      <c r="G3131" s="386"/>
      <c r="H3131" s="386"/>
      <c r="I3131" s="386"/>
      <c r="J3131" s="386"/>
      <c r="K3131" s="386">
        <v>3.2</v>
      </c>
      <c r="L3131" s="386">
        <f>F3131*K3131</f>
        <v>0</v>
      </c>
      <c r="M3131" s="386">
        <f>H3131+J3131+L3131</f>
        <v>0</v>
      </c>
    </row>
    <row r="3132" spans="1:14" s="88" customFormat="1" hidden="1">
      <c r="A3132" s="1145"/>
      <c r="B3132" s="374"/>
      <c r="C3132" s="365" t="s">
        <v>210</v>
      </c>
      <c r="D3132" s="83"/>
      <c r="E3132" s="83"/>
      <c r="F3132" s="386"/>
      <c r="G3132" s="386"/>
      <c r="H3132" s="386"/>
      <c r="I3132" s="386"/>
      <c r="J3132" s="386"/>
      <c r="K3132" s="386"/>
      <c r="L3132" s="386"/>
      <c r="M3132" s="386"/>
    </row>
    <row r="3133" spans="1:14" s="88" customFormat="1" hidden="1">
      <c r="A3133" s="1145"/>
      <c r="B3133" s="375"/>
      <c r="C3133" s="84" t="s">
        <v>218</v>
      </c>
      <c r="D3133" s="86" t="s">
        <v>88</v>
      </c>
      <c r="E3133" s="83">
        <v>2.5499999999999998E-2</v>
      </c>
      <c r="F3133" s="386">
        <f>F3128*E3133</f>
        <v>0</v>
      </c>
      <c r="G3133" s="386">
        <v>90</v>
      </c>
      <c r="H3133" s="386">
        <f>F3133*G3133</f>
        <v>0</v>
      </c>
      <c r="I3133" s="386"/>
      <c r="J3133" s="386"/>
      <c r="K3133" s="386"/>
      <c r="L3133" s="386"/>
      <c r="M3133" s="386">
        <f>H3133+J3133+L3133</f>
        <v>0</v>
      </c>
    </row>
    <row r="3134" spans="1:14" s="877" customFormat="1" ht="27" hidden="1">
      <c r="A3134" s="370">
        <v>38</v>
      </c>
      <c r="B3134" s="1451" t="s">
        <v>145</v>
      </c>
      <c r="C3134" s="765" t="s">
        <v>1769</v>
      </c>
      <c r="D3134" s="370" t="s">
        <v>78</v>
      </c>
      <c r="E3134" s="370"/>
      <c r="F3134" s="384">
        <f>'დეფექტური აქტი'!E769</f>
        <v>0</v>
      </c>
      <c r="G3134" s="385"/>
      <c r="H3134" s="385"/>
      <c r="I3134" s="385"/>
      <c r="J3134" s="385"/>
      <c r="K3134" s="385"/>
      <c r="L3134" s="385"/>
      <c r="M3134" s="385"/>
    </row>
    <row r="3135" spans="1:14" s="877" customFormat="1" hidden="1">
      <c r="A3135" s="371"/>
      <c r="B3135" s="1428"/>
      <c r="C3135" s="84" t="s">
        <v>209</v>
      </c>
      <c r="D3135" s="371" t="s">
        <v>80</v>
      </c>
      <c r="E3135" s="211">
        <v>0.25</v>
      </c>
      <c r="F3135" s="386">
        <f>F3134*E3135</f>
        <v>0</v>
      </c>
      <c r="G3135" s="386"/>
      <c r="H3135" s="386"/>
      <c r="I3135" s="386">
        <v>6</v>
      </c>
      <c r="J3135" s="386">
        <f>F3135*I3135</f>
        <v>0</v>
      </c>
      <c r="K3135" s="386"/>
      <c r="L3135" s="386"/>
      <c r="M3135" s="386">
        <f>H3135+J3135+L3135</f>
        <v>0</v>
      </c>
    </row>
    <row r="3136" spans="1:14" s="877" customFormat="1" hidden="1">
      <c r="A3136" s="371"/>
      <c r="B3136" s="1428"/>
      <c r="C3136" s="365" t="s">
        <v>81</v>
      </c>
      <c r="D3136" s="83" t="s">
        <v>57</v>
      </c>
      <c r="E3136" s="371">
        <v>0.08</v>
      </c>
      <c r="F3136" s="386">
        <f>F3134*E3136</f>
        <v>0</v>
      </c>
      <c r="G3136" s="386"/>
      <c r="H3136" s="386"/>
      <c r="I3136" s="386"/>
      <c r="J3136" s="386"/>
      <c r="K3136" s="386">
        <v>3.2</v>
      </c>
      <c r="L3136" s="386">
        <f>F3136*K3136</f>
        <v>0</v>
      </c>
      <c r="M3136" s="386">
        <f>H3136+J3136+L3136</f>
        <v>0</v>
      </c>
    </row>
    <row r="3137" spans="1:13" s="877" customFormat="1" hidden="1">
      <c r="A3137" s="371"/>
      <c r="B3137" s="1428"/>
      <c r="C3137" s="365" t="s">
        <v>210</v>
      </c>
      <c r="D3137" s="371"/>
      <c r="E3137" s="371"/>
      <c r="F3137" s="386"/>
      <c r="G3137" s="386"/>
      <c r="H3137" s="386"/>
      <c r="I3137" s="386"/>
      <c r="J3137" s="386"/>
      <c r="K3137" s="386"/>
      <c r="L3137" s="386"/>
      <c r="M3137" s="386"/>
    </row>
    <row r="3138" spans="1:13" s="877" customFormat="1" hidden="1">
      <c r="A3138" s="371"/>
      <c r="B3138" s="1428"/>
      <c r="C3138" s="878" t="s">
        <v>527</v>
      </c>
      <c r="D3138" s="371" t="s">
        <v>88</v>
      </c>
      <c r="E3138" s="371">
        <v>5.0000000000000001E-3</v>
      </c>
      <c r="F3138" s="386">
        <f>F3134*E3138</f>
        <v>0</v>
      </c>
      <c r="G3138" s="386">
        <v>86</v>
      </c>
      <c r="H3138" s="386">
        <f>F3138*G3138</f>
        <v>0</v>
      </c>
      <c r="I3138" s="386"/>
      <c r="J3138" s="386"/>
      <c r="K3138" s="386"/>
      <c r="L3138" s="386"/>
      <c r="M3138" s="386">
        <f>H3138+J3138+L3138</f>
        <v>0</v>
      </c>
    </row>
    <row r="3139" spans="1:13" s="877" customFormat="1" hidden="1">
      <c r="A3139" s="879"/>
      <c r="B3139" s="1428"/>
      <c r="C3139" s="880" t="s">
        <v>214</v>
      </c>
      <c r="D3139" s="86" t="s">
        <v>57</v>
      </c>
      <c r="E3139" s="879">
        <v>4.1999999999999997E-3</v>
      </c>
      <c r="F3139" s="387">
        <f>F3134*E3139</f>
        <v>0</v>
      </c>
      <c r="G3139" s="387">
        <v>3.2</v>
      </c>
      <c r="H3139" s="387">
        <f>F3139*G3139</f>
        <v>0</v>
      </c>
      <c r="I3139" s="387"/>
      <c r="J3139" s="387"/>
      <c r="K3139" s="387"/>
      <c r="L3139" s="387"/>
      <c r="M3139" s="387">
        <f>H3139+J3139+L3139</f>
        <v>0</v>
      </c>
    </row>
    <row r="3140" spans="1:13" s="877" customFormat="1" ht="27" hidden="1">
      <c r="A3140" s="370">
        <v>39</v>
      </c>
      <c r="B3140" s="1451" t="s">
        <v>145</v>
      </c>
      <c r="C3140" s="765" t="s">
        <v>1770</v>
      </c>
      <c r="D3140" s="370" t="s">
        <v>249</v>
      </c>
      <c r="E3140" s="370"/>
      <c r="F3140" s="384">
        <f>'დეფექტური აქტი'!E770</f>
        <v>0</v>
      </c>
      <c r="G3140" s="385"/>
      <c r="H3140" s="385"/>
      <c r="I3140" s="385"/>
      <c r="J3140" s="385"/>
      <c r="K3140" s="385"/>
      <c r="L3140" s="385"/>
      <c r="M3140" s="385"/>
    </row>
    <row r="3141" spans="1:13" s="877" customFormat="1" hidden="1">
      <c r="A3141" s="371"/>
      <c r="B3141" s="1428"/>
      <c r="C3141" s="84" t="s">
        <v>209</v>
      </c>
      <c r="D3141" s="371" t="s">
        <v>80</v>
      </c>
      <c r="E3141" s="211">
        <v>0.20849999999999999</v>
      </c>
      <c r="F3141" s="386">
        <f>F3140*E3141</f>
        <v>0</v>
      </c>
      <c r="G3141" s="386"/>
      <c r="H3141" s="386"/>
      <c r="I3141" s="386">
        <v>6</v>
      </c>
      <c r="J3141" s="386">
        <f>F3141*I3141</f>
        <v>0</v>
      </c>
      <c r="K3141" s="386"/>
      <c r="L3141" s="386"/>
      <c r="M3141" s="386">
        <f>H3141+J3141+L3141</f>
        <v>0</v>
      </c>
    </row>
    <row r="3142" spans="1:13" s="877" customFormat="1" hidden="1">
      <c r="A3142" s="371"/>
      <c r="B3142" s="1428"/>
      <c r="C3142" s="365" t="s">
        <v>81</v>
      </c>
      <c r="D3142" s="83" t="s">
        <v>57</v>
      </c>
      <c r="E3142" s="371">
        <v>7.7000000000000002E-3</v>
      </c>
      <c r="F3142" s="386">
        <f>F3140*E3142</f>
        <v>0</v>
      </c>
      <c r="G3142" s="386"/>
      <c r="H3142" s="386"/>
      <c r="I3142" s="386"/>
      <c r="J3142" s="386"/>
      <c r="K3142" s="386">
        <v>3.2</v>
      </c>
      <c r="L3142" s="386">
        <f>F3142*K3142</f>
        <v>0</v>
      </c>
      <c r="M3142" s="386">
        <f>H3142+J3142+L3142</f>
        <v>0</v>
      </c>
    </row>
    <row r="3143" spans="1:13" s="877" customFormat="1" hidden="1">
      <c r="A3143" s="371"/>
      <c r="B3143" s="1428"/>
      <c r="C3143" s="365" t="s">
        <v>210</v>
      </c>
      <c r="D3143" s="371"/>
      <c r="E3143" s="371"/>
      <c r="F3143" s="386"/>
      <c r="G3143" s="386"/>
      <c r="H3143" s="386"/>
      <c r="I3143" s="386"/>
      <c r="J3143" s="386"/>
      <c r="K3143" s="386"/>
      <c r="L3143" s="386"/>
      <c r="M3143" s="386"/>
    </row>
    <row r="3144" spans="1:13" s="877" customFormat="1" hidden="1">
      <c r="A3144" s="371"/>
      <c r="B3144" s="1428"/>
      <c r="C3144" s="365" t="s">
        <v>147</v>
      </c>
      <c r="D3144" s="371" t="s">
        <v>97</v>
      </c>
      <c r="E3144" s="371">
        <v>0.59</v>
      </c>
      <c r="F3144" s="386">
        <f>F3140*E3144</f>
        <v>0</v>
      </c>
      <c r="G3144" s="598">
        <v>5</v>
      </c>
      <c r="H3144" s="386">
        <f>F3144*G3144</f>
        <v>0</v>
      </c>
      <c r="I3144" s="386"/>
      <c r="J3144" s="386"/>
      <c r="K3144" s="386"/>
      <c r="L3144" s="386"/>
      <c r="M3144" s="386">
        <f>H3144+J3144+L3144</f>
        <v>0</v>
      </c>
    </row>
    <row r="3145" spans="1:13" s="877" customFormat="1" hidden="1">
      <c r="A3145" s="371"/>
      <c r="B3145" s="1428"/>
      <c r="C3145" s="365" t="s">
        <v>148</v>
      </c>
      <c r="D3145" s="371" t="s">
        <v>97</v>
      </c>
      <c r="E3145" s="371">
        <v>0.1</v>
      </c>
      <c r="F3145" s="386">
        <f>F3140*E3145</f>
        <v>0</v>
      </c>
      <c r="G3145" s="598">
        <v>3.5</v>
      </c>
      <c r="H3145" s="386">
        <f>F3145*G3145</f>
        <v>0</v>
      </c>
      <c r="I3145" s="386"/>
      <c r="J3145" s="386"/>
      <c r="K3145" s="386"/>
      <c r="L3145" s="386"/>
      <c r="M3145" s="386">
        <f>H3145+J3145+L3145</f>
        <v>0</v>
      </c>
    </row>
    <row r="3146" spans="1:13" s="877" customFormat="1" hidden="1">
      <c r="A3146" s="371"/>
      <c r="B3146" s="1428"/>
      <c r="C3146" s="365" t="s">
        <v>134</v>
      </c>
      <c r="D3146" s="371" t="s">
        <v>97</v>
      </c>
      <c r="E3146" s="371">
        <v>0.12</v>
      </c>
      <c r="F3146" s="386">
        <f>F3140*E3146</f>
        <v>0</v>
      </c>
      <c r="G3146" s="386">
        <v>1.4</v>
      </c>
      <c r="H3146" s="386">
        <f>F3146*G3146</f>
        <v>0</v>
      </c>
      <c r="I3146" s="386"/>
      <c r="J3146" s="386"/>
      <c r="K3146" s="386"/>
      <c r="L3146" s="386"/>
      <c r="M3146" s="386">
        <f>H3146+J3146+L3146</f>
        <v>0</v>
      </c>
    </row>
    <row r="3147" spans="1:13" s="877" customFormat="1" hidden="1">
      <c r="A3147" s="371"/>
      <c r="B3147" s="1428"/>
      <c r="C3147" s="365" t="s">
        <v>149</v>
      </c>
      <c r="D3147" s="371" t="s">
        <v>97</v>
      </c>
      <c r="E3147" s="371">
        <v>0.15</v>
      </c>
      <c r="F3147" s="386">
        <f>F3140*E3147</f>
        <v>0</v>
      </c>
      <c r="G3147" s="386">
        <v>2.2000000000000002</v>
      </c>
      <c r="H3147" s="386">
        <f>F3147*G3147</f>
        <v>0</v>
      </c>
      <c r="I3147" s="386"/>
      <c r="J3147" s="386"/>
      <c r="K3147" s="386"/>
      <c r="L3147" s="386"/>
      <c r="M3147" s="386">
        <f>H3147+J3147+L3147</f>
        <v>0</v>
      </c>
    </row>
    <row r="3148" spans="1:13" s="877" customFormat="1" hidden="1">
      <c r="A3148" s="879"/>
      <c r="B3148" s="1452"/>
      <c r="C3148" s="880" t="s">
        <v>214</v>
      </c>
      <c r="D3148" s="86" t="s">
        <v>57</v>
      </c>
      <c r="E3148" s="879">
        <v>3.3999999999999998E-3</v>
      </c>
      <c r="F3148" s="387">
        <f>F3140*E3148</f>
        <v>0</v>
      </c>
      <c r="G3148" s="387">
        <v>3.2</v>
      </c>
      <c r="H3148" s="387">
        <f>F3148*G3148</f>
        <v>0</v>
      </c>
      <c r="I3148" s="387"/>
      <c r="J3148" s="387"/>
      <c r="K3148" s="387"/>
      <c r="L3148" s="387"/>
      <c r="M3148" s="387">
        <f>H3148+J3148+L3148</f>
        <v>0</v>
      </c>
    </row>
    <row r="3149" spans="1:13" s="877" customFormat="1" ht="27" hidden="1">
      <c r="A3149" s="370">
        <v>42</v>
      </c>
      <c r="B3149" s="373" t="s">
        <v>1588</v>
      </c>
      <c r="C3149" s="765" t="s">
        <v>1589</v>
      </c>
      <c r="D3149" s="370" t="s">
        <v>78</v>
      </c>
      <c r="E3149" s="370"/>
      <c r="F3149" s="384">
        <f>'დეფექტური აქტი'!E771</f>
        <v>0</v>
      </c>
      <c r="G3149" s="385"/>
      <c r="H3149" s="385"/>
      <c r="I3149" s="385"/>
      <c r="J3149" s="385"/>
      <c r="K3149" s="385"/>
      <c r="L3149" s="385"/>
      <c r="M3149" s="385"/>
    </row>
    <row r="3150" spans="1:13" s="877" customFormat="1" hidden="1">
      <c r="A3150" s="371"/>
      <c r="B3150" s="374"/>
      <c r="C3150" s="84" t="s">
        <v>209</v>
      </c>
      <c r="D3150" s="83" t="s">
        <v>80</v>
      </c>
      <c r="E3150" s="83">
        <v>1.18</v>
      </c>
      <c r="F3150" s="386">
        <f>F3149*E3150</f>
        <v>0</v>
      </c>
      <c r="G3150" s="386"/>
      <c r="H3150" s="386"/>
      <c r="I3150" s="386">
        <v>6</v>
      </c>
      <c r="J3150" s="386">
        <f>F3150*I3150</f>
        <v>0</v>
      </c>
      <c r="K3150" s="386"/>
      <c r="L3150" s="386"/>
      <c r="M3150" s="386">
        <f>H3150+J3150+L3150</f>
        <v>0</v>
      </c>
    </row>
    <row r="3151" spans="1:13" s="877" customFormat="1" hidden="1">
      <c r="A3151" s="371"/>
      <c r="B3151" s="374"/>
      <c r="C3151" s="84" t="s">
        <v>81</v>
      </c>
      <c r="D3151" s="83" t="s">
        <v>57</v>
      </c>
      <c r="E3151" s="83">
        <v>4.1000000000000002E-2</v>
      </c>
      <c r="F3151" s="386">
        <f>F3149*E3151</f>
        <v>0</v>
      </c>
      <c r="G3151" s="386"/>
      <c r="H3151" s="386"/>
      <c r="I3151" s="386"/>
      <c r="J3151" s="386"/>
      <c r="K3151" s="386">
        <v>3.2</v>
      </c>
      <c r="L3151" s="386">
        <f>F3151*K3151</f>
        <v>0</v>
      </c>
      <c r="M3151" s="386">
        <f>H3151+J3151+L3151</f>
        <v>0</v>
      </c>
    </row>
    <row r="3152" spans="1:13" s="877" customFormat="1" hidden="1">
      <c r="A3152" s="371"/>
      <c r="B3152" s="374"/>
      <c r="C3152" s="365" t="s">
        <v>210</v>
      </c>
      <c r="D3152" s="83"/>
      <c r="E3152" s="83"/>
      <c r="F3152" s="386"/>
      <c r="G3152" s="386"/>
      <c r="H3152" s="386"/>
      <c r="I3152" s="386"/>
      <c r="J3152" s="386"/>
      <c r="K3152" s="386"/>
      <c r="L3152" s="386"/>
      <c r="M3152" s="386"/>
    </row>
    <row r="3153" spans="1:14" s="877" customFormat="1" hidden="1">
      <c r="A3153" s="371"/>
      <c r="B3153" s="374"/>
      <c r="C3153" s="84" t="s">
        <v>218</v>
      </c>
      <c r="D3153" s="83" t="s">
        <v>88</v>
      </c>
      <c r="E3153" s="83">
        <v>2.1499999999999998E-2</v>
      </c>
      <c r="F3153" s="386">
        <f>F3149*E3153</f>
        <v>0</v>
      </c>
      <c r="G3153" s="386">
        <v>87</v>
      </c>
      <c r="H3153" s="386">
        <f>F3153*G3153</f>
        <v>0</v>
      </c>
      <c r="I3153" s="386"/>
      <c r="J3153" s="386"/>
      <c r="K3153" s="386"/>
      <c r="L3153" s="386"/>
      <c r="M3153" s="386">
        <f>H3153+J3153+L3153</f>
        <v>0</v>
      </c>
    </row>
    <row r="3154" spans="1:14" s="464" customFormat="1" hidden="1">
      <c r="A3154" s="466"/>
      <c r="B3154" s="504"/>
      <c r="C3154" s="491" t="s">
        <v>676</v>
      </c>
      <c r="D3154" s="479"/>
      <c r="E3154" s="479"/>
      <c r="F3154" s="480"/>
      <c r="G3154" s="505"/>
      <c r="H3154" s="505">
        <f>SUM(H3126:H3153)</f>
        <v>0</v>
      </c>
      <c r="I3154" s="505"/>
      <c r="J3154" s="505">
        <f>SUM(J3126:J3153)</f>
        <v>0</v>
      </c>
      <c r="K3154" s="505"/>
      <c r="L3154" s="505">
        <f>SUM(L3126:L3153)</f>
        <v>0</v>
      </c>
      <c r="M3154" s="505">
        <f>SUM(M3126:M3153)</f>
        <v>0</v>
      </c>
      <c r="N3154" s="502">
        <f>H3154+J3154+L3154</f>
        <v>0</v>
      </c>
    </row>
    <row r="3155" spans="1:14" hidden="1">
      <c r="A3155" s="466"/>
      <c r="B3155" s="504"/>
      <c r="C3155" s="467" t="s">
        <v>1152</v>
      </c>
      <c r="D3155" s="479"/>
      <c r="E3155" s="479"/>
      <c r="F3155" s="480"/>
      <c r="G3155" s="505"/>
      <c r="H3155" s="505"/>
      <c r="I3155" s="505"/>
      <c r="J3155" s="505"/>
      <c r="K3155" s="505"/>
      <c r="L3155" s="505"/>
      <c r="M3155" s="505"/>
    </row>
    <row r="3156" spans="1:14" s="93" customFormat="1" hidden="1">
      <c r="A3156" s="83">
        <v>43</v>
      </c>
      <c r="B3156" s="1432" t="s">
        <v>1535</v>
      </c>
      <c r="C3156" s="84" t="s">
        <v>891</v>
      </c>
      <c r="D3156" s="83" t="s">
        <v>88</v>
      </c>
      <c r="E3156" s="83"/>
      <c r="F3156" s="517">
        <f>'დეფექტური აქტი'!E773</f>
        <v>0</v>
      </c>
      <c r="G3156" s="386"/>
      <c r="H3156" s="386"/>
      <c r="I3156" s="386"/>
      <c r="J3156" s="386"/>
      <c r="K3156" s="386"/>
      <c r="L3156" s="386"/>
      <c r="M3156" s="386"/>
    </row>
    <row r="3157" spans="1:14" s="93" customFormat="1" hidden="1">
      <c r="A3157" s="86"/>
      <c r="B3157" s="1437"/>
      <c r="C3157" s="156" t="s">
        <v>1536</v>
      </c>
      <c r="D3157" s="86" t="s">
        <v>80</v>
      </c>
      <c r="E3157" s="86">
        <f>2.78*0.8</f>
        <v>2.2239999999999998</v>
      </c>
      <c r="F3157" s="518">
        <f>F3156*E3157</f>
        <v>0</v>
      </c>
      <c r="G3157" s="387"/>
      <c r="H3157" s="387"/>
      <c r="I3157" s="387">
        <v>4.5999999999999996</v>
      </c>
      <c r="J3157" s="387">
        <f>F3157*I3157</f>
        <v>0</v>
      </c>
      <c r="K3157" s="387"/>
      <c r="L3157" s="387"/>
      <c r="M3157" s="387">
        <f>H3157+J3157+L3157</f>
        <v>0</v>
      </c>
    </row>
    <row r="3158" spans="1:14" s="95" customFormat="1" ht="27" hidden="1">
      <c r="A3158" s="140">
        <v>44</v>
      </c>
      <c r="B3158" s="1447"/>
      <c r="C3158" s="152" t="s">
        <v>298</v>
      </c>
      <c r="D3158" s="140" t="s">
        <v>206</v>
      </c>
      <c r="E3158" s="153"/>
      <c r="F3158" s="456">
        <f>'დეფექტური აქტი'!E774*1.95</f>
        <v>0</v>
      </c>
      <c r="G3158" s="385"/>
      <c r="H3158" s="385"/>
      <c r="I3158" s="385"/>
      <c r="J3158" s="385"/>
      <c r="K3158" s="385"/>
      <c r="L3158" s="385"/>
      <c r="M3158" s="385">
        <f>H3158+J3158+L3158</f>
        <v>0</v>
      </c>
    </row>
    <row r="3159" spans="1:14" s="95" customFormat="1" hidden="1">
      <c r="A3159" s="83"/>
      <c r="B3159" s="1448"/>
      <c r="C3159" s="90" t="s">
        <v>209</v>
      </c>
      <c r="D3159" s="86" t="s">
        <v>80</v>
      </c>
      <c r="E3159" s="94">
        <v>0.53</v>
      </c>
      <c r="F3159" s="60">
        <f>F3158*E3159</f>
        <v>0</v>
      </c>
      <c r="G3159" s="386"/>
      <c r="H3159" s="603"/>
      <c r="I3159" s="387">
        <v>4.5999999999999996</v>
      </c>
      <c r="J3159" s="386">
        <f>F3159*I3159</f>
        <v>0</v>
      </c>
      <c r="K3159" s="386"/>
      <c r="L3159" s="386"/>
      <c r="M3159" s="386">
        <f>H3159+J3159+L3159</f>
        <v>0</v>
      </c>
    </row>
    <row r="3160" spans="1:14" s="93" customFormat="1" hidden="1">
      <c r="A3160" s="24">
        <v>45</v>
      </c>
      <c r="B3160" s="175"/>
      <c r="C3160" s="26" t="s">
        <v>735</v>
      </c>
      <c r="D3160" s="24" t="s">
        <v>206</v>
      </c>
      <c r="E3160" s="24"/>
      <c r="F3160" s="519">
        <f>'დეფექტური აქტი'!E775*1.95</f>
        <v>0</v>
      </c>
      <c r="G3160" s="390"/>
      <c r="H3160" s="390"/>
      <c r="I3160" s="390"/>
      <c r="J3160" s="390"/>
      <c r="K3160" s="390">
        <v>3.21</v>
      </c>
      <c r="L3160" s="390">
        <f>F3160*K3160</f>
        <v>0</v>
      </c>
      <c r="M3160" s="390">
        <f>H3160+J3160+L3160</f>
        <v>0</v>
      </c>
    </row>
    <row r="3161" spans="1:14" s="366" customFormat="1" hidden="1">
      <c r="A3161" s="140">
        <v>46</v>
      </c>
      <c r="B3161" s="1431" t="s">
        <v>292</v>
      </c>
      <c r="C3161" s="151" t="s">
        <v>293</v>
      </c>
      <c r="D3161" s="140" t="s">
        <v>88</v>
      </c>
      <c r="E3161" s="140"/>
      <c r="F3161" s="456">
        <f>'დეფექტური აქტი'!E776</f>
        <v>0</v>
      </c>
      <c r="G3161" s="385"/>
      <c r="H3161" s="385"/>
      <c r="I3161" s="385"/>
      <c r="J3161" s="385"/>
      <c r="K3161" s="385"/>
      <c r="L3161" s="385"/>
      <c r="M3161" s="385"/>
    </row>
    <row r="3162" spans="1:14" s="366" customFormat="1" hidden="1">
      <c r="A3162" s="83"/>
      <c r="B3162" s="1432"/>
      <c r="C3162" s="84" t="s">
        <v>209</v>
      </c>
      <c r="D3162" s="83" t="s">
        <v>80</v>
      </c>
      <c r="E3162" s="83">
        <v>3.52</v>
      </c>
      <c r="F3162" s="60">
        <f>F3161*E3162</f>
        <v>0</v>
      </c>
      <c r="G3162" s="386"/>
      <c r="H3162" s="386"/>
      <c r="I3162" s="386">
        <v>4.5999999999999996</v>
      </c>
      <c r="J3162" s="386">
        <f>F3162*I3162</f>
        <v>0</v>
      </c>
      <c r="K3162" s="386"/>
      <c r="L3162" s="386"/>
      <c r="M3162" s="386">
        <f>H3162+J3162+L3162</f>
        <v>0</v>
      </c>
    </row>
    <row r="3163" spans="1:14" s="366" customFormat="1" hidden="1">
      <c r="A3163" s="83"/>
      <c r="B3163" s="1432"/>
      <c r="C3163" s="84" t="s">
        <v>81</v>
      </c>
      <c r="D3163" s="83" t="s">
        <v>57</v>
      </c>
      <c r="E3163" s="83">
        <v>1.06</v>
      </c>
      <c r="F3163" s="60">
        <f>F3161*E3163</f>
        <v>0</v>
      </c>
      <c r="G3163" s="386"/>
      <c r="H3163" s="386"/>
      <c r="I3163" s="386"/>
      <c r="J3163" s="386"/>
      <c r="K3163" s="386">
        <v>3.2</v>
      </c>
      <c r="L3163" s="386">
        <f>F3163*K3163</f>
        <v>0</v>
      </c>
      <c r="M3163" s="386">
        <f>H3163+J3163+L3163</f>
        <v>0</v>
      </c>
    </row>
    <row r="3164" spans="1:14" s="366" customFormat="1" hidden="1">
      <c r="A3164" s="83"/>
      <c r="B3164" s="1432"/>
      <c r="C3164" s="15" t="s">
        <v>210</v>
      </c>
      <c r="D3164" s="83"/>
      <c r="E3164" s="83"/>
      <c r="F3164" s="60"/>
      <c r="G3164" s="386"/>
      <c r="H3164" s="386"/>
      <c r="I3164" s="386"/>
      <c r="J3164" s="386"/>
      <c r="K3164" s="386"/>
      <c r="L3164" s="386"/>
      <c r="M3164" s="386"/>
    </row>
    <row r="3165" spans="1:14" s="366" customFormat="1" hidden="1">
      <c r="A3165" s="83"/>
      <c r="B3165" s="1432"/>
      <c r="C3165" s="84" t="s">
        <v>294</v>
      </c>
      <c r="D3165" s="83" t="s">
        <v>88</v>
      </c>
      <c r="E3165" s="83">
        <v>1.24</v>
      </c>
      <c r="F3165" s="60">
        <f>F3161*E3165</f>
        <v>0</v>
      </c>
      <c r="G3165" s="386">
        <v>16.100000000000001</v>
      </c>
      <c r="H3165" s="386">
        <f>F3165*G3165</f>
        <v>0</v>
      </c>
      <c r="I3165" s="386"/>
      <c r="J3165" s="386"/>
      <c r="K3165" s="386"/>
      <c r="L3165" s="386"/>
      <c r="M3165" s="386">
        <f>H3165+J3165+L3165</f>
        <v>0</v>
      </c>
    </row>
    <row r="3166" spans="1:14" s="366" customFormat="1" hidden="1">
      <c r="A3166" s="86"/>
      <c r="B3166" s="1437"/>
      <c r="C3166" s="87" t="s">
        <v>214</v>
      </c>
      <c r="D3166" s="86" t="s">
        <v>57</v>
      </c>
      <c r="E3166" s="86">
        <v>0.02</v>
      </c>
      <c r="F3166" s="61">
        <f>F3161*E3166</f>
        <v>0</v>
      </c>
      <c r="G3166" s="387">
        <v>3.2</v>
      </c>
      <c r="H3166" s="387">
        <f>F3166*G3166</f>
        <v>0</v>
      </c>
      <c r="I3166" s="387"/>
      <c r="J3166" s="387"/>
      <c r="K3166" s="387"/>
      <c r="L3166" s="387"/>
      <c r="M3166" s="387">
        <f>H3166+J3166+L3166</f>
        <v>0</v>
      </c>
    </row>
    <row r="3167" spans="1:14" s="366" customFormat="1" hidden="1">
      <c r="A3167" s="83">
        <v>47</v>
      </c>
      <c r="B3167" s="235" t="s">
        <v>295</v>
      </c>
      <c r="C3167" s="520" t="s">
        <v>1018</v>
      </c>
      <c r="D3167" s="83" t="s">
        <v>88</v>
      </c>
      <c r="E3167" s="83"/>
      <c r="F3167" s="457">
        <f>'დეფექტური აქტი'!E777</f>
        <v>0</v>
      </c>
      <c r="G3167" s="225"/>
      <c r="H3167" s="225"/>
      <c r="I3167" s="225"/>
      <c r="J3167" s="225"/>
      <c r="K3167" s="225"/>
      <c r="L3167" s="225"/>
      <c r="M3167" s="225">
        <f>H3167+J3167+L3167</f>
        <v>0</v>
      </c>
      <c r="N3167" s="521"/>
    </row>
    <row r="3168" spans="1:14" s="366" customFormat="1" ht="15.75" hidden="1" customHeight="1">
      <c r="A3168" s="83"/>
      <c r="B3168" s="235"/>
      <c r="C3168" s="223" t="s">
        <v>209</v>
      </c>
      <c r="D3168" s="211" t="s">
        <v>80</v>
      </c>
      <c r="E3168" s="211">
        <v>2.9</v>
      </c>
      <c r="F3168" s="224">
        <f>F3167*E3168</f>
        <v>0</v>
      </c>
      <c r="G3168" s="225"/>
      <c r="H3168" s="225"/>
      <c r="I3168" s="386">
        <v>6</v>
      </c>
      <c r="J3168" s="225">
        <f>F3168*I3168</f>
        <v>0</v>
      </c>
      <c r="K3168" s="225"/>
      <c r="L3168" s="225"/>
      <c r="M3168" s="225">
        <f>H3168+J3168+L3168</f>
        <v>0</v>
      </c>
      <c r="N3168" s="521"/>
    </row>
    <row r="3169" spans="1:14" s="366" customFormat="1" hidden="1">
      <c r="A3169" s="83"/>
      <c r="B3169" s="235"/>
      <c r="C3169" s="223" t="s">
        <v>210</v>
      </c>
      <c r="D3169" s="211"/>
      <c r="E3169" s="211"/>
      <c r="F3169" s="224">
        <f>E3169*235.6</f>
        <v>0</v>
      </c>
      <c r="G3169" s="225"/>
      <c r="H3169" s="225"/>
      <c r="I3169" s="225"/>
      <c r="J3169" s="225"/>
      <c r="K3169" s="225"/>
      <c r="L3169" s="225"/>
      <c r="M3169" s="225"/>
      <c r="N3169" s="521"/>
    </row>
    <row r="3170" spans="1:14" s="366" customFormat="1" hidden="1">
      <c r="A3170" s="83"/>
      <c r="B3170" s="235"/>
      <c r="C3170" s="223" t="s">
        <v>300</v>
      </c>
      <c r="D3170" s="211" t="s">
        <v>88</v>
      </c>
      <c r="E3170" s="211">
        <v>1.02</v>
      </c>
      <c r="F3170" s="224">
        <f>F3167*E3170</f>
        <v>0</v>
      </c>
      <c r="G3170" s="225">
        <v>99</v>
      </c>
      <c r="H3170" s="225">
        <f>F3170*G3170</f>
        <v>0</v>
      </c>
      <c r="I3170" s="225"/>
      <c r="J3170" s="225"/>
      <c r="K3170" s="225"/>
      <c r="L3170" s="225"/>
      <c r="M3170" s="225">
        <f>H3170+J3170+L3170</f>
        <v>0</v>
      </c>
      <c r="N3170" s="521"/>
    </row>
    <row r="3171" spans="1:14" s="366" customFormat="1" hidden="1">
      <c r="A3171" s="86"/>
      <c r="B3171" s="245"/>
      <c r="C3171" s="232" t="s">
        <v>214</v>
      </c>
      <c r="D3171" s="230" t="s">
        <v>57</v>
      </c>
      <c r="E3171" s="230">
        <v>0.88</v>
      </c>
      <c r="F3171" s="231">
        <f>F3167*E3171</f>
        <v>0</v>
      </c>
      <c r="G3171" s="393">
        <v>3.2</v>
      </c>
      <c r="H3171" s="393">
        <f>F3171*G3171</f>
        <v>0</v>
      </c>
      <c r="I3171" s="393"/>
      <c r="J3171" s="393"/>
      <c r="K3171" s="393"/>
      <c r="L3171" s="393"/>
      <c r="M3171" s="225">
        <f>H3171+J3171+L3171</f>
        <v>0</v>
      </c>
      <c r="N3171" s="521"/>
    </row>
    <row r="3172" spans="1:14" s="88" customFormat="1" ht="27" hidden="1">
      <c r="A3172" s="140">
        <v>48</v>
      </c>
      <c r="B3172" s="1431" t="s">
        <v>1554</v>
      </c>
      <c r="C3172" s="151" t="s">
        <v>1153</v>
      </c>
      <c r="D3172" s="370" t="s">
        <v>122</v>
      </c>
      <c r="E3172" s="140"/>
      <c r="F3172" s="456">
        <f>'დეფექტური აქტი'!E778</f>
        <v>0</v>
      </c>
      <c r="G3172" s="422"/>
      <c r="H3172" s="422"/>
      <c r="I3172" s="422"/>
      <c r="J3172" s="422"/>
      <c r="K3172" s="422"/>
      <c r="L3172" s="422"/>
      <c r="M3172" s="422"/>
    </row>
    <row r="3173" spans="1:14" s="88" customFormat="1" hidden="1">
      <c r="A3173" s="96"/>
      <c r="B3173" s="1432"/>
      <c r="C3173" s="226" t="s">
        <v>209</v>
      </c>
      <c r="D3173" s="211" t="s">
        <v>80</v>
      </c>
      <c r="E3173" s="211">
        <v>0.74</v>
      </c>
      <c r="F3173" s="60">
        <f>F3172*E3173</f>
        <v>0</v>
      </c>
      <c r="G3173" s="225"/>
      <c r="H3173" s="225"/>
      <c r="I3173" s="386">
        <v>6</v>
      </c>
      <c r="J3173" s="225">
        <f>F3173*I3173</f>
        <v>0</v>
      </c>
      <c r="K3173" s="225"/>
      <c r="L3173" s="225"/>
      <c r="M3173" s="225">
        <f>H3173+J3173+L3173</f>
        <v>0</v>
      </c>
    </row>
    <row r="3174" spans="1:14" s="88" customFormat="1" hidden="1">
      <c r="A3174" s="96"/>
      <c r="B3174" s="1432"/>
      <c r="C3174" s="226" t="s">
        <v>81</v>
      </c>
      <c r="D3174" s="83" t="s">
        <v>57</v>
      </c>
      <c r="E3174" s="211">
        <v>7.1000000000000004E-3</v>
      </c>
      <c r="F3174" s="60">
        <f>F3172*E3174</f>
        <v>0</v>
      </c>
      <c r="G3174" s="225"/>
      <c r="H3174" s="225"/>
      <c r="I3174" s="225"/>
      <c r="J3174" s="225"/>
      <c r="K3174" s="225">
        <v>3.2</v>
      </c>
      <c r="L3174" s="225">
        <f>F3174*K3174</f>
        <v>0</v>
      </c>
      <c r="M3174" s="225">
        <f>H3174+J3174+L3174</f>
        <v>0</v>
      </c>
    </row>
    <row r="3175" spans="1:14" s="88" customFormat="1" hidden="1">
      <c r="A3175" s="96"/>
      <c r="B3175" s="1432"/>
      <c r="C3175" s="365" t="s">
        <v>210</v>
      </c>
      <c r="D3175" s="211"/>
      <c r="E3175" s="211"/>
      <c r="F3175" s="60"/>
      <c r="G3175" s="225"/>
      <c r="H3175" s="225"/>
      <c r="I3175" s="225"/>
      <c r="J3175" s="225"/>
      <c r="K3175" s="225"/>
      <c r="L3175" s="225"/>
      <c r="M3175" s="225"/>
    </row>
    <row r="3176" spans="1:14" s="88" customFormat="1" hidden="1">
      <c r="A3176" s="96"/>
      <c r="B3176" s="1432"/>
      <c r="C3176" s="226" t="s">
        <v>951</v>
      </c>
      <c r="D3176" s="371" t="s">
        <v>122</v>
      </c>
      <c r="E3176" s="211">
        <v>1</v>
      </c>
      <c r="F3176" s="60">
        <f>F3172*E3176</f>
        <v>0</v>
      </c>
      <c r="G3176" s="610">
        <v>19.3</v>
      </c>
      <c r="H3176" s="225">
        <f>F3176*G3176</f>
        <v>0</v>
      </c>
      <c r="I3176" s="225"/>
      <c r="J3176" s="225"/>
      <c r="K3176" s="225"/>
      <c r="L3176" s="225"/>
      <c r="M3176" s="225">
        <f>H3176+J3176+L3176</f>
        <v>0</v>
      </c>
    </row>
    <row r="3177" spans="1:14" s="88" customFormat="1" hidden="1">
      <c r="A3177" s="96"/>
      <c r="B3177" s="1432"/>
      <c r="C3177" s="226" t="s">
        <v>300</v>
      </c>
      <c r="D3177" s="211" t="s">
        <v>88</v>
      </c>
      <c r="E3177" s="211">
        <v>3.9E-2</v>
      </c>
      <c r="F3177" s="60">
        <f>F3172*E3177</f>
        <v>0</v>
      </c>
      <c r="G3177" s="225">
        <v>99</v>
      </c>
      <c r="H3177" s="225">
        <f>F3177*G3177</f>
        <v>0</v>
      </c>
      <c r="I3177" s="225"/>
      <c r="J3177" s="225"/>
      <c r="K3177" s="225"/>
      <c r="L3177" s="225"/>
      <c r="M3177" s="225">
        <f>H3177+J3177+L3177</f>
        <v>0</v>
      </c>
    </row>
    <row r="3178" spans="1:14" s="88" customFormat="1" hidden="1">
      <c r="A3178" s="96"/>
      <c r="B3178" s="1432"/>
      <c r="C3178" s="226" t="s">
        <v>198</v>
      </c>
      <c r="D3178" s="211" t="s">
        <v>88</v>
      </c>
      <c r="E3178" s="211">
        <v>5.9999999999999995E-4</v>
      </c>
      <c r="F3178" s="60">
        <f>F3172*E3178</f>
        <v>0</v>
      </c>
      <c r="G3178" s="225">
        <v>85</v>
      </c>
      <c r="H3178" s="225">
        <f>F3178*G3178</f>
        <v>0</v>
      </c>
      <c r="I3178" s="225"/>
      <c r="J3178" s="225"/>
      <c r="K3178" s="225"/>
      <c r="L3178" s="225"/>
      <c r="M3178" s="225">
        <f>H3178+J3178+L3178</f>
        <v>0</v>
      </c>
    </row>
    <row r="3179" spans="1:14" s="88" customFormat="1" hidden="1">
      <c r="A3179" s="242"/>
      <c r="B3179" s="1437"/>
      <c r="C3179" s="229" t="s">
        <v>214</v>
      </c>
      <c r="D3179" s="86" t="s">
        <v>57</v>
      </c>
      <c r="E3179" s="230">
        <v>9.6000000000000002E-2</v>
      </c>
      <c r="F3179" s="61">
        <f>F3172*E3179</f>
        <v>0</v>
      </c>
      <c r="G3179" s="393">
        <v>3.2</v>
      </c>
      <c r="H3179" s="393">
        <f>F3179*G3179</f>
        <v>0</v>
      </c>
      <c r="I3179" s="393"/>
      <c r="J3179" s="393"/>
      <c r="K3179" s="393"/>
      <c r="L3179" s="393"/>
      <c r="M3179" s="393">
        <f>H3179+J3179+L3179</f>
        <v>0</v>
      </c>
    </row>
    <row r="3180" spans="1:14" hidden="1">
      <c r="A3180" s="466"/>
      <c r="B3180" s="504"/>
      <c r="C3180" s="491" t="s">
        <v>553</v>
      </c>
      <c r="D3180" s="479"/>
      <c r="E3180" s="479"/>
      <c r="F3180" s="480"/>
      <c r="G3180" s="505"/>
      <c r="H3180" s="505">
        <f>SUM(H3156:H3179)</f>
        <v>0</v>
      </c>
      <c r="I3180" s="505"/>
      <c r="J3180" s="505">
        <f>SUM(J3156:J3179)</f>
        <v>0</v>
      </c>
      <c r="K3180" s="505"/>
      <c r="L3180" s="505">
        <f>SUM(L3156:L3179)</f>
        <v>0</v>
      </c>
      <c r="M3180" s="505">
        <f>SUM(M3156:M3179)</f>
        <v>0</v>
      </c>
    </row>
    <row r="3181" spans="1:14" hidden="1">
      <c r="A3181" s="466"/>
      <c r="B3181" s="504"/>
      <c r="C3181" s="467" t="s">
        <v>1765</v>
      </c>
      <c r="D3181" s="479"/>
      <c r="E3181" s="479"/>
      <c r="F3181" s="480"/>
      <c r="G3181" s="505"/>
      <c r="H3181" s="505"/>
      <c r="I3181" s="505"/>
      <c r="J3181" s="505"/>
      <c r="K3181" s="505"/>
      <c r="L3181" s="505"/>
      <c r="M3181" s="505"/>
    </row>
    <row r="3182" spans="1:14" s="364" customFormat="1" ht="16.5" hidden="1" customHeight="1">
      <c r="A3182" s="83">
        <v>49</v>
      </c>
      <c r="B3182" s="1432" t="s">
        <v>615</v>
      </c>
      <c r="C3182" s="84" t="s">
        <v>1223</v>
      </c>
      <c r="D3182" s="83" t="s">
        <v>206</v>
      </c>
      <c r="E3182" s="83"/>
      <c r="F3182" s="457">
        <f>'დეფექტური აქტი'!E780</f>
        <v>0</v>
      </c>
      <c r="G3182" s="225"/>
      <c r="H3182" s="225"/>
      <c r="I3182" s="225"/>
      <c r="J3182" s="225"/>
      <c r="K3182" s="225"/>
      <c r="L3182" s="225"/>
      <c r="M3182" s="225"/>
    </row>
    <row r="3183" spans="1:14" s="364" customFormat="1" hidden="1">
      <c r="A3183" s="83"/>
      <c r="B3183" s="1432"/>
      <c r="C3183" s="223" t="s">
        <v>209</v>
      </c>
      <c r="D3183" s="211" t="s">
        <v>80</v>
      </c>
      <c r="E3183" s="211">
        <v>53.8</v>
      </c>
      <c r="F3183" s="60">
        <f>F3182*E3183</f>
        <v>0</v>
      </c>
      <c r="G3183" s="225"/>
      <c r="H3183" s="225"/>
      <c r="I3183" s="386">
        <v>6</v>
      </c>
      <c r="J3183" s="225">
        <f>F3183*I3183</f>
        <v>0</v>
      </c>
      <c r="K3183" s="225"/>
      <c r="L3183" s="225"/>
      <c r="M3183" s="225">
        <f>H3183+J3183+L3183</f>
        <v>0</v>
      </c>
    </row>
    <row r="3184" spans="1:14" s="364" customFormat="1" hidden="1">
      <c r="A3184" s="83"/>
      <c r="B3184" s="1432"/>
      <c r="C3184" s="223" t="s">
        <v>81</v>
      </c>
      <c r="D3184" s="83" t="s">
        <v>57</v>
      </c>
      <c r="E3184" s="211">
        <v>20</v>
      </c>
      <c r="F3184" s="60">
        <f>F3182*E3184</f>
        <v>0</v>
      </c>
      <c r="G3184" s="225"/>
      <c r="H3184" s="225"/>
      <c r="I3184" s="225"/>
      <c r="J3184" s="225"/>
      <c r="K3184" s="225">
        <v>3.2</v>
      </c>
      <c r="L3184" s="225">
        <f>F3184*K3184</f>
        <v>0</v>
      </c>
      <c r="M3184" s="225">
        <f>H3184+J3184+L3184</f>
        <v>0</v>
      </c>
    </row>
    <row r="3185" spans="1:13" s="364" customFormat="1" hidden="1">
      <c r="A3185" s="83"/>
      <c r="B3185" s="1432"/>
      <c r="C3185" s="15" t="s">
        <v>210</v>
      </c>
      <c r="D3185" s="211"/>
      <c r="E3185" s="211"/>
      <c r="F3185" s="60"/>
      <c r="G3185" s="225"/>
      <c r="H3185" s="225"/>
      <c r="I3185" s="225"/>
      <c r="J3185" s="225"/>
      <c r="K3185" s="225"/>
      <c r="L3185" s="225"/>
      <c r="M3185" s="225"/>
    </row>
    <row r="3186" spans="1:13" s="364" customFormat="1" hidden="1">
      <c r="A3186" s="83"/>
      <c r="B3186" s="1432"/>
      <c r="C3186" s="84" t="s">
        <v>616</v>
      </c>
      <c r="D3186" s="179" t="s">
        <v>206</v>
      </c>
      <c r="E3186" s="211">
        <v>1</v>
      </c>
      <c r="F3186" s="458">
        <f>F3182*E3186</f>
        <v>0</v>
      </c>
      <c r="G3186" s="610">
        <v>2140</v>
      </c>
      <c r="H3186" s="225">
        <f>G3186*F3186</f>
        <v>0</v>
      </c>
      <c r="I3186" s="225"/>
      <c r="J3186" s="225"/>
      <c r="K3186" s="225"/>
      <c r="L3186" s="225"/>
      <c r="M3186" s="225">
        <f>H3186</f>
        <v>0</v>
      </c>
    </row>
    <row r="3187" spans="1:13" s="364" customFormat="1" hidden="1">
      <c r="A3187" s="83"/>
      <c r="B3187" s="1432"/>
      <c r="C3187" s="223" t="s">
        <v>307</v>
      </c>
      <c r="D3187" s="211" t="s">
        <v>97</v>
      </c>
      <c r="E3187" s="211">
        <v>24.4</v>
      </c>
      <c r="F3187" s="60">
        <f>F3182*E3187</f>
        <v>0</v>
      </c>
      <c r="G3187" s="225">
        <v>3.75</v>
      </c>
      <c r="H3187" s="225">
        <f>F3187*G3187</f>
        <v>0</v>
      </c>
      <c r="I3187" s="225"/>
      <c r="J3187" s="225"/>
      <c r="K3187" s="225"/>
      <c r="L3187" s="225"/>
      <c r="M3187" s="225">
        <f>H3187+J3187+L3187</f>
        <v>0</v>
      </c>
    </row>
    <row r="3188" spans="1:13" s="364" customFormat="1" hidden="1">
      <c r="A3188" s="86"/>
      <c r="B3188" s="1437"/>
      <c r="C3188" s="232" t="s">
        <v>214</v>
      </c>
      <c r="D3188" s="86" t="s">
        <v>57</v>
      </c>
      <c r="E3188" s="230">
        <v>2.78</v>
      </c>
      <c r="F3188" s="61">
        <f>F3182*E3188</f>
        <v>0</v>
      </c>
      <c r="G3188" s="393">
        <v>3.2</v>
      </c>
      <c r="H3188" s="393">
        <f>F3188*G3188</f>
        <v>0</v>
      </c>
      <c r="I3188" s="393"/>
      <c r="J3188" s="393"/>
      <c r="K3188" s="393"/>
      <c r="L3188" s="393"/>
      <c r="M3188" s="393">
        <f>H3188+J3188+L3188</f>
        <v>0</v>
      </c>
    </row>
    <row r="3189" spans="1:13" s="364" customFormat="1" hidden="1">
      <c r="A3189" s="83">
        <v>50</v>
      </c>
      <c r="B3189" s="1446"/>
      <c r="C3189" s="84" t="s">
        <v>1224</v>
      </c>
      <c r="D3189" s="140" t="s">
        <v>206</v>
      </c>
      <c r="E3189" s="83"/>
      <c r="F3189" s="458">
        <f>'დეფექტური აქტი'!E781</f>
        <v>0</v>
      </c>
      <c r="G3189" s="225"/>
      <c r="H3189" s="225"/>
      <c r="I3189" s="225"/>
      <c r="J3189" s="225"/>
      <c r="K3189" s="225"/>
      <c r="L3189" s="225"/>
      <c r="M3189" s="225"/>
    </row>
    <row r="3190" spans="1:13" s="364" customFormat="1" hidden="1">
      <c r="A3190" s="83"/>
      <c r="B3190" s="1432"/>
      <c r="C3190" s="223" t="s">
        <v>209</v>
      </c>
      <c r="D3190" s="211" t="s">
        <v>80</v>
      </c>
      <c r="E3190" s="211">
        <v>7.96</v>
      </c>
      <c r="F3190" s="60">
        <f>F3189*E3190</f>
        <v>0</v>
      </c>
      <c r="G3190" s="225"/>
      <c r="H3190" s="225"/>
      <c r="I3190" s="386">
        <v>6</v>
      </c>
      <c r="J3190" s="225">
        <f>F3190*I3190</f>
        <v>0</v>
      </c>
      <c r="K3190" s="225"/>
      <c r="L3190" s="225"/>
      <c r="M3190" s="225">
        <f>H3190+J3190+L3190</f>
        <v>0</v>
      </c>
    </row>
    <row r="3191" spans="1:13" s="364" customFormat="1" hidden="1">
      <c r="A3191" s="83"/>
      <c r="B3191" s="1432"/>
      <c r="C3191" s="15" t="s">
        <v>210</v>
      </c>
      <c r="D3191" s="211"/>
      <c r="E3191" s="211"/>
      <c r="F3191" s="60"/>
      <c r="G3191" s="225"/>
      <c r="H3191" s="225"/>
      <c r="I3191" s="225"/>
      <c r="J3191" s="225"/>
      <c r="K3191" s="225"/>
      <c r="L3191" s="225"/>
      <c r="M3191" s="225"/>
    </row>
    <row r="3192" spans="1:13" s="364" customFormat="1" hidden="1">
      <c r="A3192" s="86"/>
      <c r="B3192" s="1437"/>
      <c r="C3192" s="232" t="s">
        <v>617</v>
      </c>
      <c r="D3192" s="230" t="s">
        <v>97</v>
      </c>
      <c r="E3192" s="230">
        <v>4.5</v>
      </c>
      <c r="F3192" s="61">
        <f>F3189*E3192</f>
        <v>0</v>
      </c>
      <c r="G3192" s="393">
        <v>6</v>
      </c>
      <c r="H3192" s="393">
        <f>F3192*G3192</f>
        <v>0</v>
      </c>
      <c r="I3192" s="393"/>
      <c r="J3192" s="393"/>
      <c r="K3192" s="393"/>
      <c r="L3192" s="393"/>
      <c r="M3192" s="393">
        <f>H3192+J3192+L3192</f>
        <v>0</v>
      </c>
    </row>
    <row r="3193" spans="1:13" s="95" customFormat="1" ht="27" hidden="1">
      <c r="A3193" s="130">
        <v>51</v>
      </c>
      <c r="B3193" s="1456" t="s">
        <v>99</v>
      </c>
      <c r="C3193" s="90" t="s">
        <v>1763</v>
      </c>
      <c r="D3193" s="47" t="s">
        <v>4</v>
      </c>
      <c r="E3193" s="240"/>
      <c r="F3193" s="456">
        <f>'დეფექტური აქტი'!E782</f>
        <v>0</v>
      </c>
      <c r="G3193" s="225"/>
      <c r="H3193" s="225"/>
      <c r="I3193" s="225"/>
      <c r="J3193" s="225"/>
      <c r="K3193" s="225"/>
      <c r="L3193" s="225"/>
      <c r="M3193" s="225"/>
    </row>
    <row r="3194" spans="1:13" s="366" customFormat="1" hidden="1">
      <c r="A3194" s="130"/>
      <c r="B3194" s="1457"/>
      <c r="C3194" s="226" t="s">
        <v>128</v>
      </c>
      <c r="D3194" s="41" t="s">
        <v>4</v>
      </c>
      <c r="E3194" s="211">
        <v>1</v>
      </c>
      <c r="F3194" s="60">
        <f>F3193*E3194</f>
        <v>0</v>
      </c>
      <c r="G3194" s="225"/>
      <c r="H3194" s="225"/>
      <c r="I3194" s="225">
        <v>50</v>
      </c>
      <c r="J3194" s="225">
        <f>F3194*I3194</f>
        <v>0</v>
      </c>
      <c r="K3194" s="225"/>
      <c r="L3194" s="225"/>
      <c r="M3194" s="225">
        <f>H3194+J3194+L3194</f>
        <v>0</v>
      </c>
    </row>
    <row r="3195" spans="1:13" s="366" customFormat="1" hidden="1">
      <c r="A3195" s="130"/>
      <c r="B3195" s="1457"/>
      <c r="C3195" s="15" t="s">
        <v>210</v>
      </c>
      <c r="D3195" s="211"/>
      <c r="E3195" s="211"/>
      <c r="F3195" s="60"/>
      <c r="G3195" s="225"/>
      <c r="H3195" s="225"/>
      <c r="I3195" s="225"/>
      <c r="J3195" s="225"/>
      <c r="K3195" s="225"/>
      <c r="L3195" s="225"/>
      <c r="M3195" s="225"/>
    </row>
    <row r="3196" spans="1:13" s="522" customFormat="1" hidden="1">
      <c r="A3196" s="161"/>
      <c r="B3196" s="1458"/>
      <c r="C3196" s="87" t="s">
        <v>1764</v>
      </c>
      <c r="D3196" s="43" t="s">
        <v>4</v>
      </c>
      <c r="E3196" s="230">
        <v>1</v>
      </c>
      <c r="F3196" s="61">
        <f>F3193*E3196</f>
        <v>0</v>
      </c>
      <c r="G3196" s="393">
        <v>351.7</v>
      </c>
      <c r="H3196" s="393">
        <f>F3196*G3196</f>
        <v>0</v>
      </c>
      <c r="I3196" s="393"/>
      <c r="J3196" s="393"/>
      <c r="K3196" s="393"/>
      <c r="L3196" s="393"/>
      <c r="M3196" s="393">
        <f>H3196+J3196+L3196</f>
        <v>0</v>
      </c>
    </row>
    <row r="3197" spans="1:13" s="93" customFormat="1" ht="27" hidden="1">
      <c r="A3197" s="130">
        <v>52</v>
      </c>
      <c r="B3197" s="1459" t="s">
        <v>555</v>
      </c>
      <c r="C3197" s="84" t="s">
        <v>1030</v>
      </c>
      <c r="D3197" s="228" t="s">
        <v>88</v>
      </c>
      <c r="E3197" s="240"/>
      <c r="F3197" s="457">
        <f>'დეფექტური აქტი'!E783</f>
        <v>0</v>
      </c>
      <c r="G3197" s="523"/>
      <c r="H3197" s="225"/>
      <c r="I3197" s="225"/>
      <c r="J3197" s="225"/>
      <c r="K3197" s="225"/>
      <c r="L3197" s="225"/>
      <c r="M3197" s="225"/>
    </row>
    <row r="3198" spans="1:13" s="93" customFormat="1" hidden="1">
      <c r="A3198" s="132"/>
      <c r="B3198" s="1460"/>
      <c r="C3198" s="226" t="s">
        <v>556</v>
      </c>
      <c r="D3198" s="211" t="s">
        <v>80</v>
      </c>
      <c r="E3198" s="94">
        <v>13.8</v>
      </c>
      <c r="F3198" s="60">
        <f>F3197*E3198</f>
        <v>0</v>
      </c>
      <c r="G3198" s="225"/>
      <c r="H3198" s="604"/>
      <c r="I3198" s="225">
        <v>4.5999999999999996</v>
      </c>
      <c r="J3198" s="225">
        <f>F3198*I3198</f>
        <v>0</v>
      </c>
      <c r="K3198" s="225"/>
      <c r="L3198" s="225"/>
      <c r="M3198" s="225">
        <f>H3198+J3198+L3198</f>
        <v>0</v>
      </c>
    </row>
    <row r="3199" spans="1:13" s="366" customFormat="1" hidden="1">
      <c r="A3199" s="132"/>
      <c r="B3199" s="1460"/>
      <c r="C3199" s="226" t="s">
        <v>181</v>
      </c>
      <c r="D3199" s="83" t="s">
        <v>57</v>
      </c>
      <c r="E3199" s="240">
        <v>0.17</v>
      </c>
      <c r="F3199" s="60">
        <f>F3197*E3199</f>
        <v>0</v>
      </c>
      <c r="G3199" s="225"/>
      <c r="H3199" s="225"/>
      <c r="I3199" s="225"/>
      <c r="J3199" s="225"/>
      <c r="K3199" s="225">
        <v>3.2</v>
      </c>
      <c r="L3199" s="225">
        <f>F3199*K3199</f>
        <v>0</v>
      </c>
      <c r="M3199" s="225">
        <f>H3199+J3199+L3199</f>
        <v>0</v>
      </c>
    </row>
    <row r="3200" spans="1:13" s="93" customFormat="1" hidden="1">
      <c r="A3200" s="132"/>
      <c r="B3200" s="1460"/>
      <c r="C3200" s="15" t="s">
        <v>210</v>
      </c>
      <c r="D3200" s="211"/>
      <c r="E3200" s="240"/>
      <c r="F3200" s="60"/>
      <c r="G3200" s="225"/>
      <c r="H3200" s="225"/>
      <c r="I3200" s="225"/>
      <c r="J3200" s="225"/>
      <c r="K3200" s="225"/>
      <c r="L3200" s="225"/>
      <c r="M3200" s="225"/>
    </row>
    <row r="3201" spans="1:14" s="93" customFormat="1" hidden="1">
      <c r="A3201" s="132"/>
      <c r="B3201" s="1460"/>
      <c r="C3201" s="226" t="s">
        <v>1084</v>
      </c>
      <c r="D3201" s="211" t="s">
        <v>78</v>
      </c>
      <c r="E3201" s="240">
        <v>1.03</v>
      </c>
      <c r="F3201" s="457">
        <f>E3201*F3197/0.05</f>
        <v>0</v>
      </c>
      <c r="G3201" s="225">
        <v>2.37</v>
      </c>
      <c r="H3201" s="225">
        <f>F3201*G3201</f>
        <v>0</v>
      </c>
      <c r="I3201" s="225"/>
      <c r="J3201" s="225"/>
      <c r="K3201" s="225"/>
      <c r="L3201" s="225"/>
      <c r="M3201" s="225">
        <f>H3201+J3201+L3201</f>
        <v>0</v>
      </c>
    </row>
    <row r="3202" spans="1:14" s="93" customFormat="1" hidden="1">
      <c r="A3202" s="132"/>
      <c r="B3202" s="1460"/>
      <c r="C3202" s="226" t="s">
        <v>557</v>
      </c>
      <c r="D3202" s="211" t="s">
        <v>97</v>
      </c>
      <c r="E3202" s="240">
        <v>10.6</v>
      </c>
      <c r="F3202" s="60">
        <f>F3197*E3202</f>
        <v>0</v>
      </c>
      <c r="G3202" s="225">
        <v>1.9</v>
      </c>
      <c r="H3202" s="225">
        <f>F3202*G3202</f>
        <v>0</v>
      </c>
      <c r="I3202" s="225"/>
      <c r="J3202" s="225"/>
      <c r="K3202" s="225"/>
      <c r="L3202" s="225"/>
      <c r="M3202" s="225">
        <f>H3202+J3202+L3202</f>
        <v>0</v>
      </c>
    </row>
    <row r="3203" spans="1:14" s="93" customFormat="1" hidden="1">
      <c r="A3203" s="132"/>
      <c r="B3203" s="1460"/>
      <c r="C3203" s="226" t="s">
        <v>558</v>
      </c>
      <c r="D3203" s="211" t="s">
        <v>97</v>
      </c>
      <c r="E3203" s="94">
        <v>1</v>
      </c>
      <c r="F3203" s="60">
        <f>F3197*E3203</f>
        <v>0</v>
      </c>
      <c r="G3203" s="225">
        <v>1.7</v>
      </c>
      <c r="H3203" s="225">
        <f>F3203*G3203</f>
        <v>0</v>
      </c>
      <c r="I3203" s="225"/>
      <c r="J3203" s="225"/>
      <c r="K3203" s="225"/>
      <c r="L3203" s="225"/>
      <c r="M3203" s="225">
        <f>H3203+J3203+L3203</f>
        <v>0</v>
      </c>
    </row>
    <row r="3204" spans="1:14" s="93" customFormat="1" hidden="1">
      <c r="A3204" s="133"/>
      <c r="B3204" s="1461"/>
      <c r="C3204" s="229" t="s">
        <v>214</v>
      </c>
      <c r="D3204" s="86" t="s">
        <v>57</v>
      </c>
      <c r="E3204" s="241">
        <v>0.9</v>
      </c>
      <c r="F3204" s="61">
        <f>F3197*E3204</f>
        <v>0</v>
      </c>
      <c r="G3204" s="393">
        <v>3.2</v>
      </c>
      <c r="H3204" s="393">
        <f>F3204*G3204</f>
        <v>0</v>
      </c>
      <c r="I3204" s="393"/>
      <c r="J3204" s="393"/>
      <c r="K3204" s="393"/>
      <c r="L3204" s="393"/>
      <c r="M3204" s="393">
        <f>H3204+J3204+L3204</f>
        <v>0</v>
      </c>
    </row>
    <row r="3205" spans="1:14" hidden="1">
      <c r="A3205" s="466"/>
      <c r="B3205" s="504"/>
      <c r="C3205" s="491" t="s">
        <v>695</v>
      </c>
      <c r="D3205" s="479"/>
      <c r="E3205" s="479"/>
      <c r="F3205" s="480"/>
      <c r="G3205" s="505"/>
      <c r="H3205" s="505">
        <f>SUM(H3182:H3204)</f>
        <v>0</v>
      </c>
      <c r="I3205" s="505"/>
      <c r="J3205" s="505">
        <f>SUM(J3182:J3204)</f>
        <v>0</v>
      </c>
      <c r="K3205" s="505"/>
      <c r="L3205" s="505">
        <f>SUM(L3182:L3204)</f>
        <v>0</v>
      </c>
      <c r="M3205" s="505">
        <f>SUM(M3182:M3204)</f>
        <v>0</v>
      </c>
    </row>
    <row r="3206" spans="1:14" s="464" customFormat="1">
      <c r="A3206" s="1194"/>
      <c r="B3206" s="466"/>
      <c r="C3206" s="481" t="s">
        <v>1879</v>
      </c>
      <c r="D3206" s="466"/>
      <c r="E3206" s="466"/>
      <c r="F3206" s="524"/>
      <c r="G3206" s="505"/>
      <c r="H3206" s="505"/>
      <c r="I3206" s="505"/>
      <c r="J3206" s="505"/>
      <c r="K3206" s="505"/>
      <c r="L3206" s="505"/>
      <c r="M3206" s="505"/>
      <c r="N3206" s="525"/>
    </row>
    <row r="3207" spans="1:14" s="464" customFormat="1">
      <c r="A3207" s="1201"/>
      <c r="B3207" s="468"/>
      <c r="C3207" s="111" t="s">
        <v>1225</v>
      </c>
      <c r="D3207" s="483">
        <v>0.1</v>
      </c>
      <c r="E3207" s="526"/>
      <c r="F3207" s="480"/>
      <c r="G3207" s="505"/>
      <c r="H3207" s="505"/>
      <c r="I3207" s="505"/>
      <c r="J3207" s="505"/>
      <c r="K3207" s="505"/>
      <c r="L3207" s="505"/>
      <c r="M3207" s="505"/>
      <c r="N3207" s="463"/>
    </row>
    <row r="3208" spans="1:14" s="464" customFormat="1">
      <c r="A3208" s="1201"/>
      <c r="B3208" s="468"/>
      <c r="C3208" s="481" t="s">
        <v>110</v>
      </c>
      <c r="D3208" s="468"/>
      <c r="E3208" s="468"/>
      <c r="F3208" s="527"/>
      <c r="G3208" s="528"/>
      <c r="H3208" s="633"/>
      <c r="I3208" s="633"/>
      <c r="J3208" s="633"/>
      <c r="K3208" s="633"/>
      <c r="L3208" s="633"/>
      <c r="M3208" s="633"/>
      <c r="N3208" s="463"/>
    </row>
    <row r="3209" spans="1:14" s="463" customFormat="1">
      <c r="A3209" s="1201"/>
      <c r="B3209" s="468"/>
      <c r="C3209" s="111" t="s">
        <v>1157</v>
      </c>
      <c r="D3209" s="529">
        <v>0.08</v>
      </c>
      <c r="E3209" s="468"/>
      <c r="F3209" s="527"/>
      <c r="G3209" s="528"/>
      <c r="H3209" s="633"/>
      <c r="I3209" s="633"/>
      <c r="J3209" s="633"/>
      <c r="K3209" s="633"/>
      <c r="L3209" s="633"/>
      <c r="M3209" s="633"/>
    </row>
    <row r="3210" spans="1:14" s="464" customFormat="1">
      <c r="A3210" s="1201"/>
      <c r="B3210" s="468"/>
      <c r="C3210" s="481" t="s">
        <v>1877</v>
      </c>
      <c r="D3210" s="468"/>
      <c r="E3210" s="468"/>
      <c r="F3210" s="527"/>
      <c r="G3210" s="528"/>
      <c r="H3210" s="633"/>
      <c r="I3210" s="633"/>
      <c r="J3210" s="633"/>
      <c r="K3210" s="633"/>
      <c r="L3210" s="633"/>
      <c r="M3210" s="633"/>
      <c r="N3210" s="463"/>
    </row>
    <row r="3211" spans="1:14" s="464" customFormat="1" ht="15.75" hidden="1">
      <c r="A3211" s="530"/>
      <c r="B3211" s="531"/>
      <c r="C3211" s="532" t="s">
        <v>1327</v>
      </c>
      <c r="D3211" s="533"/>
      <c r="E3211" s="534"/>
      <c r="F3211" s="535"/>
      <c r="G3211" s="536"/>
      <c r="H3211" s="634"/>
      <c r="I3211" s="634"/>
      <c r="J3211" s="634"/>
      <c r="K3211" s="634"/>
      <c r="L3211" s="634"/>
      <c r="M3211" s="634"/>
      <c r="N3211" s="463"/>
    </row>
    <row r="3212" spans="1:14" s="464" customFormat="1" hidden="1">
      <c r="A3212" s="421">
        <v>1</v>
      </c>
      <c r="B3212" s="537" t="s">
        <v>1226</v>
      </c>
      <c r="C3212" s="420" t="s">
        <v>1158</v>
      </c>
      <c r="D3212" s="538" t="s">
        <v>122</v>
      </c>
      <c r="E3212" s="421"/>
      <c r="F3212" s="475">
        <f>'დეფექტური აქტი'!E791</f>
        <v>0</v>
      </c>
      <c r="G3212" s="539"/>
      <c r="H3212" s="635"/>
      <c r="I3212" s="425"/>
      <c r="J3212" s="425"/>
      <c r="K3212" s="425"/>
      <c r="L3212" s="425"/>
      <c r="M3212" s="425"/>
      <c r="N3212" s="463"/>
    </row>
    <row r="3213" spans="1:14" s="464" customFormat="1" ht="15" hidden="1">
      <c r="A3213" s="330"/>
      <c r="B3213" s="540"/>
      <c r="C3213" s="335" t="s">
        <v>209</v>
      </c>
      <c r="D3213" s="486" t="s">
        <v>80</v>
      </c>
      <c r="E3213" s="541">
        <v>1.82</v>
      </c>
      <c r="F3213" s="379">
        <f>F3212*E3213</f>
        <v>0</v>
      </c>
      <c r="G3213" s="542"/>
      <c r="H3213" s="636"/>
      <c r="I3213" s="389">
        <v>4.5999999999999996</v>
      </c>
      <c r="J3213" s="389">
        <f>F3213*I3213</f>
        <v>0</v>
      </c>
      <c r="K3213" s="389"/>
      <c r="L3213" s="389"/>
      <c r="M3213" s="389">
        <f>H3213+J3213+L3213</f>
        <v>0</v>
      </c>
      <c r="N3213"/>
    </row>
    <row r="3214" spans="1:14" s="464" customFormat="1" ht="15" hidden="1">
      <c r="A3214" s="330"/>
      <c r="B3214" s="543"/>
      <c r="C3214" s="335" t="s">
        <v>181</v>
      </c>
      <c r="D3214" s="486" t="s">
        <v>57</v>
      </c>
      <c r="E3214" s="544">
        <v>0.04</v>
      </c>
      <c r="F3214" s="379">
        <f>F3212*E3214</f>
        <v>0</v>
      </c>
      <c r="G3214" s="542"/>
      <c r="H3214" s="389"/>
      <c r="I3214" s="389"/>
      <c r="J3214" s="389"/>
      <c r="K3214" s="389">
        <v>3.2</v>
      </c>
      <c r="L3214" s="389">
        <f>F3214*K3214</f>
        <v>0</v>
      </c>
      <c r="M3214" s="389">
        <f>H3214+J3214+L3214</f>
        <v>0</v>
      </c>
      <c r="N3214"/>
    </row>
    <row r="3215" spans="1:14" s="464" customFormat="1" ht="15" hidden="1">
      <c r="A3215" s="330"/>
      <c r="B3215" s="543"/>
      <c r="C3215" s="335" t="s">
        <v>210</v>
      </c>
      <c r="D3215" s="486"/>
      <c r="E3215" s="544"/>
      <c r="F3215" s="379"/>
      <c r="G3215" s="542"/>
      <c r="H3215" s="389"/>
      <c r="I3215" s="389"/>
      <c r="J3215" s="389"/>
      <c r="K3215" s="389"/>
      <c r="L3215" s="389"/>
      <c r="M3215" s="389"/>
      <c r="N3215"/>
    </row>
    <row r="3216" spans="1:14" s="464" customFormat="1" ht="15" hidden="1">
      <c r="A3216" s="330"/>
      <c r="B3216" s="543"/>
      <c r="C3216" s="335" t="s">
        <v>1227</v>
      </c>
      <c r="D3216" s="486" t="s">
        <v>122</v>
      </c>
      <c r="E3216" s="545">
        <v>0.89900000000000002</v>
      </c>
      <c r="F3216" s="379">
        <f>F3212*E3216</f>
        <v>0</v>
      </c>
      <c r="G3216" s="389">
        <v>0.7</v>
      </c>
      <c r="H3216" s="389">
        <f>F3216*G3216</f>
        <v>0</v>
      </c>
      <c r="I3216" s="389"/>
      <c r="J3216" s="389"/>
      <c r="K3216" s="389"/>
      <c r="L3216" s="389"/>
      <c r="M3216" s="389">
        <f>H3216+J3216+L3216</f>
        <v>0</v>
      </c>
      <c r="N3216"/>
    </row>
    <row r="3217" spans="1:14" s="464" customFormat="1" ht="15" hidden="1">
      <c r="A3217" s="330"/>
      <c r="B3217" s="543"/>
      <c r="C3217" s="335" t="s">
        <v>214</v>
      </c>
      <c r="D3217" s="486" t="s">
        <v>57</v>
      </c>
      <c r="E3217" s="544">
        <v>0.06</v>
      </c>
      <c r="F3217" s="379">
        <f>F3212*E3217</f>
        <v>0</v>
      </c>
      <c r="G3217" s="389">
        <v>3.2</v>
      </c>
      <c r="H3217" s="389">
        <f>F3217*G3217</f>
        <v>0</v>
      </c>
      <c r="I3217" s="389"/>
      <c r="J3217" s="389"/>
      <c r="K3217" s="389"/>
      <c r="L3217" s="389"/>
      <c r="M3217" s="389">
        <f>H3217+J3217+L3217</f>
        <v>0</v>
      </c>
      <c r="N3217"/>
    </row>
    <row r="3218" spans="1:14" s="464" customFormat="1" ht="15" hidden="1">
      <c r="A3218" s="421">
        <v>2</v>
      </c>
      <c r="B3218" s="537" t="s">
        <v>241</v>
      </c>
      <c r="C3218" s="420" t="s">
        <v>1159</v>
      </c>
      <c r="D3218" s="538" t="s">
        <v>122</v>
      </c>
      <c r="E3218" s="546"/>
      <c r="F3218" s="475">
        <f>'დეფექტური აქტი'!E792</f>
        <v>0</v>
      </c>
      <c r="G3218" s="539"/>
      <c r="H3218" s="635"/>
      <c r="I3218" s="425"/>
      <c r="J3218" s="425"/>
      <c r="K3218" s="425"/>
      <c r="L3218" s="425"/>
      <c r="M3218" s="425"/>
      <c r="N3218"/>
    </row>
    <row r="3219" spans="1:14" s="464" customFormat="1" ht="15" hidden="1">
      <c r="A3219" s="330"/>
      <c r="B3219" s="540"/>
      <c r="C3219" s="335" t="s">
        <v>209</v>
      </c>
      <c r="D3219" s="486" t="s">
        <v>80</v>
      </c>
      <c r="E3219" s="547">
        <v>1.43</v>
      </c>
      <c r="F3219" s="379">
        <f>F3218*E3219</f>
        <v>0</v>
      </c>
      <c r="G3219" s="542"/>
      <c r="H3219" s="636"/>
      <c r="I3219" s="389">
        <v>4.5999999999999996</v>
      </c>
      <c r="J3219" s="389">
        <f>F3219*I3219</f>
        <v>0</v>
      </c>
      <c r="K3219" s="389"/>
      <c r="L3219" s="389"/>
      <c r="M3219" s="389">
        <f>H3219+J3219+L3219</f>
        <v>0</v>
      </c>
      <c r="N3219"/>
    </row>
    <row r="3220" spans="1:14" s="464" customFormat="1" hidden="1">
      <c r="A3220" s="330"/>
      <c r="B3220" s="543"/>
      <c r="C3220" s="335" t="s">
        <v>181</v>
      </c>
      <c r="D3220" s="486" t="s">
        <v>57</v>
      </c>
      <c r="E3220" s="544">
        <v>2.5999999999999999E-2</v>
      </c>
      <c r="F3220" s="379">
        <f>F3218*E3220</f>
        <v>0</v>
      </c>
      <c r="G3220" s="542"/>
      <c r="H3220" s="389"/>
      <c r="I3220" s="389"/>
      <c r="J3220" s="389"/>
      <c r="K3220" s="389">
        <v>3.2</v>
      </c>
      <c r="L3220" s="389">
        <f>F3220*K3220</f>
        <v>0</v>
      </c>
      <c r="M3220" s="389">
        <f>H3220+J3220+L3220</f>
        <v>0</v>
      </c>
    </row>
    <row r="3221" spans="1:14" s="464" customFormat="1" hidden="1">
      <c r="A3221" s="330"/>
      <c r="B3221" s="543"/>
      <c r="C3221" s="335" t="s">
        <v>210</v>
      </c>
      <c r="D3221" s="486"/>
      <c r="E3221" s="544"/>
      <c r="F3221" s="379"/>
      <c r="G3221" s="542"/>
      <c r="H3221" s="389"/>
      <c r="I3221" s="389"/>
      <c r="J3221" s="389"/>
      <c r="K3221" s="389"/>
      <c r="L3221" s="389"/>
      <c r="M3221" s="389"/>
    </row>
    <row r="3222" spans="1:14" s="464" customFormat="1" hidden="1">
      <c r="A3222" s="330"/>
      <c r="B3222" s="543"/>
      <c r="C3222" s="335" t="s">
        <v>330</v>
      </c>
      <c r="D3222" s="486" t="s">
        <v>122</v>
      </c>
      <c r="E3222" s="545">
        <v>0.92900000000000005</v>
      </c>
      <c r="F3222" s="379">
        <f>F3218*E3222</f>
        <v>0</v>
      </c>
      <c r="G3222" s="389">
        <v>0.9</v>
      </c>
      <c r="H3222" s="389">
        <f>F3222*G3222</f>
        <v>0</v>
      </c>
      <c r="I3222" s="389"/>
      <c r="J3222" s="389"/>
      <c r="K3222" s="389"/>
      <c r="L3222" s="389"/>
      <c r="M3222" s="389">
        <f>H3222+J3222+L3222</f>
        <v>0</v>
      </c>
    </row>
    <row r="3223" spans="1:14" s="464" customFormat="1" hidden="1">
      <c r="A3223" s="330"/>
      <c r="B3223" s="543"/>
      <c r="C3223" s="335" t="s">
        <v>214</v>
      </c>
      <c r="D3223" s="486" t="s">
        <v>57</v>
      </c>
      <c r="E3223" s="544">
        <v>0.06</v>
      </c>
      <c r="F3223" s="379">
        <f>F3218*E3223</f>
        <v>0</v>
      </c>
      <c r="G3223" s="389">
        <v>3.2</v>
      </c>
      <c r="H3223" s="389">
        <f>F3223*G3223</f>
        <v>0</v>
      </c>
      <c r="I3223" s="389"/>
      <c r="J3223" s="389"/>
      <c r="K3223" s="389"/>
      <c r="L3223" s="389"/>
      <c r="M3223" s="389">
        <f>H3223+J3223+L3223</f>
        <v>0</v>
      </c>
    </row>
    <row r="3224" spans="1:14" s="464" customFormat="1" hidden="1">
      <c r="A3224" s="421">
        <v>3</v>
      </c>
      <c r="B3224" s="537" t="s">
        <v>240</v>
      </c>
      <c r="C3224" s="420" t="s">
        <v>1160</v>
      </c>
      <c r="D3224" s="538" t="s">
        <v>122</v>
      </c>
      <c r="E3224" s="546"/>
      <c r="F3224" s="475">
        <f>'დეფექტური აქტი'!E793</f>
        <v>0</v>
      </c>
      <c r="G3224" s="539"/>
      <c r="H3224" s="635"/>
      <c r="I3224" s="425"/>
      <c r="J3224" s="425"/>
      <c r="K3224" s="425"/>
      <c r="L3224" s="425"/>
      <c r="M3224" s="425"/>
    </row>
    <row r="3225" spans="1:14" s="464" customFormat="1" hidden="1">
      <c r="A3225" s="330"/>
      <c r="B3225" s="540"/>
      <c r="C3225" s="335" t="s">
        <v>209</v>
      </c>
      <c r="D3225" s="486" t="s">
        <v>80</v>
      </c>
      <c r="E3225" s="541">
        <v>1.17</v>
      </c>
      <c r="F3225" s="379">
        <f>F3224*E3225</f>
        <v>0</v>
      </c>
      <c r="G3225" s="542"/>
      <c r="H3225" s="636"/>
      <c r="I3225" s="389">
        <v>4.5999999999999996</v>
      </c>
      <c r="J3225" s="389">
        <f>F3225*I3225</f>
        <v>0</v>
      </c>
      <c r="K3225" s="389"/>
      <c r="L3225" s="389"/>
      <c r="M3225" s="389">
        <f>H3225+J3225+L3225</f>
        <v>0</v>
      </c>
    </row>
    <row r="3226" spans="1:14" s="464" customFormat="1" hidden="1">
      <c r="A3226" s="330"/>
      <c r="B3226" s="543"/>
      <c r="C3226" s="335" t="s">
        <v>181</v>
      </c>
      <c r="D3226" s="486" t="s">
        <v>57</v>
      </c>
      <c r="E3226" s="544">
        <v>1.9E-2</v>
      </c>
      <c r="F3226" s="379">
        <f>F3224*E3226</f>
        <v>0</v>
      </c>
      <c r="G3226" s="542"/>
      <c r="H3226" s="389"/>
      <c r="I3226" s="389"/>
      <c r="J3226" s="389"/>
      <c r="K3226" s="542">
        <v>3.2</v>
      </c>
      <c r="L3226" s="389">
        <f>F3226*K3226</f>
        <v>0</v>
      </c>
      <c r="M3226" s="389">
        <f>H3226+J3226+L3226</f>
        <v>0</v>
      </c>
    </row>
    <row r="3227" spans="1:14" s="464" customFormat="1" hidden="1">
      <c r="A3227" s="330"/>
      <c r="B3227" s="543"/>
      <c r="C3227" s="335" t="s">
        <v>210</v>
      </c>
      <c r="D3227" s="486"/>
      <c r="E3227" s="544"/>
      <c r="F3227" s="379"/>
      <c r="G3227" s="542"/>
      <c r="H3227" s="389"/>
      <c r="I3227" s="389"/>
      <c r="J3227" s="389"/>
      <c r="K3227" s="389"/>
      <c r="L3227" s="389"/>
      <c r="M3227" s="389"/>
    </row>
    <row r="3228" spans="1:14" s="464" customFormat="1" hidden="1">
      <c r="A3228" s="330"/>
      <c r="B3228" s="543"/>
      <c r="C3228" s="335" t="s">
        <v>655</v>
      </c>
      <c r="D3228" s="486" t="s">
        <v>122</v>
      </c>
      <c r="E3228" s="544">
        <v>0.93799999999999994</v>
      </c>
      <c r="F3228" s="379">
        <f>F3224*E3228</f>
        <v>0</v>
      </c>
      <c r="G3228" s="389">
        <v>1.7</v>
      </c>
      <c r="H3228" s="389">
        <f>F3228*G3228</f>
        <v>0</v>
      </c>
      <c r="I3228" s="389"/>
      <c r="J3228" s="389"/>
      <c r="K3228" s="389"/>
      <c r="L3228" s="389"/>
      <c r="M3228" s="389">
        <f>H3228+J3228+L3228</f>
        <v>0</v>
      </c>
    </row>
    <row r="3229" spans="1:14" s="464" customFormat="1" hidden="1">
      <c r="A3229" s="330"/>
      <c r="B3229" s="543"/>
      <c r="C3229" s="335" t="s">
        <v>214</v>
      </c>
      <c r="D3229" s="486" t="s">
        <v>57</v>
      </c>
      <c r="E3229" s="544">
        <v>0.06</v>
      </c>
      <c r="F3229" s="379">
        <f>F3224*E3229</f>
        <v>0</v>
      </c>
      <c r="G3229" s="542">
        <v>3.2</v>
      </c>
      <c r="H3229" s="389">
        <f>F3229*G3229</f>
        <v>0</v>
      </c>
      <c r="I3229" s="389"/>
      <c r="J3229" s="389"/>
      <c r="K3229" s="389"/>
      <c r="L3229" s="389"/>
      <c r="M3229" s="389">
        <f>H3229+J3229+L3229</f>
        <v>0</v>
      </c>
    </row>
    <row r="3230" spans="1:14" s="464" customFormat="1" hidden="1">
      <c r="A3230" s="421">
        <v>4</v>
      </c>
      <c r="B3230" s="537" t="s">
        <v>331</v>
      </c>
      <c r="C3230" s="420" t="s">
        <v>1161</v>
      </c>
      <c r="D3230" s="538" t="s">
        <v>816</v>
      </c>
      <c r="E3230" s="546"/>
      <c r="F3230" s="548">
        <f>F3234+F3235</f>
        <v>0</v>
      </c>
      <c r="G3230" s="539"/>
      <c r="H3230" s="635"/>
      <c r="I3230" s="425"/>
      <c r="J3230" s="425"/>
      <c r="K3230" s="425"/>
      <c r="L3230" s="425"/>
      <c r="M3230" s="425"/>
    </row>
    <row r="3231" spans="1:14" s="464" customFormat="1" hidden="1">
      <c r="A3231" s="330"/>
      <c r="B3231" s="540"/>
      <c r="C3231" s="335" t="s">
        <v>209</v>
      </c>
      <c r="D3231" s="486" t="s">
        <v>80</v>
      </c>
      <c r="E3231" s="541">
        <v>1.51</v>
      </c>
      <c r="F3231" s="379">
        <f>F3230*E3231</f>
        <v>0</v>
      </c>
      <c r="G3231" s="542"/>
      <c r="H3231" s="636"/>
      <c r="I3231" s="389">
        <v>4.5999999999999996</v>
      </c>
      <c r="J3231" s="389">
        <f>F3231*I3231</f>
        <v>0</v>
      </c>
      <c r="K3231" s="389"/>
      <c r="L3231" s="389"/>
      <c r="M3231" s="389">
        <f>H3231+J3231+L3231</f>
        <v>0</v>
      </c>
    </row>
    <row r="3232" spans="1:14" s="464" customFormat="1" hidden="1">
      <c r="A3232" s="330"/>
      <c r="B3232" s="543"/>
      <c r="C3232" s="335" t="s">
        <v>181</v>
      </c>
      <c r="D3232" s="486" t="s">
        <v>57</v>
      </c>
      <c r="E3232" s="544">
        <v>0.13</v>
      </c>
      <c r="F3232" s="379">
        <f>F3230*E3232</f>
        <v>0</v>
      </c>
      <c r="G3232" s="542"/>
      <c r="H3232" s="389"/>
      <c r="I3232" s="389"/>
      <c r="J3232" s="389"/>
      <c r="K3232" s="389">
        <v>3.2</v>
      </c>
      <c r="L3232" s="389">
        <f>F3232*K3232</f>
        <v>0</v>
      </c>
      <c r="M3232" s="389">
        <f>H3232+J3232+L3232</f>
        <v>0</v>
      </c>
    </row>
    <row r="3233" spans="1:13" s="464" customFormat="1" hidden="1">
      <c r="A3233" s="330"/>
      <c r="B3233" s="543"/>
      <c r="C3233" s="335" t="s">
        <v>210</v>
      </c>
      <c r="D3233" s="486"/>
      <c r="E3233" s="544"/>
      <c r="F3233" s="379"/>
      <c r="G3233" s="542"/>
      <c r="H3233" s="389"/>
      <c r="I3233" s="389"/>
      <c r="J3233" s="389"/>
      <c r="K3233" s="389"/>
      <c r="L3233" s="389"/>
      <c r="M3233" s="389"/>
    </row>
    <row r="3234" spans="1:13" s="464" customFormat="1" hidden="1">
      <c r="A3234" s="330"/>
      <c r="B3234" s="543"/>
      <c r="C3234" s="335" t="s">
        <v>1162</v>
      </c>
      <c r="D3234" s="486" t="s">
        <v>816</v>
      </c>
      <c r="E3234" s="544"/>
      <c r="F3234" s="379">
        <f>'დეფექტური აქტი'!E795</f>
        <v>0</v>
      </c>
      <c r="G3234" s="389">
        <v>5.9</v>
      </c>
      <c r="H3234" s="389">
        <f t="shared" ref="H3234:H3240" si="74">F3234*G3234</f>
        <v>0</v>
      </c>
      <c r="I3234" s="389"/>
      <c r="J3234" s="389"/>
      <c r="K3234" s="389"/>
      <c r="L3234" s="389"/>
      <c r="M3234" s="389">
        <f t="shared" ref="M3234:M3240" si="75">H3234+J3234+L3234</f>
        <v>0</v>
      </c>
    </row>
    <row r="3235" spans="1:13" s="464" customFormat="1" hidden="1">
      <c r="A3235" s="330"/>
      <c r="B3235" s="543"/>
      <c r="C3235" s="335" t="s">
        <v>1163</v>
      </c>
      <c r="D3235" s="486" t="s">
        <v>816</v>
      </c>
      <c r="E3235" s="544"/>
      <c r="F3235" s="379">
        <f>'დეფექტური აქტი'!E796</f>
        <v>0</v>
      </c>
      <c r="G3235" s="389">
        <v>7.6</v>
      </c>
      <c r="H3235" s="389">
        <f t="shared" si="74"/>
        <v>0</v>
      </c>
      <c r="I3235" s="389"/>
      <c r="J3235" s="389"/>
      <c r="K3235" s="389"/>
      <c r="L3235" s="389"/>
      <c r="M3235" s="389">
        <f t="shared" si="75"/>
        <v>0</v>
      </c>
    </row>
    <row r="3236" spans="1:13" s="464" customFormat="1" hidden="1">
      <c r="A3236" s="330"/>
      <c r="B3236" s="543"/>
      <c r="C3236" s="335" t="s">
        <v>214</v>
      </c>
      <c r="D3236" s="486" t="s">
        <v>57</v>
      </c>
      <c r="E3236" s="544">
        <v>7.0000000000000007E-2</v>
      </c>
      <c r="F3236" s="379">
        <f>F3230*E3236</f>
        <v>0</v>
      </c>
      <c r="G3236" s="389">
        <v>3.2</v>
      </c>
      <c r="H3236" s="389">
        <f t="shared" si="74"/>
        <v>0</v>
      </c>
      <c r="I3236" s="389"/>
      <c r="J3236" s="389"/>
      <c r="K3236" s="389"/>
      <c r="L3236" s="389"/>
      <c r="M3236" s="389">
        <f t="shared" si="75"/>
        <v>0</v>
      </c>
    </row>
    <row r="3237" spans="1:13" s="464" customFormat="1" hidden="1">
      <c r="A3237" s="421">
        <v>5</v>
      </c>
      <c r="B3237" s="497"/>
      <c r="C3237" s="549" t="s">
        <v>1586</v>
      </c>
      <c r="D3237" s="538" t="s">
        <v>113</v>
      </c>
      <c r="E3237" s="451"/>
      <c r="F3237" s="548">
        <f>'დეფექტური აქტი'!E797</f>
        <v>0</v>
      </c>
      <c r="G3237" s="539">
        <v>0.25</v>
      </c>
      <c r="H3237" s="425">
        <f t="shared" si="74"/>
        <v>0</v>
      </c>
      <c r="I3237" s="425"/>
      <c r="J3237" s="425"/>
      <c r="K3237" s="425"/>
      <c r="L3237" s="425"/>
      <c r="M3237" s="425">
        <f t="shared" si="75"/>
        <v>0</v>
      </c>
    </row>
    <row r="3238" spans="1:13" s="464" customFormat="1" hidden="1">
      <c r="A3238" s="421">
        <v>5</v>
      </c>
      <c r="B3238" s="497"/>
      <c r="C3238" s="549" t="s">
        <v>1733</v>
      </c>
      <c r="D3238" s="538" t="s">
        <v>113</v>
      </c>
      <c r="E3238" s="451"/>
      <c r="F3238" s="548">
        <f>'დეფექტური აქტი'!E798</f>
        <v>0</v>
      </c>
      <c r="G3238" s="1083">
        <v>0.3</v>
      </c>
      <c r="H3238" s="425">
        <f>F3238*G3238</f>
        <v>0</v>
      </c>
      <c r="I3238" s="425"/>
      <c r="J3238" s="425"/>
      <c r="K3238" s="425"/>
      <c r="L3238" s="425"/>
      <c r="M3238" s="425">
        <f>H3238+J3238+L3238</f>
        <v>0</v>
      </c>
    </row>
    <row r="3239" spans="1:13" s="464" customFormat="1" hidden="1">
      <c r="A3239" s="330">
        <v>6</v>
      </c>
      <c r="B3239" s="543"/>
      <c r="C3239" s="335" t="s">
        <v>1587</v>
      </c>
      <c r="D3239" s="486" t="s">
        <v>113</v>
      </c>
      <c r="E3239" s="544"/>
      <c r="F3239" s="379">
        <f>'დეფექტური აქტი'!E799</f>
        <v>0</v>
      </c>
      <c r="G3239" s="542">
        <v>0.34</v>
      </c>
      <c r="H3239" s="389">
        <f t="shared" si="74"/>
        <v>0</v>
      </c>
      <c r="I3239" s="389"/>
      <c r="J3239" s="389"/>
      <c r="K3239" s="389"/>
      <c r="L3239" s="389"/>
      <c r="M3239" s="389">
        <f t="shared" si="75"/>
        <v>0</v>
      </c>
    </row>
    <row r="3240" spans="1:13" s="464" customFormat="1" hidden="1">
      <c r="A3240" s="419">
        <v>7</v>
      </c>
      <c r="B3240" s="550"/>
      <c r="C3240" s="551" t="s">
        <v>1166</v>
      </c>
      <c r="D3240" s="552" t="s">
        <v>816</v>
      </c>
      <c r="E3240" s="553"/>
      <c r="F3240" s="372">
        <f>'დეფექტური აქტი'!E800</f>
        <v>0</v>
      </c>
      <c r="G3240" s="554">
        <v>0.4</v>
      </c>
      <c r="H3240" s="392">
        <f t="shared" si="74"/>
        <v>0</v>
      </c>
      <c r="I3240" s="392"/>
      <c r="J3240" s="392"/>
      <c r="K3240" s="392"/>
      <c r="L3240" s="392"/>
      <c r="M3240" s="392">
        <f t="shared" si="75"/>
        <v>0</v>
      </c>
    </row>
    <row r="3241" spans="1:13" s="464" customFormat="1" hidden="1">
      <c r="A3241" s="330">
        <v>6</v>
      </c>
      <c r="B3241" s="537" t="s">
        <v>232</v>
      </c>
      <c r="C3241" s="260" t="s">
        <v>1757</v>
      </c>
      <c r="D3241" s="538" t="s">
        <v>816</v>
      </c>
      <c r="E3241" s="473"/>
      <c r="F3241" s="475">
        <f>'დეფექტური აქტი'!E801</f>
        <v>0</v>
      </c>
      <c r="G3241" s="539"/>
      <c r="H3241" s="425"/>
      <c r="I3241" s="425"/>
      <c r="J3241" s="425"/>
      <c r="K3241" s="425"/>
      <c r="L3241" s="425"/>
      <c r="M3241" s="425"/>
    </row>
    <row r="3242" spans="1:13" s="464" customFormat="1" hidden="1">
      <c r="A3242" s="330"/>
      <c r="B3242" s="540"/>
      <c r="C3242" s="335" t="s">
        <v>209</v>
      </c>
      <c r="D3242" s="486" t="s">
        <v>80</v>
      </c>
      <c r="E3242" s="541">
        <v>0.82</v>
      </c>
      <c r="F3242" s="350">
        <f>F3241*E3242</f>
        <v>0</v>
      </c>
      <c r="G3242" s="542"/>
      <c r="H3242" s="636"/>
      <c r="I3242" s="389">
        <v>6</v>
      </c>
      <c r="J3242" s="389">
        <f>F3242*I3242</f>
        <v>0</v>
      </c>
      <c r="K3242" s="389"/>
      <c r="L3242" s="389"/>
      <c r="M3242" s="389">
        <f>H3242+J3242+L3242</f>
        <v>0</v>
      </c>
    </row>
    <row r="3243" spans="1:13" s="464" customFormat="1" hidden="1">
      <c r="A3243" s="330"/>
      <c r="B3243" s="543"/>
      <c r="C3243" s="335" t="s">
        <v>133</v>
      </c>
      <c r="D3243" s="486" t="s">
        <v>57</v>
      </c>
      <c r="E3243" s="544">
        <v>0.01</v>
      </c>
      <c r="F3243" s="350">
        <f>F3241*E3243</f>
        <v>0</v>
      </c>
      <c r="G3243" s="542"/>
      <c r="H3243" s="389"/>
      <c r="I3243" s="389"/>
      <c r="J3243" s="389"/>
      <c r="K3243" s="389">
        <v>3.2</v>
      </c>
      <c r="L3243" s="389">
        <f>F3243*K3243</f>
        <v>0</v>
      </c>
      <c r="M3243" s="389">
        <f>H3243+J3243+L3243</f>
        <v>0</v>
      </c>
    </row>
    <row r="3244" spans="1:13" s="464" customFormat="1" hidden="1">
      <c r="A3244" s="330"/>
      <c r="B3244" s="543"/>
      <c r="C3244" s="335" t="s">
        <v>210</v>
      </c>
      <c r="D3244" s="486"/>
      <c r="E3244" s="544"/>
      <c r="F3244" s="350"/>
      <c r="G3244" s="542"/>
      <c r="H3244" s="389"/>
      <c r="I3244" s="389"/>
      <c r="J3244" s="389"/>
      <c r="K3244" s="389"/>
      <c r="L3244" s="389"/>
      <c r="M3244" s="389"/>
    </row>
    <row r="3245" spans="1:13" s="464" customFormat="1" hidden="1">
      <c r="A3245" s="330"/>
      <c r="B3245" s="543"/>
      <c r="C3245" s="335" t="s">
        <v>1758</v>
      </c>
      <c r="D3245" s="486" t="s">
        <v>816</v>
      </c>
      <c r="E3245" s="544">
        <v>1</v>
      </c>
      <c r="F3245" s="379">
        <f>F3241*E3245</f>
        <v>0</v>
      </c>
      <c r="G3245" s="389">
        <v>8.6</v>
      </c>
      <c r="H3245" s="389">
        <f>F3245*G3245</f>
        <v>0</v>
      </c>
      <c r="I3245" s="389"/>
      <c r="J3245" s="389"/>
      <c r="K3245" s="389"/>
      <c r="L3245" s="389"/>
      <c r="M3245" s="389">
        <f>H3245+J3245+L3245</f>
        <v>0</v>
      </c>
    </row>
    <row r="3246" spans="1:13" s="464" customFormat="1" hidden="1">
      <c r="A3246" s="330"/>
      <c r="B3246" s="556"/>
      <c r="C3246" s="551" t="s">
        <v>214</v>
      </c>
      <c r="D3246" s="552" t="s">
        <v>57</v>
      </c>
      <c r="E3246" s="557">
        <v>7.0000000000000007E-2</v>
      </c>
      <c r="F3246" s="372">
        <f>F3241*E3246</f>
        <v>0</v>
      </c>
      <c r="G3246" s="392">
        <v>3.2</v>
      </c>
      <c r="H3246" s="392">
        <f>F3246*G3246</f>
        <v>0</v>
      </c>
      <c r="I3246" s="392"/>
      <c r="J3246" s="392"/>
      <c r="K3246" s="392"/>
      <c r="L3246" s="392"/>
      <c r="M3246" s="392">
        <f>H3246+J3246+L3246</f>
        <v>0</v>
      </c>
    </row>
    <row r="3247" spans="1:13" s="464" customFormat="1" hidden="1">
      <c r="A3247" s="330">
        <v>7</v>
      </c>
      <c r="B3247" s="537" t="s">
        <v>232</v>
      </c>
      <c r="C3247" s="260" t="s">
        <v>1759</v>
      </c>
      <c r="D3247" s="538" t="s">
        <v>816</v>
      </c>
      <c r="E3247" s="473"/>
      <c r="F3247" s="475">
        <f>'დეფექტური აქტი'!E802</f>
        <v>0</v>
      </c>
      <c r="G3247" s="539"/>
      <c r="H3247" s="425"/>
      <c r="I3247" s="425"/>
      <c r="J3247" s="425"/>
      <c r="K3247" s="425"/>
      <c r="L3247" s="425"/>
      <c r="M3247" s="425"/>
    </row>
    <row r="3248" spans="1:13" s="464" customFormat="1" hidden="1">
      <c r="A3248" s="330"/>
      <c r="B3248" s="540"/>
      <c r="C3248" s="335" t="s">
        <v>209</v>
      </c>
      <c r="D3248" s="486" t="s">
        <v>80</v>
      </c>
      <c r="E3248" s="541">
        <v>0.82</v>
      </c>
      <c r="F3248" s="350">
        <f>F3247*E3248</f>
        <v>0</v>
      </c>
      <c r="G3248" s="542"/>
      <c r="H3248" s="636"/>
      <c r="I3248" s="389">
        <v>6</v>
      </c>
      <c r="J3248" s="389">
        <f>F3248*I3248</f>
        <v>0</v>
      </c>
      <c r="K3248" s="389"/>
      <c r="L3248" s="389"/>
      <c r="M3248" s="389">
        <f>H3248+J3248+L3248</f>
        <v>0</v>
      </c>
    </row>
    <row r="3249" spans="1:13" s="464" customFormat="1" hidden="1">
      <c r="A3249" s="330"/>
      <c r="B3249" s="543"/>
      <c r="C3249" s="335" t="s">
        <v>133</v>
      </c>
      <c r="D3249" s="486" t="s">
        <v>57</v>
      </c>
      <c r="E3249" s="544">
        <v>0.01</v>
      </c>
      <c r="F3249" s="350">
        <f>F3247*E3249</f>
        <v>0</v>
      </c>
      <c r="G3249" s="542"/>
      <c r="H3249" s="389"/>
      <c r="I3249" s="389"/>
      <c r="J3249" s="389"/>
      <c r="K3249" s="389">
        <v>3.2</v>
      </c>
      <c r="L3249" s="389">
        <f>F3249*K3249</f>
        <v>0</v>
      </c>
      <c r="M3249" s="389">
        <f>H3249+J3249+L3249</f>
        <v>0</v>
      </c>
    </row>
    <row r="3250" spans="1:13" s="464" customFormat="1" hidden="1">
      <c r="A3250" s="330"/>
      <c r="B3250" s="543"/>
      <c r="C3250" s="335" t="s">
        <v>210</v>
      </c>
      <c r="D3250" s="486"/>
      <c r="E3250" s="544"/>
      <c r="F3250" s="350"/>
      <c r="G3250" s="542"/>
      <c r="H3250" s="389"/>
      <c r="I3250" s="389"/>
      <c r="J3250" s="389"/>
      <c r="K3250" s="389"/>
      <c r="L3250" s="389"/>
      <c r="M3250" s="389"/>
    </row>
    <row r="3251" spans="1:13" s="464" customFormat="1" hidden="1">
      <c r="A3251" s="330"/>
      <c r="B3251" s="543"/>
      <c r="C3251" s="260" t="s">
        <v>1759</v>
      </c>
      <c r="D3251" s="486" t="s">
        <v>816</v>
      </c>
      <c r="E3251" s="544">
        <v>1</v>
      </c>
      <c r="F3251" s="379">
        <f>F3247*E3251</f>
        <v>0</v>
      </c>
      <c r="G3251" s="389">
        <v>8.6</v>
      </c>
      <c r="H3251" s="389">
        <f>F3251*G3251</f>
        <v>0</v>
      </c>
      <c r="I3251" s="389"/>
      <c r="J3251" s="389"/>
      <c r="K3251" s="389"/>
      <c r="L3251" s="389"/>
      <c r="M3251" s="389">
        <f>H3251+J3251+L3251</f>
        <v>0</v>
      </c>
    </row>
    <row r="3252" spans="1:13" s="464" customFormat="1" hidden="1">
      <c r="A3252" s="330"/>
      <c r="B3252" s="556"/>
      <c r="C3252" s="551" t="s">
        <v>214</v>
      </c>
      <c r="D3252" s="552" t="s">
        <v>57</v>
      </c>
      <c r="E3252" s="557">
        <v>7.0000000000000007E-2</v>
      </c>
      <c r="F3252" s="372">
        <f>F3247*E3252</f>
        <v>0</v>
      </c>
      <c r="G3252" s="392">
        <v>3.2</v>
      </c>
      <c r="H3252" s="392">
        <f>F3252*G3252</f>
        <v>0</v>
      </c>
      <c r="I3252" s="392"/>
      <c r="J3252" s="392"/>
      <c r="K3252" s="392"/>
      <c r="L3252" s="392"/>
      <c r="M3252" s="392">
        <f>H3252+J3252+L3252</f>
        <v>0</v>
      </c>
    </row>
    <row r="3253" spans="1:13" s="464" customFormat="1" ht="24.75" hidden="1" customHeight="1">
      <c r="A3253" s="330">
        <v>8</v>
      </c>
      <c r="B3253" s="540" t="s">
        <v>232</v>
      </c>
      <c r="C3253" s="335" t="s">
        <v>1167</v>
      </c>
      <c r="D3253" s="486" t="s">
        <v>816</v>
      </c>
      <c r="E3253" s="336"/>
      <c r="F3253" s="555">
        <f>'დეფექტური აქტი'!E803</f>
        <v>0</v>
      </c>
      <c r="G3253" s="542"/>
      <c r="H3253" s="389"/>
      <c r="I3253" s="389"/>
      <c r="J3253" s="389"/>
      <c r="K3253" s="389"/>
      <c r="L3253" s="389"/>
      <c r="M3253" s="389"/>
    </row>
    <row r="3254" spans="1:13" s="464" customFormat="1" hidden="1">
      <c r="A3254" s="330"/>
      <c r="B3254" s="540"/>
      <c r="C3254" s="335" t="s">
        <v>209</v>
      </c>
      <c r="D3254" s="486" t="s">
        <v>80</v>
      </c>
      <c r="E3254" s="541">
        <v>0.82</v>
      </c>
      <c r="F3254" s="350">
        <f>F3253*E3254</f>
        <v>0</v>
      </c>
      <c r="G3254" s="542"/>
      <c r="H3254" s="636"/>
      <c r="I3254" s="389">
        <v>6</v>
      </c>
      <c r="J3254" s="389">
        <f>F3254*I3254</f>
        <v>0</v>
      </c>
      <c r="K3254" s="389"/>
      <c r="L3254" s="389"/>
      <c r="M3254" s="389">
        <f>H3254+J3254+L3254</f>
        <v>0</v>
      </c>
    </row>
    <row r="3255" spans="1:13" s="464" customFormat="1" hidden="1">
      <c r="A3255" s="330"/>
      <c r="B3255" s="543"/>
      <c r="C3255" s="335" t="s">
        <v>133</v>
      </c>
      <c r="D3255" s="486" t="s">
        <v>57</v>
      </c>
      <c r="E3255" s="544">
        <v>0.01</v>
      </c>
      <c r="F3255" s="350">
        <f>F3253*E3255</f>
        <v>0</v>
      </c>
      <c r="G3255" s="542"/>
      <c r="H3255" s="389"/>
      <c r="I3255" s="389"/>
      <c r="J3255" s="389"/>
      <c r="K3255" s="389">
        <v>3.2</v>
      </c>
      <c r="L3255" s="389">
        <f>F3255*K3255</f>
        <v>0</v>
      </c>
      <c r="M3255" s="389">
        <f>H3255+J3255+L3255</f>
        <v>0</v>
      </c>
    </row>
    <row r="3256" spans="1:13" s="464" customFormat="1" hidden="1">
      <c r="A3256" s="330"/>
      <c r="B3256" s="543"/>
      <c r="C3256" s="335" t="s">
        <v>210</v>
      </c>
      <c r="D3256" s="486"/>
      <c r="E3256" s="544"/>
      <c r="F3256" s="350"/>
      <c r="G3256" s="542"/>
      <c r="H3256" s="389"/>
      <c r="I3256" s="389"/>
      <c r="J3256" s="389"/>
      <c r="K3256" s="389"/>
      <c r="L3256" s="389"/>
      <c r="M3256" s="389"/>
    </row>
    <row r="3257" spans="1:13" s="464" customFormat="1" ht="27" hidden="1">
      <c r="A3257" s="330"/>
      <c r="B3257" s="543"/>
      <c r="C3257" s="335" t="s">
        <v>1167</v>
      </c>
      <c r="D3257" s="486" t="s">
        <v>816</v>
      </c>
      <c r="E3257" s="544">
        <v>1</v>
      </c>
      <c r="F3257" s="379">
        <f>F3253*E3257</f>
        <v>0</v>
      </c>
      <c r="G3257" s="511">
        <v>100</v>
      </c>
      <c r="H3257" s="389">
        <f>F3257*G3257</f>
        <v>0</v>
      </c>
      <c r="I3257" s="389"/>
      <c r="J3257" s="389"/>
      <c r="K3257" s="389"/>
      <c r="L3257" s="389"/>
      <c r="M3257" s="389">
        <f>H3257+J3257+L3257</f>
        <v>0</v>
      </c>
    </row>
    <row r="3258" spans="1:13" s="464" customFormat="1" hidden="1">
      <c r="A3258" s="419"/>
      <c r="B3258" s="556"/>
      <c r="C3258" s="551" t="s">
        <v>214</v>
      </c>
      <c r="D3258" s="552" t="s">
        <v>57</v>
      </c>
      <c r="E3258" s="557">
        <v>7.0000000000000007E-2</v>
      </c>
      <c r="F3258" s="372">
        <f>F3253*E3258</f>
        <v>0</v>
      </c>
      <c r="G3258" s="392">
        <v>3.2</v>
      </c>
      <c r="H3258" s="392">
        <f>F3258*G3258</f>
        <v>0</v>
      </c>
      <c r="I3258" s="392"/>
      <c r="J3258" s="392"/>
      <c r="K3258" s="392"/>
      <c r="L3258" s="392"/>
      <c r="M3258" s="392">
        <f>H3258+J3258+L3258</f>
        <v>0</v>
      </c>
    </row>
    <row r="3259" spans="1:13" s="464" customFormat="1" hidden="1">
      <c r="A3259" s="330">
        <v>9</v>
      </c>
      <c r="B3259" s="540" t="s">
        <v>232</v>
      </c>
      <c r="C3259" s="335" t="s">
        <v>1168</v>
      </c>
      <c r="D3259" s="486" t="s">
        <v>816</v>
      </c>
      <c r="E3259" s="336"/>
      <c r="F3259" s="350">
        <f>'დეფექტური აქტი'!E804</f>
        <v>0</v>
      </c>
      <c r="G3259" s="542"/>
      <c r="H3259" s="389"/>
      <c r="I3259" s="389"/>
      <c r="J3259" s="389"/>
      <c r="K3259" s="389"/>
      <c r="L3259" s="389"/>
      <c r="M3259" s="389"/>
    </row>
    <row r="3260" spans="1:13" s="464" customFormat="1" hidden="1">
      <c r="A3260" s="330"/>
      <c r="B3260" s="540"/>
      <c r="C3260" s="335" t="s">
        <v>209</v>
      </c>
      <c r="D3260" s="486" t="s">
        <v>80</v>
      </c>
      <c r="E3260" s="541">
        <v>0.82</v>
      </c>
      <c r="F3260" s="350">
        <f>F3259*E3260</f>
        <v>0</v>
      </c>
      <c r="G3260" s="542"/>
      <c r="H3260" s="636"/>
      <c r="I3260" s="389">
        <v>6</v>
      </c>
      <c r="J3260" s="389">
        <f>F3260*I3260</f>
        <v>0</v>
      </c>
      <c r="K3260" s="389"/>
      <c r="L3260" s="389"/>
      <c r="M3260" s="389">
        <f>H3260+J3260+L3260</f>
        <v>0</v>
      </c>
    </row>
    <row r="3261" spans="1:13" s="464" customFormat="1" hidden="1">
      <c r="A3261" s="330"/>
      <c r="B3261" s="543"/>
      <c r="C3261" s="335" t="s">
        <v>133</v>
      </c>
      <c r="D3261" s="486" t="s">
        <v>57</v>
      </c>
      <c r="E3261" s="544">
        <v>0.01</v>
      </c>
      <c r="F3261" s="350">
        <f>F3259*E3261</f>
        <v>0</v>
      </c>
      <c r="G3261" s="542"/>
      <c r="H3261" s="389"/>
      <c r="I3261" s="389"/>
      <c r="J3261" s="389"/>
      <c r="K3261" s="389">
        <v>3.2</v>
      </c>
      <c r="L3261" s="389">
        <f>F3261*K3261</f>
        <v>0</v>
      </c>
      <c r="M3261" s="389">
        <f>H3261+J3261+L3261</f>
        <v>0</v>
      </c>
    </row>
    <row r="3262" spans="1:13" s="464" customFormat="1" hidden="1">
      <c r="A3262" s="330"/>
      <c r="B3262" s="543"/>
      <c r="C3262" s="335" t="s">
        <v>210</v>
      </c>
      <c r="D3262" s="486"/>
      <c r="E3262" s="544"/>
      <c r="F3262" s="350"/>
      <c r="G3262" s="542"/>
      <c r="H3262" s="389"/>
      <c r="I3262" s="389"/>
      <c r="J3262" s="389"/>
      <c r="K3262" s="389"/>
      <c r="L3262" s="389"/>
      <c r="M3262" s="389"/>
    </row>
    <row r="3263" spans="1:13" s="464" customFormat="1" hidden="1">
      <c r="A3263" s="330"/>
      <c r="B3263" s="543"/>
      <c r="C3263" s="335" t="s">
        <v>1168</v>
      </c>
      <c r="D3263" s="486" t="s">
        <v>816</v>
      </c>
      <c r="E3263" s="544">
        <v>1</v>
      </c>
      <c r="F3263" s="379">
        <f>F3259*E3263</f>
        <v>0</v>
      </c>
      <c r="G3263" s="389">
        <v>8.6</v>
      </c>
      <c r="H3263" s="389">
        <f>F3263*G3263</f>
        <v>0</v>
      </c>
      <c r="I3263" s="389"/>
      <c r="J3263" s="389"/>
      <c r="K3263" s="389"/>
      <c r="L3263" s="389"/>
      <c r="M3263" s="389">
        <f>H3263+J3263+L3263</f>
        <v>0</v>
      </c>
    </row>
    <row r="3264" spans="1:13" s="464" customFormat="1" hidden="1">
      <c r="A3264" s="330"/>
      <c r="B3264" s="543"/>
      <c r="C3264" s="335" t="s">
        <v>214</v>
      </c>
      <c r="D3264" s="486" t="s">
        <v>57</v>
      </c>
      <c r="E3264" s="544">
        <v>7.0000000000000007E-2</v>
      </c>
      <c r="F3264" s="350">
        <f>F3259*E3264</f>
        <v>0</v>
      </c>
      <c r="G3264" s="389">
        <v>3.2</v>
      </c>
      <c r="H3264" s="389">
        <f>F3264*G3264</f>
        <v>0</v>
      </c>
      <c r="I3264" s="389"/>
      <c r="J3264" s="389"/>
      <c r="K3264" s="389"/>
      <c r="L3264" s="389"/>
      <c r="M3264" s="389">
        <f>H3264+J3264+L3264</f>
        <v>0</v>
      </c>
    </row>
    <row r="3265" spans="1:14" s="464" customFormat="1" hidden="1">
      <c r="A3265" s="466"/>
      <c r="B3265" s="479"/>
      <c r="C3265" s="481" t="s">
        <v>110</v>
      </c>
      <c r="D3265" s="466"/>
      <c r="E3265" s="558"/>
      <c r="F3265" s="494"/>
      <c r="G3265" s="505"/>
      <c r="H3265" s="505">
        <f>SUM(H3212:H3264)</f>
        <v>0</v>
      </c>
      <c r="I3265" s="505"/>
      <c r="J3265" s="505">
        <f>SUM(J3212:J3264)</f>
        <v>0</v>
      </c>
      <c r="K3265" s="505"/>
      <c r="L3265" s="505">
        <f>SUM(L3212:L3264)</f>
        <v>0</v>
      </c>
      <c r="M3265" s="505">
        <f>SUM(M3212:M3264)</f>
        <v>0</v>
      </c>
    </row>
    <row r="3266" spans="1:14" s="464" customFormat="1" hidden="1">
      <c r="A3266" s="487"/>
      <c r="B3266" s="488"/>
      <c r="C3266" s="111" t="s">
        <v>1169</v>
      </c>
      <c r="D3266" s="483">
        <v>0.12</v>
      </c>
      <c r="E3266" s="466"/>
      <c r="F3266" s="480"/>
      <c r="G3266" s="505"/>
      <c r="H3266" s="505">
        <f t="shared" ref="H3266:M3266" si="76">H3265*0.12</f>
        <v>0</v>
      </c>
      <c r="I3266" s="505"/>
      <c r="J3266" s="505">
        <f t="shared" si="76"/>
        <v>0</v>
      </c>
      <c r="K3266" s="505"/>
      <c r="L3266" s="505">
        <f t="shared" si="76"/>
        <v>0</v>
      </c>
      <c r="M3266" s="505">
        <f t="shared" si="76"/>
        <v>0</v>
      </c>
    </row>
    <row r="3267" spans="1:14" s="464" customFormat="1" hidden="1">
      <c r="A3267" s="487"/>
      <c r="B3267" s="488"/>
      <c r="C3267" s="481" t="s">
        <v>110</v>
      </c>
      <c r="D3267" s="466"/>
      <c r="E3267" s="466"/>
      <c r="F3267" s="480"/>
      <c r="G3267" s="505"/>
      <c r="H3267" s="505">
        <f t="shared" ref="H3267:M3267" si="77">H3265+H3266</f>
        <v>0</v>
      </c>
      <c r="I3267" s="505"/>
      <c r="J3267" s="505">
        <f t="shared" si="77"/>
        <v>0</v>
      </c>
      <c r="K3267" s="505"/>
      <c r="L3267" s="505">
        <f t="shared" si="77"/>
        <v>0</v>
      </c>
      <c r="M3267" s="505">
        <f t="shared" si="77"/>
        <v>0</v>
      </c>
    </row>
    <row r="3268" spans="1:14" s="464" customFormat="1" hidden="1">
      <c r="A3268" s="482"/>
      <c r="B3268" s="468"/>
      <c r="C3268" s="111" t="s">
        <v>1178</v>
      </c>
      <c r="D3268" s="484">
        <v>0.08</v>
      </c>
      <c r="E3268" s="468"/>
      <c r="F3268" s="527"/>
      <c r="G3268" s="528"/>
      <c r="H3268" s="633">
        <f t="shared" ref="H3268:M3268" si="78">H3267*0.08</f>
        <v>0</v>
      </c>
      <c r="I3268" s="633"/>
      <c r="J3268" s="633">
        <f t="shared" si="78"/>
        <v>0</v>
      </c>
      <c r="K3268" s="633"/>
      <c r="L3268" s="633">
        <f t="shared" si="78"/>
        <v>0</v>
      </c>
      <c r="M3268" s="633">
        <f t="shared" si="78"/>
        <v>0</v>
      </c>
    </row>
    <row r="3269" spans="1:14" s="464" customFormat="1" hidden="1">
      <c r="A3269" s="466"/>
      <c r="B3269" s="479"/>
      <c r="C3269" s="481" t="s">
        <v>1228</v>
      </c>
      <c r="D3269" s="466"/>
      <c r="E3269" s="466"/>
      <c r="F3269" s="480"/>
      <c r="G3269" s="505"/>
      <c r="H3269" s="505">
        <f t="shared" ref="H3269:M3269" si="79">H3267+H3268</f>
        <v>0</v>
      </c>
      <c r="I3269" s="505"/>
      <c r="J3269" s="505">
        <f t="shared" si="79"/>
        <v>0</v>
      </c>
      <c r="K3269" s="505"/>
      <c r="L3269" s="505">
        <f t="shared" si="79"/>
        <v>0</v>
      </c>
      <c r="M3269" s="505">
        <f t="shared" si="79"/>
        <v>0</v>
      </c>
      <c r="N3269" s="559">
        <f>H3269+J3269+L3269</f>
        <v>0</v>
      </c>
    </row>
    <row r="3270" spans="1:14" s="464" customFormat="1" ht="15.75" hidden="1">
      <c r="A3270" s="469"/>
      <c r="B3270" s="470"/>
      <c r="C3270" s="485" t="s">
        <v>1326</v>
      </c>
      <c r="D3270" s="471"/>
      <c r="E3270" s="560"/>
      <c r="F3270" s="472"/>
      <c r="G3270" s="561"/>
      <c r="H3270" s="561"/>
      <c r="I3270" s="561"/>
      <c r="J3270" s="561"/>
      <c r="K3270" s="561"/>
      <c r="L3270" s="561"/>
      <c r="M3270" s="561"/>
    </row>
    <row r="3271" spans="1:14" s="464" customFormat="1" hidden="1">
      <c r="A3271" s="421">
        <v>1</v>
      </c>
      <c r="B3271" s="537" t="s">
        <v>334</v>
      </c>
      <c r="C3271" s="549" t="s">
        <v>247</v>
      </c>
      <c r="D3271" s="538" t="s">
        <v>122</v>
      </c>
      <c r="E3271" s="473"/>
      <c r="F3271" s="475">
        <f>'დეფექტური აქტი'!E811</f>
        <v>0</v>
      </c>
      <c r="G3271" s="425"/>
      <c r="H3271" s="425"/>
      <c r="I3271" s="425"/>
      <c r="J3271" s="425"/>
      <c r="K3271" s="425"/>
      <c r="L3271" s="425"/>
      <c r="M3271" s="425"/>
    </row>
    <row r="3272" spans="1:14" s="464" customFormat="1" hidden="1">
      <c r="A3272" s="330"/>
      <c r="B3272" s="540"/>
      <c r="C3272" s="335" t="s">
        <v>209</v>
      </c>
      <c r="D3272" s="336" t="s">
        <v>80</v>
      </c>
      <c r="E3272" s="330">
        <v>0.60899999999999999</v>
      </c>
      <c r="F3272" s="379">
        <f>F3271*E3272</f>
        <v>0</v>
      </c>
      <c r="G3272" s="389"/>
      <c r="H3272" s="636"/>
      <c r="I3272" s="389">
        <v>4.5999999999999996</v>
      </c>
      <c r="J3272" s="389">
        <f>F3272*I3272</f>
        <v>0</v>
      </c>
      <c r="K3272" s="389"/>
      <c r="L3272" s="389"/>
      <c r="M3272" s="389">
        <f>H3272+J3272+L3272</f>
        <v>0</v>
      </c>
    </row>
    <row r="3273" spans="1:14" s="464" customFormat="1" hidden="1">
      <c r="A3273" s="330"/>
      <c r="B3273" s="543"/>
      <c r="C3273" s="335" t="s">
        <v>81</v>
      </c>
      <c r="D3273" s="336" t="s">
        <v>57</v>
      </c>
      <c r="E3273" s="336">
        <v>2E-3</v>
      </c>
      <c r="F3273" s="379">
        <f>F3271*E3273</f>
        <v>0</v>
      </c>
      <c r="G3273" s="389"/>
      <c r="H3273" s="389"/>
      <c r="I3273" s="389"/>
      <c r="J3273" s="389"/>
      <c r="K3273" s="389">
        <v>3.2</v>
      </c>
      <c r="L3273" s="389">
        <f>F3273*K3273</f>
        <v>0</v>
      </c>
      <c r="M3273" s="389">
        <f>H3273+J3273+L3273</f>
        <v>0</v>
      </c>
    </row>
    <row r="3274" spans="1:14" s="464" customFormat="1" hidden="1">
      <c r="A3274" s="330"/>
      <c r="B3274" s="543"/>
      <c r="C3274" s="335" t="s">
        <v>210</v>
      </c>
      <c r="D3274" s="336"/>
      <c r="E3274" s="336"/>
      <c r="F3274" s="379"/>
      <c r="G3274" s="389"/>
      <c r="H3274" s="389"/>
      <c r="I3274" s="389"/>
      <c r="J3274" s="389"/>
      <c r="K3274" s="389"/>
      <c r="L3274" s="389"/>
      <c r="M3274" s="389"/>
    </row>
    <row r="3275" spans="1:14" s="464" customFormat="1" hidden="1">
      <c r="A3275" s="330"/>
      <c r="B3275" s="562"/>
      <c r="C3275" s="335" t="s">
        <v>335</v>
      </c>
      <c r="D3275" s="486" t="s">
        <v>122</v>
      </c>
      <c r="E3275" s="336">
        <v>1</v>
      </c>
      <c r="F3275" s="379">
        <f>F3271*E3275</f>
        <v>0</v>
      </c>
      <c r="G3275" s="389">
        <v>2.46</v>
      </c>
      <c r="H3275" s="389">
        <f>F3275*G3275</f>
        <v>0</v>
      </c>
      <c r="I3275" s="389"/>
      <c r="J3275" s="389"/>
      <c r="K3275" s="389"/>
      <c r="L3275" s="389"/>
      <c r="M3275" s="389">
        <f t="shared" ref="M3275:M3280" si="80">H3275+J3275+L3275</f>
        <v>0</v>
      </c>
    </row>
    <row r="3276" spans="1:14" s="464" customFormat="1" hidden="1">
      <c r="A3276" s="330"/>
      <c r="B3276" s="562"/>
      <c r="C3276" s="335" t="s">
        <v>182</v>
      </c>
      <c r="D3276" s="336" t="s">
        <v>97</v>
      </c>
      <c r="E3276" s="336">
        <v>0.14000000000000001</v>
      </c>
      <c r="F3276" s="379">
        <f>F3271*E3276</f>
        <v>0</v>
      </c>
      <c r="G3276" s="389">
        <v>3.5</v>
      </c>
      <c r="H3276" s="389">
        <f>F3276*G3276</f>
        <v>0</v>
      </c>
      <c r="I3276" s="389"/>
      <c r="J3276" s="389"/>
      <c r="K3276" s="389"/>
      <c r="L3276" s="389"/>
      <c r="M3276" s="389">
        <f t="shared" si="80"/>
        <v>0</v>
      </c>
    </row>
    <row r="3277" spans="1:14" s="464" customFormat="1" hidden="1">
      <c r="A3277" s="330"/>
      <c r="B3277" s="543"/>
      <c r="C3277" s="335" t="s">
        <v>214</v>
      </c>
      <c r="D3277" s="336" t="s">
        <v>80</v>
      </c>
      <c r="E3277" s="336">
        <v>0.16</v>
      </c>
      <c r="F3277" s="350">
        <f>F3271*E3277</f>
        <v>0</v>
      </c>
      <c r="G3277" s="389">
        <v>3.2</v>
      </c>
      <c r="H3277" s="389">
        <f>F3277*G3277</f>
        <v>0</v>
      </c>
      <c r="I3277" s="389"/>
      <c r="J3277" s="389"/>
      <c r="K3277" s="389"/>
      <c r="L3277" s="389"/>
      <c r="M3277" s="389">
        <f t="shared" si="80"/>
        <v>0</v>
      </c>
    </row>
    <row r="3278" spans="1:14" s="464" customFormat="1" hidden="1">
      <c r="A3278" s="421">
        <v>2</v>
      </c>
      <c r="B3278" s="537" t="s">
        <v>179</v>
      </c>
      <c r="C3278" s="549" t="s">
        <v>1171</v>
      </c>
      <c r="D3278" s="538" t="s">
        <v>122</v>
      </c>
      <c r="E3278" s="473"/>
      <c r="F3278" s="475">
        <f>'დეფექტური აქტი'!E812</f>
        <v>0</v>
      </c>
      <c r="G3278" s="425"/>
      <c r="H3278" s="425"/>
      <c r="I3278" s="425"/>
      <c r="J3278" s="425"/>
      <c r="K3278" s="425"/>
      <c r="L3278" s="425"/>
      <c r="M3278" s="425"/>
    </row>
    <row r="3279" spans="1:14" s="464" customFormat="1" hidden="1">
      <c r="A3279" s="330"/>
      <c r="B3279" s="540"/>
      <c r="C3279" s="335" t="s">
        <v>209</v>
      </c>
      <c r="D3279" s="336" t="s">
        <v>80</v>
      </c>
      <c r="E3279" s="330">
        <f>0.583</f>
        <v>0.58299999999999996</v>
      </c>
      <c r="F3279" s="379">
        <f>F3278*E3279</f>
        <v>0</v>
      </c>
      <c r="G3279" s="389"/>
      <c r="H3279" s="636"/>
      <c r="I3279" s="389">
        <v>4.5999999999999996</v>
      </c>
      <c r="J3279" s="389">
        <f>F3279*I3279</f>
        <v>0</v>
      </c>
      <c r="K3279" s="389"/>
      <c r="L3279" s="389"/>
      <c r="M3279" s="389">
        <f t="shared" si="80"/>
        <v>0</v>
      </c>
    </row>
    <row r="3280" spans="1:14" s="464" customFormat="1" hidden="1">
      <c r="A3280" s="330"/>
      <c r="B3280" s="543"/>
      <c r="C3280" s="335" t="s">
        <v>81</v>
      </c>
      <c r="D3280" s="336" t="s">
        <v>57</v>
      </c>
      <c r="E3280" s="336">
        <v>4.5999999999999999E-3</v>
      </c>
      <c r="F3280" s="379">
        <f>F3278*E3280</f>
        <v>0</v>
      </c>
      <c r="G3280" s="389"/>
      <c r="H3280" s="389"/>
      <c r="I3280" s="389"/>
      <c r="J3280" s="389"/>
      <c r="K3280" s="389">
        <v>3.2</v>
      </c>
      <c r="L3280" s="389">
        <f>F3280*K3280</f>
        <v>0</v>
      </c>
      <c r="M3280" s="389">
        <f t="shared" si="80"/>
        <v>0</v>
      </c>
    </row>
    <row r="3281" spans="1:13" s="464" customFormat="1" hidden="1">
      <c r="A3281" s="330"/>
      <c r="B3281" s="543"/>
      <c r="C3281" s="335" t="s">
        <v>210</v>
      </c>
      <c r="D3281" s="336"/>
      <c r="E3281" s="336"/>
      <c r="F3281" s="379"/>
      <c r="G3281" s="389"/>
      <c r="H3281" s="389"/>
      <c r="I3281" s="389"/>
      <c r="J3281" s="389"/>
      <c r="K3281" s="389"/>
      <c r="L3281" s="389"/>
      <c r="M3281" s="389"/>
    </row>
    <row r="3282" spans="1:13" s="464" customFormat="1" hidden="1">
      <c r="A3282" s="330"/>
      <c r="B3282" s="562"/>
      <c r="C3282" s="335" t="s">
        <v>1229</v>
      </c>
      <c r="D3282" s="486" t="s">
        <v>122</v>
      </c>
      <c r="E3282" s="336">
        <v>1</v>
      </c>
      <c r="F3282" s="379">
        <f>F3278*E3282</f>
        <v>0</v>
      </c>
      <c r="G3282" s="389">
        <v>4.66</v>
      </c>
      <c r="H3282" s="389">
        <f>F3282*G3282</f>
        <v>0</v>
      </c>
      <c r="I3282" s="389"/>
      <c r="J3282" s="389"/>
      <c r="K3282" s="389"/>
      <c r="L3282" s="389"/>
      <c r="M3282" s="389">
        <f>H3282+J3282+L3282</f>
        <v>0</v>
      </c>
    </row>
    <row r="3283" spans="1:13" s="464" customFormat="1" hidden="1">
      <c r="A3283" s="330"/>
      <c r="B3283" s="562"/>
      <c r="C3283" s="335" t="s">
        <v>182</v>
      </c>
      <c r="D3283" s="336" t="s">
        <v>97</v>
      </c>
      <c r="E3283" s="336">
        <v>0.14000000000000001</v>
      </c>
      <c r="F3283" s="379">
        <f>F3278*E3283</f>
        <v>0</v>
      </c>
      <c r="G3283" s="389">
        <v>3.5</v>
      </c>
      <c r="H3283" s="389">
        <f>F3283*G3283</f>
        <v>0</v>
      </c>
      <c r="I3283" s="389"/>
      <c r="J3283" s="389"/>
      <c r="K3283" s="389"/>
      <c r="L3283" s="389"/>
      <c r="M3283" s="389">
        <f>H3283+J3283+L3283</f>
        <v>0</v>
      </c>
    </row>
    <row r="3284" spans="1:13" s="464" customFormat="1" hidden="1">
      <c r="A3284" s="330"/>
      <c r="B3284" s="543"/>
      <c r="C3284" s="335" t="s">
        <v>214</v>
      </c>
      <c r="D3284" s="336" t="s">
        <v>57</v>
      </c>
      <c r="E3284" s="336">
        <v>0.16</v>
      </c>
      <c r="F3284" s="350">
        <f>F3278*E3284</f>
        <v>0</v>
      </c>
      <c r="G3284" s="389">
        <v>3.2</v>
      </c>
      <c r="H3284" s="389">
        <f>F3284*G3284</f>
        <v>0</v>
      </c>
      <c r="I3284" s="389"/>
      <c r="J3284" s="389"/>
      <c r="K3284" s="389"/>
      <c r="L3284" s="389"/>
      <c r="M3284" s="389">
        <f>H3284+J3284+L3284</f>
        <v>0</v>
      </c>
    </row>
    <row r="3285" spans="1:13" s="464" customFormat="1" hidden="1">
      <c r="A3285" s="421">
        <v>3</v>
      </c>
      <c r="B3285" s="477"/>
      <c r="C3285" s="549" t="s">
        <v>1590</v>
      </c>
      <c r="D3285" s="473" t="s">
        <v>816</v>
      </c>
      <c r="E3285" s="473"/>
      <c r="F3285" s="475">
        <f>'დეფექტური აქტი'!E813</f>
        <v>0</v>
      </c>
      <c r="G3285" s="539">
        <v>1.06</v>
      </c>
      <c r="H3285" s="425">
        <f t="shared" ref="H3285:H3291" si="81">F3285*G3285</f>
        <v>0</v>
      </c>
      <c r="I3285" s="425"/>
      <c r="J3285" s="425"/>
      <c r="K3285" s="425"/>
      <c r="L3285" s="425"/>
      <c r="M3285" s="425">
        <f t="shared" ref="M3285:M3291" si="82">H3285+J3285+L3285</f>
        <v>0</v>
      </c>
    </row>
    <row r="3286" spans="1:13" s="464" customFormat="1" hidden="1">
      <c r="A3286" s="330">
        <v>4</v>
      </c>
      <c r="B3286" s="562"/>
      <c r="C3286" s="335" t="s">
        <v>1591</v>
      </c>
      <c r="D3286" s="336" t="s">
        <v>816</v>
      </c>
      <c r="E3286" s="336"/>
      <c r="F3286" s="350">
        <f>'დეფექტური აქტი'!E814</f>
        <v>0</v>
      </c>
      <c r="G3286" s="542">
        <v>2.69</v>
      </c>
      <c r="H3286" s="389">
        <f t="shared" si="81"/>
        <v>0</v>
      </c>
      <c r="I3286" s="389"/>
      <c r="J3286" s="389"/>
      <c r="K3286" s="389"/>
      <c r="L3286" s="389"/>
      <c r="M3286" s="389">
        <f t="shared" si="82"/>
        <v>0</v>
      </c>
    </row>
    <row r="3287" spans="1:13" s="464" customFormat="1" hidden="1">
      <c r="A3287" s="330">
        <v>5</v>
      </c>
      <c r="B3287" s="543"/>
      <c r="C3287" s="335" t="s">
        <v>1172</v>
      </c>
      <c r="D3287" s="336" t="s">
        <v>816</v>
      </c>
      <c r="E3287" s="544"/>
      <c r="F3287" s="379">
        <f>'დეფექტური აქტი'!E815</f>
        <v>0</v>
      </c>
      <c r="G3287" s="542">
        <v>2.54</v>
      </c>
      <c r="H3287" s="389">
        <f>F3287*G3287</f>
        <v>0</v>
      </c>
      <c r="I3287" s="389"/>
      <c r="J3287" s="389"/>
      <c r="K3287" s="389"/>
      <c r="L3287" s="389"/>
      <c r="M3287" s="389">
        <f>H3287+J3287+L3287</f>
        <v>0</v>
      </c>
    </row>
    <row r="3288" spans="1:13" s="464" customFormat="1" hidden="1">
      <c r="A3288" s="330">
        <v>6</v>
      </c>
      <c r="B3288" s="543"/>
      <c r="C3288" s="335" t="s">
        <v>1173</v>
      </c>
      <c r="D3288" s="336" t="s">
        <v>816</v>
      </c>
      <c r="E3288" s="544"/>
      <c r="F3288" s="379">
        <f>'დეფექტური აქტი'!E816</f>
        <v>0</v>
      </c>
      <c r="G3288" s="542">
        <v>4.24</v>
      </c>
      <c r="H3288" s="389">
        <f t="shared" si="81"/>
        <v>0</v>
      </c>
      <c r="I3288" s="389"/>
      <c r="J3288" s="389"/>
      <c r="K3288" s="389"/>
      <c r="L3288" s="389"/>
      <c r="M3288" s="389">
        <f t="shared" si="82"/>
        <v>0</v>
      </c>
    </row>
    <row r="3289" spans="1:13" s="464" customFormat="1" hidden="1">
      <c r="A3289" s="330">
        <v>8</v>
      </c>
      <c r="B3289" s="543"/>
      <c r="C3289" s="335" t="s">
        <v>1174</v>
      </c>
      <c r="D3289" s="486" t="s">
        <v>816</v>
      </c>
      <c r="E3289" s="544"/>
      <c r="F3289" s="379">
        <f>'დეფექტური აქტი'!E817</f>
        <v>0</v>
      </c>
      <c r="G3289" s="542">
        <v>8.1</v>
      </c>
      <c r="H3289" s="389">
        <f t="shared" si="81"/>
        <v>0</v>
      </c>
      <c r="I3289" s="389"/>
      <c r="J3289" s="389"/>
      <c r="K3289" s="389"/>
      <c r="L3289" s="389"/>
      <c r="M3289" s="389">
        <f t="shared" si="82"/>
        <v>0</v>
      </c>
    </row>
    <row r="3290" spans="1:13" s="464" customFormat="1" hidden="1">
      <c r="A3290" s="330">
        <v>9</v>
      </c>
      <c r="B3290" s="543"/>
      <c r="C3290" s="335" t="s">
        <v>1175</v>
      </c>
      <c r="D3290" s="336" t="s">
        <v>816</v>
      </c>
      <c r="E3290" s="544"/>
      <c r="F3290" s="379">
        <f>'დეფექტური აქტი'!E818</f>
        <v>0</v>
      </c>
      <c r="G3290" s="542">
        <v>5.3</v>
      </c>
      <c r="H3290" s="389">
        <f t="shared" si="81"/>
        <v>0</v>
      </c>
      <c r="I3290" s="389"/>
      <c r="J3290" s="389"/>
      <c r="K3290" s="389"/>
      <c r="L3290" s="389"/>
      <c r="M3290" s="389">
        <f t="shared" si="82"/>
        <v>0</v>
      </c>
    </row>
    <row r="3291" spans="1:13" s="464" customFormat="1" hidden="1">
      <c r="A3291" s="330">
        <v>10</v>
      </c>
      <c r="B3291" s="543"/>
      <c r="C3291" s="335" t="s">
        <v>1176</v>
      </c>
      <c r="D3291" s="336" t="s">
        <v>816</v>
      </c>
      <c r="E3291" s="544"/>
      <c r="F3291" s="379">
        <f>'დეფექტური აქტი'!E819</f>
        <v>0</v>
      </c>
      <c r="G3291" s="542">
        <v>6.8</v>
      </c>
      <c r="H3291" s="389">
        <f t="shared" si="81"/>
        <v>0</v>
      </c>
      <c r="I3291" s="389"/>
      <c r="J3291" s="389"/>
      <c r="K3291" s="389"/>
      <c r="L3291" s="389"/>
      <c r="M3291" s="389">
        <f t="shared" si="82"/>
        <v>0</v>
      </c>
    </row>
    <row r="3292" spans="1:13" s="464" customFormat="1" hidden="1">
      <c r="A3292" s="421">
        <v>11</v>
      </c>
      <c r="B3292" s="537" t="s">
        <v>338</v>
      </c>
      <c r="C3292" s="549" t="s">
        <v>231</v>
      </c>
      <c r="D3292" s="421" t="s">
        <v>816</v>
      </c>
      <c r="E3292" s="473"/>
      <c r="F3292" s="475">
        <f>'დეფექტური აქტი'!E820</f>
        <v>0</v>
      </c>
      <c r="G3292" s="425"/>
      <c r="H3292" s="425"/>
      <c r="I3292" s="425"/>
      <c r="J3292" s="425"/>
      <c r="K3292" s="425"/>
      <c r="L3292" s="425"/>
      <c r="M3292" s="425"/>
    </row>
    <row r="3293" spans="1:13" s="464" customFormat="1" hidden="1">
      <c r="A3293" s="330"/>
      <c r="B3293" s="540"/>
      <c r="C3293" s="335" t="s">
        <v>209</v>
      </c>
      <c r="D3293" s="330" t="s">
        <v>816</v>
      </c>
      <c r="E3293" s="330">
        <v>1</v>
      </c>
      <c r="F3293" s="350">
        <f>F3292*E3293</f>
        <v>0</v>
      </c>
      <c r="G3293" s="389"/>
      <c r="H3293" s="636"/>
      <c r="I3293" s="389">
        <v>25</v>
      </c>
      <c r="J3293" s="389">
        <f>F3293*I3293</f>
        <v>0</v>
      </c>
      <c r="K3293" s="389"/>
      <c r="L3293" s="389"/>
      <c r="M3293" s="389">
        <f>H3293+J3293+L3293</f>
        <v>0</v>
      </c>
    </row>
    <row r="3294" spans="1:13" s="464" customFormat="1" hidden="1">
      <c r="A3294" s="330"/>
      <c r="B3294" s="543"/>
      <c r="C3294" s="335" t="s">
        <v>133</v>
      </c>
      <c r="D3294" s="336" t="s">
        <v>57</v>
      </c>
      <c r="E3294" s="336">
        <v>7.0000000000000007E-2</v>
      </c>
      <c r="F3294" s="350">
        <f>F3292*E3294</f>
        <v>0</v>
      </c>
      <c r="G3294" s="389"/>
      <c r="H3294" s="389"/>
      <c r="I3294" s="389"/>
      <c r="J3294" s="389"/>
      <c r="K3294" s="389">
        <v>3.2</v>
      </c>
      <c r="L3294" s="389">
        <f>F3294*K3294</f>
        <v>0</v>
      </c>
      <c r="M3294" s="389">
        <f>H3294+J3294+L3294</f>
        <v>0</v>
      </c>
    </row>
    <row r="3295" spans="1:13" s="464" customFormat="1" hidden="1">
      <c r="A3295" s="330"/>
      <c r="B3295" s="543"/>
      <c r="C3295" s="335" t="s">
        <v>210</v>
      </c>
      <c r="D3295" s="336"/>
      <c r="E3295" s="336"/>
      <c r="F3295" s="350"/>
      <c r="G3295" s="389"/>
      <c r="H3295" s="389"/>
      <c r="I3295" s="389"/>
      <c r="J3295" s="389"/>
      <c r="K3295" s="389"/>
      <c r="L3295" s="389"/>
      <c r="M3295" s="389"/>
    </row>
    <row r="3296" spans="1:13" s="464" customFormat="1" hidden="1">
      <c r="A3296" s="330"/>
      <c r="B3296" s="563"/>
      <c r="C3296" s="335" t="s">
        <v>231</v>
      </c>
      <c r="D3296" s="330" t="s">
        <v>816</v>
      </c>
      <c r="E3296" s="336">
        <v>1</v>
      </c>
      <c r="F3296" s="350">
        <f>F3292*E3296</f>
        <v>0</v>
      </c>
      <c r="G3296" s="389">
        <v>60</v>
      </c>
      <c r="H3296" s="389">
        <f>F3296*G3296</f>
        <v>0</v>
      </c>
      <c r="I3296" s="389"/>
      <c r="J3296" s="389"/>
      <c r="K3296" s="389"/>
      <c r="L3296" s="389"/>
      <c r="M3296" s="389">
        <f>H3296+J3296+L3296</f>
        <v>0</v>
      </c>
    </row>
    <row r="3297" spans="1:13" s="464" customFormat="1" hidden="1">
      <c r="A3297" s="330"/>
      <c r="B3297" s="543"/>
      <c r="C3297" s="335" t="s">
        <v>214</v>
      </c>
      <c r="D3297" s="336" t="s">
        <v>57</v>
      </c>
      <c r="E3297" s="336">
        <v>0.37</v>
      </c>
      <c r="F3297" s="350">
        <f>F3292*E3297</f>
        <v>0</v>
      </c>
      <c r="G3297" s="389">
        <v>3.2</v>
      </c>
      <c r="H3297" s="389">
        <f>F3297*G3297</f>
        <v>0</v>
      </c>
      <c r="I3297" s="389"/>
      <c r="J3297" s="389"/>
      <c r="K3297" s="389"/>
      <c r="L3297" s="389"/>
      <c r="M3297" s="389">
        <f>H3297+J3297+L3297</f>
        <v>0</v>
      </c>
    </row>
    <row r="3298" spans="1:13" s="567" customFormat="1" ht="27" hidden="1">
      <c r="A3298" s="370">
        <v>12</v>
      </c>
      <c r="B3298" s="564" t="s">
        <v>338</v>
      </c>
      <c r="C3298" s="565" t="s">
        <v>225</v>
      </c>
      <c r="D3298" s="370" t="s">
        <v>4</v>
      </c>
      <c r="E3298" s="566"/>
      <c r="F3298" s="384">
        <f>'დეფექტური აქტი'!E821</f>
        <v>0</v>
      </c>
      <c r="G3298" s="385"/>
      <c r="H3298" s="385"/>
      <c r="I3298" s="385"/>
      <c r="J3298" s="385"/>
      <c r="K3298" s="385"/>
      <c r="L3298" s="385"/>
      <c r="M3298" s="385"/>
    </row>
    <row r="3299" spans="1:13" s="567" customFormat="1" ht="27" hidden="1">
      <c r="A3299" s="371"/>
      <c r="B3299" s="568" t="s">
        <v>99</v>
      </c>
      <c r="C3299" s="569" t="s">
        <v>209</v>
      </c>
      <c r="D3299" s="371" t="s">
        <v>4</v>
      </c>
      <c r="E3299" s="570">
        <v>1</v>
      </c>
      <c r="F3299" s="386">
        <f>F3298*E3299</f>
        <v>0</v>
      </c>
      <c r="G3299" s="386"/>
      <c r="H3299" s="603"/>
      <c r="I3299" s="386">
        <v>30</v>
      </c>
      <c r="J3299" s="386">
        <f>F3299*I3299</f>
        <v>0</v>
      </c>
      <c r="K3299" s="386"/>
      <c r="L3299" s="386"/>
      <c r="M3299" s="386">
        <f>H3299+J3299+L3299</f>
        <v>0</v>
      </c>
    </row>
    <row r="3300" spans="1:13" s="567" customFormat="1" hidden="1">
      <c r="A3300" s="371"/>
      <c r="B3300" s="568"/>
      <c r="C3300" s="569" t="s">
        <v>133</v>
      </c>
      <c r="D3300" s="83" t="s">
        <v>57</v>
      </c>
      <c r="E3300" s="570">
        <v>7.0000000000000007E-2</v>
      </c>
      <c r="F3300" s="386">
        <f>F3298*E3300</f>
        <v>0</v>
      </c>
      <c r="G3300" s="386"/>
      <c r="H3300" s="386"/>
      <c r="I3300" s="386"/>
      <c r="J3300" s="386"/>
      <c r="K3300" s="386">
        <v>3.2</v>
      </c>
      <c r="L3300" s="386">
        <f>F3300*K3300</f>
        <v>0</v>
      </c>
      <c r="M3300" s="386">
        <f>H3300+J3300+L3300</f>
        <v>0</v>
      </c>
    </row>
    <row r="3301" spans="1:13" s="567" customFormat="1" hidden="1">
      <c r="A3301" s="371"/>
      <c r="B3301" s="568"/>
      <c r="C3301" s="365" t="s">
        <v>210</v>
      </c>
      <c r="D3301" s="371"/>
      <c r="E3301" s="570"/>
      <c r="F3301" s="386"/>
      <c r="G3301" s="386"/>
      <c r="H3301" s="386"/>
      <c r="I3301" s="386"/>
      <c r="J3301" s="386"/>
      <c r="K3301" s="386"/>
      <c r="L3301" s="386"/>
      <c r="M3301" s="386"/>
    </row>
    <row r="3302" spans="1:13" s="567" customFormat="1" ht="27" hidden="1">
      <c r="A3302" s="371"/>
      <c r="B3302" s="568"/>
      <c r="C3302" s="365" t="s">
        <v>226</v>
      </c>
      <c r="D3302" s="371" t="s">
        <v>4</v>
      </c>
      <c r="E3302" s="570">
        <v>1</v>
      </c>
      <c r="F3302" s="386">
        <f>F3298*E3302</f>
        <v>0</v>
      </c>
      <c r="G3302" s="386">
        <v>170</v>
      </c>
      <c r="H3302" s="386">
        <f>F3302*G3302</f>
        <v>0</v>
      </c>
      <c r="I3302" s="386"/>
      <c r="J3302" s="386"/>
      <c r="K3302" s="386"/>
      <c r="L3302" s="386"/>
      <c r="M3302" s="386">
        <f>H3302+J3302+L3302</f>
        <v>0</v>
      </c>
    </row>
    <row r="3303" spans="1:13" s="567" customFormat="1" hidden="1">
      <c r="A3303" s="371"/>
      <c r="B3303" s="571"/>
      <c r="C3303" s="569" t="s">
        <v>214</v>
      </c>
      <c r="D3303" s="86" t="s">
        <v>57</v>
      </c>
      <c r="E3303" s="570">
        <v>0.37</v>
      </c>
      <c r="F3303" s="386">
        <f>F3298*E3303</f>
        <v>0</v>
      </c>
      <c r="G3303" s="386">
        <v>3.2</v>
      </c>
      <c r="H3303" s="386">
        <f>F3303*G3303</f>
        <v>0</v>
      </c>
      <c r="I3303" s="386"/>
      <c r="J3303" s="386"/>
      <c r="K3303" s="386"/>
      <c r="L3303" s="386"/>
      <c r="M3303" s="386">
        <f>H3303+J3303+L3303</f>
        <v>0</v>
      </c>
    </row>
    <row r="3304" spans="1:13" s="52" customFormat="1" ht="40.5" hidden="1">
      <c r="A3304" s="47">
        <v>13</v>
      </c>
      <c r="B3304" s="1449" t="s">
        <v>227</v>
      </c>
      <c r="C3304" s="68" t="s">
        <v>228</v>
      </c>
      <c r="D3304" s="47" t="s">
        <v>4</v>
      </c>
      <c r="E3304" s="154"/>
      <c r="F3304" s="456">
        <f>'დეფექტური აქტი'!E822</f>
        <v>0</v>
      </c>
      <c r="G3304" s="385"/>
      <c r="H3304" s="385"/>
      <c r="I3304" s="385"/>
      <c r="J3304" s="385"/>
      <c r="K3304" s="385"/>
      <c r="L3304" s="385"/>
      <c r="M3304" s="385"/>
    </row>
    <row r="3305" spans="1:13" s="52" customFormat="1" hidden="1">
      <c r="A3305" s="41"/>
      <c r="B3305" s="1450"/>
      <c r="C3305" s="66" t="s">
        <v>209</v>
      </c>
      <c r="D3305" s="41" t="s">
        <v>4</v>
      </c>
      <c r="E3305" s="53">
        <v>1</v>
      </c>
      <c r="F3305" s="60">
        <f>F3304*E3305</f>
        <v>0</v>
      </c>
      <c r="G3305" s="386"/>
      <c r="H3305" s="603"/>
      <c r="I3305" s="386">
        <v>30</v>
      </c>
      <c r="J3305" s="386">
        <f>F3305*I3305</f>
        <v>0</v>
      </c>
      <c r="K3305" s="386"/>
      <c r="L3305" s="386"/>
      <c r="M3305" s="386">
        <f>H3305+J3305+L3305</f>
        <v>0</v>
      </c>
    </row>
    <row r="3306" spans="1:13" s="52" customFormat="1" hidden="1">
      <c r="A3306" s="41"/>
      <c r="B3306" s="1450"/>
      <c r="C3306" s="66" t="s">
        <v>181</v>
      </c>
      <c r="D3306" s="83" t="s">
        <v>57</v>
      </c>
      <c r="E3306" s="53">
        <v>0.13</v>
      </c>
      <c r="F3306" s="60">
        <f>F3304*E3306</f>
        <v>0</v>
      </c>
      <c r="G3306" s="386"/>
      <c r="H3306" s="386"/>
      <c r="I3306" s="386"/>
      <c r="J3306" s="386"/>
      <c r="K3306" s="386">
        <v>3.2</v>
      </c>
      <c r="L3306" s="386">
        <f>F3306*K3306</f>
        <v>0</v>
      </c>
      <c r="M3306" s="386">
        <f>H3306+J3306+L3306</f>
        <v>0</v>
      </c>
    </row>
    <row r="3307" spans="1:13" s="52" customFormat="1" hidden="1">
      <c r="A3307" s="41"/>
      <c r="B3307" s="1450"/>
      <c r="C3307" s="15" t="s">
        <v>210</v>
      </c>
      <c r="D3307" s="41"/>
      <c r="E3307" s="53"/>
      <c r="F3307" s="60"/>
      <c r="G3307" s="386"/>
      <c r="H3307" s="386"/>
      <c r="I3307" s="386"/>
      <c r="J3307" s="386"/>
      <c r="K3307" s="386"/>
      <c r="L3307" s="386"/>
      <c r="M3307" s="386"/>
    </row>
    <row r="3308" spans="1:13" s="52" customFormat="1" ht="27" hidden="1">
      <c r="A3308" s="41"/>
      <c r="B3308" s="1450"/>
      <c r="C3308" s="66" t="s">
        <v>229</v>
      </c>
      <c r="D3308" s="41" t="s">
        <v>4</v>
      </c>
      <c r="E3308" s="53">
        <v>1</v>
      </c>
      <c r="F3308" s="60">
        <f>F3304*E3308</f>
        <v>0</v>
      </c>
      <c r="G3308" s="386">
        <v>300</v>
      </c>
      <c r="H3308" s="386">
        <f>F3308*G3308</f>
        <v>0</v>
      </c>
      <c r="I3308" s="386"/>
      <c r="J3308" s="386"/>
      <c r="K3308" s="386"/>
      <c r="L3308" s="386"/>
      <c r="M3308" s="386">
        <f>H3308+J3308+L3308</f>
        <v>0</v>
      </c>
    </row>
    <row r="3309" spans="1:13" s="52" customFormat="1" hidden="1">
      <c r="A3309" s="41"/>
      <c r="B3309" s="1450"/>
      <c r="C3309" s="66" t="s">
        <v>214</v>
      </c>
      <c r="D3309" s="86" t="s">
        <v>57</v>
      </c>
      <c r="E3309" s="53">
        <v>0.94</v>
      </c>
      <c r="F3309" s="60">
        <f>F3304*E3309</f>
        <v>0</v>
      </c>
      <c r="G3309" s="386">
        <v>3.2</v>
      </c>
      <c r="H3309" s="386">
        <f>F3309*G3309</f>
        <v>0</v>
      </c>
      <c r="I3309" s="386"/>
      <c r="J3309" s="386"/>
      <c r="K3309" s="386"/>
      <c r="L3309" s="386"/>
      <c r="M3309" s="386">
        <f>H3309+J3309+L3309</f>
        <v>0</v>
      </c>
    </row>
    <row r="3310" spans="1:13" s="52" customFormat="1" ht="18" hidden="1" customHeight="1">
      <c r="A3310" s="47">
        <v>14</v>
      </c>
      <c r="B3310" s="1449" t="s">
        <v>227</v>
      </c>
      <c r="C3310" s="68" t="s">
        <v>235</v>
      </c>
      <c r="D3310" s="47" t="s">
        <v>4</v>
      </c>
      <c r="E3310" s="154"/>
      <c r="F3310" s="456">
        <f>'დეფექტური აქტი'!E823</f>
        <v>0</v>
      </c>
      <c r="G3310" s="385"/>
      <c r="H3310" s="385"/>
      <c r="I3310" s="385"/>
      <c r="J3310" s="385"/>
      <c r="K3310" s="385"/>
      <c r="L3310" s="385"/>
      <c r="M3310" s="385"/>
    </row>
    <row r="3311" spans="1:13" s="52" customFormat="1" hidden="1">
      <c r="A3311" s="41"/>
      <c r="B3311" s="1450"/>
      <c r="C3311" s="66" t="s">
        <v>209</v>
      </c>
      <c r="D3311" s="41" t="s">
        <v>4</v>
      </c>
      <c r="E3311" s="53">
        <v>1</v>
      </c>
      <c r="F3311" s="60">
        <f>F3310*E3311</f>
        <v>0</v>
      </c>
      <c r="G3311" s="386"/>
      <c r="H3311" s="603"/>
      <c r="I3311" s="386">
        <v>25</v>
      </c>
      <c r="J3311" s="386">
        <f>F3311*I3311</f>
        <v>0</v>
      </c>
      <c r="K3311" s="386"/>
      <c r="L3311" s="386"/>
      <c r="M3311" s="386">
        <f>H3311+J3311+L3311</f>
        <v>0</v>
      </c>
    </row>
    <row r="3312" spans="1:13" s="52" customFormat="1" hidden="1">
      <c r="A3312" s="41"/>
      <c r="B3312" s="1450"/>
      <c r="C3312" s="66" t="s">
        <v>181</v>
      </c>
      <c r="D3312" s="83" t="s">
        <v>57</v>
      </c>
      <c r="E3312" s="53">
        <v>0.13</v>
      </c>
      <c r="F3312" s="60">
        <f>F3310*E3312</f>
        <v>0</v>
      </c>
      <c r="G3312" s="386"/>
      <c r="H3312" s="386"/>
      <c r="I3312" s="386"/>
      <c r="J3312" s="386"/>
      <c r="K3312" s="386">
        <v>3.2</v>
      </c>
      <c r="L3312" s="386">
        <f>F3312*K3312</f>
        <v>0</v>
      </c>
      <c r="M3312" s="386">
        <f>H3312+J3312+L3312</f>
        <v>0</v>
      </c>
    </row>
    <row r="3313" spans="1:14" s="52" customFormat="1" hidden="1">
      <c r="A3313" s="41"/>
      <c r="B3313" s="1450"/>
      <c r="C3313" s="15" t="s">
        <v>210</v>
      </c>
      <c r="D3313" s="41"/>
      <c r="E3313" s="53"/>
      <c r="F3313" s="60"/>
      <c r="G3313" s="386"/>
      <c r="H3313" s="386"/>
      <c r="I3313" s="386"/>
      <c r="J3313" s="386"/>
      <c r="K3313" s="386"/>
      <c r="L3313" s="386"/>
      <c r="M3313" s="386"/>
    </row>
    <row r="3314" spans="1:14" s="52" customFormat="1" hidden="1">
      <c r="A3314" s="41"/>
      <c r="B3314" s="1450"/>
      <c r="C3314" s="66" t="s">
        <v>1760</v>
      </c>
      <c r="D3314" s="41" t="s">
        <v>4</v>
      </c>
      <c r="E3314" s="53">
        <v>1</v>
      </c>
      <c r="F3314" s="60">
        <f>F3310*E3314</f>
        <v>0</v>
      </c>
      <c r="G3314" s="386">
        <v>85</v>
      </c>
      <c r="H3314" s="386">
        <f>F3314*G3314</f>
        <v>0</v>
      </c>
      <c r="I3314" s="386"/>
      <c r="J3314" s="386"/>
      <c r="K3314" s="386"/>
      <c r="L3314" s="386"/>
      <c r="M3314" s="386">
        <f>H3314+J3314+L3314</f>
        <v>0</v>
      </c>
    </row>
    <row r="3315" spans="1:14" s="52" customFormat="1" hidden="1">
      <c r="A3315" s="41"/>
      <c r="B3315" s="1450"/>
      <c r="C3315" s="66" t="s">
        <v>214</v>
      </c>
      <c r="D3315" s="86" t="s">
        <v>57</v>
      </c>
      <c r="E3315" s="53">
        <v>0.94</v>
      </c>
      <c r="F3315" s="60">
        <f>F3310*E3315</f>
        <v>0</v>
      </c>
      <c r="G3315" s="386">
        <v>3.2</v>
      </c>
      <c r="H3315" s="386">
        <f>F3315*G3315</f>
        <v>0</v>
      </c>
      <c r="I3315" s="386"/>
      <c r="J3315" s="386"/>
      <c r="K3315" s="386"/>
      <c r="L3315" s="386"/>
      <c r="M3315" s="386">
        <f>H3315+J3315+L3315</f>
        <v>0</v>
      </c>
    </row>
    <row r="3316" spans="1:14" s="52" customFormat="1" ht="18" hidden="1" customHeight="1">
      <c r="A3316" s="47">
        <v>14</v>
      </c>
      <c r="B3316" s="1449" t="s">
        <v>227</v>
      </c>
      <c r="C3316" s="68" t="s">
        <v>362</v>
      </c>
      <c r="D3316" s="47" t="s">
        <v>4</v>
      </c>
      <c r="E3316" s="154"/>
      <c r="F3316" s="456">
        <f>'დეფექტური აქტი'!E824</f>
        <v>0</v>
      </c>
      <c r="G3316" s="385"/>
      <c r="H3316" s="385"/>
      <c r="I3316" s="385"/>
      <c r="J3316" s="385"/>
      <c r="K3316" s="385"/>
      <c r="L3316" s="385"/>
      <c r="M3316" s="385"/>
    </row>
    <row r="3317" spans="1:14" s="52" customFormat="1" hidden="1">
      <c r="A3317" s="41"/>
      <c r="B3317" s="1450"/>
      <c r="C3317" s="66" t="s">
        <v>209</v>
      </c>
      <c r="D3317" s="41" t="s">
        <v>4</v>
      </c>
      <c r="E3317" s="53">
        <v>1</v>
      </c>
      <c r="F3317" s="60">
        <f>F3316*E3317</f>
        <v>0</v>
      </c>
      <c r="G3317" s="386"/>
      <c r="H3317" s="603"/>
      <c r="I3317" s="386">
        <v>25</v>
      </c>
      <c r="J3317" s="386">
        <f>F3317*I3317</f>
        <v>0</v>
      </c>
      <c r="K3317" s="386"/>
      <c r="L3317" s="386"/>
      <c r="M3317" s="386">
        <f>H3317+J3317+L3317</f>
        <v>0</v>
      </c>
    </row>
    <row r="3318" spans="1:14" s="52" customFormat="1" hidden="1">
      <c r="A3318" s="41"/>
      <c r="B3318" s="1450"/>
      <c r="C3318" s="66" t="s">
        <v>181</v>
      </c>
      <c r="D3318" s="83" t="s">
        <v>57</v>
      </c>
      <c r="E3318" s="53">
        <v>0.13</v>
      </c>
      <c r="F3318" s="60">
        <f>F3316*E3318</f>
        <v>0</v>
      </c>
      <c r="G3318" s="386"/>
      <c r="H3318" s="386"/>
      <c r="I3318" s="386"/>
      <c r="J3318" s="386"/>
      <c r="K3318" s="386">
        <v>3.2</v>
      </c>
      <c r="L3318" s="386">
        <f>F3318*K3318</f>
        <v>0</v>
      </c>
      <c r="M3318" s="386">
        <f>H3318+J3318+L3318</f>
        <v>0</v>
      </c>
    </row>
    <row r="3319" spans="1:14" s="52" customFormat="1" hidden="1">
      <c r="A3319" s="41"/>
      <c r="B3319" s="1450"/>
      <c r="C3319" s="15" t="s">
        <v>210</v>
      </c>
      <c r="D3319" s="41"/>
      <c r="E3319" s="53"/>
      <c r="F3319" s="60"/>
      <c r="G3319" s="386"/>
      <c r="H3319" s="386"/>
      <c r="I3319" s="386"/>
      <c r="J3319" s="386"/>
      <c r="K3319" s="386"/>
      <c r="L3319" s="386"/>
      <c r="M3319" s="386"/>
    </row>
    <row r="3320" spans="1:14" s="52" customFormat="1" ht="27" hidden="1">
      <c r="A3320" s="41"/>
      <c r="B3320" s="1462"/>
      <c r="C3320" s="66" t="s">
        <v>362</v>
      </c>
      <c r="D3320" s="1041" t="s">
        <v>4</v>
      </c>
      <c r="E3320" s="53">
        <v>1</v>
      </c>
      <c r="F3320" s="60">
        <f>F3316*E3320</f>
        <v>0</v>
      </c>
      <c r="G3320" s="386">
        <v>85</v>
      </c>
      <c r="H3320" s="386">
        <f>F3320*G3320</f>
        <v>0</v>
      </c>
      <c r="I3320" s="386"/>
      <c r="J3320" s="386"/>
      <c r="K3320" s="386"/>
      <c r="L3320" s="386"/>
      <c r="M3320" s="386">
        <f>H3320+J3320+L3320</f>
        <v>0</v>
      </c>
    </row>
    <row r="3321" spans="1:14" s="52" customFormat="1" hidden="1">
      <c r="A3321" s="41"/>
      <c r="B3321" s="1450"/>
      <c r="C3321" s="66" t="s">
        <v>214</v>
      </c>
      <c r="D3321" s="86" t="s">
        <v>57</v>
      </c>
      <c r="E3321" s="53">
        <v>0.94</v>
      </c>
      <c r="F3321" s="60">
        <f>F3316*E3321</f>
        <v>0</v>
      </c>
      <c r="G3321" s="386">
        <v>3.2</v>
      </c>
      <c r="H3321" s="386">
        <f>F3321*G3321</f>
        <v>0</v>
      </c>
      <c r="I3321" s="386"/>
      <c r="J3321" s="386"/>
      <c r="K3321" s="386"/>
      <c r="L3321" s="386"/>
      <c r="M3321" s="386">
        <f>H3321+J3321+L3321</f>
        <v>0</v>
      </c>
    </row>
    <row r="3322" spans="1:14" s="464" customFormat="1" hidden="1">
      <c r="A3322" s="99"/>
      <c r="B3322" s="98"/>
      <c r="C3322" s="481" t="s">
        <v>359</v>
      </c>
      <c r="D3322" s="466"/>
      <c r="E3322" s="466"/>
      <c r="F3322" s="480"/>
      <c r="G3322" s="505"/>
      <c r="H3322" s="505">
        <f>SUM(H3271:H3321)</f>
        <v>0</v>
      </c>
      <c r="I3322" s="505"/>
      <c r="J3322" s="505">
        <f>SUM(J3271:J3321)</f>
        <v>0</v>
      </c>
      <c r="K3322" s="505"/>
      <c r="L3322" s="505">
        <f>SUM(L3271:L3321)</f>
        <v>0</v>
      </c>
      <c r="M3322" s="505">
        <f>SUM(M3271:M3321)</f>
        <v>0</v>
      </c>
    </row>
    <row r="3323" spans="1:14" s="464" customFormat="1" hidden="1">
      <c r="A3323" s="572"/>
      <c r="B3323" s="573"/>
      <c r="C3323" s="111" t="s">
        <v>1177</v>
      </c>
      <c r="D3323" s="483">
        <v>0.12</v>
      </c>
      <c r="E3323" s="466"/>
      <c r="F3323" s="480"/>
      <c r="G3323" s="505"/>
      <c r="H3323" s="505">
        <f t="shared" ref="H3323:M3323" si="83">H3322*0.12</f>
        <v>0</v>
      </c>
      <c r="I3323" s="505"/>
      <c r="J3323" s="505">
        <f t="shared" si="83"/>
        <v>0</v>
      </c>
      <c r="K3323" s="505"/>
      <c r="L3323" s="505">
        <f t="shared" si="83"/>
        <v>0</v>
      </c>
      <c r="M3323" s="505">
        <f t="shared" si="83"/>
        <v>0</v>
      </c>
    </row>
    <row r="3324" spans="1:14" s="464" customFormat="1" hidden="1">
      <c r="A3324" s="572"/>
      <c r="B3324" s="573"/>
      <c r="C3324" s="481" t="s">
        <v>110</v>
      </c>
      <c r="D3324" s="466"/>
      <c r="E3324" s="466"/>
      <c r="F3324" s="480"/>
      <c r="G3324" s="505"/>
      <c r="H3324" s="505">
        <f t="shared" ref="H3324:M3324" si="84">H3322+H3323</f>
        <v>0</v>
      </c>
      <c r="I3324" s="505"/>
      <c r="J3324" s="505">
        <f t="shared" si="84"/>
        <v>0</v>
      </c>
      <c r="K3324" s="505"/>
      <c r="L3324" s="505">
        <f t="shared" si="84"/>
        <v>0</v>
      </c>
      <c r="M3324" s="505">
        <f t="shared" si="84"/>
        <v>0</v>
      </c>
    </row>
    <row r="3325" spans="1:14" s="464" customFormat="1" hidden="1">
      <c r="A3325" s="574"/>
      <c r="B3325" s="575"/>
      <c r="C3325" s="111" t="s">
        <v>1157</v>
      </c>
      <c r="D3325" s="576">
        <v>0.08</v>
      </c>
      <c r="E3325" s="468"/>
      <c r="F3325" s="527"/>
      <c r="G3325" s="528"/>
      <c r="H3325" s="633">
        <f t="shared" ref="H3325:M3325" si="85">H3324*0.08</f>
        <v>0</v>
      </c>
      <c r="I3325" s="633"/>
      <c r="J3325" s="633">
        <f t="shared" si="85"/>
        <v>0</v>
      </c>
      <c r="K3325" s="633"/>
      <c r="L3325" s="633">
        <f t="shared" si="85"/>
        <v>0</v>
      </c>
      <c r="M3325" s="633">
        <f t="shared" si="85"/>
        <v>0</v>
      </c>
    </row>
    <row r="3326" spans="1:14" s="464" customFormat="1" hidden="1">
      <c r="A3326" s="99"/>
      <c r="B3326" s="98"/>
      <c r="C3326" s="481" t="s">
        <v>1230</v>
      </c>
      <c r="D3326" s="466"/>
      <c r="E3326" s="466"/>
      <c r="F3326" s="480"/>
      <c r="G3326" s="505"/>
      <c r="H3326" s="505">
        <f t="shared" ref="H3326:M3326" si="86">H3324+H3325</f>
        <v>0</v>
      </c>
      <c r="I3326" s="505"/>
      <c r="J3326" s="505">
        <f t="shared" si="86"/>
        <v>0</v>
      </c>
      <c r="K3326" s="505"/>
      <c r="L3326" s="505">
        <f t="shared" si="86"/>
        <v>0</v>
      </c>
      <c r="M3326" s="505">
        <f t="shared" si="86"/>
        <v>0</v>
      </c>
      <c r="N3326" s="559">
        <f>H3326+J3326+L3326</f>
        <v>0</v>
      </c>
    </row>
    <row r="3327" spans="1:14" s="464" customFormat="1" ht="15.75" hidden="1">
      <c r="A3327" s="469"/>
      <c r="B3327" s="470"/>
      <c r="C3327" s="485" t="s">
        <v>1231</v>
      </c>
      <c r="D3327" s="471"/>
      <c r="E3327" s="560"/>
      <c r="F3327" s="472"/>
      <c r="G3327" s="561"/>
      <c r="H3327" s="561"/>
      <c r="I3327" s="561"/>
      <c r="J3327" s="561"/>
      <c r="K3327" s="561"/>
      <c r="L3327" s="561"/>
      <c r="M3327" s="561"/>
    </row>
    <row r="3328" spans="1:14" s="464" customFormat="1" hidden="1">
      <c r="A3328" s="421">
        <v>1</v>
      </c>
      <c r="B3328" s="473" t="s">
        <v>479</v>
      </c>
      <c r="C3328" s="420" t="s">
        <v>1179</v>
      </c>
      <c r="D3328" s="577" t="s">
        <v>816</v>
      </c>
      <c r="E3328" s="421"/>
      <c r="F3328" s="456">
        <f>'დეფექტური აქტი'!E831</f>
        <v>0</v>
      </c>
      <c r="G3328" s="425"/>
      <c r="H3328" s="425"/>
      <c r="I3328" s="425"/>
      <c r="J3328" s="425"/>
      <c r="K3328" s="425"/>
      <c r="L3328" s="425"/>
      <c r="M3328" s="425"/>
    </row>
    <row r="3329" spans="1:13" s="464" customFormat="1" hidden="1">
      <c r="A3329" s="330"/>
      <c r="B3329" s="340"/>
      <c r="C3329" s="335" t="s">
        <v>209</v>
      </c>
      <c r="D3329" s="336" t="s">
        <v>80</v>
      </c>
      <c r="E3329" s="336">
        <v>1</v>
      </c>
      <c r="F3329" s="379">
        <f>F3328*E3329</f>
        <v>0</v>
      </c>
      <c r="G3329" s="389"/>
      <c r="H3329" s="389"/>
      <c r="I3329" s="389">
        <v>6</v>
      </c>
      <c r="J3329" s="389">
        <f>F3329*I3329</f>
        <v>0</v>
      </c>
      <c r="K3329" s="389"/>
      <c r="L3329" s="389"/>
      <c r="M3329" s="389">
        <f>H3329+J3329+L3329</f>
        <v>0</v>
      </c>
    </row>
    <row r="3330" spans="1:13" s="464" customFormat="1" hidden="1">
      <c r="A3330" s="330"/>
      <c r="B3330" s="336"/>
      <c r="C3330" s="335" t="s">
        <v>133</v>
      </c>
      <c r="D3330" s="336" t="s">
        <v>57</v>
      </c>
      <c r="E3330" s="330">
        <v>0.05</v>
      </c>
      <c r="F3330" s="350">
        <f>F3328*E3330</f>
        <v>0</v>
      </c>
      <c r="G3330" s="389"/>
      <c r="H3330" s="389"/>
      <c r="I3330" s="389"/>
      <c r="J3330" s="389"/>
      <c r="K3330" s="389">
        <v>3.2</v>
      </c>
      <c r="L3330" s="389">
        <f>F3330*K3330</f>
        <v>0</v>
      </c>
      <c r="M3330" s="389">
        <f>H3330+J3330+L3330</f>
        <v>0</v>
      </c>
    </row>
    <row r="3331" spans="1:13" s="464" customFormat="1" hidden="1">
      <c r="A3331" s="330"/>
      <c r="B3331" s="340"/>
      <c r="C3331" s="335" t="s">
        <v>210</v>
      </c>
      <c r="D3331" s="336"/>
      <c r="E3331" s="336"/>
      <c r="F3331" s="379"/>
      <c r="G3331" s="389"/>
      <c r="H3331" s="389"/>
      <c r="I3331" s="389"/>
      <c r="J3331" s="389"/>
      <c r="K3331" s="389"/>
      <c r="L3331" s="389"/>
      <c r="M3331" s="389"/>
    </row>
    <row r="3332" spans="1:13" s="464" customFormat="1" hidden="1">
      <c r="A3332" s="330"/>
      <c r="B3332" s="340"/>
      <c r="C3332" s="335" t="s">
        <v>480</v>
      </c>
      <c r="D3332" s="578" t="s">
        <v>816</v>
      </c>
      <c r="E3332" s="336">
        <v>1</v>
      </c>
      <c r="F3332" s="379">
        <f>F3328*E3332</f>
        <v>0</v>
      </c>
      <c r="G3332" s="389">
        <v>6.8</v>
      </c>
      <c r="H3332" s="389">
        <f>F3332*G3332</f>
        <v>0</v>
      </c>
      <c r="I3332" s="389"/>
      <c r="J3332" s="389"/>
      <c r="K3332" s="389"/>
      <c r="L3332" s="389"/>
      <c r="M3332" s="389">
        <f>H3332+J3332+L3332</f>
        <v>0</v>
      </c>
    </row>
    <row r="3333" spans="1:13" s="464" customFormat="1" hidden="1">
      <c r="A3333" s="330"/>
      <c r="B3333" s="340"/>
      <c r="C3333" s="335" t="s">
        <v>214</v>
      </c>
      <c r="D3333" s="336" t="s">
        <v>57</v>
      </c>
      <c r="E3333" s="336">
        <v>1.07</v>
      </c>
      <c r="F3333" s="350">
        <f>F3328*E3333</f>
        <v>0</v>
      </c>
      <c r="G3333" s="389">
        <v>3.2</v>
      </c>
      <c r="H3333" s="389">
        <f>F3333*G3333</f>
        <v>0</v>
      </c>
      <c r="I3333" s="389"/>
      <c r="J3333" s="389"/>
      <c r="K3333" s="389"/>
      <c r="L3333" s="389"/>
      <c r="M3333" s="389">
        <f>H3333+J3333+L3333</f>
        <v>0</v>
      </c>
    </row>
    <row r="3334" spans="1:13" s="464" customFormat="1" ht="27" hidden="1">
      <c r="A3334" s="421">
        <v>2</v>
      </c>
      <c r="B3334" s="579" t="s">
        <v>575</v>
      </c>
      <c r="C3334" s="549" t="s">
        <v>1180</v>
      </c>
      <c r="D3334" s="473" t="s">
        <v>816</v>
      </c>
      <c r="E3334" s="421"/>
      <c r="F3334" s="456">
        <f>'დეფექტური აქტი'!E832</f>
        <v>0</v>
      </c>
      <c r="G3334" s="425"/>
      <c r="H3334" s="425"/>
      <c r="I3334" s="425"/>
      <c r="J3334" s="425"/>
      <c r="K3334" s="425"/>
      <c r="L3334" s="425"/>
      <c r="M3334" s="425"/>
    </row>
    <row r="3335" spans="1:13" s="464" customFormat="1" hidden="1">
      <c r="A3335" s="580"/>
      <c r="B3335" s="328"/>
      <c r="C3335" s="335" t="s">
        <v>128</v>
      </c>
      <c r="D3335" s="336" t="s">
        <v>80</v>
      </c>
      <c r="E3335" s="336">
        <v>0.63</v>
      </c>
      <c r="F3335" s="379">
        <f>F3334*E3335</f>
        <v>0</v>
      </c>
      <c r="G3335" s="389"/>
      <c r="H3335" s="389"/>
      <c r="I3335" s="389">
        <v>6</v>
      </c>
      <c r="J3335" s="389">
        <f>F3335*I3335</f>
        <v>0</v>
      </c>
      <c r="K3335" s="389"/>
      <c r="L3335" s="389"/>
      <c r="M3335" s="389">
        <f>H3335+J3335+L3335</f>
        <v>0</v>
      </c>
    </row>
    <row r="3336" spans="1:13" s="464" customFormat="1" hidden="1">
      <c r="A3336" s="580"/>
      <c r="B3336" s="416"/>
      <c r="C3336" s="335" t="s">
        <v>133</v>
      </c>
      <c r="D3336" s="336" t="s">
        <v>57</v>
      </c>
      <c r="E3336" s="330">
        <v>8.9999999999999993E-3</v>
      </c>
      <c r="F3336" s="350">
        <f>F3334*E3336</f>
        <v>0</v>
      </c>
      <c r="G3336" s="389"/>
      <c r="H3336" s="389"/>
      <c r="I3336" s="389"/>
      <c r="J3336" s="389"/>
      <c r="K3336" s="389">
        <v>3.2</v>
      </c>
      <c r="L3336" s="389">
        <f>F3336*K3336</f>
        <v>0</v>
      </c>
      <c r="M3336" s="389">
        <f>H3336+J3336+L3336</f>
        <v>0</v>
      </c>
    </row>
    <row r="3337" spans="1:13" s="464" customFormat="1" hidden="1">
      <c r="A3337" s="580"/>
      <c r="B3337" s="328"/>
      <c r="C3337" s="335" t="s">
        <v>210</v>
      </c>
      <c r="D3337" s="336"/>
      <c r="E3337" s="336"/>
      <c r="F3337" s="379"/>
      <c r="G3337" s="389"/>
      <c r="H3337" s="389"/>
      <c r="I3337" s="389"/>
      <c r="J3337" s="389"/>
      <c r="K3337" s="389"/>
      <c r="L3337" s="389"/>
      <c r="M3337" s="389"/>
    </row>
    <row r="3338" spans="1:13" s="464" customFormat="1" hidden="1">
      <c r="A3338" s="580"/>
      <c r="B3338" s="328"/>
      <c r="C3338" s="335" t="s">
        <v>1232</v>
      </c>
      <c r="D3338" s="336" t="s">
        <v>816</v>
      </c>
      <c r="E3338" s="336">
        <v>1</v>
      </c>
      <c r="F3338" s="379">
        <f>F3334*E3338</f>
        <v>0</v>
      </c>
      <c r="G3338" s="389">
        <v>15</v>
      </c>
      <c r="H3338" s="389">
        <f>F3338*G3338</f>
        <v>0</v>
      </c>
      <c r="I3338" s="389"/>
      <c r="J3338" s="389"/>
      <c r="K3338" s="389"/>
      <c r="L3338" s="389"/>
      <c r="M3338" s="389">
        <f>H3338+J3338+L3338</f>
        <v>0</v>
      </c>
    </row>
    <row r="3339" spans="1:13" s="464" customFormat="1" hidden="1">
      <c r="A3339" s="580"/>
      <c r="B3339" s="328"/>
      <c r="C3339" s="335" t="s">
        <v>214</v>
      </c>
      <c r="D3339" s="336" t="s">
        <v>57</v>
      </c>
      <c r="E3339" s="336">
        <v>0.67100000000000004</v>
      </c>
      <c r="F3339" s="350">
        <f>F3334*E3339</f>
        <v>0</v>
      </c>
      <c r="G3339" s="389">
        <v>3.2</v>
      </c>
      <c r="H3339" s="389">
        <f>F3339*G3339</f>
        <v>0</v>
      </c>
      <c r="I3339" s="389"/>
      <c r="J3339" s="389"/>
      <c r="K3339" s="389"/>
      <c r="L3339" s="389"/>
      <c r="M3339" s="389">
        <f>H3339+J3339+L3339</f>
        <v>0</v>
      </c>
    </row>
    <row r="3340" spans="1:13" s="464" customFormat="1" hidden="1">
      <c r="A3340" s="99">
        <v>3</v>
      </c>
      <c r="B3340" s="98"/>
      <c r="C3340" s="125" t="s">
        <v>1181</v>
      </c>
      <c r="D3340" s="126" t="s">
        <v>816</v>
      </c>
      <c r="E3340" s="581"/>
      <c r="F3340" s="456">
        <f>'დეფექტური აქტი'!E833</f>
        <v>0</v>
      </c>
      <c r="G3340" s="501">
        <v>0.5</v>
      </c>
      <c r="H3340" s="501">
        <f>F3340*G3340</f>
        <v>0</v>
      </c>
      <c r="I3340" s="501"/>
      <c r="J3340" s="501"/>
      <c r="K3340" s="501"/>
      <c r="L3340" s="501"/>
      <c r="M3340" s="501">
        <f>H3340+J3340+L3340</f>
        <v>0</v>
      </c>
    </row>
    <row r="3341" spans="1:13" s="464" customFormat="1" hidden="1">
      <c r="A3341" s="99">
        <v>3</v>
      </c>
      <c r="B3341" s="98"/>
      <c r="C3341" s="268" t="s">
        <v>1555</v>
      </c>
      <c r="D3341" s="126" t="s">
        <v>816</v>
      </c>
      <c r="E3341" s="581"/>
      <c r="F3341" s="456">
        <f>'დეფექტური აქტი'!E835</f>
        <v>0</v>
      </c>
      <c r="G3341" s="501">
        <v>2.5</v>
      </c>
      <c r="H3341" s="501">
        <f>F3341*G3341</f>
        <v>0</v>
      </c>
      <c r="I3341" s="501"/>
      <c r="J3341" s="501"/>
      <c r="K3341" s="501"/>
      <c r="L3341" s="501"/>
      <c r="M3341" s="501">
        <f>H3341+J3341+L3341</f>
        <v>0</v>
      </c>
    </row>
    <row r="3342" spans="1:13" s="93" customFormat="1" ht="27" hidden="1">
      <c r="A3342" s="140">
        <v>4</v>
      </c>
      <c r="B3342" s="1456" t="s">
        <v>481</v>
      </c>
      <c r="C3342" s="266" t="s">
        <v>731</v>
      </c>
      <c r="D3342" s="140" t="s">
        <v>113</v>
      </c>
      <c r="E3342" s="271"/>
      <c r="F3342" s="456">
        <f>'დეფექტური აქტი'!E834</f>
        <v>0</v>
      </c>
      <c r="G3342" s="422"/>
      <c r="H3342" s="422"/>
      <c r="I3342" s="422"/>
      <c r="J3342" s="422"/>
      <c r="K3342" s="422"/>
      <c r="L3342" s="422"/>
      <c r="M3342" s="422"/>
    </row>
    <row r="3343" spans="1:13" s="93" customFormat="1" hidden="1">
      <c r="A3343" s="83"/>
      <c r="B3343" s="1457"/>
      <c r="C3343" s="226" t="s">
        <v>209</v>
      </c>
      <c r="D3343" s="211" t="s">
        <v>80</v>
      </c>
      <c r="E3343" s="211">
        <v>0.97</v>
      </c>
      <c r="F3343" s="60">
        <f>F3342*E3343</f>
        <v>0</v>
      </c>
      <c r="G3343" s="225"/>
      <c r="H3343" s="225"/>
      <c r="I3343" s="225">
        <v>6</v>
      </c>
      <c r="J3343" s="225">
        <f>F3343*I3343</f>
        <v>0</v>
      </c>
      <c r="K3343" s="225"/>
      <c r="L3343" s="225"/>
      <c r="M3343" s="225">
        <f>H3343+J3343+L3343</f>
        <v>0</v>
      </c>
    </row>
    <row r="3344" spans="1:13" s="93" customFormat="1" hidden="1">
      <c r="A3344" s="83"/>
      <c r="B3344" s="1457"/>
      <c r="C3344" s="226" t="s">
        <v>133</v>
      </c>
      <c r="D3344" s="83" t="s">
        <v>57</v>
      </c>
      <c r="E3344" s="83">
        <v>0.34899999999999998</v>
      </c>
      <c r="F3344" s="60">
        <f>F3342*E3344</f>
        <v>0</v>
      </c>
      <c r="G3344" s="225"/>
      <c r="H3344" s="225"/>
      <c r="I3344" s="225"/>
      <c r="J3344" s="225"/>
      <c r="K3344" s="225">
        <v>3.2</v>
      </c>
      <c r="L3344" s="225">
        <f>F3344*K3344</f>
        <v>0</v>
      </c>
      <c r="M3344" s="225">
        <f>H3344+J3344+L3344</f>
        <v>0</v>
      </c>
    </row>
    <row r="3345" spans="1:13" s="88" customFormat="1" hidden="1">
      <c r="A3345" s="83"/>
      <c r="B3345" s="1457"/>
      <c r="C3345" s="365" t="s">
        <v>210</v>
      </c>
      <c r="D3345" s="211"/>
      <c r="E3345" s="211"/>
      <c r="F3345" s="60"/>
      <c r="G3345" s="225"/>
      <c r="H3345" s="225"/>
      <c r="I3345" s="225"/>
      <c r="J3345" s="225"/>
      <c r="K3345" s="225"/>
      <c r="L3345" s="225"/>
      <c r="M3345" s="225"/>
    </row>
    <row r="3346" spans="1:13" s="93" customFormat="1" hidden="1">
      <c r="A3346" s="83"/>
      <c r="B3346" s="1457"/>
      <c r="C3346" s="84" t="s">
        <v>1328</v>
      </c>
      <c r="D3346" s="83" t="s">
        <v>113</v>
      </c>
      <c r="E3346" s="211">
        <v>1</v>
      </c>
      <c r="F3346" s="60">
        <f>F3342*E3346</f>
        <v>0</v>
      </c>
      <c r="G3346" s="225">
        <v>15</v>
      </c>
      <c r="H3346" s="225">
        <f>F3346*G3346</f>
        <v>0</v>
      </c>
      <c r="I3346" s="225"/>
      <c r="J3346" s="225"/>
      <c r="K3346" s="225"/>
      <c r="L3346" s="225"/>
      <c r="M3346" s="225">
        <f>H3346+J3346+L3346</f>
        <v>0</v>
      </c>
    </row>
    <row r="3347" spans="1:13" s="93" customFormat="1" hidden="1">
      <c r="A3347" s="86"/>
      <c r="B3347" s="1458"/>
      <c r="C3347" s="229" t="s">
        <v>214</v>
      </c>
      <c r="D3347" s="86" t="s">
        <v>57</v>
      </c>
      <c r="E3347" s="230">
        <v>0.38200000000000001</v>
      </c>
      <c r="F3347" s="61">
        <f>F3342*E3347</f>
        <v>0</v>
      </c>
      <c r="G3347" s="393">
        <v>3.2</v>
      </c>
      <c r="H3347" s="393">
        <f>F3347*G3347</f>
        <v>0</v>
      </c>
      <c r="I3347" s="393"/>
      <c r="J3347" s="393"/>
      <c r="K3347" s="393"/>
      <c r="L3347" s="393"/>
      <c r="M3347" s="393">
        <f>H3347+J3347+L3347</f>
        <v>0</v>
      </c>
    </row>
    <row r="3348" spans="1:13" s="464" customFormat="1" ht="27" hidden="1">
      <c r="A3348" s="330">
        <v>5</v>
      </c>
      <c r="B3348" s="336" t="s">
        <v>357</v>
      </c>
      <c r="C3348" s="329" t="s">
        <v>466</v>
      </c>
      <c r="D3348" s="578" t="s">
        <v>816</v>
      </c>
      <c r="E3348" s="330"/>
      <c r="F3348" s="456">
        <f>'დეფექტური აქტი'!E836</f>
        <v>0</v>
      </c>
      <c r="G3348" s="389"/>
      <c r="H3348" s="389"/>
      <c r="I3348" s="389"/>
      <c r="J3348" s="389"/>
      <c r="K3348" s="389"/>
      <c r="L3348" s="389"/>
      <c r="M3348" s="389"/>
    </row>
    <row r="3349" spans="1:13" s="464" customFormat="1" hidden="1">
      <c r="A3349" s="330"/>
      <c r="B3349" s="340"/>
      <c r="C3349" s="335" t="s">
        <v>209</v>
      </c>
      <c r="D3349" s="336" t="s">
        <v>80</v>
      </c>
      <c r="E3349" s="336">
        <v>0.68</v>
      </c>
      <c r="F3349" s="379">
        <f>F3348*E3349</f>
        <v>0</v>
      </c>
      <c r="G3349" s="389"/>
      <c r="H3349" s="389"/>
      <c r="I3349" s="389">
        <v>6</v>
      </c>
      <c r="J3349" s="389">
        <f>F3349*I3349</f>
        <v>0</v>
      </c>
      <c r="K3349" s="389"/>
      <c r="L3349" s="389"/>
      <c r="M3349" s="389">
        <f>H3349+J3349+L3349</f>
        <v>0</v>
      </c>
    </row>
    <row r="3350" spans="1:13" s="464" customFormat="1" hidden="1">
      <c r="A3350" s="330"/>
      <c r="B3350" s="336"/>
      <c r="C3350" s="335" t="s">
        <v>133</v>
      </c>
      <c r="D3350" s="336" t="s">
        <v>57</v>
      </c>
      <c r="E3350" s="330">
        <v>1.0999999999999999E-2</v>
      </c>
      <c r="F3350" s="350">
        <f>F3348*E3350</f>
        <v>0</v>
      </c>
      <c r="G3350" s="389"/>
      <c r="H3350" s="389"/>
      <c r="I3350" s="389"/>
      <c r="J3350" s="389"/>
      <c r="K3350" s="389">
        <v>3.2</v>
      </c>
      <c r="L3350" s="389">
        <f>F3350*K3350</f>
        <v>0</v>
      </c>
      <c r="M3350" s="389">
        <f>H3350+J3350+L3350</f>
        <v>0</v>
      </c>
    </row>
    <row r="3351" spans="1:13" s="464" customFormat="1" hidden="1">
      <c r="A3351" s="330"/>
      <c r="B3351" s="340"/>
      <c r="C3351" s="335" t="s">
        <v>210</v>
      </c>
      <c r="D3351" s="336"/>
      <c r="E3351" s="336"/>
      <c r="F3351" s="379"/>
      <c r="G3351" s="389"/>
      <c r="H3351" s="389"/>
      <c r="I3351" s="389"/>
      <c r="J3351" s="389"/>
      <c r="K3351" s="389"/>
      <c r="L3351" s="389"/>
      <c r="M3351" s="389"/>
    </row>
    <row r="3352" spans="1:13" s="464" customFormat="1" hidden="1">
      <c r="A3352" s="330"/>
      <c r="B3352" s="340"/>
      <c r="C3352" s="335" t="s">
        <v>561</v>
      </c>
      <c r="D3352" s="578" t="s">
        <v>816</v>
      </c>
      <c r="E3352" s="336">
        <v>1</v>
      </c>
      <c r="F3352" s="379">
        <f>F3348*E3352</f>
        <v>0</v>
      </c>
      <c r="G3352" s="389">
        <v>2.5</v>
      </c>
      <c r="H3352" s="389">
        <f>F3352*G3352</f>
        <v>0</v>
      </c>
      <c r="I3352" s="389"/>
      <c r="J3352" s="389"/>
      <c r="K3352" s="389"/>
      <c r="L3352" s="389"/>
      <c r="M3352" s="389">
        <f>H3352+J3352+L3352</f>
        <v>0</v>
      </c>
    </row>
    <row r="3353" spans="1:13" s="464" customFormat="1" hidden="1">
      <c r="A3353" s="419"/>
      <c r="B3353" s="343"/>
      <c r="C3353" s="551" t="s">
        <v>214</v>
      </c>
      <c r="D3353" s="342" t="s">
        <v>57</v>
      </c>
      <c r="E3353" s="342">
        <v>0.10299999999999999</v>
      </c>
      <c r="F3353" s="372">
        <f>F3348*E3353</f>
        <v>0</v>
      </c>
      <c r="G3353" s="392">
        <v>3.2</v>
      </c>
      <c r="H3353" s="392">
        <f>F3353*G3353</f>
        <v>0</v>
      </c>
      <c r="I3353" s="392"/>
      <c r="J3353" s="392"/>
      <c r="K3353" s="392"/>
      <c r="L3353" s="392"/>
      <c r="M3353" s="392">
        <f>H3353+J3353+L3353</f>
        <v>0</v>
      </c>
    </row>
    <row r="3354" spans="1:13" s="464" customFormat="1" ht="27" hidden="1">
      <c r="A3354" s="330">
        <v>6</v>
      </c>
      <c r="B3354" s="336" t="s">
        <v>372</v>
      </c>
      <c r="C3354" s="329" t="s">
        <v>1182</v>
      </c>
      <c r="D3354" s="336" t="s">
        <v>122</v>
      </c>
      <c r="E3354" s="330"/>
      <c r="F3354" s="456">
        <f>'დეფექტური აქტი'!E837</f>
        <v>0</v>
      </c>
      <c r="G3354" s="389"/>
      <c r="H3354" s="389"/>
      <c r="I3354" s="389"/>
      <c r="J3354" s="389"/>
      <c r="K3354" s="389"/>
      <c r="L3354" s="389"/>
      <c r="M3354" s="389"/>
    </row>
    <row r="3355" spans="1:13" s="464" customFormat="1" hidden="1">
      <c r="A3355" s="330"/>
      <c r="B3355" s="340"/>
      <c r="C3355" s="335" t="s">
        <v>209</v>
      </c>
      <c r="D3355" s="336" t="s">
        <v>80</v>
      </c>
      <c r="E3355" s="336">
        <v>0.13</v>
      </c>
      <c r="F3355" s="379">
        <f>F3354*E3355</f>
        <v>0</v>
      </c>
      <c r="G3355" s="389"/>
      <c r="H3355" s="389"/>
      <c r="I3355" s="389">
        <v>4.5999999999999996</v>
      </c>
      <c r="J3355" s="389">
        <f>F3355*I3355</f>
        <v>0</v>
      </c>
      <c r="K3355" s="389"/>
      <c r="L3355" s="389"/>
      <c r="M3355" s="389">
        <f>H3355+J3355+L3355</f>
        <v>0</v>
      </c>
    </row>
    <row r="3356" spans="1:13" s="464" customFormat="1" hidden="1">
      <c r="A3356" s="330"/>
      <c r="B3356" s="336"/>
      <c r="C3356" s="335" t="s">
        <v>133</v>
      </c>
      <c r="D3356" s="336" t="s">
        <v>57</v>
      </c>
      <c r="E3356" s="330">
        <v>3.7100000000000001E-2</v>
      </c>
      <c r="F3356" s="350">
        <f>F3354*E3356</f>
        <v>0</v>
      </c>
      <c r="G3356" s="389"/>
      <c r="H3356" s="389"/>
      <c r="I3356" s="389"/>
      <c r="J3356" s="389"/>
      <c r="K3356" s="389">
        <v>3.2</v>
      </c>
      <c r="L3356" s="389">
        <f>F3356*K3356</f>
        <v>0</v>
      </c>
      <c r="M3356" s="389">
        <f>J3356+H3356+L3356</f>
        <v>0</v>
      </c>
    </row>
    <row r="3357" spans="1:13" s="464" customFormat="1" hidden="1">
      <c r="A3357" s="330"/>
      <c r="B3357" s="340"/>
      <c r="C3357" s="335" t="s">
        <v>210</v>
      </c>
      <c r="D3357" s="336"/>
      <c r="E3357" s="336"/>
      <c r="F3357" s="350"/>
      <c r="G3357" s="389"/>
      <c r="H3357" s="389"/>
      <c r="I3357" s="389"/>
      <c r="J3357" s="389"/>
      <c r="K3357" s="389"/>
      <c r="L3357" s="389"/>
      <c r="M3357" s="389"/>
    </row>
    <row r="3358" spans="1:13" s="464" customFormat="1" ht="27" hidden="1">
      <c r="A3358" s="330"/>
      <c r="B3358" s="340"/>
      <c r="C3358" s="329" t="s">
        <v>470</v>
      </c>
      <c r="D3358" s="336" t="s">
        <v>122</v>
      </c>
      <c r="E3358" s="336">
        <v>1</v>
      </c>
      <c r="F3358" s="350">
        <f>F3354*E3358</f>
        <v>0</v>
      </c>
      <c r="G3358" s="389">
        <v>1.19</v>
      </c>
      <c r="H3358" s="389">
        <f>F3358*G3358</f>
        <v>0</v>
      </c>
      <c r="I3358" s="389"/>
      <c r="J3358" s="389"/>
      <c r="K3358" s="389"/>
      <c r="L3358" s="389"/>
      <c r="M3358" s="389">
        <f>H3358+J3358+L3358</f>
        <v>0</v>
      </c>
    </row>
    <row r="3359" spans="1:13" s="464" customFormat="1" hidden="1">
      <c r="A3359" s="330"/>
      <c r="B3359" s="340"/>
      <c r="C3359" s="335" t="s">
        <v>214</v>
      </c>
      <c r="D3359" s="336" t="s">
        <v>57</v>
      </c>
      <c r="E3359" s="336">
        <v>1.44E-2</v>
      </c>
      <c r="F3359" s="350">
        <f>F3354*E3359</f>
        <v>0</v>
      </c>
      <c r="G3359" s="389">
        <v>3.2</v>
      </c>
      <c r="H3359" s="389">
        <f>F3359*G3359</f>
        <v>0</v>
      </c>
      <c r="I3359" s="389"/>
      <c r="J3359" s="389"/>
      <c r="K3359" s="389"/>
      <c r="L3359" s="389"/>
      <c r="M3359" s="389">
        <f>J3359+H3359+L3359</f>
        <v>0</v>
      </c>
    </row>
    <row r="3360" spans="1:13" s="464" customFormat="1" ht="27" hidden="1">
      <c r="A3360" s="421">
        <v>7</v>
      </c>
      <c r="B3360" s="582" t="s">
        <v>565</v>
      </c>
      <c r="C3360" s="420" t="s">
        <v>1183</v>
      </c>
      <c r="D3360" s="473" t="s">
        <v>876</v>
      </c>
      <c r="E3360" s="421"/>
      <c r="F3360" s="456">
        <f>'დეფექტური აქტი'!E838</f>
        <v>0</v>
      </c>
      <c r="G3360" s="425"/>
      <c r="H3360" s="425"/>
      <c r="I3360" s="425"/>
      <c r="J3360" s="425"/>
      <c r="K3360" s="425"/>
      <c r="L3360" s="425"/>
      <c r="M3360" s="425"/>
    </row>
    <row r="3361" spans="1:255" s="464" customFormat="1" hidden="1">
      <c r="A3361" s="330"/>
      <c r="B3361" s="583"/>
      <c r="C3361" s="335" t="s">
        <v>209</v>
      </c>
      <c r="D3361" s="336" t="s">
        <v>80</v>
      </c>
      <c r="E3361" s="336">
        <v>0.26</v>
      </c>
      <c r="F3361" s="350">
        <f>F3360*E3361</f>
        <v>0</v>
      </c>
      <c r="G3361" s="389"/>
      <c r="H3361" s="389"/>
      <c r="I3361" s="389">
        <v>4.5999999999999996</v>
      </c>
      <c r="J3361" s="389">
        <f>F3361*I3361</f>
        <v>0</v>
      </c>
      <c r="K3361" s="389"/>
      <c r="L3361" s="389"/>
      <c r="M3361" s="389">
        <f>H3361+J3361+L3361</f>
        <v>0</v>
      </c>
    </row>
    <row r="3362" spans="1:255" s="464" customFormat="1" hidden="1">
      <c r="A3362" s="330"/>
      <c r="B3362" s="584"/>
      <c r="C3362" s="335" t="s">
        <v>133</v>
      </c>
      <c r="D3362" s="336" t="s">
        <v>57</v>
      </c>
      <c r="E3362" s="330">
        <v>0.122</v>
      </c>
      <c r="F3362" s="350">
        <f>F3360*E3362</f>
        <v>0</v>
      </c>
      <c r="G3362" s="389"/>
      <c r="H3362" s="389"/>
      <c r="I3362" s="389"/>
      <c r="J3362" s="389"/>
      <c r="K3362" s="389">
        <v>3.2</v>
      </c>
      <c r="L3362" s="389">
        <f>F3362*K3362</f>
        <v>0</v>
      </c>
      <c r="M3362" s="389">
        <f>H3362+J3362+L3362</f>
        <v>0</v>
      </c>
    </row>
    <row r="3363" spans="1:255" s="464" customFormat="1" hidden="1">
      <c r="A3363" s="330"/>
      <c r="B3363" s="583"/>
      <c r="C3363" s="335" t="s">
        <v>210</v>
      </c>
      <c r="D3363" s="336"/>
      <c r="E3363" s="336"/>
      <c r="F3363" s="350"/>
      <c r="G3363" s="389"/>
      <c r="H3363" s="389"/>
      <c r="I3363" s="389"/>
      <c r="J3363" s="389"/>
      <c r="K3363" s="389"/>
      <c r="L3363" s="389"/>
      <c r="M3363" s="389"/>
    </row>
    <row r="3364" spans="1:255" s="464" customFormat="1" hidden="1">
      <c r="A3364" s="330"/>
      <c r="B3364" s="583"/>
      <c r="C3364" s="329" t="s">
        <v>1233</v>
      </c>
      <c r="D3364" s="336" t="s">
        <v>876</v>
      </c>
      <c r="E3364" s="336">
        <v>1</v>
      </c>
      <c r="F3364" s="350">
        <f>F3360*E3364</f>
        <v>0</v>
      </c>
      <c r="G3364" s="389">
        <v>0.34</v>
      </c>
      <c r="H3364" s="389">
        <f>F3364*G3364</f>
        <v>0</v>
      </c>
      <c r="I3364" s="389"/>
      <c r="J3364" s="389"/>
      <c r="K3364" s="389"/>
      <c r="L3364" s="389"/>
      <c r="M3364" s="389">
        <f>H3364+J3364+L3364</f>
        <v>0</v>
      </c>
    </row>
    <row r="3365" spans="1:255" s="464" customFormat="1" hidden="1">
      <c r="A3365" s="330"/>
      <c r="B3365" s="583"/>
      <c r="C3365" s="335" t="s">
        <v>214</v>
      </c>
      <c r="D3365" s="336" t="s">
        <v>57</v>
      </c>
      <c r="E3365" s="336">
        <v>8.2000000000000003E-2</v>
      </c>
      <c r="F3365" s="350">
        <f>F3360*E3365</f>
        <v>0</v>
      </c>
      <c r="G3365" s="389">
        <v>3.2</v>
      </c>
      <c r="H3365" s="389">
        <f>F3365*G3365</f>
        <v>0</v>
      </c>
      <c r="I3365" s="389"/>
      <c r="J3365" s="389"/>
      <c r="K3365" s="389"/>
      <c r="L3365" s="389"/>
      <c r="M3365" s="389">
        <f>H3365+J3365+L3365</f>
        <v>0</v>
      </c>
    </row>
    <row r="3366" spans="1:255" s="464" customFormat="1" hidden="1">
      <c r="A3366" s="490"/>
      <c r="B3366" s="504"/>
      <c r="C3366" s="491" t="s">
        <v>359</v>
      </c>
      <c r="D3366" s="479"/>
      <c r="E3366" s="479"/>
      <c r="F3366" s="480"/>
      <c r="G3366" s="505"/>
      <c r="H3366" s="505">
        <f>SUM(H3328:H3365)</f>
        <v>0</v>
      </c>
      <c r="I3366" s="505"/>
      <c r="J3366" s="505">
        <f>SUM(J3328:J3365)</f>
        <v>0</v>
      </c>
      <c r="K3366" s="505"/>
      <c r="L3366" s="505">
        <f>SUM(L3328:L3365)</f>
        <v>0</v>
      </c>
      <c r="M3366" s="505">
        <f>SUM(M3328:M3365)</f>
        <v>0</v>
      </c>
    </row>
    <row r="3367" spans="1:255" s="464" customFormat="1" hidden="1">
      <c r="A3367" s="466"/>
      <c r="B3367" s="504"/>
      <c r="C3367" s="492" t="s">
        <v>1234</v>
      </c>
      <c r="D3367" s="493">
        <v>0.75</v>
      </c>
      <c r="E3367" s="479"/>
      <c r="F3367" s="480"/>
      <c r="G3367" s="505"/>
      <c r="H3367" s="505"/>
      <c r="I3367" s="505"/>
      <c r="J3367" s="505">
        <f>J3366*0.75</f>
        <v>0</v>
      </c>
      <c r="K3367" s="505"/>
      <c r="L3367" s="505"/>
      <c r="M3367" s="505">
        <f>J3367</f>
        <v>0</v>
      </c>
    </row>
    <row r="3368" spans="1:255" s="464" customFormat="1" hidden="1">
      <c r="A3368" s="466"/>
      <c r="B3368" s="504"/>
      <c r="C3368" s="491" t="s">
        <v>359</v>
      </c>
      <c r="D3368" s="479"/>
      <c r="E3368" s="479"/>
      <c r="F3368" s="480"/>
      <c r="G3368" s="505"/>
      <c r="H3368" s="505">
        <f>H3366+H3367</f>
        <v>0</v>
      </c>
      <c r="I3368" s="505"/>
      <c r="J3368" s="505">
        <f>J3366+J3367</f>
        <v>0</v>
      </c>
      <c r="K3368" s="505"/>
      <c r="L3368" s="505">
        <f>L3366+L3367</f>
        <v>0</v>
      </c>
      <c r="M3368" s="505">
        <f>M3366+M3367</f>
        <v>0</v>
      </c>
    </row>
    <row r="3369" spans="1:255" s="464" customFormat="1" hidden="1">
      <c r="A3369" s="466"/>
      <c r="B3369" s="479"/>
      <c r="C3369" s="111" t="s">
        <v>1157</v>
      </c>
      <c r="D3369" s="483">
        <v>0.08</v>
      </c>
      <c r="E3369" s="558"/>
      <c r="F3369" s="494"/>
      <c r="G3369" s="505"/>
      <c r="H3369" s="505">
        <f>(H3368)*0.08</f>
        <v>0</v>
      </c>
      <c r="I3369" s="505"/>
      <c r="J3369" s="505">
        <f>(J3368)*0.08</f>
        <v>0</v>
      </c>
      <c r="K3369" s="505"/>
      <c r="L3369" s="505">
        <f>(L3368)*0.08</f>
        <v>0</v>
      </c>
      <c r="M3369" s="505">
        <f>(M3368)*0.08</f>
        <v>0</v>
      </c>
    </row>
    <row r="3370" spans="1:255" s="464" customFormat="1" hidden="1">
      <c r="A3370" s="466"/>
      <c r="B3370" s="479"/>
      <c r="C3370" s="481" t="s">
        <v>1235</v>
      </c>
      <c r="D3370" s="466"/>
      <c r="E3370" s="558"/>
      <c r="F3370" s="494"/>
      <c r="G3370" s="505"/>
      <c r="H3370" s="505">
        <f>SUM(H3368:H3369)</f>
        <v>0</v>
      </c>
      <c r="I3370" s="505"/>
      <c r="J3370" s="505">
        <f>SUM(J3368:J3369)</f>
        <v>0</v>
      </c>
      <c r="K3370" s="505"/>
      <c r="L3370" s="505">
        <f>SUM(L3368:L3369)</f>
        <v>0</v>
      </c>
      <c r="M3370" s="505">
        <f>SUM(M3368:M3369)</f>
        <v>0</v>
      </c>
      <c r="N3370" s="559">
        <f>H3370+J3370+L3370</f>
        <v>0</v>
      </c>
    </row>
    <row r="3371" spans="1:255" s="464" customFormat="1">
      <c r="A3371" s="1194"/>
      <c r="B3371" s="479"/>
      <c r="C3371" s="481" t="s">
        <v>1877</v>
      </c>
      <c r="D3371" s="466"/>
      <c r="E3371" s="558"/>
      <c r="F3371" s="494"/>
      <c r="G3371" s="505"/>
      <c r="H3371" s="494"/>
      <c r="I3371" s="494"/>
      <c r="J3371" s="494"/>
      <c r="K3371" s="494"/>
      <c r="L3371" s="494"/>
      <c r="M3371" s="494"/>
    </row>
    <row r="3372" spans="1:255" s="464" customFormat="1" ht="15.75" hidden="1">
      <c r="A3372" s="504"/>
      <c r="B3372" s="504"/>
      <c r="C3372" s="947" t="s">
        <v>1724</v>
      </c>
      <c r="D3372" s="931"/>
      <c r="E3372" s="931"/>
      <c r="F3372" s="931"/>
      <c r="G3372" s="931"/>
      <c r="H3372" s="931"/>
      <c r="I3372" s="931"/>
      <c r="J3372" s="949"/>
      <c r="K3372" s="931"/>
      <c r="L3372" s="949"/>
      <c r="M3372" s="950"/>
    </row>
    <row r="3373" spans="1:255" s="359" customFormat="1" ht="28.5" hidden="1" customHeight="1">
      <c r="A3373" s="336">
        <v>1</v>
      </c>
      <c r="B3373" s="328" t="s">
        <v>1185</v>
      </c>
      <c r="C3373" s="329" t="s">
        <v>1727</v>
      </c>
      <c r="D3373" s="330" t="s">
        <v>88</v>
      </c>
      <c r="E3373" s="389"/>
      <c r="F3373" s="384">
        <f>'დეფექტური აქტი'!E846</f>
        <v>0</v>
      </c>
      <c r="G3373" s="389"/>
      <c r="H3373" s="389"/>
      <c r="I3373" s="389"/>
      <c r="J3373" s="389"/>
      <c r="K3373" s="389"/>
      <c r="L3373" s="389"/>
      <c r="M3373" s="389"/>
      <c r="N3373" s="358"/>
      <c r="O3373" s="797"/>
      <c r="P3373" s="798"/>
      <c r="Q3373" s="798"/>
      <c r="R3373" s="798"/>
      <c r="S3373" s="798"/>
      <c r="T3373" s="798"/>
      <c r="U3373" s="798"/>
      <c r="V3373" s="798"/>
      <c r="W3373" s="798"/>
      <c r="X3373" s="798"/>
      <c r="Y3373" s="798"/>
      <c r="Z3373" s="798"/>
      <c r="AA3373" s="797"/>
      <c r="AB3373" s="797"/>
      <c r="AC3373" s="797"/>
      <c r="AD3373" s="797"/>
      <c r="AE3373" s="797"/>
      <c r="AF3373" s="797"/>
      <c r="AG3373" s="797"/>
      <c r="AH3373" s="797"/>
      <c r="AI3373" s="797"/>
      <c r="AJ3373" s="797"/>
      <c r="AK3373" s="797"/>
      <c r="AL3373" s="797"/>
      <c r="AM3373" s="797"/>
      <c r="AN3373" s="797"/>
      <c r="AO3373" s="797"/>
      <c r="AP3373" s="797"/>
      <c r="AQ3373" s="797"/>
      <c r="AR3373" s="797"/>
      <c r="AS3373" s="797"/>
      <c r="AT3373" s="797"/>
      <c r="AU3373" s="797"/>
      <c r="AV3373" s="797"/>
      <c r="AW3373" s="797"/>
      <c r="AX3373" s="797"/>
      <c r="AY3373" s="797"/>
      <c r="AZ3373" s="797"/>
      <c r="BA3373" s="797"/>
      <c r="BB3373" s="797"/>
      <c r="BC3373" s="797"/>
      <c r="BD3373" s="797"/>
      <c r="BE3373" s="797"/>
      <c r="BF3373" s="797"/>
      <c r="BG3373" s="797"/>
      <c r="BH3373" s="797"/>
      <c r="BI3373" s="797"/>
      <c r="BJ3373" s="797"/>
      <c r="BK3373" s="797"/>
      <c r="BL3373" s="797"/>
      <c r="BM3373" s="797"/>
      <c r="BN3373" s="797"/>
      <c r="BO3373" s="797"/>
      <c r="BP3373" s="797"/>
      <c r="BQ3373" s="797"/>
      <c r="BR3373" s="797"/>
      <c r="BS3373" s="797"/>
      <c r="BT3373" s="797"/>
      <c r="BU3373" s="797"/>
      <c r="BV3373" s="797"/>
      <c r="BW3373" s="797"/>
      <c r="BX3373" s="797"/>
      <c r="BY3373" s="797"/>
      <c r="BZ3373" s="797"/>
      <c r="CA3373" s="797"/>
      <c r="CB3373" s="797"/>
      <c r="CC3373" s="797"/>
      <c r="CD3373" s="797"/>
      <c r="CE3373" s="797"/>
      <c r="CF3373" s="797"/>
      <c r="CG3373" s="797"/>
      <c r="CH3373" s="797"/>
      <c r="CI3373" s="797"/>
      <c r="CJ3373" s="797"/>
      <c r="CK3373" s="797"/>
      <c r="CL3373" s="797"/>
      <c r="CM3373" s="797"/>
      <c r="CN3373" s="797"/>
      <c r="CO3373" s="797"/>
      <c r="CP3373" s="797"/>
      <c r="CQ3373" s="797"/>
      <c r="CR3373" s="797"/>
      <c r="CS3373" s="797"/>
      <c r="CT3373" s="797"/>
      <c r="CU3373" s="797"/>
      <c r="CV3373" s="797"/>
      <c r="CW3373" s="797"/>
      <c r="CX3373" s="797"/>
      <c r="CY3373" s="797"/>
      <c r="CZ3373" s="797"/>
      <c r="DA3373" s="797"/>
      <c r="DB3373" s="797"/>
      <c r="DC3373" s="797"/>
      <c r="DD3373" s="797"/>
      <c r="DE3373" s="797"/>
      <c r="DF3373" s="797"/>
      <c r="DG3373" s="797"/>
      <c r="DH3373" s="797"/>
      <c r="DI3373" s="797"/>
      <c r="DJ3373" s="797"/>
      <c r="DK3373" s="797"/>
      <c r="DL3373" s="797"/>
      <c r="DM3373" s="797"/>
      <c r="DN3373" s="797"/>
      <c r="DO3373" s="797"/>
      <c r="DP3373" s="797"/>
      <c r="DQ3373" s="797"/>
      <c r="DR3373" s="797"/>
      <c r="DS3373" s="797"/>
      <c r="DT3373" s="797"/>
      <c r="DU3373" s="797"/>
      <c r="DV3373" s="797"/>
      <c r="DW3373" s="797"/>
      <c r="DX3373" s="797"/>
      <c r="DY3373" s="797"/>
      <c r="DZ3373" s="797"/>
      <c r="EA3373" s="797"/>
      <c r="EB3373" s="797"/>
      <c r="EC3373" s="797"/>
      <c r="ED3373" s="797"/>
      <c r="EE3373" s="797"/>
      <c r="EF3373" s="797"/>
      <c r="EG3373" s="797"/>
      <c r="EH3373" s="797"/>
      <c r="EI3373" s="797"/>
      <c r="EJ3373" s="797"/>
      <c r="EK3373" s="797"/>
      <c r="EL3373" s="797"/>
      <c r="EM3373" s="797"/>
      <c r="EN3373" s="797"/>
      <c r="EO3373" s="797"/>
      <c r="EP3373" s="797"/>
      <c r="EQ3373" s="797"/>
      <c r="ER3373" s="797"/>
      <c r="ES3373" s="797"/>
      <c r="ET3373" s="797"/>
      <c r="EU3373" s="797"/>
      <c r="EV3373" s="797"/>
      <c r="EW3373" s="797"/>
      <c r="EX3373" s="797"/>
      <c r="EY3373" s="797"/>
      <c r="EZ3373" s="797"/>
      <c r="FA3373" s="797"/>
      <c r="FB3373" s="797"/>
      <c r="FC3373" s="797"/>
      <c r="FD3373" s="797"/>
      <c r="FE3373" s="797"/>
      <c r="FF3373" s="797"/>
      <c r="FG3373" s="797"/>
      <c r="FH3373" s="797"/>
      <c r="FI3373" s="797"/>
      <c r="FJ3373" s="797"/>
      <c r="FK3373" s="797"/>
      <c r="FL3373" s="797"/>
      <c r="FM3373" s="797"/>
      <c r="FN3373" s="797"/>
      <c r="FO3373" s="797"/>
      <c r="FP3373" s="797"/>
      <c r="FQ3373" s="797"/>
      <c r="FR3373" s="797"/>
      <c r="FS3373" s="797"/>
      <c r="FT3373" s="797"/>
      <c r="FU3373" s="797"/>
      <c r="FV3373" s="797"/>
      <c r="FW3373" s="797"/>
      <c r="FX3373" s="797"/>
      <c r="FY3373" s="797"/>
      <c r="FZ3373" s="797"/>
      <c r="GA3373" s="797"/>
      <c r="GB3373" s="797"/>
      <c r="GC3373" s="797"/>
      <c r="GD3373" s="797"/>
      <c r="GE3373" s="797"/>
      <c r="GF3373" s="797"/>
      <c r="GG3373" s="797"/>
      <c r="GH3373" s="797"/>
      <c r="GI3373" s="797"/>
      <c r="GJ3373" s="797"/>
      <c r="GK3373" s="797"/>
      <c r="GL3373" s="797"/>
      <c r="GM3373" s="797"/>
      <c r="GN3373" s="797"/>
      <c r="GO3373" s="797"/>
      <c r="GP3373" s="797"/>
      <c r="GQ3373" s="797"/>
      <c r="GR3373" s="797"/>
      <c r="GS3373" s="797"/>
      <c r="GT3373" s="797"/>
      <c r="GU3373" s="797"/>
      <c r="GV3373" s="797"/>
      <c r="GW3373" s="797"/>
      <c r="GX3373" s="797"/>
      <c r="GY3373" s="797"/>
      <c r="GZ3373" s="797"/>
      <c r="HA3373" s="797"/>
      <c r="HB3373" s="797"/>
      <c r="HC3373" s="797"/>
      <c r="HD3373" s="797"/>
      <c r="HE3373" s="797"/>
      <c r="HF3373" s="797"/>
      <c r="HG3373" s="797"/>
      <c r="HH3373" s="797"/>
      <c r="HI3373" s="797"/>
      <c r="HJ3373" s="797"/>
      <c r="HK3373" s="797"/>
      <c r="HL3373" s="797"/>
      <c r="HM3373" s="797"/>
      <c r="HN3373" s="797"/>
      <c r="HO3373" s="797"/>
      <c r="HP3373" s="797"/>
      <c r="HQ3373" s="797"/>
      <c r="HR3373" s="797"/>
      <c r="HS3373" s="797"/>
      <c r="HT3373" s="797"/>
      <c r="HU3373" s="797"/>
      <c r="HV3373" s="797"/>
      <c r="HW3373" s="797"/>
      <c r="HX3373" s="797"/>
      <c r="HY3373" s="797"/>
      <c r="HZ3373" s="797"/>
      <c r="IA3373" s="797"/>
      <c r="IB3373" s="797"/>
      <c r="IC3373" s="797"/>
      <c r="ID3373" s="797"/>
      <c r="IE3373" s="797"/>
      <c r="IF3373" s="797"/>
      <c r="IG3373" s="797"/>
      <c r="IH3373" s="797"/>
      <c r="II3373" s="797"/>
      <c r="IJ3373" s="797"/>
      <c r="IK3373" s="797"/>
      <c r="IL3373" s="797"/>
      <c r="IM3373" s="797"/>
      <c r="IN3373" s="797"/>
      <c r="IO3373" s="797"/>
      <c r="IP3373" s="797"/>
      <c r="IQ3373" s="797"/>
      <c r="IR3373" s="797"/>
      <c r="IS3373" s="797"/>
      <c r="IT3373" s="797"/>
      <c r="IU3373" s="797"/>
    </row>
    <row r="3374" spans="1:255" s="359" customFormat="1" ht="15.75" hidden="1" customHeight="1">
      <c r="A3374" s="336"/>
      <c r="B3374" s="328"/>
      <c r="C3374" s="335" t="s">
        <v>209</v>
      </c>
      <c r="D3374" s="336" t="s">
        <v>80</v>
      </c>
      <c r="E3374" s="856">
        <v>0.02</v>
      </c>
      <c r="F3374" s="389">
        <f>F3373*E3374</f>
        <v>0</v>
      </c>
      <c r="G3374" s="389"/>
      <c r="H3374" s="389"/>
      <c r="I3374" s="389">
        <v>4.5999999999999996</v>
      </c>
      <c r="J3374" s="389">
        <f>F3374*I3374</f>
        <v>0</v>
      </c>
      <c r="K3374" s="389"/>
      <c r="L3374" s="389"/>
      <c r="M3374" s="389">
        <f>H3374+J3374+L3374</f>
        <v>0</v>
      </c>
      <c r="N3374" s="358"/>
      <c r="O3374" s="797"/>
      <c r="P3374" s="798"/>
      <c r="Q3374" s="798"/>
      <c r="R3374" s="798"/>
      <c r="S3374" s="798"/>
      <c r="T3374" s="798"/>
      <c r="U3374" s="798"/>
      <c r="V3374" s="798"/>
      <c r="W3374" s="798"/>
      <c r="X3374" s="798"/>
      <c r="Y3374" s="798"/>
      <c r="Z3374" s="798"/>
      <c r="AA3374" s="797"/>
      <c r="AB3374" s="797"/>
      <c r="AC3374" s="797"/>
      <c r="AD3374" s="797"/>
      <c r="AE3374" s="797"/>
      <c r="AF3374" s="797"/>
      <c r="AG3374" s="797"/>
      <c r="AH3374" s="797"/>
      <c r="AI3374" s="797"/>
      <c r="AJ3374" s="797"/>
      <c r="AK3374" s="797"/>
      <c r="AL3374" s="797"/>
      <c r="AM3374" s="797"/>
      <c r="AN3374" s="797"/>
      <c r="AO3374" s="797"/>
      <c r="AP3374" s="797"/>
      <c r="AQ3374" s="797"/>
      <c r="AR3374" s="797"/>
      <c r="AS3374" s="797"/>
      <c r="AT3374" s="797"/>
      <c r="AU3374" s="797"/>
      <c r="AV3374" s="797"/>
      <c r="AW3374" s="797"/>
      <c r="AX3374" s="797"/>
      <c r="AY3374" s="797"/>
      <c r="AZ3374" s="797"/>
      <c r="BA3374" s="797"/>
      <c r="BB3374" s="797"/>
      <c r="BC3374" s="797"/>
      <c r="BD3374" s="797"/>
      <c r="BE3374" s="797"/>
      <c r="BF3374" s="797"/>
      <c r="BG3374" s="797"/>
      <c r="BH3374" s="797"/>
      <c r="BI3374" s="797"/>
      <c r="BJ3374" s="797"/>
      <c r="BK3374" s="797"/>
      <c r="BL3374" s="797"/>
      <c r="BM3374" s="797"/>
      <c r="BN3374" s="797"/>
      <c r="BO3374" s="797"/>
      <c r="BP3374" s="797"/>
      <c r="BQ3374" s="797"/>
      <c r="BR3374" s="797"/>
      <c r="BS3374" s="797"/>
      <c r="BT3374" s="797"/>
      <c r="BU3374" s="797"/>
      <c r="BV3374" s="797"/>
      <c r="BW3374" s="797"/>
      <c r="BX3374" s="797"/>
      <c r="BY3374" s="797"/>
      <c r="BZ3374" s="797"/>
      <c r="CA3374" s="797"/>
      <c r="CB3374" s="797"/>
      <c r="CC3374" s="797"/>
      <c r="CD3374" s="797"/>
      <c r="CE3374" s="797"/>
      <c r="CF3374" s="797"/>
      <c r="CG3374" s="797"/>
      <c r="CH3374" s="797"/>
      <c r="CI3374" s="797"/>
      <c r="CJ3374" s="797"/>
      <c r="CK3374" s="797"/>
      <c r="CL3374" s="797"/>
      <c r="CM3374" s="797"/>
      <c r="CN3374" s="797"/>
      <c r="CO3374" s="797"/>
      <c r="CP3374" s="797"/>
      <c r="CQ3374" s="797"/>
      <c r="CR3374" s="797"/>
      <c r="CS3374" s="797"/>
      <c r="CT3374" s="797"/>
      <c r="CU3374" s="797"/>
      <c r="CV3374" s="797"/>
      <c r="CW3374" s="797"/>
      <c r="CX3374" s="797"/>
      <c r="CY3374" s="797"/>
      <c r="CZ3374" s="797"/>
      <c r="DA3374" s="797"/>
      <c r="DB3374" s="797"/>
      <c r="DC3374" s="797"/>
      <c r="DD3374" s="797"/>
      <c r="DE3374" s="797"/>
      <c r="DF3374" s="797"/>
      <c r="DG3374" s="797"/>
      <c r="DH3374" s="797"/>
      <c r="DI3374" s="797"/>
      <c r="DJ3374" s="797"/>
      <c r="DK3374" s="797"/>
      <c r="DL3374" s="797"/>
      <c r="DM3374" s="797"/>
      <c r="DN3374" s="797"/>
      <c r="DO3374" s="797"/>
      <c r="DP3374" s="797"/>
      <c r="DQ3374" s="797"/>
      <c r="DR3374" s="797"/>
      <c r="DS3374" s="797"/>
      <c r="DT3374" s="797"/>
      <c r="DU3374" s="797"/>
      <c r="DV3374" s="797"/>
      <c r="DW3374" s="797"/>
      <c r="DX3374" s="797"/>
      <c r="DY3374" s="797"/>
      <c r="DZ3374" s="797"/>
      <c r="EA3374" s="797"/>
      <c r="EB3374" s="797"/>
      <c r="EC3374" s="797"/>
      <c r="ED3374" s="797"/>
      <c r="EE3374" s="797"/>
      <c r="EF3374" s="797"/>
      <c r="EG3374" s="797"/>
      <c r="EH3374" s="797"/>
      <c r="EI3374" s="797"/>
      <c r="EJ3374" s="797"/>
      <c r="EK3374" s="797"/>
      <c r="EL3374" s="797"/>
      <c r="EM3374" s="797"/>
      <c r="EN3374" s="797"/>
      <c r="EO3374" s="797"/>
      <c r="EP3374" s="797"/>
      <c r="EQ3374" s="797"/>
      <c r="ER3374" s="797"/>
      <c r="ES3374" s="797"/>
      <c r="ET3374" s="797"/>
      <c r="EU3374" s="797"/>
      <c r="EV3374" s="797"/>
      <c r="EW3374" s="797"/>
      <c r="EX3374" s="797"/>
      <c r="EY3374" s="797"/>
      <c r="EZ3374" s="797"/>
      <c r="FA3374" s="797"/>
      <c r="FB3374" s="797"/>
      <c r="FC3374" s="797"/>
      <c r="FD3374" s="797"/>
      <c r="FE3374" s="797"/>
      <c r="FF3374" s="797"/>
      <c r="FG3374" s="797"/>
      <c r="FH3374" s="797"/>
      <c r="FI3374" s="797"/>
      <c r="FJ3374" s="797"/>
      <c r="FK3374" s="797"/>
      <c r="FL3374" s="797"/>
      <c r="FM3374" s="797"/>
      <c r="FN3374" s="797"/>
      <c r="FO3374" s="797"/>
      <c r="FP3374" s="797"/>
      <c r="FQ3374" s="797"/>
      <c r="FR3374" s="797"/>
      <c r="FS3374" s="797"/>
      <c r="FT3374" s="797"/>
      <c r="FU3374" s="797"/>
      <c r="FV3374" s="797"/>
      <c r="FW3374" s="797"/>
      <c r="FX3374" s="797"/>
      <c r="FY3374" s="797"/>
      <c r="FZ3374" s="797"/>
      <c r="GA3374" s="797"/>
      <c r="GB3374" s="797"/>
      <c r="GC3374" s="797"/>
      <c r="GD3374" s="797"/>
      <c r="GE3374" s="797"/>
      <c r="GF3374" s="797"/>
      <c r="GG3374" s="797"/>
      <c r="GH3374" s="797"/>
      <c r="GI3374" s="797"/>
      <c r="GJ3374" s="797"/>
      <c r="GK3374" s="797"/>
      <c r="GL3374" s="797"/>
      <c r="GM3374" s="797"/>
      <c r="GN3374" s="797"/>
      <c r="GO3374" s="797"/>
      <c r="GP3374" s="797"/>
      <c r="GQ3374" s="797"/>
      <c r="GR3374" s="797"/>
      <c r="GS3374" s="797"/>
      <c r="GT3374" s="797"/>
      <c r="GU3374" s="797"/>
      <c r="GV3374" s="797"/>
      <c r="GW3374" s="797"/>
      <c r="GX3374" s="797"/>
      <c r="GY3374" s="797"/>
      <c r="GZ3374" s="797"/>
      <c r="HA3374" s="797"/>
      <c r="HB3374" s="797"/>
      <c r="HC3374" s="797"/>
      <c r="HD3374" s="797"/>
      <c r="HE3374" s="797"/>
      <c r="HF3374" s="797"/>
      <c r="HG3374" s="797"/>
      <c r="HH3374" s="797"/>
      <c r="HI3374" s="797"/>
      <c r="HJ3374" s="797"/>
      <c r="HK3374" s="797"/>
      <c r="HL3374" s="797"/>
      <c r="HM3374" s="797"/>
      <c r="HN3374" s="797"/>
      <c r="HO3374" s="797"/>
      <c r="HP3374" s="797"/>
      <c r="HQ3374" s="797"/>
      <c r="HR3374" s="797"/>
      <c r="HS3374" s="797"/>
      <c r="HT3374" s="797"/>
      <c r="HU3374" s="797"/>
      <c r="HV3374" s="797"/>
      <c r="HW3374" s="797"/>
      <c r="HX3374" s="797"/>
      <c r="HY3374" s="797"/>
      <c r="HZ3374" s="797"/>
      <c r="IA3374" s="797"/>
      <c r="IB3374" s="797"/>
      <c r="IC3374" s="797"/>
      <c r="ID3374" s="797"/>
      <c r="IE3374" s="797"/>
      <c r="IF3374" s="797"/>
      <c r="IG3374" s="797"/>
      <c r="IH3374" s="797"/>
      <c r="II3374" s="797"/>
      <c r="IJ3374" s="797"/>
      <c r="IK3374" s="797"/>
      <c r="IL3374" s="797"/>
      <c r="IM3374" s="797"/>
      <c r="IN3374" s="797"/>
      <c r="IO3374" s="797"/>
      <c r="IP3374" s="797"/>
      <c r="IQ3374" s="797"/>
      <c r="IR3374" s="797"/>
      <c r="IS3374" s="797"/>
      <c r="IT3374" s="797"/>
      <c r="IU3374" s="797"/>
    </row>
    <row r="3375" spans="1:255" s="359" customFormat="1" ht="27.75" hidden="1" customHeight="1">
      <c r="A3375" s="336"/>
      <c r="B3375" s="328"/>
      <c r="C3375" s="335" t="s">
        <v>1565</v>
      </c>
      <c r="D3375" s="336" t="s">
        <v>217</v>
      </c>
      <c r="E3375" s="856">
        <v>4.48E-2</v>
      </c>
      <c r="F3375" s="389">
        <f>F3373*E3375</f>
        <v>0</v>
      </c>
      <c r="G3375" s="389"/>
      <c r="H3375" s="389"/>
      <c r="I3375" s="389"/>
      <c r="J3375" s="389"/>
      <c r="K3375" s="389">
        <v>35.1</v>
      </c>
      <c r="L3375" s="389">
        <f>F3375*K3375</f>
        <v>0</v>
      </c>
      <c r="M3375" s="389">
        <f>H3375+J3375+L3375</f>
        <v>0</v>
      </c>
      <c r="N3375" s="358"/>
      <c r="O3375" s="797"/>
      <c r="P3375" s="798"/>
      <c r="Q3375" s="798"/>
      <c r="R3375" s="798"/>
      <c r="S3375" s="798"/>
      <c r="T3375" s="798"/>
      <c r="U3375" s="798"/>
      <c r="V3375" s="798"/>
      <c r="W3375" s="798"/>
      <c r="X3375" s="798"/>
      <c r="Y3375" s="798"/>
      <c r="Z3375" s="798"/>
      <c r="AA3375" s="797"/>
      <c r="AB3375" s="797"/>
      <c r="AC3375" s="797"/>
      <c r="AD3375" s="797"/>
      <c r="AE3375" s="797"/>
      <c r="AF3375" s="797"/>
      <c r="AG3375" s="797"/>
      <c r="AH3375" s="797"/>
      <c r="AI3375" s="797"/>
      <c r="AJ3375" s="797"/>
      <c r="AK3375" s="797"/>
      <c r="AL3375" s="797"/>
      <c r="AM3375" s="797"/>
      <c r="AN3375" s="797"/>
      <c r="AO3375" s="797"/>
      <c r="AP3375" s="797"/>
      <c r="AQ3375" s="797"/>
      <c r="AR3375" s="797"/>
      <c r="AS3375" s="797"/>
      <c r="AT3375" s="797"/>
      <c r="AU3375" s="797"/>
      <c r="AV3375" s="797"/>
      <c r="AW3375" s="797"/>
      <c r="AX3375" s="797"/>
      <c r="AY3375" s="797"/>
      <c r="AZ3375" s="797"/>
      <c r="BA3375" s="797"/>
      <c r="BB3375" s="797"/>
      <c r="BC3375" s="797"/>
      <c r="BD3375" s="797"/>
      <c r="BE3375" s="797"/>
      <c r="BF3375" s="797"/>
      <c r="BG3375" s="797"/>
      <c r="BH3375" s="797"/>
      <c r="BI3375" s="797"/>
      <c r="BJ3375" s="797"/>
      <c r="BK3375" s="797"/>
      <c r="BL3375" s="797"/>
      <c r="BM3375" s="797"/>
      <c r="BN3375" s="797"/>
      <c r="BO3375" s="797"/>
      <c r="BP3375" s="797"/>
      <c r="BQ3375" s="797"/>
      <c r="BR3375" s="797"/>
      <c r="BS3375" s="797"/>
      <c r="BT3375" s="797"/>
      <c r="BU3375" s="797"/>
      <c r="BV3375" s="797"/>
      <c r="BW3375" s="797"/>
      <c r="BX3375" s="797"/>
      <c r="BY3375" s="797"/>
      <c r="BZ3375" s="797"/>
      <c r="CA3375" s="797"/>
      <c r="CB3375" s="797"/>
      <c r="CC3375" s="797"/>
      <c r="CD3375" s="797"/>
      <c r="CE3375" s="797"/>
      <c r="CF3375" s="797"/>
      <c r="CG3375" s="797"/>
      <c r="CH3375" s="797"/>
      <c r="CI3375" s="797"/>
      <c r="CJ3375" s="797"/>
      <c r="CK3375" s="797"/>
      <c r="CL3375" s="797"/>
      <c r="CM3375" s="797"/>
      <c r="CN3375" s="797"/>
      <c r="CO3375" s="797"/>
      <c r="CP3375" s="797"/>
      <c r="CQ3375" s="797"/>
      <c r="CR3375" s="797"/>
      <c r="CS3375" s="797"/>
      <c r="CT3375" s="797"/>
      <c r="CU3375" s="797"/>
      <c r="CV3375" s="797"/>
      <c r="CW3375" s="797"/>
      <c r="CX3375" s="797"/>
      <c r="CY3375" s="797"/>
      <c r="CZ3375" s="797"/>
      <c r="DA3375" s="797"/>
      <c r="DB3375" s="797"/>
      <c r="DC3375" s="797"/>
      <c r="DD3375" s="797"/>
      <c r="DE3375" s="797"/>
      <c r="DF3375" s="797"/>
      <c r="DG3375" s="797"/>
      <c r="DH3375" s="797"/>
      <c r="DI3375" s="797"/>
      <c r="DJ3375" s="797"/>
      <c r="DK3375" s="797"/>
      <c r="DL3375" s="797"/>
      <c r="DM3375" s="797"/>
      <c r="DN3375" s="797"/>
      <c r="DO3375" s="797"/>
      <c r="DP3375" s="797"/>
      <c r="DQ3375" s="797"/>
      <c r="DR3375" s="797"/>
      <c r="DS3375" s="797"/>
      <c r="DT3375" s="797"/>
      <c r="DU3375" s="797"/>
      <c r="DV3375" s="797"/>
      <c r="DW3375" s="797"/>
      <c r="DX3375" s="797"/>
      <c r="DY3375" s="797"/>
      <c r="DZ3375" s="797"/>
      <c r="EA3375" s="797"/>
      <c r="EB3375" s="797"/>
      <c r="EC3375" s="797"/>
      <c r="ED3375" s="797"/>
      <c r="EE3375" s="797"/>
      <c r="EF3375" s="797"/>
      <c r="EG3375" s="797"/>
      <c r="EH3375" s="797"/>
      <c r="EI3375" s="797"/>
      <c r="EJ3375" s="797"/>
      <c r="EK3375" s="797"/>
      <c r="EL3375" s="797"/>
      <c r="EM3375" s="797"/>
      <c r="EN3375" s="797"/>
      <c r="EO3375" s="797"/>
      <c r="EP3375" s="797"/>
      <c r="EQ3375" s="797"/>
      <c r="ER3375" s="797"/>
      <c r="ES3375" s="797"/>
      <c r="ET3375" s="797"/>
      <c r="EU3375" s="797"/>
      <c r="EV3375" s="797"/>
      <c r="EW3375" s="797"/>
      <c r="EX3375" s="797"/>
      <c r="EY3375" s="797"/>
      <c r="EZ3375" s="797"/>
      <c r="FA3375" s="797"/>
      <c r="FB3375" s="797"/>
      <c r="FC3375" s="797"/>
      <c r="FD3375" s="797"/>
      <c r="FE3375" s="797"/>
      <c r="FF3375" s="797"/>
      <c r="FG3375" s="797"/>
      <c r="FH3375" s="797"/>
      <c r="FI3375" s="797"/>
      <c r="FJ3375" s="797"/>
      <c r="FK3375" s="797"/>
      <c r="FL3375" s="797"/>
      <c r="FM3375" s="797"/>
      <c r="FN3375" s="797"/>
      <c r="FO3375" s="797"/>
      <c r="FP3375" s="797"/>
      <c r="FQ3375" s="797"/>
      <c r="FR3375" s="797"/>
      <c r="FS3375" s="797"/>
      <c r="FT3375" s="797"/>
      <c r="FU3375" s="797"/>
      <c r="FV3375" s="797"/>
      <c r="FW3375" s="797"/>
      <c r="FX3375" s="797"/>
      <c r="FY3375" s="797"/>
      <c r="FZ3375" s="797"/>
      <c r="GA3375" s="797"/>
      <c r="GB3375" s="797"/>
      <c r="GC3375" s="797"/>
      <c r="GD3375" s="797"/>
      <c r="GE3375" s="797"/>
      <c r="GF3375" s="797"/>
      <c r="GG3375" s="797"/>
      <c r="GH3375" s="797"/>
      <c r="GI3375" s="797"/>
      <c r="GJ3375" s="797"/>
      <c r="GK3375" s="797"/>
      <c r="GL3375" s="797"/>
      <c r="GM3375" s="797"/>
      <c r="GN3375" s="797"/>
      <c r="GO3375" s="797"/>
      <c r="GP3375" s="797"/>
      <c r="GQ3375" s="797"/>
      <c r="GR3375" s="797"/>
      <c r="GS3375" s="797"/>
      <c r="GT3375" s="797"/>
      <c r="GU3375" s="797"/>
      <c r="GV3375" s="797"/>
      <c r="GW3375" s="797"/>
      <c r="GX3375" s="797"/>
      <c r="GY3375" s="797"/>
      <c r="GZ3375" s="797"/>
      <c r="HA3375" s="797"/>
      <c r="HB3375" s="797"/>
      <c r="HC3375" s="797"/>
      <c r="HD3375" s="797"/>
      <c r="HE3375" s="797"/>
      <c r="HF3375" s="797"/>
      <c r="HG3375" s="797"/>
      <c r="HH3375" s="797"/>
      <c r="HI3375" s="797"/>
      <c r="HJ3375" s="797"/>
      <c r="HK3375" s="797"/>
      <c r="HL3375" s="797"/>
      <c r="HM3375" s="797"/>
      <c r="HN3375" s="797"/>
      <c r="HO3375" s="797"/>
      <c r="HP3375" s="797"/>
      <c r="HQ3375" s="797"/>
      <c r="HR3375" s="797"/>
      <c r="HS3375" s="797"/>
      <c r="HT3375" s="797"/>
      <c r="HU3375" s="797"/>
      <c r="HV3375" s="797"/>
      <c r="HW3375" s="797"/>
      <c r="HX3375" s="797"/>
      <c r="HY3375" s="797"/>
      <c r="HZ3375" s="797"/>
      <c r="IA3375" s="797"/>
      <c r="IB3375" s="797"/>
      <c r="IC3375" s="797"/>
      <c r="ID3375" s="797"/>
      <c r="IE3375" s="797"/>
      <c r="IF3375" s="797"/>
      <c r="IG3375" s="797"/>
      <c r="IH3375" s="797"/>
      <c r="II3375" s="797"/>
      <c r="IJ3375" s="797"/>
      <c r="IK3375" s="797"/>
      <c r="IL3375" s="797"/>
      <c r="IM3375" s="797"/>
      <c r="IN3375" s="797"/>
      <c r="IO3375" s="797"/>
      <c r="IP3375" s="797"/>
      <c r="IQ3375" s="797"/>
      <c r="IR3375" s="797"/>
      <c r="IS3375" s="797"/>
      <c r="IT3375" s="797"/>
      <c r="IU3375" s="797"/>
    </row>
    <row r="3376" spans="1:255" s="359" customFormat="1" hidden="1">
      <c r="A3376" s="336"/>
      <c r="B3376" s="328"/>
      <c r="C3376" s="335" t="s">
        <v>81</v>
      </c>
      <c r="D3376" s="336" t="s">
        <v>57</v>
      </c>
      <c r="E3376" s="856">
        <v>2.0999999999999999E-3</v>
      </c>
      <c r="F3376" s="389">
        <f>F3373*E3376</f>
        <v>0</v>
      </c>
      <c r="G3376" s="389"/>
      <c r="H3376" s="389"/>
      <c r="I3376" s="389"/>
      <c r="J3376" s="389"/>
      <c r="K3376" s="389">
        <v>3.2</v>
      </c>
      <c r="L3376" s="389">
        <f>F3376*K3376</f>
        <v>0</v>
      </c>
      <c r="M3376" s="389">
        <f>H3376+J3376+L3376</f>
        <v>0</v>
      </c>
      <c r="N3376" s="358"/>
      <c r="O3376" s="797"/>
      <c r="P3376" s="798"/>
      <c r="Q3376" s="798"/>
      <c r="R3376" s="798"/>
      <c r="S3376" s="798"/>
      <c r="T3376" s="798"/>
      <c r="U3376" s="798"/>
      <c r="V3376" s="798"/>
      <c r="W3376" s="798"/>
      <c r="X3376" s="798"/>
      <c r="Y3376" s="798"/>
      <c r="Z3376" s="798"/>
      <c r="AA3376" s="797"/>
      <c r="AB3376" s="797"/>
      <c r="AC3376" s="797"/>
      <c r="AD3376" s="797"/>
      <c r="AE3376" s="797"/>
      <c r="AF3376" s="797"/>
      <c r="AG3376" s="797"/>
      <c r="AH3376" s="797"/>
      <c r="AI3376" s="797"/>
      <c r="AJ3376" s="797"/>
      <c r="AK3376" s="797"/>
      <c r="AL3376" s="797"/>
      <c r="AM3376" s="797"/>
      <c r="AN3376" s="797"/>
      <c r="AO3376" s="797"/>
      <c r="AP3376" s="797"/>
      <c r="AQ3376" s="797"/>
      <c r="AR3376" s="797"/>
      <c r="AS3376" s="797"/>
      <c r="AT3376" s="797"/>
      <c r="AU3376" s="797"/>
      <c r="AV3376" s="797"/>
      <c r="AW3376" s="797"/>
      <c r="AX3376" s="797"/>
      <c r="AY3376" s="797"/>
      <c r="AZ3376" s="797"/>
      <c r="BA3376" s="797"/>
      <c r="BB3376" s="797"/>
      <c r="BC3376" s="797"/>
      <c r="BD3376" s="797"/>
      <c r="BE3376" s="797"/>
      <c r="BF3376" s="797"/>
      <c r="BG3376" s="797"/>
      <c r="BH3376" s="797"/>
      <c r="BI3376" s="797"/>
      <c r="BJ3376" s="797"/>
      <c r="BK3376" s="797"/>
      <c r="BL3376" s="797"/>
      <c r="BM3376" s="797"/>
      <c r="BN3376" s="797"/>
      <c r="BO3376" s="797"/>
      <c r="BP3376" s="797"/>
      <c r="BQ3376" s="797"/>
      <c r="BR3376" s="797"/>
      <c r="BS3376" s="797"/>
      <c r="BT3376" s="797"/>
      <c r="BU3376" s="797"/>
      <c r="BV3376" s="797"/>
      <c r="BW3376" s="797"/>
      <c r="BX3376" s="797"/>
      <c r="BY3376" s="797"/>
      <c r="BZ3376" s="797"/>
      <c r="CA3376" s="797"/>
      <c r="CB3376" s="797"/>
      <c r="CC3376" s="797"/>
      <c r="CD3376" s="797"/>
      <c r="CE3376" s="797"/>
      <c r="CF3376" s="797"/>
      <c r="CG3376" s="797"/>
      <c r="CH3376" s="797"/>
      <c r="CI3376" s="797"/>
      <c r="CJ3376" s="797"/>
      <c r="CK3376" s="797"/>
      <c r="CL3376" s="797"/>
      <c r="CM3376" s="797"/>
      <c r="CN3376" s="797"/>
      <c r="CO3376" s="797"/>
      <c r="CP3376" s="797"/>
      <c r="CQ3376" s="797"/>
      <c r="CR3376" s="797"/>
      <c r="CS3376" s="797"/>
      <c r="CT3376" s="797"/>
      <c r="CU3376" s="797"/>
      <c r="CV3376" s="797"/>
      <c r="CW3376" s="797"/>
      <c r="CX3376" s="797"/>
      <c r="CY3376" s="797"/>
      <c r="CZ3376" s="797"/>
      <c r="DA3376" s="797"/>
      <c r="DB3376" s="797"/>
      <c r="DC3376" s="797"/>
      <c r="DD3376" s="797"/>
      <c r="DE3376" s="797"/>
      <c r="DF3376" s="797"/>
      <c r="DG3376" s="797"/>
      <c r="DH3376" s="797"/>
      <c r="DI3376" s="797"/>
      <c r="DJ3376" s="797"/>
      <c r="DK3376" s="797"/>
      <c r="DL3376" s="797"/>
      <c r="DM3376" s="797"/>
      <c r="DN3376" s="797"/>
      <c r="DO3376" s="797"/>
      <c r="DP3376" s="797"/>
      <c r="DQ3376" s="797"/>
      <c r="DR3376" s="797"/>
      <c r="DS3376" s="797"/>
      <c r="DT3376" s="797"/>
      <c r="DU3376" s="797"/>
      <c r="DV3376" s="797"/>
      <c r="DW3376" s="797"/>
      <c r="DX3376" s="797"/>
      <c r="DY3376" s="797"/>
      <c r="DZ3376" s="797"/>
      <c r="EA3376" s="797"/>
      <c r="EB3376" s="797"/>
      <c r="EC3376" s="797"/>
      <c r="ED3376" s="797"/>
      <c r="EE3376" s="797"/>
      <c r="EF3376" s="797"/>
      <c r="EG3376" s="797"/>
      <c r="EH3376" s="797"/>
      <c r="EI3376" s="797"/>
      <c r="EJ3376" s="797"/>
      <c r="EK3376" s="797"/>
      <c r="EL3376" s="797"/>
      <c r="EM3376" s="797"/>
      <c r="EN3376" s="797"/>
      <c r="EO3376" s="797"/>
      <c r="EP3376" s="797"/>
      <c r="EQ3376" s="797"/>
      <c r="ER3376" s="797"/>
      <c r="ES3376" s="797"/>
      <c r="ET3376" s="797"/>
      <c r="EU3376" s="797"/>
      <c r="EV3376" s="797"/>
      <c r="EW3376" s="797"/>
      <c r="EX3376" s="797"/>
      <c r="EY3376" s="797"/>
      <c r="EZ3376" s="797"/>
      <c r="FA3376" s="797"/>
      <c r="FB3376" s="797"/>
      <c r="FC3376" s="797"/>
      <c r="FD3376" s="797"/>
      <c r="FE3376" s="797"/>
      <c r="FF3376" s="797"/>
      <c r="FG3376" s="797"/>
      <c r="FH3376" s="797"/>
      <c r="FI3376" s="797"/>
      <c r="FJ3376" s="797"/>
      <c r="FK3376" s="797"/>
      <c r="FL3376" s="797"/>
      <c r="FM3376" s="797"/>
      <c r="FN3376" s="797"/>
      <c r="FO3376" s="797"/>
      <c r="FP3376" s="797"/>
      <c r="FQ3376" s="797"/>
      <c r="FR3376" s="797"/>
      <c r="FS3376" s="797"/>
      <c r="FT3376" s="797"/>
      <c r="FU3376" s="797"/>
      <c r="FV3376" s="797"/>
      <c r="FW3376" s="797"/>
      <c r="FX3376" s="797"/>
      <c r="FY3376" s="797"/>
      <c r="FZ3376" s="797"/>
      <c r="GA3376" s="797"/>
      <c r="GB3376" s="797"/>
      <c r="GC3376" s="797"/>
      <c r="GD3376" s="797"/>
      <c r="GE3376" s="797"/>
      <c r="GF3376" s="797"/>
      <c r="GG3376" s="797"/>
      <c r="GH3376" s="797"/>
      <c r="GI3376" s="797"/>
      <c r="GJ3376" s="797"/>
      <c r="GK3376" s="797"/>
      <c r="GL3376" s="797"/>
      <c r="GM3376" s="797"/>
      <c r="GN3376" s="797"/>
      <c r="GO3376" s="797"/>
      <c r="GP3376" s="797"/>
      <c r="GQ3376" s="797"/>
      <c r="GR3376" s="797"/>
      <c r="GS3376" s="797"/>
      <c r="GT3376" s="797"/>
      <c r="GU3376" s="797"/>
      <c r="GV3376" s="797"/>
      <c r="GW3376" s="797"/>
      <c r="GX3376" s="797"/>
      <c r="GY3376" s="797"/>
      <c r="GZ3376" s="797"/>
      <c r="HA3376" s="797"/>
      <c r="HB3376" s="797"/>
      <c r="HC3376" s="797"/>
      <c r="HD3376" s="797"/>
      <c r="HE3376" s="797"/>
      <c r="HF3376" s="797"/>
      <c r="HG3376" s="797"/>
      <c r="HH3376" s="797"/>
      <c r="HI3376" s="797"/>
      <c r="HJ3376" s="797"/>
      <c r="HK3376" s="797"/>
      <c r="HL3376" s="797"/>
      <c r="HM3376" s="797"/>
      <c r="HN3376" s="797"/>
      <c r="HO3376" s="797"/>
      <c r="HP3376" s="797"/>
      <c r="HQ3376" s="797"/>
      <c r="HR3376" s="797"/>
      <c r="HS3376" s="797"/>
      <c r="HT3376" s="797"/>
      <c r="HU3376" s="797"/>
      <c r="HV3376" s="797"/>
      <c r="HW3376" s="797"/>
      <c r="HX3376" s="797"/>
      <c r="HY3376" s="797"/>
      <c r="HZ3376" s="797"/>
      <c r="IA3376" s="797"/>
      <c r="IB3376" s="797"/>
      <c r="IC3376" s="797"/>
      <c r="ID3376" s="797"/>
      <c r="IE3376" s="797"/>
      <c r="IF3376" s="797"/>
      <c r="IG3376" s="797"/>
      <c r="IH3376" s="797"/>
      <c r="II3376" s="797"/>
      <c r="IJ3376" s="797"/>
      <c r="IK3376" s="797"/>
      <c r="IL3376" s="797"/>
      <c r="IM3376" s="797"/>
      <c r="IN3376" s="797"/>
      <c r="IO3376" s="797"/>
      <c r="IP3376" s="797"/>
      <c r="IQ3376" s="797"/>
      <c r="IR3376" s="797"/>
      <c r="IS3376" s="797"/>
      <c r="IT3376" s="797"/>
      <c r="IU3376" s="797"/>
    </row>
    <row r="3377" spans="1:255" s="359" customFormat="1" hidden="1">
      <c r="A3377" s="336"/>
      <c r="B3377" s="328"/>
      <c r="C3377" s="335" t="s">
        <v>210</v>
      </c>
      <c r="D3377" s="336"/>
      <c r="E3377" s="856"/>
      <c r="F3377" s="389"/>
      <c r="G3377" s="389"/>
      <c r="H3377" s="389"/>
      <c r="I3377" s="389"/>
      <c r="J3377" s="389"/>
      <c r="K3377" s="389"/>
      <c r="L3377" s="389"/>
      <c r="M3377" s="389"/>
      <c r="N3377" s="358"/>
      <c r="O3377" s="797"/>
      <c r="P3377" s="798"/>
      <c r="Q3377" s="798"/>
      <c r="R3377" s="798"/>
      <c r="S3377" s="798"/>
      <c r="T3377" s="798"/>
      <c r="U3377" s="798"/>
      <c r="V3377" s="798"/>
      <c r="W3377" s="798"/>
      <c r="X3377" s="798"/>
      <c r="Y3377" s="798"/>
      <c r="Z3377" s="798"/>
      <c r="AA3377" s="797"/>
      <c r="AB3377" s="797"/>
      <c r="AC3377" s="797"/>
      <c r="AD3377" s="797"/>
      <c r="AE3377" s="797"/>
      <c r="AF3377" s="797"/>
      <c r="AG3377" s="797"/>
      <c r="AH3377" s="797"/>
      <c r="AI3377" s="797"/>
      <c r="AJ3377" s="797"/>
      <c r="AK3377" s="797"/>
      <c r="AL3377" s="797"/>
      <c r="AM3377" s="797"/>
      <c r="AN3377" s="797"/>
      <c r="AO3377" s="797"/>
      <c r="AP3377" s="797"/>
      <c r="AQ3377" s="797"/>
      <c r="AR3377" s="797"/>
      <c r="AS3377" s="797"/>
      <c r="AT3377" s="797"/>
      <c r="AU3377" s="797"/>
      <c r="AV3377" s="797"/>
      <c r="AW3377" s="797"/>
      <c r="AX3377" s="797"/>
      <c r="AY3377" s="797"/>
      <c r="AZ3377" s="797"/>
      <c r="BA3377" s="797"/>
      <c r="BB3377" s="797"/>
      <c r="BC3377" s="797"/>
      <c r="BD3377" s="797"/>
      <c r="BE3377" s="797"/>
      <c r="BF3377" s="797"/>
      <c r="BG3377" s="797"/>
      <c r="BH3377" s="797"/>
      <c r="BI3377" s="797"/>
      <c r="BJ3377" s="797"/>
      <c r="BK3377" s="797"/>
      <c r="BL3377" s="797"/>
      <c r="BM3377" s="797"/>
      <c r="BN3377" s="797"/>
      <c r="BO3377" s="797"/>
      <c r="BP3377" s="797"/>
      <c r="BQ3377" s="797"/>
      <c r="BR3377" s="797"/>
      <c r="BS3377" s="797"/>
      <c r="BT3377" s="797"/>
      <c r="BU3377" s="797"/>
      <c r="BV3377" s="797"/>
      <c r="BW3377" s="797"/>
      <c r="BX3377" s="797"/>
      <c r="BY3377" s="797"/>
      <c r="BZ3377" s="797"/>
      <c r="CA3377" s="797"/>
      <c r="CB3377" s="797"/>
      <c r="CC3377" s="797"/>
      <c r="CD3377" s="797"/>
      <c r="CE3377" s="797"/>
      <c r="CF3377" s="797"/>
      <c r="CG3377" s="797"/>
      <c r="CH3377" s="797"/>
      <c r="CI3377" s="797"/>
      <c r="CJ3377" s="797"/>
      <c r="CK3377" s="797"/>
      <c r="CL3377" s="797"/>
      <c r="CM3377" s="797"/>
      <c r="CN3377" s="797"/>
      <c r="CO3377" s="797"/>
      <c r="CP3377" s="797"/>
      <c r="CQ3377" s="797"/>
      <c r="CR3377" s="797"/>
      <c r="CS3377" s="797"/>
      <c r="CT3377" s="797"/>
      <c r="CU3377" s="797"/>
      <c r="CV3377" s="797"/>
      <c r="CW3377" s="797"/>
      <c r="CX3377" s="797"/>
      <c r="CY3377" s="797"/>
      <c r="CZ3377" s="797"/>
      <c r="DA3377" s="797"/>
      <c r="DB3377" s="797"/>
      <c r="DC3377" s="797"/>
      <c r="DD3377" s="797"/>
      <c r="DE3377" s="797"/>
      <c r="DF3377" s="797"/>
      <c r="DG3377" s="797"/>
      <c r="DH3377" s="797"/>
      <c r="DI3377" s="797"/>
      <c r="DJ3377" s="797"/>
      <c r="DK3377" s="797"/>
      <c r="DL3377" s="797"/>
      <c r="DM3377" s="797"/>
      <c r="DN3377" s="797"/>
      <c r="DO3377" s="797"/>
      <c r="DP3377" s="797"/>
      <c r="DQ3377" s="797"/>
      <c r="DR3377" s="797"/>
      <c r="DS3377" s="797"/>
      <c r="DT3377" s="797"/>
      <c r="DU3377" s="797"/>
      <c r="DV3377" s="797"/>
      <c r="DW3377" s="797"/>
      <c r="DX3377" s="797"/>
      <c r="DY3377" s="797"/>
      <c r="DZ3377" s="797"/>
      <c r="EA3377" s="797"/>
      <c r="EB3377" s="797"/>
      <c r="EC3377" s="797"/>
      <c r="ED3377" s="797"/>
      <c r="EE3377" s="797"/>
      <c r="EF3377" s="797"/>
      <c r="EG3377" s="797"/>
      <c r="EH3377" s="797"/>
      <c r="EI3377" s="797"/>
      <c r="EJ3377" s="797"/>
      <c r="EK3377" s="797"/>
      <c r="EL3377" s="797"/>
      <c r="EM3377" s="797"/>
      <c r="EN3377" s="797"/>
      <c r="EO3377" s="797"/>
      <c r="EP3377" s="797"/>
      <c r="EQ3377" s="797"/>
      <c r="ER3377" s="797"/>
      <c r="ES3377" s="797"/>
      <c r="ET3377" s="797"/>
      <c r="EU3377" s="797"/>
      <c r="EV3377" s="797"/>
      <c r="EW3377" s="797"/>
      <c r="EX3377" s="797"/>
      <c r="EY3377" s="797"/>
      <c r="EZ3377" s="797"/>
      <c r="FA3377" s="797"/>
      <c r="FB3377" s="797"/>
      <c r="FC3377" s="797"/>
      <c r="FD3377" s="797"/>
      <c r="FE3377" s="797"/>
      <c r="FF3377" s="797"/>
      <c r="FG3377" s="797"/>
      <c r="FH3377" s="797"/>
      <c r="FI3377" s="797"/>
      <c r="FJ3377" s="797"/>
      <c r="FK3377" s="797"/>
      <c r="FL3377" s="797"/>
      <c r="FM3377" s="797"/>
      <c r="FN3377" s="797"/>
      <c r="FO3377" s="797"/>
      <c r="FP3377" s="797"/>
      <c r="FQ3377" s="797"/>
      <c r="FR3377" s="797"/>
      <c r="FS3377" s="797"/>
      <c r="FT3377" s="797"/>
      <c r="FU3377" s="797"/>
      <c r="FV3377" s="797"/>
      <c r="FW3377" s="797"/>
      <c r="FX3377" s="797"/>
      <c r="FY3377" s="797"/>
      <c r="FZ3377" s="797"/>
      <c r="GA3377" s="797"/>
      <c r="GB3377" s="797"/>
      <c r="GC3377" s="797"/>
      <c r="GD3377" s="797"/>
      <c r="GE3377" s="797"/>
      <c r="GF3377" s="797"/>
      <c r="GG3377" s="797"/>
      <c r="GH3377" s="797"/>
      <c r="GI3377" s="797"/>
      <c r="GJ3377" s="797"/>
      <c r="GK3377" s="797"/>
      <c r="GL3377" s="797"/>
      <c r="GM3377" s="797"/>
      <c r="GN3377" s="797"/>
      <c r="GO3377" s="797"/>
      <c r="GP3377" s="797"/>
      <c r="GQ3377" s="797"/>
      <c r="GR3377" s="797"/>
      <c r="GS3377" s="797"/>
      <c r="GT3377" s="797"/>
      <c r="GU3377" s="797"/>
      <c r="GV3377" s="797"/>
      <c r="GW3377" s="797"/>
      <c r="GX3377" s="797"/>
      <c r="GY3377" s="797"/>
      <c r="GZ3377" s="797"/>
      <c r="HA3377" s="797"/>
      <c r="HB3377" s="797"/>
      <c r="HC3377" s="797"/>
      <c r="HD3377" s="797"/>
      <c r="HE3377" s="797"/>
      <c r="HF3377" s="797"/>
      <c r="HG3377" s="797"/>
      <c r="HH3377" s="797"/>
      <c r="HI3377" s="797"/>
      <c r="HJ3377" s="797"/>
      <c r="HK3377" s="797"/>
      <c r="HL3377" s="797"/>
      <c r="HM3377" s="797"/>
      <c r="HN3377" s="797"/>
      <c r="HO3377" s="797"/>
      <c r="HP3377" s="797"/>
      <c r="HQ3377" s="797"/>
      <c r="HR3377" s="797"/>
      <c r="HS3377" s="797"/>
      <c r="HT3377" s="797"/>
      <c r="HU3377" s="797"/>
      <c r="HV3377" s="797"/>
      <c r="HW3377" s="797"/>
      <c r="HX3377" s="797"/>
      <c r="HY3377" s="797"/>
      <c r="HZ3377" s="797"/>
      <c r="IA3377" s="797"/>
      <c r="IB3377" s="797"/>
      <c r="IC3377" s="797"/>
      <c r="ID3377" s="797"/>
      <c r="IE3377" s="797"/>
      <c r="IF3377" s="797"/>
      <c r="IG3377" s="797"/>
      <c r="IH3377" s="797"/>
      <c r="II3377" s="797"/>
      <c r="IJ3377" s="797"/>
      <c r="IK3377" s="797"/>
      <c r="IL3377" s="797"/>
      <c r="IM3377" s="797"/>
      <c r="IN3377" s="797"/>
      <c r="IO3377" s="797"/>
      <c r="IP3377" s="797"/>
      <c r="IQ3377" s="797"/>
      <c r="IR3377" s="797"/>
      <c r="IS3377" s="797"/>
      <c r="IT3377" s="797"/>
      <c r="IU3377" s="797"/>
    </row>
    <row r="3378" spans="1:255" s="359" customFormat="1" ht="13.5" hidden="1" customHeight="1">
      <c r="A3378" s="342"/>
      <c r="B3378" s="417"/>
      <c r="C3378" s="551" t="s">
        <v>1187</v>
      </c>
      <c r="D3378" s="342" t="s">
        <v>88</v>
      </c>
      <c r="E3378" s="857">
        <v>5.0000000000000002E-5</v>
      </c>
      <c r="F3378" s="392">
        <f>F3373*E3378</f>
        <v>0</v>
      </c>
      <c r="G3378" s="392">
        <v>16.100000000000001</v>
      </c>
      <c r="H3378" s="392">
        <f>F3378*G3378</f>
        <v>0</v>
      </c>
      <c r="I3378" s="392"/>
      <c r="J3378" s="392"/>
      <c r="K3378" s="392"/>
      <c r="L3378" s="392"/>
      <c r="M3378" s="392">
        <f>H3378+J3378+L3378</f>
        <v>0</v>
      </c>
      <c r="N3378" s="358"/>
      <c r="O3378" s="797"/>
      <c r="P3378" s="798"/>
      <c r="Q3378" s="798"/>
      <c r="R3378" s="798"/>
      <c r="S3378" s="798"/>
      <c r="T3378" s="798"/>
      <c r="U3378" s="798"/>
      <c r="V3378" s="798"/>
      <c r="W3378" s="798"/>
      <c r="X3378" s="798"/>
      <c r="Y3378" s="798"/>
      <c r="Z3378" s="798"/>
      <c r="AA3378" s="797"/>
      <c r="AB3378" s="797"/>
      <c r="AC3378" s="797"/>
      <c r="AD3378" s="797"/>
      <c r="AE3378" s="797"/>
      <c r="AF3378" s="797"/>
      <c r="AG3378" s="797"/>
      <c r="AH3378" s="797"/>
      <c r="AI3378" s="797"/>
      <c r="AJ3378" s="797"/>
      <c r="AK3378" s="797"/>
      <c r="AL3378" s="797"/>
      <c r="AM3378" s="797"/>
      <c r="AN3378" s="797"/>
      <c r="AO3378" s="797"/>
      <c r="AP3378" s="797"/>
      <c r="AQ3378" s="797"/>
      <c r="AR3378" s="797"/>
      <c r="AS3378" s="797"/>
      <c r="AT3378" s="797"/>
      <c r="AU3378" s="797"/>
      <c r="AV3378" s="797"/>
      <c r="AW3378" s="797"/>
      <c r="AX3378" s="797"/>
      <c r="AY3378" s="797"/>
      <c r="AZ3378" s="797"/>
      <c r="BA3378" s="797"/>
      <c r="BB3378" s="797"/>
      <c r="BC3378" s="797"/>
      <c r="BD3378" s="797"/>
      <c r="BE3378" s="797"/>
      <c r="BF3378" s="797"/>
      <c r="BG3378" s="797"/>
      <c r="BH3378" s="797"/>
      <c r="BI3378" s="797"/>
      <c r="BJ3378" s="797"/>
      <c r="BK3378" s="797"/>
      <c r="BL3378" s="797"/>
      <c r="BM3378" s="797"/>
      <c r="BN3378" s="797"/>
      <c r="BO3378" s="797"/>
      <c r="BP3378" s="797"/>
      <c r="BQ3378" s="797"/>
      <c r="BR3378" s="797"/>
      <c r="BS3378" s="797"/>
      <c r="BT3378" s="797"/>
      <c r="BU3378" s="797"/>
      <c r="BV3378" s="797"/>
      <c r="BW3378" s="797"/>
      <c r="BX3378" s="797"/>
      <c r="BY3378" s="797"/>
      <c r="BZ3378" s="797"/>
      <c r="CA3378" s="797"/>
      <c r="CB3378" s="797"/>
      <c r="CC3378" s="797"/>
      <c r="CD3378" s="797"/>
      <c r="CE3378" s="797"/>
      <c r="CF3378" s="797"/>
      <c r="CG3378" s="797"/>
      <c r="CH3378" s="797"/>
      <c r="CI3378" s="797"/>
      <c r="CJ3378" s="797"/>
      <c r="CK3378" s="797"/>
      <c r="CL3378" s="797"/>
      <c r="CM3378" s="797"/>
      <c r="CN3378" s="797"/>
      <c r="CO3378" s="797"/>
      <c r="CP3378" s="797"/>
      <c r="CQ3378" s="797"/>
      <c r="CR3378" s="797"/>
      <c r="CS3378" s="797"/>
      <c r="CT3378" s="797"/>
      <c r="CU3378" s="797"/>
      <c r="CV3378" s="797"/>
      <c r="CW3378" s="797"/>
      <c r="CX3378" s="797"/>
      <c r="CY3378" s="797"/>
      <c r="CZ3378" s="797"/>
      <c r="DA3378" s="797"/>
      <c r="DB3378" s="797"/>
      <c r="DC3378" s="797"/>
      <c r="DD3378" s="797"/>
      <c r="DE3378" s="797"/>
      <c r="DF3378" s="797"/>
      <c r="DG3378" s="797"/>
      <c r="DH3378" s="797"/>
      <c r="DI3378" s="797"/>
      <c r="DJ3378" s="797"/>
      <c r="DK3378" s="797"/>
      <c r="DL3378" s="797"/>
      <c r="DM3378" s="797"/>
      <c r="DN3378" s="797"/>
      <c r="DO3378" s="797"/>
      <c r="DP3378" s="797"/>
      <c r="DQ3378" s="797"/>
      <c r="DR3378" s="797"/>
      <c r="DS3378" s="797"/>
      <c r="DT3378" s="797"/>
      <c r="DU3378" s="797"/>
      <c r="DV3378" s="797"/>
      <c r="DW3378" s="797"/>
      <c r="DX3378" s="797"/>
      <c r="DY3378" s="797"/>
      <c r="DZ3378" s="797"/>
      <c r="EA3378" s="797"/>
      <c r="EB3378" s="797"/>
      <c r="EC3378" s="797"/>
      <c r="ED3378" s="797"/>
      <c r="EE3378" s="797"/>
      <c r="EF3378" s="797"/>
      <c r="EG3378" s="797"/>
      <c r="EH3378" s="797"/>
      <c r="EI3378" s="797"/>
      <c r="EJ3378" s="797"/>
      <c r="EK3378" s="797"/>
      <c r="EL3378" s="797"/>
      <c r="EM3378" s="797"/>
      <c r="EN3378" s="797"/>
      <c r="EO3378" s="797"/>
      <c r="EP3378" s="797"/>
      <c r="EQ3378" s="797"/>
      <c r="ER3378" s="797"/>
      <c r="ES3378" s="797"/>
      <c r="ET3378" s="797"/>
      <c r="EU3378" s="797"/>
      <c r="EV3378" s="797"/>
      <c r="EW3378" s="797"/>
      <c r="EX3378" s="797"/>
      <c r="EY3378" s="797"/>
      <c r="EZ3378" s="797"/>
      <c r="FA3378" s="797"/>
      <c r="FB3378" s="797"/>
      <c r="FC3378" s="797"/>
      <c r="FD3378" s="797"/>
      <c r="FE3378" s="797"/>
      <c r="FF3378" s="797"/>
      <c r="FG3378" s="797"/>
      <c r="FH3378" s="797"/>
      <c r="FI3378" s="797"/>
      <c r="FJ3378" s="797"/>
      <c r="FK3378" s="797"/>
      <c r="FL3378" s="797"/>
      <c r="FM3378" s="797"/>
      <c r="FN3378" s="797"/>
      <c r="FO3378" s="797"/>
      <c r="FP3378" s="797"/>
      <c r="FQ3378" s="797"/>
      <c r="FR3378" s="797"/>
      <c r="FS3378" s="797"/>
      <c r="FT3378" s="797"/>
      <c r="FU3378" s="797"/>
      <c r="FV3378" s="797"/>
      <c r="FW3378" s="797"/>
      <c r="FX3378" s="797"/>
      <c r="FY3378" s="797"/>
      <c r="FZ3378" s="797"/>
      <c r="GA3378" s="797"/>
      <c r="GB3378" s="797"/>
      <c r="GC3378" s="797"/>
      <c r="GD3378" s="797"/>
      <c r="GE3378" s="797"/>
      <c r="GF3378" s="797"/>
      <c r="GG3378" s="797"/>
      <c r="GH3378" s="797"/>
      <c r="GI3378" s="797"/>
      <c r="GJ3378" s="797"/>
      <c r="GK3378" s="797"/>
      <c r="GL3378" s="797"/>
      <c r="GM3378" s="797"/>
      <c r="GN3378" s="797"/>
      <c r="GO3378" s="797"/>
      <c r="GP3378" s="797"/>
      <c r="GQ3378" s="797"/>
      <c r="GR3378" s="797"/>
      <c r="GS3378" s="797"/>
      <c r="GT3378" s="797"/>
      <c r="GU3378" s="797"/>
      <c r="GV3378" s="797"/>
      <c r="GW3378" s="797"/>
      <c r="GX3378" s="797"/>
      <c r="GY3378" s="797"/>
      <c r="GZ3378" s="797"/>
      <c r="HA3378" s="797"/>
      <c r="HB3378" s="797"/>
      <c r="HC3378" s="797"/>
      <c r="HD3378" s="797"/>
      <c r="HE3378" s="797"/>
      <c r="HF3378" s="797"/>
      <c r="HG3378" s="797"/>
      <c r="HH3378" s="797"/>
      <c r="HI3378" s="797"/>
      <c r="HJ3378" s="797"/>
      <c r="HK3378" s="797"/>
      <c r="HL3378" s="797"/>
      <c r="HM3378" s="797"/>
      <c r="HN3378" s="797"/>
      <c r="HO3378" s="797"/>
      <c r="HP3378" s="797"/>
      <c r="HQ3378" s="797"/>
      <c r="HR3378" s="797"/>
      <c r="HS3378" s="797"/>
      <c r="HT3378" s="797"/>
      <c r="HU3378" s="797"/>
      <c r="HV3378" s="797"/>
      <c r="HW3378" s="797"/>
      <c r="HX3378" s="797"/>
      <c r="HY3378" s="797"/>
      <c r="HZ3378" s="797"/>
      <c r="IA3378" s="797"/>
      <c r="IB3378" s="797"/>
      <c r="IC3378" s="797"/>
      <c r="ID3378" s="797"/>
      <c r="IE3378" s="797"/>
      <c r="IF3378" s="797"/>
      <c r="IG3378" s="797"/>
      <c r="IH3378" s="797"/>
      <c r="II3378" s="797"/>
      <c r="IJ3378" s="797"/>
      <c r="IK3378" s="797"/>
      <c r="IL3378" s="797"/>
      <c r="IM3378" s="797"/>
      <c r="IN3378" s="797"/>
      <c r="IO3378" s="797"/>
      <c r="IP3378" s="797"/>
      <c r="IQ3378" s="797"/>
      <c r="IR3378" s="797"/>
      <c r="IS3378" s="797"/>
      <c r="IT3378" s="797"/>
      <c r="IU3378" s="797"/>
    </row>
    <row r="3379" spans="1:255" s="464" customFormat="1" hidden="1">
      <c r="A3379" s="960">
        <v>2</v>
      </c>
      <c r="B3379" s="978"/>
      <c r="C3379" s="938" t="s">
        <v>1699</v>
      </c>
      <c r="D3379" s="978" t="s">
        <v>114</v>
      </c>
      <c r="E3379" s="961"/>
      <c r="F3379" s="519">
        <f>'დეფექტური აქტი'!E847</f>
        <v>0</v>
      </c>
      <c r="G3379" s="963"/>
      <c r="H3379" s="964"/>
      <c r="I3379" s="979"/>
      <c r="J3379" s="980"/>
      <c r="K3379" s="966">
        <v>3.02</v>
      </c>
      <c r="L3379" s="962">
        <f>F3379*K3379</f>
        <v>0</v>
      </c>
      <c r="M3379" s="967">
        <f>H3379+J3379+L3379</f>
        <v>0</v>
      </c>
    </row>
    <row r="3380" spans="1:255" s="359" customFormat="1" hidden="1">
      <c r="A3380" s="336">
        <v>3</v>
      </c>
      <c r="B3380" s="328" t="s">
        <v>1189</v>
      </c>
      <c r="C3380" s="329" t="s">
        <v>1133</v>
      </c>
      <c r="D3380" s="330" t="s">
        <v>88</v>
      </c>
      <c r="E3380" s="330"/>
      <c r="F3380" s="457">
        <f>'დეფექტური აქტი'!E848</f>
        <v>0</v>
      </c>
      <c r="G3380" s="330"/>
      <c r="H3380" s="331"/>
      <c r="I3380" s="414"/>
      <c r="J3380" s="331"/>
      <c r="K3380" s="414"/>
      <c r="L3380" s="331"/>
      <c r="M3380" s="331"/>
      <c r="N3380" s="358"/>
    </row>
    <row r="3381" spans="1:255" s="359" customFormat="1" hidden="1">
      <c r="A3381" s="336"/>
      <c r="B3381" s="328"/>
      <c r="C3381" s="335" t="s">
        <v>209</v>
      </c>
      <c r="D3381" s="336" t="s">
        <v>80</v>
      </c>
      <c r="E3381" s="336">
        <v>3.2299999999999998E-3</v>
      </c>
      <c r="F3381" s="331">
        <f>F3380*E3381</f>
        <v>0</v>
      </c>
      <c r="G3381" s="330"/>
      <c r="H3381" s="331"/>
      <c r="I3381" s="414">
        <v>4.5999999999999996</v>
      </c>
      <c r="J3381" s="331">
        <f>F3381*I3381</f>
        <v>0</v>
      </c>
      <c r="K3381" s="414"/>
      <c r="L3381" s="331"/>
      <c r="M3381" s="331">
        <f>H3381+J3381+L3381</f>
        <v>0</v>
      </c>
      <c r="N3381" s="358"/>
    </row>
    <row r="3382" spans="1:255" s="359" customFormat="1" ht="27" hidden="1">
      <c r="A3382" s="336"/>
      <c r="B3382" s="328"/>
      <c r="C3382" s="335" t="s">
        <v>1190</v>
      </c>
      <c r="D3382" s="336" t="s">
        <v>217</v>
      </c>
      <c r="E3382" s="336">
        <v>3.62E-3</v>
      </c>
      <c r="F3382" s="331">
        <f>F3380*E3382</f>
        <v>0</v>
      </c>
      <c r="G3382" s="330"/>
      <c r="H3382" s="331"/>
      <c r="I3382" s="414"/>
      <c r="J3382" s="331"/>
      <c r="K3382" s="414">
        <v>27.4</v>
      </c>
      <c r="L3382" s="331">
        <f>F3382*K3382</f>
        <v>0</v>
      </c>
      <c r="M3382" s="331">
        <f>H3382+J3382+L3382</f>
        <v>0</v>
      </c>
      <c r="N3382" s="358"/>
    </row>
    <row r="3383" spans="1:255" s="359" customFormat="1" ht="21" hidden="1" customHeight="1">
      <c r="A3383" s="336"/>
      <c r="B3383" s="328"/>
      <c r="C3383" s="335" t="s">
        <v>81</v>
      </c>
      <c r="D3383" s="336" t="s">
        <v>57</v>
      </c>
      <c r="E3383" s="336">
        <v>1.8000000000000001E-4</v>
      </c>
      <c r="F3383" s="331">
        <f>F3380*E3383</f>
        <v>0</v>
      </c>
      <c r="G3383" s="330"/>
      <c r="H3383" s="331"/>
      <c r="I3383" s="414"/>
      <c r="J3383" s="331"/>
      <c r="K3383" s="414">
        <v>3.2</v>
      </c>
      <c r="L3383" s="331">
        <f>F3383*K3383</f>
        <v>0</v>
      </c>
      <c r="M3383" s="331">
        <f>H3383+J3383+L3383</f>
        <v>0</v>
      </c>
      <c r="N3383" s="358"/>
    </row>
    <row r="3384" spans="1:255" s="359" customFormat="1" hidden="1">
      <c r="A3384" s="336"/>
      <c r="B3384" s="328"/>
      <c r="C3384" s="335" t="s">
        <v>210</v>
      </c>
      <c r="D3384" s="336"/>
      <c r="E3384" s="336"/>
      <c r="F3384" s="331"/>
      <c r="G3384" s="330"/>
      <c r="H3384" s="331"/>
      <c r="I3384" s="414"/>
      <c r="J3384" s="331"/>
      <c r="K3384" s="414"/>
      <c r="L3384" s="331"/>
      <c r="M3384" s="331"/>
      <c r="N3384" s="415" t="e">
        <f>#REF!+#REF!+#REF!</f>
        <v>#REF!</v>
      </c>
    </row>
    <row r="3385" spans="1:255" s="359" customFormat="1" ht="12.75" hidden="1" customHeight="1">
      <c r="A3385" s="342"/>
      <c r="B3385" s="417"/>
      <c r="C3385" s="551" t="s">
        <v>1187</v>
      </c>
      <c r="D3385" s="342" t="s">
        <v>88</v>
      </c>
      <c r="E3385" s="342">
        <v>4.0000000000000003E-5</v>
      </c>
      <c r="F3385" s="418">
        <f>F3380*E3385</f>
        <v>0</v>
      </c>
      <c r="G3385" s="1080">
        <v>16.100000000000001</v>
      </c>
      <c r="H3385" s="418">
        <f>F3385*G3385</f>
        <v>0</v>
      </c>
      <c r="I3385" s="895"/>
      <c r="J3385" s="418"/>
      <c r="K3385" s="895"/>
      <c r="L3385" s="418"/>
      <c r="M3385" s="418">
        <f>H3385+J3385+L3385</f>
        <v>0</v>
      </c>
      <c r="N3385" s="358"/>
    </row>
    <row r="3386" spans="1:255" s="359" customFormat="1" ht="15.75" hidden="1" customHeight="1">
      <c r="A3386" s="473">
        <v>4</v>
      </c>
      <c r="B3386" s="500" t="s">
        <v>1700</v>
      </c>
      <c r="C3386" s="420" t="s">
        <v>1701</v>
      </c>
      <c r="D3386" s="421" t="s">
        <v>78</v>
      </c>
      <c r="E3386" s="421"/>
      <c r="F3386" s="456">
        <f>'დეფექტური აქტი'!E849</f>
        <v>0</v>
      </c>
      <c r="G3386" s="421"/>
      <c r="H3386" s="787"/>
      <c r="I3386" s="786"/>
      <c r="J3386" s="787"/>
      <c r="K3386" s="786"/>
      <c r="L3386" s="787"/>
      <c r="M3386" s="787"/>
      <c r="N3386" s="348"/>
    </row>
    <row r="3387" spans="1:255" s="359" customFormat="1" hidden="1">
      <c r="A3387" s="342"/>
      <c r="B3387" s="417"/>
      <c r="C3387" s="551" t="s">
        <v>209</v>
      </c>
      <c r="D3387" s="342" t="s">
        <v>80</v>
      </c>
      <c r="E3387" s="342">
        <v>0.129</v>
      </c>
      <c r="F3387" s="418">
        <f>F3386*E3387</f>
        <v>0</v>
      </c>
      <c r="G3387" s="419"/>
      <c r="H3387" s="418"/>
      <c r="I3387" s="895">
        <v>4.5999999999999996</v>
      </c>
      <c r="J3387" s="418">
        <f>F3387*I3387</f>
        <v>0</v>
      </c>
      <c r="K3387" s="895"/>
      <c r="L3387" s="418"/>
      <c r="M3387" s="418">
        <f>H3387+J3387+L3387</f>
        <v>0</v>
      </c>
      <c r="N3387" s="348"/>
    </row>
    <row r="3388" spans="1:255" s="464" customFormat="1" hidden="1">
      <c r="A3388" s="951">
        <v>5</v>
      </c>
      <c r="B3388" s="544" t="s">
        <v>1642</v>
      </c>
      <c r="C3388" s="932" t="s">
        <v>1704</v>
      </c>
      <c r="D3388" s="952" t="s">
        <v>437</v>
      </c>
      <c r="E3388" s="953"/>
      <c r="F3388" s="456">
        <f>'დეფექტური აქტი'!E850</f>
        <v>0</v>
      </c>
      <c r="G3388" s="957"/>
      <c r="H3388" s="955"/>
      <c r="I3388" s="956"/>
      <c r="J3388" s="955"/>
      <c r="K3388" s="957"/>
      <c r="L3388" s="958"/>
      <c r="M3388" s="1067"/>
    </row>
    <row r="3389" spans="1:255" s="464" customFormat="1" hidden="1">
      <c r="A3389" s="969"/>
      <c r="B3389" s="981"/>
      <c r="C3389" s="934" t="s">
        <v>1627</v>
      </c>
      <c r="D3389" s="981" t="s">
        <v>80</v>
      </c>
      <c r="E3389" s="971">
        <f>21.6/100</f>
        <v>0.21600000000000003</v>
      </c>
      <c r="F3389" s="1056">
        <f>F3388*E3389</f>
        <v>0</v>
      </c>
      <c r="G3389" s="1059"/>
      <c r="H3389" s="955">
        <f>F3389*G3389</f>
        <v>0</v>
      </c>
      <c r="I3389" s="1057">
        <v>6</v>
      </c>
      <c r="J3389" s="1058">
        <f>F3389*I3389</f>
        <v>0</v>
      </c>
      <c r="K3389" s="1059"/>
      <c r="L3389" s="1060"/>
      <c r="M3389" s="983">
        <f>H3389+J3389+L3389</f>
        <v>0</v>
      </c>
    </row>
    <row r="3390" spans="1:255" s="464" customFormat="1" hidden="1">
      <c r="A3390" s="969"/>
      <c r="B3390" s="970"/>
      <c r="C3390" s="934" t="s">
        <v>1643</v>
      </c>
      <c r="D3390" s="970" t="s">
        <v>1634</v>
      </c>
      <c r="E3390" s="971">
        <f>1.24/100</f>
        <v>1.24E-2</v>
      </c>
      <c r="F3390" s="1056">
        <f>F3388*E3390</f>
        <v>0</v>
      </c>
      <c r="G3390" s="1059"/>
      <c r="H3390" s="955"/>
      <c r="I3390" s="1057"/>
      <c r="J3390" s="1061"/>
      <c r="K3390" s="1059">
        <v>25.16</v>
      </c>
      <c r="L3390" s="1060">
        <f t="shared" ref="L3390:L3395" si="87">F3390*K3390</f>
        <v>0</v>
      </c>
      <c r="M3390" s="983">
        <f t="shared" ref="M3390:M3397" si="88">H3390+J3390+L3390</f>
        <v>0</v>
      </c>
    </row>
    <row r="3391" spans="1:255" s="464" customFormat="1" hidden="1">
      <c r="A3391" s="969"/>
      <c r="B3391" s="811"/>
      <c r="C3391" s="934" t="s">
        <v>1644</v>
      </c>
      <c r="D3391" s="811" t="s">
        <v>1634</v>
      </c>
      <c r="E3391" s="971">
        <f>2.58/100</f>
        <v>2.58E-2</v>
      </c>
      <c r="F3391" s="1056">
        <f>F3388*E3391</f>
        <v>0</v>
      </c>
      <c r="G3391" s="1059"/>
      <c r="H3391" s="955"/>
      <c r="I3391" s="1057"/>
      <c r="J3391" s="1061"/>
      <c r="K3391" s="1059">
        <v>21.54</v>
      </c>
      <c r="L3391" s="1060">
        <f t="shared" si="87"/>
        <v>0</v>
      </c>
      <c r="M3391" s="983">
        <f t="shared" si="88"/>
        <v>0</v>
      </c>
    </row>
    <row r="3392" spans="1:255" s="464" customFormat="1" hidden="1">
      <c r="A3392" s="969"/>
      <c r="B3392" s="970"/>
      <c r="C3392" s="934" t="s">
        <v>1645</v>
      </c>
      <c r="D3392" s="970" t="s">
        <v>1634</v>
      </c>
      <c r="E3392" s="971">
        <f>0.41/100</f>
        <v>4.0999999999999995E-3</v>
      </c>
      <c r="F3392" s="1056">
        <f>F3388*E3392</f>
        <v>0</v>
      </c>
      <c r="G3392" s="1059"/>
      <c r="H3392" s="955"/>
      <c r="I3392" s="1057"/>
      <c r="J3392" s="1061"/>
      <c r="K3392" s="1059">
        <v>20.75</v>
      </c>
      <c r="L3392" s="1060">
        <f t="shared" si="87"/>
        <v>0</v>
      </c>
      <c r="M3392" s="983">
        <f t="shared" si="88"/>
        <v>0</v>
      </c>
    </row>
    <row r="3393" spans="1:14" s="464" customFormat="1" hidden="1">
      <c r="A3393" s="969"/>
      <c r="B3393" s="970"/>
      <c r="C3393" s="934" t="s">
        <v>1646</v>
      </c>
      <c r="D3393" s="970" t="s">
        <v>1634</v>
      </c>
      <c r="E3393" s="971">
        <f>7.6/100</f>
        <v>7.5999999999999998E-2</v>
      </c>
      <c r="F3393" s="1056">
        <f>F3388*E3393</f>
        <v>0</v>
      </c>
      <c r="G3393" s="1059"/>
      <c r="H3393" s="955"/>
      <c r="I3393" s="1057"/>
      <c r="J3393" s="1061"/>
      <c r="K3393" s="1059">
        <v>16.91</v>
      </c>
      <c r="L3393" s="1060">
        <f t="shared" si="87"/>
        <v>0</v>
      </c>
      <c r="M3393" s="983">
        <f t="shared" si="88"/>
        <v>0</v>
      </c>
    </row>
    <row r="3394" spans="1:14" s="464" customFormat="1" hidden="1">
      <c r="A3394" s="969"/>
      <c r="B3394" s="970"/>
      <c r="C3394" s="934" t="s">
        <v>1647</v>
      </c>
      <c r="D3394" s="970" t="s">
        <v>1634</v>
      </c>
      <c r="E3394" s="971">
        <f>15.1/100</f>
        <v>0.151</v>
      </c>
      <c r="F3394" s="1056">
        <f>F3388*E3394</f>
        <v>0</v>
      </c>
      <c r="G3394" s="1059"/>
      <c r="H3394" s="955"/>
      <c r="I3394" s="1057"/>
      <c r="J3394" s="1061"/>
      <c r="K3394" s="1059">
        <v>19.98</v>
      </c>
      <c r="L3394" s="1060">
        <f t="shared" si="87"/>
        <v>0</v>
      </c>
      <c r="M3394" s="983">
        <f t="shared" si="88"/>
        <v>0</v>
      </c>
    </row>
    <row r="3395" spans="1:14" s="464" customFormat="1" hidden="1">
      <c r="A3395" s="969"/>
      <c r="B3395" s="970"/>
      <c r="C3395" s="934" t="s">
        <v>1648</v>
      </c>
      <c r="D3395" s="811" t="s">
        <v>1634</v>
      </c>
      <c r="E3395" s="971">
        <f>0.97/100</f>
        <v>9.7000000000000003E-3</v>
      </c>
      <c r="F3395" s="1056">
        <f>F3388*E3395</f>
        <v>0</v>
      </c>
      <c r="G3395" s="1059"/>
      <c r="H3395" s="955"/>
      <c r="I3395" s="1057"/>
      <c r="J3395" s="1061"/>
      <c r="K3395" s="1059">
        <v>42.02</v>
      </c>
      <c r="L3395" s="1060">
        <f t="shared" si="87"/>
        <v>0</v>
      </c>
      <c r="M3395" s="983">
        <f t="shared" si="88"/>
        <v>0</v>
      </c>
    </row>
    <row r="3396" spans="1:14" s="464" customFormat="1" hidden="1">
      <c r="A3396" s="969"/>
      <c r="B3396" s="998"/>
      <c r="C3396" s="934" t="s">
        <v>1705</v>
      </c>
      <c r="D3396" s="970" t="s">
        <v>437</v>
      </c>
      <c r="E3396" s="971">
        <v>1.26</v>
      </c>
      <c r="F3396" s="1056">
        <f>F3388*E3396</f>
        <v>0</v>
      </c>
      <c r="G3396" s="1059">
        <v>9</v>
      </c>
      <c r="H3396" s="955">
        <f>F3396*G3396</f>
        <v>0</v>
      </c>
      <c r="I3396" s="1057"/>
      <c r="J3396" s="1061">
        <f>F3396*I3396</f>
        <v>0</v>
      </c>
      <c r="K3396" s="1059"/>
      <c r="L3396" s="1060"/>
      <c r="M3396" s="983">
        <f t="shared" si="88"/>
        <v>0</v>
      </c>
    </row>
    <row r="3397" spans="1:14" s="464" customFormat="1" hidden="1">
      <c r="A3397" s="960"/>
      <c r="B3397" s="978"/>
      <c r="C3397" s="938" t="s">
        <v>223</v>
      </c>
      <c r="D3397" s="978" t="s">
        <v>437</v>
      </c>
      <c r="E3397" s="961">
        <f>7/100</f>
        <v>7.0000000000000007E-2</v>
      </c>
      <c r="F3397" s="1062">
        <f>F3388*E3397</f>
        <v>0</v>
      </c>
      <c r="G3397" s="1066">
        <v>3.6</v>
      </c>
      <c r="H3397" s="1063">
        <f>F3397*G3397</f>
        <v>0</v>
      </c>
      <c r="I3397" s="1064"/>
      <c r="J3397" s="1065">
        <f>F3397*I3397</f>
        <v>0</v>
      </c>
      <c r="K3397" s="1066"/>
      <c r="L3397" s="1062"/>
      <c r="M3397" s="967">
        <f t="shared" si="88"/>
        <v>0</v>
      </c>
    </row>
    <row r="3398" spans="1:14" s="359" customFormat="1" hidden="1">
      <c r="A3398" s="336">
        <v>6</v>
      </c>
      <c r="B3398" s="328" t="s">
        <v>1706</v>
      </c>
      <c r="C3398" s="357" t="s">
        <v>1707</v>
      </c>
      <c r="D3398" s="330" t="s">
        <v>78</v>
      </c>
      <c r="E3398" s="330"/>
      <c r="F3398" s="456">
        <f>'დეფექტური აქტი'!E851</f>
        <v>0</v>
      </c>
      <c r="G3398" s="330"/>
      <c r="H3398" s="331"/>
      <c r="I3398" s="414"/>
      <c r="J3398" s="331"/>
      <c r="K3398" s="414"/>
      <c r="L3398" s="331"/>
      <c r="M3398" s="331"/>
      <c r="N3398" s="358"/>
    </row>
    <row r="3399" spans="1:14" s="359" customFormat="1" ht="13.5" hidden="1" customHeight="1">
      <c r="A3399" s="336"/>
      <c r="B3399" s="334"/>
      <c r="C3399" s="335" t="s">
        <v>128</v>
      </c>
      <c r="D3399" s="336" t="s">
        <v>80</v>
      </c>
      <c r="E3399" s="336">
        <v>3.3000000000000002E-2</v>
      </c>
      <c r="F3399" s="331">
        <f>F3398*E3399</f>
        <v>0</v>
      </c>
      <c r="G3399" s="330"/>
      <c r="H3399" s="331"/>
      <c r="I3399" s="414">
        <v>6</v>
      </c>
      <c r="J3399" s="331">
        <f>F3399*I3399</f>
        <v>0</v>
      </c>
      <c r="K3399" s="414"/>
      <c r="L3399" s="331"/>
      <c r="M3399" s="331">
        <f t="shared" ref="M3399:M3405" si="89">H3399+J3399+L3399</f>
        <v>0</v>
      </c>
      <c r="N3399" s="358"/>
    </row>
    <row r="3400" spans="1:14" s="359" customFormat="1" ht="15.75" hidden="1" customHeight="1">
      <c r="A3400" s="336"/>
      <c r="B3400" s="334"/>
      <c r="C3400" s="335" t="s">
        <v>1708</v>
      </c>
      <c r="D3400" s="336" t="s">
        <v>217</v>
      </c>
      <c r="E3400" s="336">
        <v>4.2000000000000002E-4</v>
      </c>
      <c r="F3400" s="331">
        <f>F3398*E3400</f>
        <v>0</v>
      </c>
      <c r="G3400" s="330"/>
      <c r="H3400" s="331"/>
      <c r="I3400" s="414"/>
      <c r="J3400" s="331"/>
      <c r="K3400" s="414">
        <v>25.16</v>
      </c>
      <c r="L3400" s="331">
        <f t="shared" ref="L3400:L3405" si="90">F3400*K3400</f>
        <v>0</v>
      </c>
      <c r="M3400" s="331">
        <f t="shared" si="89"/>
        <v>0</v>
      </c>
      <c r="N3400" s="358"/>
    </row>
    <row r="3401" spans="1:14" s="359" customFormat="1" ht="13.5" hidden="1" customHeight="1">
      <c r="A3401" s="336"/>
      <c r="B3401" s="334"/>
      <c r="C3401" s="335" t="s">
        <v>1709</v>
      </c>
      <c r="D3401" s="336" t="s">
        <v>217</v>
      </c>
      <c r="E3401" s="336">
        <v>2.5799999999999998E-3</v>
      </c>
      <c r="F3401" s="331">
        <f>F3398*E3401</f>
        <v>0</v>
      </c>
      <c r="G3401" s="330"/>
      <c r="H3401" s="331"/>
      <c r="I3401" s="414"/>
      <c r="J3401" s="331"/>
      <c r="K3401" s="350">
        <v>27.4</v>
      </c>
      <c r="L3401" s="331">
        <f t="shared" si="90"/>
        <v>0</v>
      </c>
      <c r="M3401" s="331">
        <f t="shared" si="89"/>
        <v>0</v>
      </c>
      <c r="N3401" s="358"/>
    </row>
    <row r="3402" spans="1:14" s="359" customFormat="1" ht="14.25" hidden="1" customHeight="1">
      <c r="A3402" s="336"/>
      <c r="B3402" s="334"/>
      <c r="C3402" s="335" t="s">
        <v>1710</v>
      </c>
      <c r="D3402" s="336" t="s">
        <v>217</v>
      </c>
      <c r="E3402" s="336">
        <v>1.12E-2</v>
      </c>
      <c r="F3402" s="331">
        <f>F3398*E3402</f>
        <v>0</v>
      </c>
      <c r="G3402" s="330"/>
      <c r="H3402" s="331"/>
      <c r="I3402" s="414"/>
      <c r="J3402" s="331"/>
      <c r="K3402" s="414">
        <v>16.91</v>
      </c>
      <c r="L3402" s="331">
        <f t="shared" si="90"/>
        <v>0</v>
      </c>
      <c r="M3402" s="331">
        <f t="shared" si="89"/>
        <v>0</v>
      </c>
      <c r="N3402" s="358"/>
    </row>
    <row r="3403" spans="1:14" s="359" customFormat="1" ht="14.25" hidden="1" customHeight="1">
      <c r="A3403" s="336"/>
      <c r="B3403" s="334"/>
      <c r="C3403" s="335" t="s">
        <v>1711</v>
      </c>
      <c r="D3403" s="336" t="s">
        <v>217</v>
      </c>
      <c r="E3403" s="336">
        <v>2.4799999999999999E-2</v>
      </c>
      <c r="F3403" s="331">
        <f>F3398*E3403</f>
        <v>0</v>
      </c>
      <c r="G3403" s="330"/>
      <c r="H3403" s="331"/>
      <c r="I3403" s="414"/>
      <c r="J3403" s="331"/>
      <c r="K3403" s="414">
        <v>19.98</v>
      </c>
      <c r="L3403" s="331">
        <f t="shared" si="90"/>
        <v>0</v>
      </c>
      <c r="M3403" s="331">
        <f t="shared" si="89"/>
        <v>0</v>
      </c>
      <c r="N3403" s="358"/>
    </row>
    <row r="3404" spans="1:14" s="359" customFormat="1" ht="14.25" hidden="1" customHeight="1">
      <c r="A3404" s="336"/>
      <c r="B3404" s="334"/>
      <c r="C3404" s="335" t="s">
        <v>1712</v>
      </c>
      <c r="D3404" s="336" t="s">
        <v>217</v>
      </c>
      <c r="E3404" s="336">
        <v>4.1399999999999996E-3</v>
      </c>
      <c r="F3404" s="331">
        <f>F3398*E3404</f>
        <v>0</v>
      </c>
      <c r="G3404" s="330"/>
      <c r="H3404" s="331"/>
      <c r="I3404" s="414"/>
      <c r="J3404" s="331"/>
      <c r="K3404" s="414">
        <v>42.02</v>
      </c>
      <c r="L3404" s="331">
        <f t="shared" si="90"/>
        <v>0</v>
      </c>
      <c r="M3404" s="331">
        <f t="shared" si="89"/>
        <v>0</v>
      </c>
      <c r="N3404" s="358"/>
    </row>
    <row r="3405" spans="1:14" s="359" customFormat="1" ht="15.75" hidden="1" customHeight="1">
      <c r="A3405" s="336"/>
      <c r="B3405" s="334"/>
      <c r="C3405" s="335" t="s">
        <v>1713</v>
      </c>
      <c r="D3405" s="336" t="s">
        <v>217</v>
      </c>
      <c r="E3405" s="336">
        <v>5.2999999999999998E-4</v>
      </c>
      <c r="F3405" s="331">
        <f>F3398*E3405</f>
        <v>0</v>
      </c>
      <c r="G3405" s="330"/>
      <c r="H3405" s="331"/>
      <c r="I3405" s="414"/>
      <c r="J3405" s="331"/>
      <c r="K3405" s="414">
        <v>26.4</v>
      </c>
      <c r="L3405" s="331">
        <f t="shared" si="90"/>
        <v>0</v>
      </c>
      <c r="M3405" s="331">
        <f t="shared" si="89"/>
        <v>0</v>
      </c>
      <c r="N3405" s="358"/>
    </row>
    <row r="3406" spans="1:14" s="359" customFormat="1" hidden="1">
      <c r="A3406" s="336"/>
      <c r="B3406" s="334"/>
      <c r="C3406" s="335" t="s">
        <v>210</v>
      </c>
      <c r="D3406" s="336"/>
      <c r="E3406" s="336"/>
      <c r="F3406" s="331"/>
      <c r="G3406" s="330"/>
      <c r="H3406" s="331"/>
      <c r="I3406" s="414"/>
      <c r="J3406" s="331"/>
      <c r="K3406" s="414"/>
      <c r="L3406" s="331"/>
      <c r="M3406" s="331"/>
      <c r="N3406" s="358"/>
    </row>
    <row r="3407" spans="1:14" s="359" customFormat="1" hidden="1">
      <c r="A3407" s="336"/>
      <c r="B3407" s="334"/>
      <c r="C3407" s="335" t="s">
        <v>1714</v>
      </c>
      <c r="D3407" s="336" t="s">
        <v>88</v>
      </c>
      <c r="E3407" s="336">
        <v>0.189</v>
      </c>
      <c r="F3407" s="331">
        <f>F3398*E3407</f>
        <v>0</v>
      </c>
      <c r="G3407" s="330">
        <v>15.7</v>
      </c>
      <c r="H3407" s="331">
        <f>F3407*G3407</f>
        <v>0</v>
      </c>
      <c r="I3407" s="414"/>
      <c r="J3407" s="331"/>
      <c r="K3407" s="414"/>
      <c r="L3407" s="331"/>
      <c r="M3407" s="331">
        <f>H3407+J3407+L3407</f>
        <v>0</v>
      </c>
      <c r="N3407" s="358"/>
    </row>
    <row r="3408" spans="1:14" s="359" customFormat="1" hidden="1">
      <c r="A3408" s="336"/>
      <c r="B3408" s="334"/>
      <c r="C3408" s="335" t="s">
        <v>1715</v>
      </c>
      <c r="D3408" s="336" t="s">
        <v>88</v>
      </c>
      <c r="E3408" s="336">
        <v>1.4999999999999999E-2</v>
      </c>
      <c r="F3408" s="331">
        <f>F3398*E3408</f>
        <v>0</v>
      </c>
      <c r="G3408" s="330">
        <v>16.5</v>
      </c>
      <c r="H3408" s="331">
        <f>F3408*G3408</f>
        <v>0</v>
      </c>
      <c r="I3408" s="414"/>
      <c r="J3408" s="331"/>
      <c r="K3408" s="414"/>
      <c r="L3408" s="331"/>
      <c r="M3408" s="331">
        <f>H3408+J3408+L3408</f>
        <v>0</v>
      </c>
      <c r="N3408" s="358"/>
    </row>
    <row r="3409" spans="1:14" s="359" customFormat="1" hidden="1">
      <c r="A3409" s="342"/>
      <c r="B3409" s="1045"/>
      <c r="C3409" s="551" t="s">
        <v>223</v>
      </c>
      <c r="D3409" s="342" t="s">
        <v>88</v>
      </c>
      <c r="E3409" s="342">
        <v>0.03</v>
      </c>
      <c r="F3409" s="418">
        <f>F3398*E3409</f>
        <v>0</v>
      </c>
      <c r="G3409" s="419">
        <v>4.2</v>
      </c>
      <c r="H3409" s="418">
        <f>F3409*G3409</f>
        <v>0</v>
      </c>
      <c r="I3409" s="895"/>
      <c r="J3409" s="418"/>
      <c r="K3409" s="895"/>
      <c r="L3409" s="418"/>
      <c r="M3409" s="418">
        <f>H3409+J3409+L3409</f>
        <v>0</v>
      </c>
      <c r="N3409" s="358"/>
    </row>
    <row r="3410" spans="1:14" s="464" customFormat="1" ht="27" hidden="1">
      <c r="A3410" s="951">
        <v>7</v>
      </c>
      <c r="B3410" s="952" t="s">
        <v>1640</v>
      </c>
      <c r="C3410" s="936" t="s">
        <v>1749</v>
      </c>
      <c r="D3410" s="952" t="s">
        <v>437</v>
      </c>
      <c r="E3410" s="953"/>
      <c r="F3410" s="456">
        <f>'დეფექტური აქტი'!E852</f>
        <v>0</v>
      </c>
      <c r="G3410" s="954"/>
      <c r="H3410" s="955"/>
      <c r="I3410" s="956"/>
      <c r="J3410" s="955"/>
      <c r="K3410" s="957"/>
      <c r="L3410" s="958"/>
      <c r="M3410" s="959"/>
    </row>
    <row r="3411" spans="1:14" s="464" customFormat="1" hidden="1">
      <c r="A3411" s="969"/>
      <c r="B3411" s="981" t="s">
        <v>1641</v>
      </c>
      <c r="C3411" s="934" t="s">
        <v>1627</v>
      </c>
      <c r="D3411" s="981" t="s">
        <v>80</v>
      </c>
      <c r="E3411" s="971">
        <v>3.78</v>
      </c>
      <c r="F3411" s="976">
        <f>F3410*E3411</f>
        <v>0</v>
      </c>
      <c r="G3411" s="973"/>
      <c r="H3411" s="982">
        <f>F3411*G3411</f>
        <v>0</v>
      </c>
      <c r="I3411" s="974">
        <v>4.5999999999999996</v>
      </c>
      <c r="J3411" s="984">
        <f>F3411*I3411</f>
        <v>0</v>
      </c>
      <c r="K3411" s="975"/>
      <c r="L3411" s="972"/>
      <c r="M3411" s="983">
        <f>H3411+J3411+L3411</f>
        <v>0</v>
      </c>
      <c r="N3411" s="336"/>
    </row>
    <row r="3412" spans="1:14" s="464" customFormat="1" hidden="1">
      <c r="A3412" s="969"/>
      <c r="B3412" s="970"/>
      <c r="C3412" s="934" t="s">
        <v>1628</v>
      </c>
      <c r="D3412" s="970" t="s">
        <v>57</v>
      </c>
      <c r="E3412" s="971">
        <v>0.92</v>
      </c>
      <c r="F3412" s="972">
        <f>F3410*E3412</f>
        <v>0</v>
      </c>
      <c r="G3412" s="973"/>
      <c r="H3412" s="982"/>
      <c r="I3412" s="974"/>
      <c r="J3412" s="965"/>
      <c r="K3412" s="975">
        <v>3.2</v>
      </c>
      <c r="L3412" s="972">
        <f>F3412*K3412</f>
        <v>0</v>
      </c>
      <c r="M3412" s="983">
        <f t="shared" ref="M3412:M3417" si="91">H3412+J3412+L3412</f>
        <v>0</v>
      </c>
      <c r="N3412" s="336"/>
    </row>
    <row r="3413" spans="1:14" s="464" customFormat="1" hidden="1">
      <c r="A3413" s="969"/>
      <c r="B3413" s="970"/>
      <c r="C3413" s="934" t="s">
        <v>1629</v>
      </c>
      <c r="D3413" s="970" t="s">
        <v>437</v>
      </c>
      <c r="E3413" s="971">
        <v>1.0149999999999999</v>
      </c>
      <c r="F3413" s="976">
        <f>F3410*E3413</f>
        <v>0</v>
      </c>
      <c r="G3413" s="974">
        <v>104</v>
      </c>
      <c r="H3413" s="982">
        <f>F3413*G3413</f>
        <v>0</v>
      </c>
      <c r="I3413" s="974"/>
      <c r="J3413" s="965">
        <f>F3413*I3413</f>
        <v>0</v>
      </c>
      <c r="K3413" s="975"/>
      <c r="L3413" s="972"/>
      <c r="M3413" s="983">
        <f t="shared" si="91"/>
        <v>0</v>
      </c>
      <c r="N3413" s="336"/>
    </row>
    <row r="3414" spans="1:14" s="464" customFormat="1" hidden="1">
      <c r="A3414" s="969"/>
      <c r="B3414" s="970"/>
      <c r="C3414" s="934" t="s">
        <v>301</v>
      </c>
      <c r="D3414" s="970" t="s">
        <v>112</v>
      </c>
      <c r="E3414" s="971">
        <v>0.70299999999999996</v>
      </c>
      <c r="F3414" s="976">
        <f>F3410*E3414</f>
        <v>0</v>
      </c>
      <c r="G3414" s="974">
        <v>10.5</v>
      </c>
      <c r="H3414" s="982">
        <f>F3414*G3414</f>
        <v>0</v>
      </c>
      <c r="I3414" s="974"/>
      <c r="J3414" s="965">
        <f>F3414*I3414</f>
        <v>0</v>
      </c>
      <c r="K3414" s="975"/>
      <c r="L3414" s="972"/>
      <c r="M3414" s="983">
        <f t="shared" si="91"/>
        <v>0</v>
      </c>
      <c r="N3414" s="336"/>
    </row>
    <row r="3415" spans="1:14" s="464" customFormat="1" hidden="1">
      <c r="A3415" s="969"/>
      <c r="B3415" s="970"/>
      <c r="C3415" s="934" t="s">
        <v>1630</v>
      </c>
      <c r="D3415" s="970" t="s">
        <v>437</v>
      </c>
      <c r="E3415" s="971">
        <v>1.14E-2</v>
      </c>
      <c r="F3415" s="976">
        <f>F3410*E3415</f>
        <v>0</v>
      </c>
      <c r="G3415" s="974">
        <v>403</v>
      </c>
      <c r="H3415" s="982">
        <f>F3415*G3415</f>
        <v>0</v>
      </c>
      <c r="I3415" s="974"/>
      <c r="J3415" s="965">
        <f>F3415*I3415</f>
        <v>0</v>
      </c>
      <c r="K3415" s="975"/>
      <c r="L3415" s="972"/>
      <c r="M3415" s="983">
        <f t="shared" si="91"/>
        <v>0</v>
      </c>
      <c r="N3415" s="336"/>
    </row>
    <row r="3416" spans="1:14" s="464" customFormat="1" hidden="1">
      <c r="A3416" s="969"/>
      <c r="B3416" s="970"/>
      <c r="C3416" s="934" t="s">
        <v>1618</v>
      </c>
      <c r="D3416" s="970" t="s">
        <v>114</v>
      </c>
      <c r="E3416" s="971"/>
      <c r="F3416" s="456">
        <f>'დეფექტური აქტი'!E853</f>
        <v>0</v>
      </c>
      <c r="G3416" s="974">
        <v>1019</v>
      </c>
      <c r="H3416" s="982">
        <f>F3416*G3416</f>
        <v>0</v>
      </c>
      <c r="I3416" s="974"/>
      <c r="J3416" s="965">
        <f>F3416*I3416</f>
        <v>0</v>
      </c>
      <c r="K3416" s="975"/>
      <c r="L3416" s="972"/>
      <c r="M3416" s="983">
        <f t="shared" si="91"/>
        <v>0</v>
      </c>
      <c r="N3416" s="336"/>
    </row>
    <row r="3417" spans="1:14" s="464" customFormat="1" hidden="1">
      <c r="A3417" s="960"/>
      <c r="B3417" s="978"/>
      <c r="C3417" s="938" t="s">
        <v>1631</v>
      </c>
      <c r="D3417" s="978" t="s">
        <v>57</v>
      </c>
      <c r="E3417" s="961">
        <v>0.6</v>
      </c>
      <c r="F3417" s="962">
        <f>F3410*E3417</f>
        <v>0</v>
      </c>
      <c r="G3417" s="979">
        <v>3.2</v>
      </c>
      <c r="H3417" s="968">
        <f>F3417*G3417</f>
        <v>0</v>
      </c>
      <c r="I3417" s="979"/>
      <c r="J3417" s="980">
        <f>F3417*I3417</f>
        <v>0</v>
      </c>
      <c r="K3417" s="966"/>
      <c r="L3417" s="962"/>
      <c r="M3417" s="967">
        <f t="shared" si="91"/>
        <v>0</v>
      </c>
      <c r="N3417" s="336"/>
    </row>
    <row r="3418" spans="1:14" s="464" customFormat="1" ht="54" hidden="1">
      <c r="A3418" s="951">
        <v>8</v>
      </c>
      <c r="B3418" s="544" t="s">
        <v>1649</v>
      </c>
      <c r="C3418" s="932" t="s">
        <v>1747</v>
      </c>
      <c r="D3418" s="952" t="s">
        <v>112</v>
      </c>
      <c r="E3418" s="953"/>
      <c r="F3418" s="456">
        <f>'დეფექტური აქტი'!E854</f>
        <v>0</v>
      </c>
      <c r="G3418" s="954"/>
      <c r="H3418" s="955"/>
      <c r="I3418" s="956"/>
      <c r="J3418" s="955"/>
      <c r="K3418" s="957"/>
      <c r="L3418" s="958"/>
      <c r="M3418" s="959"/>
    </row>
    <row r="3419" spans="1:14" s="464" customFormat="1" hidden="1">
      <c r="A3419" s="969"/>
      <c r="B3419" s="981"/>
      <c r="C3419" s="934" t="s">
        <v>1627</v>
      </c>
      <c r="D3419" s="981" t="s">
        <v>80</v>
      </c>
      <c r="E3419" s="971">
        <v>3.78E-2</v>
      </c>
      <c r="F3419" s="976">
        <f>F3418*E3419</f>
        <v>0</v>
      </c>
      <c r="G3419" s="973"/>
      <c r="H3419" s="982">
        <f>F3419*G3419</f>
        <v>0</v>
      </c>
      <c r="I3419" s="974">
        <v>6</v>
      </c>
      <c r="J3419" s="984">
        <f>F3419*I3419</f>
        <v>0</v>
      </c>
      <c r="K3419" s="975"/>
      <c r="L3419" s="972"/>
      <c r="M3419" s="983">
        <f t="shared" ref="M3419:M3424" si="92">H3419+J3419+L3419</f>
        <v>0</v>
      </c>
    </row>
    <row r="3420" spans="1:14" s="464" customFormat="1" hidden="1">
      <c r="A3420" s="969"/>
      <c r="B3420" s="970"/>
      <c r="C3420" s="934" t="s">
        <v>1643</v>
      </c>
      <c r="D3420" s="970" t="s">
        <v>1634</v>
      </c>
      <c r="E3420" s="971">
        <v>3.2399999999999998E-3</v>
      </c>
      <c r="F3420" s="976">
        <f>F3418*E3420</f>
        <v>0</v>
      </c>
      <c r="G3420" s="973"/>
      <c r="H3420" s="982"/>
      <c r="I3420" s="974"/>
      <c r="J3420" s="965"/>
      <c r="K3420" s="975">
        <v>25.16</v>
      </c>
      <c r="L3420" s="972">
        <f>F3420*K3420</f>
        <v>0</v>
      </c>
      <c r="M3420" s="983">
        <f t="shared" si="92"/>
        <v>0</v>
      </c>
    </row>
    <row r="3421" spans="1:14" s="464" customFormat="1" hidden="1">
      <c r="A3421" s="969"/>
      <c r="B3421" s="970"/>
      <c r="C3421" s="934" t="s">
        <v>1646</v>
      </c>
      <c r="D3421" s="970" t="s">
        <v>1634</v>
      </c>
      <c r="E3421" s="971">
        <v>1.01E-2</v>
      </c>
      <c r="F3421" s="976">
        <f>F3418*E3421</f>
        <v>0</v>
      </c>
      <c r="G3421" s="973"/>
      <c r="H3421" s="982"/>
      <c r="I3421" s="974"/>
      <c r="J3421" s="965"/>
      <c r="K3421" s="975">
        <v>16.91</v>
      </c>
      <c r="L3421" s="972">
        <f>F3421*K3421</f>
        <v>0</v>
      </c>
      <c r="M3421" s="983">
        <f t="shared" si="92"/>
        <v>0</v>
      </c>
    </row>
    <row r="3422" spans="1:14" s="464" customFormat="1" hidden="1">
      <c r="A3422" s="969"/>
      <c r="B3422" s="970"/>
      <c r="C3422" s="934" t="s">
        <v>1650</v>
      </c>
      <c r="D3422" s="811" t="s">
        <v>57</v>
      </c>
      <c r="E3422" s="971">
        <v>2.8999999999999998E-3</v>
      </c>
      <c r="F3422" s="976">
        <f>F3418*E3422</f>
        <v>0</v>
      </c>
      <c r="G3422" s="973"/>
      <c r="H3422" s="982"/>
      <c r="I3422" s="974"/>
      <c r="J3422" s="965"/>
      <c r="K3422" s="975"/>
      <c r="L3422" s="972">
        <f>F3422*K3422</f>
        <v>0</v>
      </c>
      <c r="M3422" s="983">
        <f t="shared" si="92"/>
        <v>0</v>
      </c>
    </row>
    <row r="3423" spans="1:14" s="464" customFormat="1" hidden="1">
      <c r="A3423" s="969"/>
      <c r="B3423" s="998"/>
      <c r="C3423" s="934" t="s">
        <v>1651</v>
      </c>
      <c r="D3423" s="970" t="s">
        <v>437</v>
      </c>
      <c r="E3423" s="1095">
        <v>7.2999999999999995E-2</v>
      </c>
      <c r="F3423" s="976">
        <f>F3418*E3423</f>
        <v>0</v>
      </c>
      <c r="G3423" s="974">
        <v>104</v>
      </c>
      <c r="H3423" s="999">
        <f>F3423*G3423</f>
        <v>0</v>
      </c>
      <c r="I3423" s="994"/>
      <c r="J3423" s="965"/>
      <c r="K3423" s="975"/>
      <c r="L3423" s="972"/>
      <c r="M3423" s="983">
        <f t="shared" si="92"/>
        <v>0</v>
      </c>
    </row>
    <row r="3424" spans="1:14" s="464" customFormat="1" hidden="1">
      <c r="A3424" s="1000"/>
      <c r="B3424" s="1001"/>
      <c r="C3424" s="990" t="s">
        <v>1631</v>
      </c>
      <c r="D3424" s="1001" t="s">
        <v>57</v>
      </c>
      <c r="E3424" s="1003">
        <v>5.3400000000000003E-2</v>
      </c>
      <c r="F3424" s="1003">
        <f>F3419*E3424</f>
        <v>0</v>
      </c>
      <c r="G3424" s="1004">
        <v>3.2</v>
      </c>
      <c r="H3424" s="968">
        <f>F3424*G3424</f>
        <v>0</v>
      </c>
      <c r="I3424" s="1005"/>
      <c r="J3424" s="1006"/>
      <c r="K3424" s="1007"/>
      <c r="L3424" s="1003"/>
      <c r="M3424" s="967">
        <f t="shared" si="92"/>
        <v>0</v>
      </c>
    </row>
    <row r="3425" spans="1:13" s="464" customFormat="1" ht="108" hidden="1">
      <c r="A3425" s="986">
        <v>9</v>
      </c>
      <c r="B3425" s="987" t="s">
        <v>1632</v>
      </c>
      <c r="C3425" s="452" t="s">
        <v>1746</v>
      </c>
      <c r="D3425" s="952" t="s">
        <v>114</v>
      </c>
      <c r="E3425" s="988"/>
      <c r="F3425" s="456">
        <f>'დეფექტური აქტი'!E855</f>
        <v>0</v>
      </c>
      <c r="G3425" s="954"/>
      <c r="H3425" s="955"/>
      <c r="I3425" s="956"/>
      <c r="J3425" s="955"/>
      <c r="K3425" s="957"/>
      <c r="L3425" s="958"/>
      <c r="M3425" s="959"/>
    </row>
    <row r="3426" spans="1:13" s="464" customFormat="1" hidden="1">
      <c r="A3426" s="969"/>
      <c r="B3426" s="981"/>
      <c r="C3426" s="934" t="s">
        <v>1627</v>
      </c>
      <c r="D3426" s="981" t="s">
        <v>80</v>
      </c>
      <c r="E3426" s="971">
        <v>53.8</v>
      </c>
      <c r="F3426" s="976">
        <f>F3425*E3426</f>
        <v>0</v>
      </c>
      <c r="G3426" s="973"/>
      <c r="H3426" s="982">
        <f>F3426*G3426</f>
        <v>0</v>
      </c>
      <c r="I3426" s="983">
        <v>4.5999999999999996</v>
      </c>
      <c r="J3426" s="984">
        <f>F3426*I3426</f>
        <v>0</v>
      </c>
      <c r="K3426" s="975"/>
      <c r="L3426" s="972"/>
      <c r="M3426" s="983">
        <f t="shared" ref="M3426:M3431" si="93">H3426+J3426+L3426</f>
        <v>0</v>
      </c>
    </row>
    <row r="3427" spans="1:13" s="464" customFormat="1" hidden="1">
      <c r="A3427" s="969"/>
      <c r="B3427" s="970"/>
      <c r="C3427" s="934" t="s">
        <v>1628</v>
      </c>
      <c r="D3427" s="970" t="s">
        <v>57</v>
      </c>
      <c r="E3427" s="971">
        <v>18.399999999999999</v>
      </c>
      <c r="F3427" s="976">
        <f>F3425*E3427</f>
        <v>0</v>
      </c>
      <c r="G3427" s="973"/>
      <c r="H3427" s="982"/>
      <c r="I3427" s="974"/>
      <c r="J3427" s="965"/>
      <c r="K3427" s="975">
        <v>3.2</v>
      </c>
      <c r="L3427" s="972">
        <f>F3427*K3427</f>
        <v>0</v>
      </c>
      <c r="M3427" s="983">
        <f t="shared" si="93"/>
        <v>0</v>
      </c>
    </row>
    <row r="3428" spans="1:13" s="464" customFormat="1" hidden="1">
      <c r="A3428" s="989"/>
      <c r="B3428" s="830"/>
      <c r="C3428" s="990" t="s">
        <v>1633</v>
      </c>
      <c r="D3428" s="830" t="s">
        <v>1634</v>
      </c>
      <c r="E3428" s="971">
        <v>0.35</v>
      </c>
      <c r="F3428" s="976">
        <f>F3425*E3428</f>
        <v>0</v>
      </c>
      <c r="G3428" s="973"/>
      <c r="H3428" s="982"/>
      <c r="I3428" s="974"/>
      <c r="J3428" s="965"/>
      <c r="K3428" s="975">
        <v>27.39</v>
      </c>
      <c r="L3428" s="972">
        <f>F3428*K3428</f>
        <v>0</v>
      </c>
      <c r="M3428" s="983">
        <f t="shared" si="93"/>
        <v>0</v>
      </c>
    </row>
    <row r="3429" spans="1:13" s="464" customFormat="1" hidden="1">
      <c r="A3429" s="989"/>
      <c r="B3429" s="830"/>
      <c r="C3429" s="990" t="s">
        <v>1635</v>
      </c>
      <c r="D3429" s="830" t="s">
        <v>114</v>
      </c>
      <c r="E3429" s="971">
        <v>1</v>
      </c>
      <c r="F3429" s="976">
        <f>F3425*E3429</f>
        <v>0</v>
      </c>
      <c r="G3429" s="974">
        <v>2140</v>
      </c>
      <c r="H3429" s="991">
        <f>F3429*G3429</f>
        <v>0</v>
      </c>
      <c r="I3429" s="992"/>
      <c r="J3429" s="992"/>
      <c r="K3429" s="993"/>
      <c r="L3429" s="972"/>
      <c r="M3429" s="983">
        <f t="shared" si="93"/>
        <v>0</v>
      </c>
    </row>
    <row r="3430" spans="1:13" s="464" customFormat="1" hidden="1">
      <c r="A3430" s="989"/>
      <c r="B3430" s="830"/>
      <c r="C3430" s="990" t="s">
        <v>307</v>
      </c>
      <c r="D3430" s="830" t="s">
        <v>97</v>
      </c>
      <c r="E3430" s="971">
        <v>24.4</v>
      </c>
      <c r="F3430" s="976">
        <f>F3425*E3430</f>
        <v>0</v>
      </c>
      <c r="G3430" s="974">
        <v>3.75</v>
      </c>
      <c r="H3430" s="991">
        <f>F3430*G3430</f>
        <v>0</v>
      </c>
      <c r="I3430" s="994"/>
      <c r="J3430" s="831"/>
      <c r="K3430" s="975"/>
      <c r="L3430" s="972"/>
      <c r="M3430" s="983">
        <f t="shared" si="93"/>
        <v>0</v>
      </c>
    </row>
    <row r="3431" spans="1:13" s="464" customFormat="1" hidden="1">
      <c r="A3431" s="960"/>
      <c r="B3431" s="978"/>
      <c r="C3431" s="938" t="s">
        <v>1631</v>
      </c>
      <c r="D3431" s="978" t="s">
        <v>57</v>
      </c>
      <c r="E3431" s="961">
        <v>2.78</v>
      </c>
      <c r="F3431" s="962">
        <f>F3425*E3431</f>
        <v>0</v>
      </c>
      <c r="G3431" s="979">
        <v>3.2</v>
      </c>
      <c r="H3431" s="995">
        <f>F3431*G3431</f>
        <v>0</v>
      </c>
      <c r="I3431" s="996"/>
      <c r="J3431" s="997"/>
      <c r="K3431" s="966"/>
      <c r="L3431" s="962"/>
      <c r="M3431" s="967">
        <f t="shared" si="93"/>
        <v>0</v>
      </c>
    </row>
    <row r="3432" spans="1:13" s="464" customFormat="1" hidden="1">
      <c r="A3432" s="969">
        <v>10</v>
      </c>
      <c r="B3432" s="970" t="s">
        <v>1636</v>
      </c>
      <c r="C3432" s="934" t="s">
        <v>1637</v>
      </c>
      <c r="D3432" s="970" t="s">
        <v>114</v>
      </c>
      <c r="E3432" s="971"/>
      <c r="F3432" s="456">
        <f>'დეფექტური აქტი'!E856</f>
        <v>0</v>
      </c>
      <c r="G3432" s="973"/>
      <c r="H3432" s="982"/>
      <c r="I3432" s="974"/>
      <c r="J3432" s="965"/>
      <c r="K3432" s="975"/>
      <c r="L3432" s="972"/>
      <c r="M3432" s="977"/>
    </row>
    <row r="3433" spans="1:13" s="464" customFormat="1" hidden="1">
      <c r="A3433" s="969"/>
      <c r="B3433" s="981" t="s">
        <v>1638</v>
      </c>
      <c r="C3433" s="934" t="s">
        <v>1627</v>
      </c>
      <c r="D3433" s="981" t="s">
        <v>80</v>
      </c>
      <c r="E3433" s="971">
        <v>210</v>
      </c>
      <c r="F3433" s="976">
        <f>F3432*E3433</f>
        <v>0</v>
      </c>
      <c r="G3433" s="973"/>
      <c r="H3433" s="982">
        <f>F3433*G3433</f>
        <v>0</v>
      </c>
      <c r="I3433" s="983">
        <v>4.5999999999999996</v>
      </c>
      <c r="J3433" s="984">
        <f>F3433*I3433</f>
        <v>0</v>
      </c>
      <c r="K3433" s="975"/>
      <c r="L3433" s="972"/>
      <c r="M3433" s="983">
        <f>H3433+J3433+L3433</f>
        <v>0</v>
      </c>
    </row>
    <row r="3434" spans="1:13" s="464" customFormat="1" hidden="1">
      <c r="A3434" s="969"/>
      <c r="B3434" s="970"/>
      <c r="C3434" s="934" t="s">
        <v>1628</v>
      </c>
      <c r="D3434" s="970" t="s">
        <v>57</v>
      </c>
      <c r="E3434" s="971">
        <v>1.4</v>
      </c>
      <c r="F3434" s="976">
        <f>F3432*E3434</f>
        <v>0</v>
      </c>
      <c r="G3434" s="973"/>
      <c r="H3434" s="982"/>
      <c r="I3434" s="974"/>
      <c r="J3434" s="965"/>
      <c r="K3434" s="975">
        <v>3.2</v>
      </c>
      <c r="L3434" s="972">
        <f>F3434*K3434</f>
        <v>0</v>
      </c>
      <c r="M3434" s="983">
        <f>H3434+J3434+L3434</f>
        <v>0</v>
      </c>
    </row>
    <row r="3435" spans="1:13" s="464" customFormat="1" hidden="1">
      <c r="A3435" s="969"/>
      <c r="B3435" s="970"/>
      <c r="C3435" s="934" t="s">
        <v>1639</v>
      </c>
      <c r="D3435" s="970" t="s">
        <v>114</v>
      </c>
      <c r="E3435" s="971">
        <v>1</v>
      </c>
      <c r="F3435" s="976">
        <f>F3432*E3435</f>
        <v>0</v>
      </c>
      <c r="G3435" s="973">
        <v>1620</v>
      </c>
      <c r="H3435" s="991">
        <f>F3435*G3435</f>
        <v>0</v>
      </c>
      <c r="I3435" s="974"/>
      <c r="J3435" s="965">
        <f>F3435*I3435</f>
        <v>0</v>
      </c>
      <c r="K3435" s="975"/>
      <c r="L3435" s="972"/>
      <c r="M3435" s="983">
        <f>H3435+J3435+L3435</f>
        <v>0</v>
      </c>
    </row>
    <row r="3436" spans="1:13" s="464" customFormat="1" hidden="1">
      <c r="A3436" s="960"/>
      <c r="B3436" s="978"/>
      <c r="C3436" s="938" t="s">
        <v>1631</v>
      </c>
      <c r="D3436" s="978" t="s">
        <v>57</v>
      </c>
      <c r="E3436" s="961">
        <v>2</v>
      </c>
      <c r="F3436" s="962">
        <f>F3432*E3436</f>
        <v>0</v>
      </c>
      <c r="G3436" s="963">
        <v>3.2</v>
      </c>
      <c r="H3436" s="968">
        <f>F3436*G3436</f>
        <v>0</v>
      </c>
      <c r="I3436" s="979"/>
      <c r="J3436" s="968">
        <f>F3436*I3436</f>
        <v>0</v>
      </c>
      <c r="K3436" s="966"/>
      <c r="L3436" s="961"/>
      <c r="M3436" s="967">
        <f>H3436+J3436+L3436</f>
        <v>0</v>
      </c>
    </row>
    <row r="3437" spans="1:13" s="464" customFormat="1" ht="94.5" hidden="1">
      <c r="A3437" s="986">
        <v>11</v>
      </c>
      <c r="B3437" s="987" t="s">
        <v>1652</v>
      </c>
      <c r="C3437" s="939" t="s">
        <v>1716</v>
      </c>
      <c r="D3437" s="987" t="s">
        <v>112</v>
      </c>
      <c r="E3437" s="988"/>
      <c r="F3437" s="456">
        <f>'დეფექტური აქტი'!E858</f>
        <v>0</v>
      </c>
      <c r="G3437" s="954"/>
      <c r="H3437" s="955"/>
      <c r="I3437" s="956"/>
      <c r="J3437" s="955"/>
      <c r="K3437" s="957"/>
      <c r="L3437" s="958"/>
      <c r="M3437" s="959"/>
    </row>
    <row r="3438" spans="1:13" s="464" customFormat="1" hidden="1">
      <c r="A3438" s="969"/>
      <c r="B3438" s="981"/>
      <c r="C3438" s="934" t="s">
        <v>1627</v>
      </c>
      <c r="D3438" s="981" t="s">
        <v>80</v>
      </c>
      <c r="E3438" s="971">
        <v>1.1499999999999999</v>
      </c>
      <c r="F3438" s="976">
        <f>F3437*E3438</f>
        <v>0</v>
      </c>
      <c r="G3438" s="973"/>
      <c r="H3438" s="982">
        <f>F3438*G3438</f>
        <v>0</v>
      </c>
      <c r="I3438" s="974">
        <v>4.5999999999999996</v>
      </c>
      <c r="J3438" s="984">
        <f>F3438*I3438</f>
        <v>0</v>
      </c>
      <c r="K3438" s="975"/>
      <c r="L3438" s="972"/>
      <c r="M3438" s="983">
        <f>H3438+J3438+L3438</f>
        <v>0</v>
      </c>
    </row>
    <row r="3439" spans="1:13" s="464" customFormat="1" hidden="1">
      <c r="A3439" s="969"/>
      <c r="B3439" s="970"/>
      <c r="C3439" s="934" t="s">
        <v>1628</v>
      </c>
      <c r="D3439" s="970" t="s">
        <v>57</v>
      </c>
      <c r="E3439" s="971">
        <v>0.1174</v>
      </c>
      <c r="F3439" s="976">
        <f>F3437*E3439</f>
        <v>0</v>
      </c>
      <c r="G3439" s="973"/>
      <c r="H3439" s="982"/>
      <c r="I3439" s="974"/>
      <c r="J3439" s="965"/>
      <c r="K3439" s="975">
        <v>3.2</v>
      </c>
      <c r="L3439" s="972">
        <f>F3439*K3439</f>
        <v>0</v>
      </c>
      <c r="M3439" s="983">
        <f t="shared" ref="M3439:M3445" si="94">H3439+J3439+L3439</f>
        <v>0</v>
      </c>
    </row>
    <row r="3440" spans="1:13" s="464" customFormat="1" hidden="1">
      <c r="A3440" s="989"/>
      <c r="B3440" s="830"/>
      <c r="C3440" s="990" t="s">
        <v>1653</v>
      </c>
      <c r="D3440" s="830" t="s">
        <v>1634</v>
      </c>
      <c r="E3440" s="971">
        <v>1.2500000000000001E-2</v>
      </c>
      <c r="F3440" s="976">
        <f>F3437*E3440</f>
        <v>0</v>
      </c>
      <c r="G3440" s="973"/>
      <c r="H3440" s="982"/>
      <c r="I3440" s="974"/>
      <c r="J3440" s="965"/>
      <c r="K3440" s="975">
        <v>13.53</v>
      </c>
      <c r="L3440" s="972">
        <f>F3440*K3440</f>
        <v>0</v>
      </c>
      <c r="M3440" s="983">
        <f t="shared" si="94"/>
        <v>0</v>
      </c>
    </row>
    <row r="3441" spans="1:13" s="464" customFormat="1" hidden="1">
      <c r="A3441" s="989"/>
      <c r="B3441" s="830"/>
      <c r="C3441" s="990" t="s">
        <v>1654</v>
      </c>
      <c r="D3441" s="830" t="s">
        <v>124</v>
      </c>
      <c r="E3441" s="971"/>
      <c r="F3441" s="455">
        <f>'დეფექტური აქტი'!E860</f>
        <v>0</v>
      </c>
      <c r="G3441" s="1008">
        <v>2.97</v>
      </c>
      <c r="H3441" s="999">
        <f t="shared" ref="H3441:H3446" si="95">F3441*G3441</f>
        <v>0</v>
      </c>
      <c r="I3441" s="1008"/>
      <c r="J3441" s="965"/>
      <c r="K3441" s="975"/>
      <c r="L3441" s="972"/>
      <c r="M3441" s="983">
        <f t="shared" si="94"/>
        <v>0</v>
      </c>
    </row>
    <row r="3442" spans="1:13" s="464" customFormat="1" ht="27" hidden="1">
      <c r="A3442" s="986"/>
      <c r="B3442" s="987"/>
      <c r="C3442" s="939" t="s">
        <v>1655</v>
      </c>
      <c r="D3442" s="987" t="s">
        <v>124</v>
      </c>
      <c r="E3442" s="953"/>
      <c r="F3442" s="455">
        <f>'დეფექტური აქტი'!E859</f>
        <v>0</v>
      </c>
      <c r="G3442" s="1010">
        <v>1</v>
      </c>
      <c r="H3442" s="999">
        <f t="shared" si="95"/>
        <v>0</v>
      </c>
      <c r="I3442" s="1010"/>
      <c r="J3442" s="955"/>
      <c r="K3442" s="957"/>
      <c r="L3442" s="958"/>
      <c r="M3442" s="983">
        <f t="shared" si="94"/>
        <v>0</v>
      </c>
    </row>
    <row r="3443" spans="1:13" s="464" customFormat="1" ht="54" hidden="1">
      <c r="A3443" s="986"/>
      <c r="B3443" s="987"/>
      <c r="C3443" s="939" t="s">
        <v>1717</v>
      </c>
      <c r="D3443" s="987" t="s">
        <v>112</v>
      </c>
      <c r="E3443" s="953"/>
      <c r="F3443" s="1009">
        <f>F3437</f>
        <v>0</v>
      </c>
      <c r="G3443" s="1010">
        <v>14</v>
      </c>
      <c r="H3443" s="1038">
        <f t="shared" si="95"/>
        <v>0</v>
      </c>
      <c r="I3443" s="1010"/>
      <c r="J3443" s="955"/>
      <c r="K3443" s="957"/>
      <c r="L3443" s="958"/>
      <c r="M3443" s="983">
        <f t="shared" si="94"/>
        <v>0</v>
      </c>
    </row>
    <row r="3444" spans="1:13" s="464" customFormat="1" hidden="1">
      <c r="A3444" s="989"/>
      <c r="B3444" s="830"/>
      <c r="C3444" s="990" t="s">
        <v>307</v>
      </c>
      <c r="D3444" s="830" t="s">
        <v>97</v>
      </c>
      <c r="E3444" s="971">
        <v>4.1000000000000002E-2</v>
      </c>
      <c r="F3444" s="976">
        <f>F3437*E3444</f>
        <v>0</v>
      </c>
      <c r="G3444" s="1008">
        <v>3.75</v>
      </c>
      <c r="H3444" s="999">
        <f t="shared" si="95"/>
        <v>0</v>
      </c>
      <c r="I3444" s="1008"/>
      <c r="J3444" s="965"/>
      <c r="K3444" s="975"/>
      <c r="L3444" s="972"/>
      <c r="M3444" s="983">
        <f t="shared" si="94"/>
        <v>0</v>
      </c>
    </row>
    <row r="3445" spans="1:13" s="464" customFormat="1" hidden="1">
      <c r="A3445" s="960"/>
      <c r="B3445" s="978"/>
      <c r="C3445" s="938" t="s">
        <v>1631</v>
      </c>
      <c r="D3445" s="978" t="s">
        <v>57</v>
      </c>
      <c r="E3445" s="961">
        <v>2.7799999999999998E-2</v>
      </c>
      <c r="F3445" s="962">
        <f>F3437*E3445</f>
        <v>0</v>
      </c>
      <c r="G3445" s="1011">
        <v>3.2</v>
      </c>
      <c r="H3445" s="999">
        <f t="shared" si="95"/>
        <v>0</v>
      </c>
      <c r="I3445" s="1011"/>
      <c r="J3445" s="980"/>
      <c r="K3445" s="966"/>
      <c r="L3445" s="962"/>
      <c r="M3445" s="967">
        <f t="shared" si="94"/>
        <v>0</v>
      </c>
    </row>
    <row r="3446" spans="1:13" s="464" customFormat="1" ht="27" hidden="1">
      <c r="A3446" s="1012">
        <v>12</v>
      </c>
      <c r="B3446" s="933" t="s">
        <v>99</v>
      </c>
      <c r="C3446" s="936" t="s">
        <v>1619</v>
      </c>
      <c r="D3446" s="933" t="s">
        <v>112</v>
      </c>
      <c r="E3446" s="1013"/>
      <c r="F3446" s="456">
        <f>'დეფექტური აქტი'!E861</f>
        <v>0</v>
      </c>
      <c r="G3446" s="1014">
        <v>14.2</v>
      </c>
      <c r="H3446" s="1015">
        <f t="shared" si="95"/>
        <v>0</v>
      </c>
      <c r="I3446" s="1016">
        <v>2.5</v>
      </c>
      <c r="J3446" s="1015">
        <f>F3446*I3446</f>
        <v>0</v>
      </c>
      <c r="K3446" s="1017"/>
      <c r="L3446" s="1018"/>
      <c r="M3446" s="1019">
        <f>H3446+J3446</f>
        <v>0</v>
      </c>
    </row>
    <row r="3447" spans="1:13" s="464" customFormat="1" ht="27" hidden="1">
      <c r="A3447" s="951">
        <v>13</v>
      </c>
      <c r="B3447" s="952" t="s">
        <v>1656</v>
      </c>
      <c r="C3447" s="932" t="s">
        <v>1620</v>
      </c>
      <c r="D3447" s="952" t="s">
        <v>112</v>
      </c>
      <c r="E3447" s="953"/>
      <c r="F3447" s="456">
        <f>'დეფექტური აქტი'!E862</f>
        <v>0</v>
      </c>
      <c r="G3447" s="954"/>
      <c r="H3447" s="955"/>
      <c r="I3447" s="956"/>
      <c r="J3447" s="955"/>
      <c r="K3447" s="957"/>
      <c r="L3447" s="958"/>
      <c r="M3447" s="959"/>
    </row>
    <row r="3448" spans="1:13" s="464" customFormat="1" hidden="1">
      <c r="A3448" s="969"/>
      <c r="B3448" s="981" t="s">
        <v>325</v>
      </c>
      <c r="C3448" s="934" t="s">
        <v>1657</v>
      </c>
      <c r="D3448" s="981" t="s">
        <v>80</v>
      </c>
      <c r="E3448" s="971">
        <f>68/100</f>
        <v>0.68</v>
      </c>
      <c r="F3448" s="976">
        <f>F3447*E3448</f>
        <v>0</v>
      </c>
      <c r="G3448" s="973"/>
      <c r="H3448" s="982">
        <f>F3448*G3448</f>
        <v>0</v>
      </c>
      <c r="I3448" s="974">
        <v>4.5999999999999996</v>
      </c>
      <c r="J3448" s="984">
        <f>F3448*I3448</f>
        <v>0</v>
      </c>
      <c r="K3448" s="975"/>
      <c r="L3448" s="972"/>
      <c r="M3448" s="983">
        <f t="shared" ref="M3448:M3453" si="96">H3448+J3448+L3448</f>
        <v>0</v>
      </c>
    </row>
    <row r="3449" spans="1:13" s="464" customFormat="1" hidden="1">
      <c r="A3449" s="969"/>
      <c r="B3449" s="970"/>
      <c r="C3449" s="934" t="s">
        <v>1628</v>
      </c>
      <c r="D3449" s="970" t="s">
        <v>57</v>
      </c>
      <c r="E3449" s="971">
        <f>0.03/100</f>
        <v>2.9999999999999997E-4</v>
      </c>
      <c r="F3449" s="976">
        <f>F3447*E3449</f>
        <v>0</v>
      </c>
      <c r="G3449" s="973"/>
      <c r="H3449" s="982"/>
      <c r="I3449" s="974"/>
      <c r="J3449" s="965"/>
      <c r="K3449" s="975">
        <v>3.2</v>
      </c>
      <c r="L3449" s="972">
        <f>F3449*K3449</f>
        <v>0</v>
      </c>
      <c r="M3449" s="983">
        <f t="shared" si="96"/>
        <v>0</v>
      </c>
    </row>
    <row r="3450" spans="1:13" s="464" customFormat="1" hidden="1">
      <c r="A3450" s="969"/>
      <c r="B3450" s="970"/>
      <c r="C3450" s="934" t="s">
        <v>1658</v>
      </c>
      <c r="D3450" s="970" t="s">
        <v>1659</v>
      </c>
      <c r="E3450" s="971">
        <f>24.4/100</f>
        <v>0.24399999999999999</v>
      </c>
      <c r="F3450" s="976">
        <f>F3447*E3450</f>
        <v>0</v>
      </c>
      <c r="G3450" s="1008">
        <v>5</v>
      </c>
      <c r="H3450" s="999">
        <f>F3450*G3450</f>
        <v>0</v>
      </c>
      <c r="I3450" s="1008"/>
      <c r="J3450" s="965">
        <f>F3450*I3450</f>
        <v>0</v>
      </c>
      <c r="K3450" s="975"/>
      <c r="L3450" s="972"/>
      <c r="M3450" s="983">
        <f t="shared" si="96"/>
        <v>0</v>
      </c>
    </row>
    <row r="3451" spans="1:13" s="464" customFormat="1" hidden="1">
      <c r="A3451" s="969"/>
      <c r="B3451" s="970"/>
      <c r="C3451" s="934" t="s">
        <v>1660</v>
      </c>
      <c r="D3451" s="970" t="s">
        <v>1659</v>
      </c>
      <c r="E3451" s="971">
        <f>0.2/100</f>
        <v>2E-3</v>
      </c>
      <c r="F3451" s="976">
        <f>F3447*E3451</f>
        <v>0</v>
      </c>
      <c r="G3451" s="1008">
        <v>11</v>
      </c>
      <c r="H3451" s="999">
        <f>F3451*G3451</f>
        <v>0</v>
      </c>
      <c r="I3451" s="1008"/>
      <c r="J3451" s="965">
        <f>F3451*I3451</f>
        <v>0</v>
      </c>
      <c r="K3451" s="975"/>
      <c r="L3451" s="972"/>
      <c r="M3451" s="983">
        <f t="shared" si="96"/>
        <v>0</v>
      </c>
    </row>
    <row r="3452" spans="1:13" s="464" customFormat="1" hidden="1">
      <c r="A3452" s="969"/>
      <c r="B3452" s="970"/>
      <c r="C3452" s="934" t="s">
        <v>138</v>
      </c>
      <c r="D3452" s="970" t="s">
        <v>1659</v>
      </c>
      <c r="E3452" s="971">
        <f>2.7/100</f>
        <v>2.7000000000000003E-2</v>
      </c>
      <c r="F3452" s="976">
        <f>F3447*E3452</f>
        <v>0</v>
      </c>
      <c r="G3452" s="1008">
        <v>4</v>
      </c>
      <c r="H3452" s="999">
        <f>F3452*G3452</f>
        <v>0</v>
      </c>
      <c r="I3452" s="1008"/>
      <c r="J3452" s="965">
        <f>F3452*I3452</f>
        <v>0</v>
      </c>
      <c r="K3452" s="975"/>
      <c r="L3452" s="972"/>
      <c r="M3452" s="983">
        <f t="shared" si="96"/>
        <v>0</v>
      </c>
    </row>
    <row r="3453" spans="1:13" s="464" customFormat="1" hidden="1">
      <c r="A3453" s="960"/>
      <c r="B3453" s="978"/>
      <c r="C3453" s="938" t="s">
        <v>1631</v>
      </c>
      <c r="D3453" s="978" t="s">
        <v>57</v>
      </c>
      <c r="E3453" s="961">
        <f>0.19/100</f>
        <v>1.9E-3</v>
      </c>
      <c r="F3453" s="962">
        <f>F3447*E3453</f>
        <v>0</v>
      </c>
      <c r="G3453" s="1011">
        <v>3.2</v>
      </c>
      <c r="H3453" s="985">
        <f>F3453*G3453</f>
        <v>0</v>
      </c>
      <c r="I3453" s="1011"/>
      <c r="J3453" s="980">
        <f>F3453*I3453</f>
        <v>0</v>
      </c>
      <c r="K3453" s="966"/>
      <c r="L3453" s="962"/>
      <c r="M3453" s="967">
        <f t="shared" si="96"/>
        <v>0</v>
      </c>
    </row>
    <row r="3454" spans="1:13" s="464" customFormat="1" hidden="1">
      <c r="A3454" s="969">
        <v>14</v>
      </c>
      <c r="B3454" s="970" t="s">
        <v>1661</v>
      </c>
      <c r="C3454" s="934" t="s">
        <v>1621</v>
      </c>
      <c r="D3454" s="970" t="s">
        <v>437</v>
      </c>
      <c r="E3454" s="971"/>
      <c r="F3454" s="456">
        <f>'დეფექტური აქტი'!E863</f>
        <v>0</v>
      </c>
      <c r="G3454" s="973"/>
      <c r="H3454" s="982"/>
      <c r="I3454" s="974"/>
      <c r="J3454" s="965"/>
      <c r="K3454" s="975"/>
      <c r="L3454" s="972"/>
      <c r="M3454" s="977"/>
    </row>
    <row r="3455" spans="1:13" s="464" customFormat="1" hidden="1">
      <c r="A3455" s="969"/>
      <c r="B3455" s="981" t="s">
        <v>1662</v>
      </c>
      <c r="C3455" s="934" t="s">
        <v>1627</v>
      </c>
      <c r="D3455" s="981" t="s">
        <v>80</v>
      </c>
      <c r="E3455" s="971">
        <v>3</v>
      </c>
      <c r="F3455" s="976">
        <f>F3454*E3455</f>
        <v>0</v>
      </c>
      <c r="G3455" s="973"/>
      <c r="H3455" s="982">
        <f>F3455*G3455</f>
        <v>0</v>
      </c>
      <c r="I3455" s="974">
        <v>4.5999999999999996</v>
      </c>
      <c r="J3455" s="984">
        <f>F3455*I3455</f>
        <v>0</v>
      </c>
      <c r="K3455" s="975"/>
      <c r="L3455" s="972"/>
      <c r="M3455" s="983">
        <f>H3455+J3455+L3455</f>
        <v>0</v>
      </c>
    </row>
    <row r="3456" spans="1:13" s="464" customFormat="1" hidden="1">
      <c r="A3456" s="969"/>
      <c r="B3456" s="981"/>
      <c r="C3456" s="934" t="s">
        <v>1663</v>
      </c>
      <c r="D3456" s="981" t="s">
        <v>437</v>
      </c>
      <c r="E3456" s="971">
        <v>1.2</v>
      </c>
      <c r="F3456" s="976">
        <f>F3454*E3456</f>
        <v>0</v>
      </c>
      <c r="G3456" s="973">
        <v>33</v>
      </c>
      <c r="H3456" s="999">
        <f>F3456*G3456</f>
        <v>0</v>
      </c>
      <c r="I3456" s="1008"/>
      <c r="J3456" s="965">
        <f>F3456*I3456</f>
        <v>0</v>
      </c>
      <c r="K3456" s="975"/>
      <c r="L3456" s="972"/>
      <c r="M3456" s="983">
        <f>H3456+J3456+L3456</f>
        <v>0</v>
      </c>
    </row>
    <row r="3457" spans="1:255" s="464" customFormat="1" hidden="1">
      <c r="A3457" s="960"/>
      <c r="B3457" s="978"/>
      <c r="C3457" s="938" t="s">
        <v>1631</v>
      </c>
      <c r="D3457" s="978" t="s">
        <v>57</v>
      </c>
      <c r="E3457" s="961">
        <v>0.01</v>
      </c>
      <c r="F3457" s="962">
        <f>F3454*E3457</f>
        <v>0</v>
      </c>
      <c r="G3457" s="963">
        <v>3.2</v>
      </c>
      <c r="H3457" s="985">
        <f>F3457*G3457</f>
        <v>0</v>
      </c>
      <c r="I3457" s="1011"/>
      <c r="J3457" s="980">
        <f>F3457*I3457</f>
        <v>0</v>
      </c>
      <c r="K3457" s="966"/>
      <c r="L3457" s="962"/>
      <c r="M3457" s="967">
        <f>H3457+J3457+L3457</f>
        <v>0</v>
      </c>
    </row>
    <row r="3458" spans="1:255" s="464" customFormat="1" hidden="1">
      <c r="A3458" s="1020"/>
      <c r="B3458" s="941"/>
      <c r="C3458" s="940" t="s">
        <v>110</v>
      </c>
      <c r="D3458" s="941"/>
      <c r="E3458" s="1021"/>
      <c r="F3458" s="1021"/>
      <c r="G3458" s="1022"/>
      <c r="H3458" s="1023">
        <f>SUM(H3373:H3457)</f>
        <v>0</v>
      </c>
      <c r="I3458" s="1024"/>
      <c r="J3458" s="1025">
        <f>SUM(J3373:J3457)</f>
        <v>0</v>
      </c>
      <c r="K3458" s="1026"/>
      <c r="L3458" s="1021">
        <f>SUM(L3373:L3457)</f>
        <v>0</v>
      </c>
      <c r="M3458" s="1027">
        <f>SUM(M3373:M3457)</f>
        <v>0</v>
      </c>
    </row>
    <row r="3459" spans="1:255" s="464" customFormat="1" hidden="1">
      <c r="A3459" s="1028"/>
      <c r="B3459" s="1029"/>
      <c r="C3459" s="942" t="s">
        <v>554</v>
      </c>
      <c r="D3459" s="943">
        <v>0.1</v>
      </c>
      <c r="E3459" s="1030"/>
      <c r="F3459" s="1030"/>
      <c r="G3459" s="1031"/>
      <c r="H3459" s="1032">
        <f>H3458*D3459</f>
        <v>0</v>
      </c>
      <c r="I3459" s="1033"/>
      <c r="J3459" s="1032">
        <f>J3458*D3459</f>
        <v>0</v>
      </c>
      <c r="K3459" s="1034"/>
      <c r="L3459" s="1030">
        <f>L3458*D3459</f>
        <v>0</v>
      </c>
      <c r="M3459" s="1035">
        <f>SUM(H3459:L3459)</f>
        <v>0</v>
      </c>
    </row>
    <row r="3460" spans="1:255" s="464" customFormat="1" hidden="1">
      <c r="A3460" s="1020"/>
      <c r="B3460" s="941"/>
      <c r="C3460" s="940" t="s">
        <v>110</v>
      </c>
      <c r="D3460" s="944"/>
      <c r="E3460" s="1021"/>
      <c r="F3460" s="1021"/>
      <c r="G3460" s="1022"/>
      <c r="H3460" s="1023">
        <f>H3458+H3459</f>
        <v>0</v>
      </c>
      <c r="I3460" s="1024"/>
      <c r="J3460" s="1025">
        <f>J3458+J3459</f>
        <v>0</v>
      </c>
      <c r="K3460" s="1026"/>
      <c r="L3460" s="1021">
        <f>L3458+L3459</f>
        <v>0</v>
      </c>
      <c r="M3460" s="1027">
        <f>M3458+M3459</f>
        <v>0</v>
      </c>
    </row>
    <row r="3461" spans="1:255" s="464" customFormat="1" hidden="1">
      <c r="A3461" s="1020"/>
      <c r="B3461" s="941"/>
      <c r="C3461" s="945" t="s">
        <v>1623</v>
      </c>
      <c r="D3461" s="946">
        <v>0.08</v>
      </c>
      <c r="E3461" s="1021"/>
      <c r="F3461" s="1021"/>
      <c r="G3461" s="1022"/>
      <c r="H3461" s="1023">
        <f>H3460*D3461</f>
        <v>0</v>
      </c>
      <c r="I3461" s="1024"/>
      <c r="J3461" s="1025">
        <f>J3460*D3461</f>
        <v>0</v>
      </c>
      <c r="K3461" s="1026"/>
      <c r="L3461" s="1021">
        <f>L3460*D3461</f>
        <v>0</v>
      </c>
      <c r="M3461" s="1027">
        <f>SUM(H3461:L3461)</f>
        <v>0</v>
      </c>
    </row>
    <row r="3462" spans="1:255" s="464" customFormat="1" hidden="1">
      <c r="A3462" s="1020"/>
      <c r="B3462" s="941"/>
      <c r="C3462" s="940" t="s">
        <v>1666</v>
      </c>
      <c r="D3462" s="941"/>
      <c r="E3462" s="1021"/>
      <c r="F3462" s="1021"/>
      <c r="G3462" s="1022"/>
      <c r="H3462" s="1023">
        <f>H3460+H3461</f>
        <v>0</v>
      </c>
      <c r="I3462" s="1024"/>
      <c r="J3462" s="1025">
        <f>J3460+J3461</f>
        <v>0</v>
      </c>
      <c r="K3462" s="1026"/>
      <c r="L3462" s="1021">
        <f>L3460+L3461</f>
        <v>0</v>
      </c>
      <c r="M3462" s="1027">
        <f>SUM(H3462:L3462)</f>
        <v>0</v>
      </c>
    </row>
    <row r="3463" spans="1:255" s="464" customFormat="1" ht="15.75" hidden="1">
      <c r="A3463" s="504"/>
      <c r="B3463" s="504"/>
      <c r="C3463" s="947" t="s">
        <v>1726</v>
      </c>
      <c r="D3463" s="931"/>
      <c r="E3463" s="931"/>
      <c r="F3463" s="931"/>
      <c r="G3463" s="931"/>
      <c r="H3463" s="931"/>
      <c r="I3463" s="931"/>
      <c r="J3463" s="949"/>
      <c r="K3463" s="931"/>
      <c r="L3463" s="949"/>
      <c r="M3463" s="950"/>
    </row>
    <row r="3464" spans="1:255" s="359" customFormat="1" ht="28.5" hidden="1" customHeight="1">
      <c r="A3464" s="336">
        <v>1</v>
      </c>
      <c r="B3464" s="328" t="s">
        <v>1185</v>
      </c>
      <c r="C3464" s="329" t="s">
        <v>1132</v>
      </c>
      <c r="D3464" s="330" t="s">
        <v>88</v>
      </c>
      <c r="E3464" s="389"/>
      <c r="F3464" s="384">
        <f>'დეფექტური აქტი'!E872</f>
        <v>0</v>
      </c>
      <c r="G3464" s="389"/>
      <c r="H3464" s="389"/>
      <c r="I3464" s="389"/>
      <c r="J3464" s="389"/>
      <c r="K3464" s="389"/>
      <c r="L3464" s="389"/>
      <c r="M3464" s="389"/>
      <c r="N3464" s="358"/>
      <c r="O3464" s="797"/>
      <c r="P3464" s="798"/>
      <c r="Q3464" s="798"/>
      <c r="R3464" s="798"/>
      <c r="S3464" s="798"/>
      <c r="T3464" s="798"/>
      <c r="U3464" s="798"/>
      <c r="V3464" s="798"/>
      <c r="W3464" s="798"/>
      <c r="X3464" s="798"/>
      <c r="Y3464" s="798"/>
      <c r="Z3464" s="798"/>
      <c r="AA3464" s="797"/>
      <c r="AB3464" s="797"/>
      <c r="AC3464" s="797"/>
      <c r="AD3464" s="797"/>
      <c r="AE3464" s="797"/>
      <c r="AF3464" s="797"/>
      <c r="AG3464" s="797"/>
      <c r="AH3464" s="797"/>
      <c r="AI3464" s="797"/>
      <c r="AJ3464" s="797"/>
      <c r="AK3464" s="797"/>
      <c r="AL3464" s="797"/>
      <c r="AM3464" s="797"/>
      <c r="AN3464" s="797"/>
      <c r="AO3464" s="797"/>
      <c r="AP3464" s="797"/>
      <c r="AQ3464" s="797"/>
      <c r="AR3464" s="797"/>
      <c r="AS3464" s="797"/>
      <c r="AT3464" s="797"/>
      <c r="AU3464" s="797"/>
      <c r="AV3464" s="797"/>
      <c r="AW3464" s="797"/>
      <c r="AX3464" s="797"/>
      <c r="AY3464" s="797"/>
      <c r="AZ3464" s="797"/>
      <c r="BA3464" s="797"/>
      <c r="BB3464" s="797"/>
      <c r="BC3464" s="797"/>
      <c r="BD3464" s="797"/>
      <c r="BE3464" s="797"/>
      <c r="BF3464" s="797"/>
      <c r="BG3464" s="797"/>
      <c r="BH3464" s="797"/>
      <c r="BI3464" s="797"/>
      <c r="BJ3464" s="797"/>
      <c r="BK3464" s="797"/>
      <c r="BL3464" s="797"/>
      <c r="BM3464" s="797"/>
      <c r="BN3464" s="797"/>
      <c r="BO3464" s="797"/>
      <c r="BP3464" s="797"/>
      <c r="BQ3464" s="797"/>
      <c r="BR3464" s="797"/>
      <c r="BS3464" s="797"/>
      <c r="BT3464" s="797"/>
      <c r="BU3464" s="797"/>
      <c r="BV3464" s="797"/>
      <c r="BW3464" s="797"/>
      <c r="BX3464" s="797"/>
      <c r="BY3464" s="797"/>
      <c r="BZ3464" s="797"/>
      <c r="CA3464" s="797"/>
      <c r="CB3464" s="797"/>
      <c r="CC3464" s="797"/>
      <c r="CD3464" s="797"/>
      <c r="CE3464" s="797"/>
      <c r="CF3464" s="797"/>
      <c r="CG3464" s="797"/>
      <c r="CH3464" s="797"/>
      <c r="CI3464" s="797"/>
      <c r="CJ3464" s="797"/>
      <c r="CK3464" s="797"/>
      <c r="CL3464" s="797"/>
      <c r="CM3464" s="797"/>
      <c r="CN3464" s="797"/>
      <c r="CO3464" s="797"/>
      <c r="CP3464" s="797"/>
      <c r="CQ3464" s="797"/>
      <c r="CR3464" s="797"/>
      <c r="CS3464" s="797"/>
      <c r="CT3464" s="797"/>
      <c r="CU3464" s="797"/>
      <c r="CV3464" s="797"/>
      <c r="CW3464" s="797"/>
      <c r="CX3464" s="797"/>
      <c r="CY3464" s="797"/>
      <c r="CZ3464" s="797"/>
      <c r="DA3464" s="797"/>
      <c r="DB3464" s="797"/>
      <c r="DC3464" s="797"/>
      <c r="DD3464" s="797"/>
      <c r="DE3464" s="797"/>
      <c r="DF3464" s="797"/>
      <c r="DG3464" s="797"/>
      <c r="DH3464" s="797"/>
      <c r="DI3464" s="797"/>
      <c r="DJ3464" s="797"/>
      <c r="DK3464" s="797"/>
      <c r="DL3464" s="797"/>
      <c r="DM3464" s="797"/>
      <c r="DN3464" s="797"/>
      <c r="DO3464" s="797"/>
      <c r="DP3464" s="797"/>
      <c r="DQ3464" s="797"/>
      <c r="DR3464" s="797"/>
      <c r="DS3464" s="797"/>
      <c r="DT3464" s="797"/>
      <c r="DU3464" s="797"/>
      <c r="DV3464" s="797"/>
      <c r="DW3464" s="797"/>
      <c r="DX3464" s="797"/>
      <c r="DY3464" s="797"/>
      <c r="DZ3464" s="797"/>
      <c r="EA3464" s="797"/>
      <c r="EB3464" s="797"/>
      <c r="EC3464" s="797"/>
      <c r="ED3464" s="797"/>
      <c r="EE3464" s="797"/>
      <c r="EF3464" s="797"/>
      <c r="EG3464" s="797"/>
      <c r="EH3464" s="797"/>
      <c r="EI3464" s="797"/>
      <c r="EJ3464" s="797"/>
      <c r="EK3464" s="797"/>
      <c r="EL3464" s="797"/>
      <c r="EM3464" s="797"/>
      <c r="EN3464" s="797"/>
      <c r="EO3464" s="797"/>
      <c r="EP3464" s="797"/>
      <c r="EQ3464" s="797"/>
      <c r="ER3464" s="797"/>
      <c r="ES3464" s="797"/>
      <c r="ET3464" s="797"/>
      <c r="EU3464" s="797"/>
      <c r="EV3464" s="797"/>
      <c r="EW3464" s="797"/>
      <c r="EX3464" s="797"/>
      <c r="EY3464" s="797"/>
      <c r="EZ3464" s="797"/>
      <c r="FA3464" s="797"/>
      <c r="FB3464" s="797"/>
      <c r="FC3464" s="797"/>
      <c r="FD3464" s="797"/>
      <c r="FE3464" s="797"/>
      <c r="FF3464" s="797"/>
      <c r="FG3464" s="797"/>
      <c r="FH3464" s="797"/>
      <c r="FI3464" s="797"/>
      <c r="FJ3464" s="797"/>
      <c r="FK3464" s="797"/>
      <c r="FL3464" s="797"/>
      <c r="FM3464" s="797"/>
      <c r="FN3464" s="797"/>
      <c r="FO3464" s="797"/>
      <c r="FP3464" s="797"/>
      <c r="FQ3464" s="797"/>
      <c r="FR3464" s="797"/>
      <c r="FS3464" s="797"/>
      <c r="FT3464" s="797"/>
      <c r="FU3464" s="797"/>
      <c r="FV3464" s="797"/>
      <c r="FW3464" s="797"/>
      <c r="FX3464" s="797"/>
      <c r="FY3464" s="797"/>
      <c r="FZ3464" s="797"/>
      <c r="GA3464" s="797"/>
      <c r="GB3464" s="797"/>
      <c r="GC3464" s="797"/>
      <c r="GD3464" s="797"/>
      <c r="GE3464" s="797"/>
      <c r="GF3464" s="797"/>
      <c r="GG3464" s="797"/>
      <c r="GH3464" s="797"/>
      <c r="GI3464" s="797"/>
      <c r="GJ3464" s="797"/>
      <c r="GK3464" s="797"/>
      <c r="GL3464" s="797"/>
      <c r="GM3464" s="797"/>
      <c r="GN3464" s="797"/>
      <c r="GO3464" s="797"/>
      <c r="GP3464" s="797"/>
      <c r="GQ3464" s="797"/>
      <c r="GR3464" s="797"/>
      <c r="GS3464" s="797"/>
      <c r="GT3464" s="797"/>
      <c r="GU3464" s="797"/>
      <c r="GV3464" s="797"/>
      <c r="GW3464" s="797"/>
      <c r="GX3464" s="797"/>
      <c r="GY3464" s="797"/>
      <c r="GZ3464" s="797"/>
      <c r="HA3464" s="797"/>
      <c r="HB3464" s="797"/>
      <c r="HC3464" s="797"/>
      <c r="HD3464" s="797"/>
      <c r="HE3464" s="797"/>
      <c r="HF3464" s="797"/>
      <c r="HG3464" s="797"/>
      <c r="HH3464" s="797"/>
      <c r="HI3464" s="797"/>
      <c r="HJ3464" s="797"/>
      <c r="HK3464" s="797"/>
      <c r="HL3464" s="797"/>
      <c r="HM3464" s="797"/>
      <c r="HN3464" s="797"/>
      <c r="HO3464" s="797"/>
      <c r="HP3464" s="797"/>
      <c r="HQ3464" s="797"/>
      <c r="HR3464" s="797"/>
      <c r="HS3464" s="797"/>
      <c r="HT3464" s="797"/>
      <c r="HU3464" s="797"/>
      <c r="HV3464" s="797"/>
      <c r="HW3464" s="797"/>
      <c r="HX3464" s="797"/>
      <c r="HY3464" s="797"/>
      <c r="HZ3464" s="797"/>
      <c r="IA3464" s="797"/>
      <c r="IB3464" s="797"/>
      <c r="IC3464" s="797"/>
      <c r="ID3464" s="797"/>
      <c r="IE3464" s="797"/>
      <c r="IF3464" s="797"/>
      <c r="IG3464" s="797"/>
      <c r="IH3464" s="797"/>
      <c r="II3464" s="797"/>
      <c r="IJ3464" s="797"/>
      <c r="IK3464" s="797"/>
      <c r="IL3464" s="797"/>
      <c r="IM3464" s="797"/>
      <c r="IN3464" s="797"/>
      <c r="IO3464" s="797"/>
      <c r="IP3464" s="797"/>
      <c r="IQ3464" s="797"/>
      <c r="IR3464" s="797"/>
      <c r="IS3464" s="797"/>
      <c r="IT3464" s="797"/>
      <c r="IU3464" s="797"/>
    </row>
    <row r="3465" spans="1:255" s="359" customFormat="1" ht="15.75" hidden="1" customHeight="1">
      <c r="A3465" s="336"/>
      <c r="B3465" s="328"/>
      <c r="C3465" s="335" t="s">
        <v>209</v>
      </c>
      <c r="D3465" s="336" t="s">
        <v>80</v>
      </c>
      <c r="E3465" s="856">
        <v>0.02</v>
      </c>
      <c r="F3465" s="389">
        <f>F3464*E3465</f>
        <v>0</v>
      </c>
      <c r="G3465" s="389"/>
      <c r="H3465" s="389"/>
      <c r="I3465" s="389">
        <v>4.5999999999999996</v>
      </c>
      <c r="J3465" s="389">
        <f>F3465*I3465</f>
        <v>0</v>
      </c>
      <c r="K3465" s="389"/>
      <c r="L3465" s="389"/>
      <c r="M3465" s="389">
        <f>H3465+J3465+L3465</f>
        <v>0</v>
      </c>
      <c r="N3465" s="358"/>
      <c r="O3465" s="797"/>
      <c r="P3465" s="798"/>
      <c r="Q3465" s="798"/>
      <c r="R3465" s="798"/>
      <c r="S3465" s="798"/>
      <c r="T3465" s="798"/>
      <c r="U3465" s="798"/>
      <c r="V3465" s="798"/>
      <c r="W3465" s="798"/>
      <c r="X3465" s="798"/>
      <c r="Y3465" s="798"/>
      <c r="Z3465" s="798"/>
      <c r="AA3465" s="797"/>
      <c r="AB3465" s="797"/>
      <c r="AC3465" s="797"/>
      <c r="AD3465" s="797"/>
      <c r="AE3465" s="797"/>
      <c r="AF3465" s="797"/>
      <c r="AG3465" s="797"/>
      <c r="AH3465" s="797"/>
      <c r="AI3465" s="797"/>
      <c r="AJ3465" s="797"/>
      <c r="AK3465" s="797"/>
      <c r="AL3465" s="797"/>
      <c r="AM3465" s="797"/>
      <c r="AN3465" s="797"/>
      <c r="AO3465" s="797"/>
      <c r="AP3465" s="797"/>
      <c r="AQ3465" s="797"/>
      <c r="AR3465" s="797"/>
      <c r="AS3465" s="797"/>
      <c r="AT3465" s="797"/>
      <c r="AU3465" s="797"/>
      <c r="AV3465" s="797"/>
      <c r="AW3465" s="797"/>
      <c r="AX3465" s="797"/>
      <c r="AY3465" s="797"/>
      <c r="AZ3465" s="797"/>
      <c r="BA3465" s="797"/>
      <c r="BB3465" s="797"/>
      <c r="BC3465" s="797"/>
      <c r="BD3465" s="797"/>
      <c r="BE3465" s="797"/>
      <c r="BF3465" s="797"/>
      <c r="BG3465" s="797"/>
      <c r="BH3465" s="797"/>
      <c r="BI3465" s="797"/>
      <c r="BJ3465" s="797"/>
      <c r="BK3465" s="797"/>
      <c r="BL3465" s="797"/>
      <c r="BM3465" s="797"/>
      <c r="BN3465" s="797"/>
      <c r="BO3465" s="797"/>
      <c r="BP3465" s="797"/>
      <c r="BQ3465" s="797"/>
      <c r="BR3465" s="797"/>
      <c r="BS3465" s="797"/>
      <c r="BT3465" s="797"/>
      <c r="BU3465" s="797"/>
      <c r="BV3465" s="797"/>
      <c r="BW3465" s="797"/>
      <c r="BX3465" s="797"/>
      <c r="BY3465" s="797"/>
      <c r="BZ3465" s="797"/>
      <c r="CA3465" s="797"/>
      <c r="CB3465" s="797"/>
      <c r="CC3465" s="797"/>
      <c r="CD3465" s="797"/>
      <c r="CE3465" s="797"/>
      <c r="CF3465" s="797"/>
      <c r="CG3465" s="797"/>
      <c r="CH3465" s="797"/>
      <c r="CI3465" s="797"/>
      <c r="CJ3465" s="797"/>
      <c r="CK3465" s="797"/>
      <c r="CL3465" s="797"/>
      <c r="CM3465" s="797"/>
      <c r="CN3465" s="797"/>
      <c r="CO3465" s="797"/>
      <c r="CP3465" s="797"/>
      <c r="CQ3465" s="797"/>
      <c r="CR3465" s="797"/>
      <c r="CS3465" s="797"/>
      <c r="CT3465" s="797"/>
      <c r="CU3465" s="797"/>
      <c r="CV3465" s="797"/>
      <c r="CW3465" s="797"/>
      <c r="CX3465" s="797"/>
      <c r="CY3465" s="797"/>
      <c r="CZ3465" s="797"/>
      <c r="DA3465" s="797"/>
      <c r="DB3465" s="797"/>
      <c r="DC3465" s="797"/>
      <c r="DD3465" s="797"/>
      <c r="DE3465" s="797"/>
      <c r="DF3465" s="797"/>
      <c r="DG3465" s="797"/>
      <c r="DH3465" s="797"/>
      <c r="DI3465" s="797"/>
      <c r="DJ3465" s="797"/>
      <c r="DK3465" s="797"/>
      <c r="DL3465" s="797"/>
      <c r="DM3465" s="797"/>
      <c r="DN3465" s="797"/>
      <c r="DO3465" s="797"/>
      <c r="DP3465" s="797"/>
      <c r="DQ3465" s="797"/>
      <c r="DR3465" s="797"/>
      <c r="DS3465" s="797"/>
      <c r="DT3465" s="797"/>
      <c r="DU3465" s="797"/>
      <c r="DV3465" s="797"/>
      <c r="DW3465" s="797"/>
      <c r="DX3465" s="797"/>
      <c r="DY3465" s="797"/>
      <c r="DZ3465" s="797"/>
      <c r="EA3465" s="797"/>
      <c r="EB3465" s="797"/>
      <c r="EC3465" s="797"/>
      <c r="ED3465" s="797"/>
      <c r="EE3465" s="797"/>
      <c r="EF3465" s="797"/>
      <c r="EG3465" s="797"/>
      <c r="EH3465" s="797"/>
      <c r="EI3465" s="797"/>
      <c r="EJ3465" s="797"/>
      <c r="EK3465" s="797"/>
      <c r="EL3465" s="797"/>
      <c r="EM3465" s="797"/>
      <c r="EN3465" s="797"/>
      <c r="EO3465" s="797"/>
      <c r="EP3465" s="797"/>
      <c r="EQ3465" s="797"/>
      <c r="ER3465" s="797"/>
      <c r="ES3465" s="797"/>
      <c r="ET3465" s="797"/>
      <c r="EU3465" s="797"/>
      <c r="EV3465" s="797"/>
      <c r="EW3465" s="797"/>
      <c r="EX3465" s="797"/>
      <c r="EY3465" s="797"/>
      <c r="EZ3465" s="797"/>
      <c r="FA3465" s="797"/>
      <c r="FB3465" s="797"/>
      <c r="FC3465" s="797"/>
      <c r="FD3465" s="797"/>
      <c r="FE3465" s="797"/>
      <c r="FF3465" s="797"/>
      <c r="FG3465" s="797"/>
      <c r="FH3465" s="797"/>
      <c r="FI3465" s="797"/>
      <c r="FJ3465" s="797"/>
      <c r="FK3465" s="797"/>
      <c r="FL3465" s="797"/>
      <c r="FM3465" s="797"/>
      <c r="FN3465" s="797"/>
      <c r="FO3465" s="797"/>
      <c r="FP3465" s="797"/>
      <c r="FQ3465" s="797"/>
      <c r="FR3465" s="797"/>
      <c r="FS3465" s="797"/>
      <c r="FT3465" s="797"/>
      <c r="FU3465" s="797"/>
      <c r="FV3465" s="797"/>
      <c r="FW3465" s="797"/>
      <c r="FX3465" s="797"/>
      <c r="FY3465" s="797"/>
      <c r="FZ3465" s="797"/>
      <c r="GA3465" s="797"/>
      <c r="GB3465" s="797"/>
      <c r="GC3465" s="797"/>
      <c r="GD3465" s="797"/>
      <c r="GE3465" s="797"/>
      <c r="GF3465" s="797"/>
      <c r="GG3465" s="797"/>
      <c r="GH3465" s="797"/>
      <c r="GI3465" s="797"/>
      <c r="GJ3465" s="797"/>
      <c r="GK3465" s="797"/>
      <c r="GL3465" s="797"/>
      <c r="GM3465" s="797"/>
      <c r="GN3465" s="797"/>
      <c r="GO3465" s="797"/>
      <c r="GP3465" s="797"/>
      <c r="GQ3465" s="797"/>
      <c r="GR3465" s="797"/>
      <c r="GS3465" s="797"/>
      <c r="GT3465" s="797"/>
      <c r="GU3465" s="797"/>
      <c r="GV3465" s="797"/>
      <c r="GW3465" s="797"/>
      <c r="GX3465" s="797"/>
      <c r="GY3465" s="797"/>
      <c r="GZ3465" s="797"/>
      <c r="HA3465" s="797"/>
      <c r="HB3465" s="797"/>
      <c r="HC3465" s="797"/>
      <c r="HD3465" s="797"/>
      <c r="HE3465" s="797"/>
      <c r="HF3465" s="797"/>
      <c r="HG3465" s="797"/>
      <c r="HH3465" s="797"/>
      <c r="HI3465" s="797"/>
      <c r="HJ3465" s="797"/>
      <c r="HK3465" s="797"/>
      <c r="HL3465" s="797"/>
      <c r="HM3465" s="797"/>
      <c r="HN3465" s="797"/>
      <c r="HO3465" s="797"/>
      <c r="HP3465" s="797"/>
      <c r="HQ3465" s="797"/>
      <c r="HR3465" s="797"/>
      <c r="HS3465" s="797"/>
      <c r="HT3465" s="797"/>
      <c r="HU3465" s="797"/>
      <c r="HV3465" s="797"/>
      <c r="HW3465" s="797"/>
      <c r="HX3465" s="797"/>
      <c r="HY3465" s="797"/>
      <c r="HZ3465" s="797"/>
      <c r="IA3465" s="797"/>
      <c r="IB3465" s="797"/>
      <c r="IC3465" s="797"/>
      <c r="ID3465" s="797"/>
      <c r="IE3465" s="797"/>
      <c r="IF3465" s="797"/>
      <c r="IG3465" s="797"/>
      <c r="IH3465" s="797"/>
      <c r="II3465" s="797"/>
      <c r="IJ3465" s="797"/>
      <c r="IK3465" s="797"/>
      <c r="IL3465" s="797"/>
      <c r="IM3465" s="797"/>
      <c r="IN3465" s="797"/>
      <c r="IO3465" s="797"/>
      <c r="IP3465" s="797"/>
      <c r="IQ3465" s="797"/>
      <c r="IR3465" s="797"/>
      <c r="IS3465" s="797"/>
      <c r="IT3465" s="797"/>
      <c r="IU3465" s="797"/>
    </row>
    <row r="3466" spans="1:255" s="359" customFormat="1" ht="27.75" hidden="1" customHeight="1">
      <c r="A3466" s="336"/>
      <c r="B3466" s="328"/>
      <c r="C3466" s="335" t="s">
        <v>1565</v>
      </c>
      <c r="D3466" s="336" t="s">
        <v>217</v>
      </c>
      <c r="E3466" s="856">
        <v>4.48E-2</v>
      </c>
      <c r="F3466" s="389">
        <f>F3464*E3466</f>
        <v>0</v>
      </c>
      <c r="G3466" s="389"/>
      <c r="H3466" s="389"/>
      <c r="I3466" s="389"/>
      <c r="J3466" s="389"/>
      <c r="K3466" s="389">
        <v>35.1</v>
      </c>
      <c r="L3466" s="389">
        <f>F3466*K3466</f>
        <v>0</v>
      </c>
      <c r="M3466" s="389">
        <f>H3466+J3466+L3466</f>
        <v>0</v>
      </c>
      <c r="N3466" s="358"/>
      <c r="O3466" s="797"/>
      <c r="P3466" s="798"/>
      <c r="Q3466" s="798"/>
      <c r="R3466" s="798"/>
      <c r="S3466" s="798"/>
      <c r="T3466" s="798"/>
      <c r="U3466" s="798"/>
      <c r="V3466" s="798"/>
      <c r="W3466" s="798"/>
      <c r="X3466" s="798"/>
      <c r="Y3466" s="798"/>
      <c r="Z3466" s="798"/>
      <c r="AA3466" s="797"/>
      <c r="AB3466" s="797"/>
      <c r="AC3466" s="797"/>
      <c r="AD3466" s="797"/>
      <c r="AE3466" s="797"/>
      <c r="AF3466" s="797"/>
      <c r="AG3466" s="797"/>
      <c r="AH3466" s="797"/>
      <c r="AI3466" s="797"/>
      <c r="AJ3466" s="797"/>
      <c r="AK3466" s="797"/>
      <c r="AL3466" s="797"/>
      <c r="AM3466" s="797"/>
      <c r="AN3466" s="797"/>
      <c r="AO3466" s="797"/>
      <c r="AP3466" s="797"/>
      <c r="AQ3466" s="797"/>
      <c r="AR3466" s="797"/>
      <c r="AS3466" s="797"/>
      <c r="AT3466" s="797"/>
      <c r="AU3466" s="797"/>
      <c r="AV3466" s="797"/>
      <c r="AW3466" s="797"/>
      <c r="AX3466" s="797"/>
      <c r="AY3466" s="797"/>
      <c r="AZ3466" s="797"/>
      <c r="BA3466" s="797"/>
      <c r="BB3466" s="797"/>
      <c r="BC3466" s="797"/>
      <c r="BD3466" s="797"/>
      <c r="BE3466" s="797"/>
      <c r="BF3466" s="797"/>
      <c r="BG3466" s="797"/>
      <c r="BH3466" s="797"/>
      <c r="BI3466" s="797"/>
      <c r="BJ3466" s="797"/>
      <c r="BK3466" s="797"/>
      <c r="BL3466" s="797"/>
      <c r="BM3466" s="797"/>
      <c r="BN3466" s="797"/>
      <c r="BO3466" s="797"/>
      <c r="BP3466" s="797"/>
      <c r="BQ3466" s="797"/>
      <c r="BR3466" s="797"/>
      <c r="BS3466" s="797"/>
      <c r="BT3466" s="797"/>
      <c r="BU3466" s="797"/>
      <c r="BV3466" s="797"/>
      <c r="BW3466" s="797"/>
      <c r="BX3466" s="797"/>
      <c r="BY3466" s="797"/>
      <c r="BZ3466" s="797"/>
      <c r="CA3466" s="797"/>
      <c r="CB3466" s="797"/>
      <c r="CC3466" s="797"/>
      <c r="CD3466" s="797"/>
      <c r="CE3466" s="797"/>
      <c r="CF3466" s="797"/>
      <c r="CG3466" s="797"/>
      <c r="CH3466" s="797"/>
      <c r="CI3466" s="797"/>
      <c r="CJ3466" s="797"/>
      <c r="CK3466" s="797"/>
      <c r="CL3466" s="797"/>
      <c r="CM3466" s="797"/>
      <c r="CN3466" s="797"/>
      <c r="CO3466" s="797"/>
      <c r="CP3466" s="797"/>
      <c r="CQ3466" s="797"/>
      <c r="CR3466" s="797"/>
      <c r="CS3466" s="797"/>
      <c r="CT3466" s="797"/>
      <c r="CU3466" s="797"/>
      <c r="CV3466" s="797"/>
      <c r="CW3466" s="797"/>
      <c r="CX3466" s="797"/>
      <c r="CY3466" s="797"/>
      <c r="CZ3466" s="797"/>
      <c r="DA3466" s="797"/>
      <c r="DB3466" s="797"/>
      <c r="DC3466" s="797"/>
      <c r="DD3466" s="797"/>
      <c r="DE3466" s="797"/>
      <c r="DF3466" s="797"/>
      <c r="DG3466" s="797"/>
      <c r="DH3466" s="797"/>
      <c r="DI3466" s="797"/>
      <c r="DJ3466" s="797"/>
      <c r="DK3466" s="797"/>
      <c r="DL3466" s="797"/>
      <c r="DM3466" s="797"/>
      <c r="DN3466" s="797"/>
      <c r="DO3466" s="797"/>
      <c r="DP3466" s="797"/>
      <c r="DQ3466" s="797"/>
      <c r="DR3466" s="797"/>
      <c r="DS3466" s="797"/>
      <c r="DT3466" s="797"/>
      <c r="DU3466" s="797"/>
      <c r="DV3466" s="797"/>
      <c r="DW3466" s="797"/>
      <c r="DX3466" s="797"/>
      <c r="DY3466" s="797"/>
      <c r="DZ3466" s="797"/>
      <c r="EA3466" s="797"/>
      <c r="EB3466" s="797"/>
      <c r="EC3466" s="797"/>
      <c r="ED3466" s="797"/>
      <c r="EE3466" s="797"/>
      <c r="EF3466" s="797"/>
      <c r="EG3466" s="797"/>
      <c r="EH3466" s="797"/>
      <c r="EI3466" s="797"/>
      <c r="EJ3466" s="797"/>
      <c r="EK3466" s="797"/>
      <c r="EL3466" s="797"/>
      <c r="EM3466" s="797"/>
      <c r="EN3466" s="797"/>
      <c r="EO3466" s="797"/>
      <c r="EP3466" s="797"/>
      <c r="EQ3466" s="797"/>
      <c r="ER3466" s="797"/>
      <c r="ES3466" s="797"/>
      <c r="ET3466" s="797"/>
      <c r="EU3466" s="797"/>
      <c r="EV3466" s="797"/>
      <c r="EW3466" s="797"/>
      <c r="EX3466" s="797"/>
      <c r="EY3466" s="797"/>
      <c r="EZ3466" s="797"/>
      <c r="FA3466" s="797"/>
      <c r="FB3466" s="797"/>
      <c r="FC3466" s="797"/>
      <c r="FD3466" s="797"/>
      <c r="FE3466" s="797"/>
      <c r="FF3466" s="797"/>
      <c r="FG3466" s="797"/>
      <c r="FH3466" s="797"/>
      <c r="FI3466" s="797"/>
      <c r="FJ3466" s="797"/>
      <c r="FK3466" s="797"/>
      <c r="FL3466" s="797"/>
      <c r="FM3466" s="797"/>
      <c r="FN3466" s="797"/>
      <c r="FO3466" s="797"/>
      <c r="FP3466" s="797"/>
      <c r="FQ3466" s="797"/>
      <c r="FR3466" s="797"/>
      <c r="FS3466" s="797"/>
      <c r="FT3466" s="797"/>
      <c r="FU3466" s="797"/>
      <c r="FV3466" s="797"/>
      <c r="FW3466" s="797"/>
      <c r="FX3466" s="797"/>
      <c r="FY3466" s="797"/>
      <c r="FZ3466" s="797"/>
      <c r="GA3466" s="797"/>
      <c r="GB3466" s="797"/>
      <c r="GC3466" s="797"/>
      <c r="GD3466" s="797"/>
      <c r="GE3466" s="797"/>
      <c r="GF3466" s="797"/>
      <c r="GG3466" s="797"/>
      <c r="GH3466" s="797"/>
      <c r="GI3466" s="797"/>
      <c r="GJ3466" s="797"/>
      <c r="GK3466" s="797"/>
      <c r="GL3466" s="797"/>
      <c r="GM3466" s="797"/>
      <c r="GN3466" s="797"/>
      <c r="GO3466" s="797"/>
      <c r="GP3466" s="797"/>
      <c r="GQ3466" s="797"/>
      <c r="GR3466" s="797"/>
      <c r="GS3466" s="797"/>
      <c r="GT3466" s="797"/>
      <c r="GU3466" s="797"/>
      <c r="GV3466" s="797"/>
      <c r="GW3466" s="797"/>
      <c r="GX3466" s="797"/>
      <c r="GY3466" s="797"/>
      <c r="GZ3466" s="797"/>
      <c r="HA3466" s="797"/>
      <c r="HB3466" s="797"/>
      <c r="HC3466" s="797"/>
      <c r="HD3466" s="797"/>
      <c r="HE3466" s="797"/>
      <c r="HF3466" s="797"/>
      <c r="HG3466" s="797"/>
      <c r="HH3466" s="797"/>
      <c r="HI3466" s="797"/>
      <c r="HJ3466" s="797"/>
      <c r="HK3466" s="797"/>
      <c r="HL3466" s="797"/>
      <c r="HM3466" s="797"/>
      <c r="HN3466" s="797"/>
      <c r="HO3466" s="797"/>
      <c r="HP3466" s="797"/>
      <c r="HQ3466" s="797"/>
      <c r="HR3466" s="797"/>
      <c r="HS3466" s="797"/>
      <c r="HT3466" s="797"/>
      <c r="HU3466" s="797"/>
      <c r="HV3466" s="797"/>
      <c r="HW3466" s="797"/>
      <c r="HX3466" s="797"/>
      <c r="HY3466" s="797"/>
      <c r="HZ3466" s="797"/>
      <c r="IA3466" s="797"/>
      <c r="IB3466" s="797"/>
      <c r="IC3466" s="797"/>
      <c r="ID3466" s="797"/>
      <c r="IE3466" s="797"/>
      <c r="IF3466" s="797"/>
      <c r="IG3466" s="797"/>
      <c r="IH3466" s="797"/>
      <c r="II3466" s="797"/>
      <c r="IJ3466" s="797"/>
      <c r="IK3466" s="797"/>
      <c r="IL3466" s="797"/>
      <c r="IM3466" s="797"/>
      <c r="IN3466" s="797"/>
      <c r="IO3466" s="797"/>
      <c r="IP3466" s="797"/>
      <c r="IQ3466" s="797"/>
      <c r="IR3466" s="797"/>
      <c r="IS3466" s="797"/>
      <c r="IT3466" s="797"/>
      <c r="IU3466" s="797"/>
    </row>
    <row r="3467" spans="1:255" s="359" customFormat="1" hidden="1">
      <c r="A3467" s="336"/>
      <c r="B3467" s="328"/>
      <c r="C3467" s="335" t="s">
        <v>81</v>
      </c>
      <c r="D3467" s="336" t="s">
        <v>57</v>
      </c>
      <c r="E3467" s="856">
        <v>2.0999999999999999E-3</v>
      </c>
      <c r="F3467" s="389">
        <f>F3464*E3467</f>
        <v>0</v>
      </c>
      <c r="G3467" s="389"/>
      <c r="H3467" s="389"/>
      <c r="I3467" s="389"/>
      <c r="J3467" s="389"/>
      <c r="K3467" s="389">
        <v>3.2</v>
      </c>
      <c r="L3467" s="389">
        <f>F3467*K3467</f>
        <v>0</v>
      </c>
      <c r="M3467" s="389">
        <f>H3467+J3467+L3467</f>
        <v>0</v>
      </c>
      <c r="N3467" s="358"/>
      <c r="O3467" s="797"/>
      <c r="P3467" s="798"/>
      <c r="Q3467" s="798"/>
      <c r="R3467" s="798"/>
      <c r="S3467" s="798"/>
      <c r="T3467" s="798"/>
      <c r="U3467" s="798"/>
      <c r="V3467" s="798"/>
      <c r="W3467" s="798"/>
      <c r="X3467" s="798"/>
      <c r="Y3467" s="798"/>
      <c r="Z3467" s="798"/>
      <c r="AA3467" s="797"/>
      <c r="AB3467" s="797"/>
      <c r="AC3467" s="797"/>
      <c r="AD3467" s="797"/>
      <c r="AE3467" s="797"/>
      <c r="AF3467" s="797"/>
      <c r="AG3467" s="797"/>
      <c r="AH3467" s="797"/>
      <c r="AI3467" s="797"/>
      <c r="AJ3467" s="797"/>
      <c r="AK3467" s="797"/>
      <c r="AL3467" s="797"/>
      <c r="AM3467" s="797"/>
      <c r="AN3467" s="797"/>
      <c r="AO3467" s="797"/>
      <c r="AP3467" s="797"/>
      <c r="AQ3467" s="797"/>
      <c r="AR3467" s="797"/>
      <c r="AS3467" s="797"/>
      <c r="AT3467" s="797"/>
      <c r="AU3467" s="797"/>
      <c r="AV3467" s="797"/>
      <c r="AW3467" s="797"/>
      <c r="AX3467" s="797"/>
      <c r="AY3467" s="797"/>
      <c r="AZ3467" s="797"/>
      <c r="BA3467" s="797"/>
      <c r="BB3467" s="797"/>
      <c r="BC3467" s="797"/>
      <c r="BD3467" s="797"/>
      <c r="BE3467" s="797"/>
      <c r="BF3467" s="797"/>
      <c r="BG3467" s="797"/>
      <c r="BH3467" s="797"/>
      <c r="BI3467" s="797"/>
      <c r="BJ3467" s="797"/>
      <c r="BK3467" s="797"/>
      <c r="BL3467" s="797"/>
      <c r="BM3467" s="797"/>
      <c r="BN3467" s="797"/>
      <c r="BO3467" s="797"/>
      <c r="BP3467" s="797"/>
      <c r="BQ3467" s="797"/>
      <c r="BR3467" s="797"/>
      <c r="BS3467" s="797"/>
      <c r="BT3467" s="797"/>
      <c r="BU3467" s="797"/>
      <c r="BV3467" s="797"/>
      <c r="BW3467" s="797"/>
      <c r="BX3467" s="797"/>
      <c r="BY3467" s="797"/>
      <c r="BZ3467" s="797"/>
      <c r="CA3467" s="797"/>
      <c r="CB3467" s="797"/>
      <c r="CC3467" s="797"/>
      <c r="CD3467" s="797"/>
      <c r="CE3467" s="797"/>
      <c r="CF3467" s="797"/>
      <c r="CG3467" s="797"/>
      <c r="CH3467" s="797"/>
      <c r="CI3467" s="797"/>
      <c r="CJ3467" s="797"/>
      <c r="CK3467" s="797"/>
      <c r="CL3467" s="797"/>
      <c r="CM3467" s="797"/>
      <c r="CN3467" s="797"/>
      <c r="CO3467" s="797"/>
      <c r="CP3467" s="797"/>
      <c r="CQ3467" s="797"/>
      <c r="CR3467" s="797"/>
      <c r="CS3467" s="797"/>
      <c r="CT3467" s="797"/>
      <c r="CU3467" s="797"/>
      <c r="CV3467" s="797"/>
      <c r="CW3467" s="797"/>
      <c r="CX3467" s="797"/>
      <c r="CY3467" s="797"/>
      <c r="CZ3467" s="797"/>
      <c r="DA3467" s="797"/>
      <c r="DB3467" s="797"/>
      <c r="DC3467" s="797"/>
      <c r="DD3467" s="797"/>
      <c r="DE3467" s="797"/>
      <c r="DF3467" s="797"/>
      <c r="DG3467" s="797"/>
      <c r="DH3467" s="797"/>
      <c r="DI3467" s="797"/>
      <c r="DJ3467" s="797"/>
      <c r="DK3467" s="797"/>
      <c r="DL3467" s="797"/>
      <c r="DM3467" s="797"/>
      <c r="DN3467" s="797"/>
      <c r="DO3467" s="797"/>
      <c r="DP3467" s="797"/>
      <c r="DQ3467" s="797"/>
      <c r="DR3467" s="797"/>
      <c r="DS3467" s="797"/>
      <c r="DT3467" s="797"/>
      <c r="DU3467" s="797"/>
      <c r="DV3467" s="797"/>
      <c r="DW3467" s="797"/>
      <c r="DX3467" s="797"/>
      <c r="DY3467" s="797"/>
      <c r="DZ3467" s="797"/>
      <c r="EA3467" s="797"/>
      <c r="EB3467" s="797"/>
      <c r="EC3467" s="797"/>
      <c r="ED3467" s="797"/>
      <c r="EE3467" s="797"/>
      <c r="EF3467" s="797"/>
      <c r="EG3467" s="797"/>
      <c r="EH3467" s="797"/>
      <c r="EI3467" s="797"/>
      <c r="EJ3467" s="797"/>
      <c r="EK3467" s="797"/>
      <c r="EL3467" s="797"/>
      <c r="EM3467" s="797"/>
      <c r="EN3467" s="797"/>
      <c r="EO3467" s="797"/>
      <c r="EP3467" s="797"/>
      <c r="EQ3467" s="797"/>
      <c r="ER3467" s="797"/>
      <c r="ES3467" s="797"/>
      <c r="ET3467" s="797"/>
      <c r="EU3467" s="797"/>
      <c r="EV3467" s="797"/>
      <c r="EW3467" s="797"/>
      <c r="EX3467" s="797"/>
      <c r="EY3467" s="797"/>
      <c r="EZ3467" s="797"/>
      <c r="FA3467" s="797"/>
      <c r="FB3467" s="797"/>
      <c r="FC3467" s="797"/>
      <c r="FD3467" s="797"/>
      <c r="FE3467" s="797"/>
      <c r="FF3467" s="797"/>
      <c r="FG3467" s="797"/>
      <c r="FH3467" s="797"/>
      <c r="FI3467" s="797"/>
      <c r="FJ3467" s="797"/>
      <c r="FK3467" s="797"/>
      <c r="FL3467" s="797"/>
      <c r="FM3467" s="797"/>
      <c r="FN3467" s="797"/>
      <c r="FO3467" s="797"/>
      <c r="FP3467" s="797"/>
      <c r="FQ3467" s="797"/>
      <c r="FR3467" s="797"/>
      <c r="FS3467" s="797"/>
      <c r="FT3467" s="797"/>
      <c r="FU3467" s="797"/>
      <c r="FV3467" s="797"/>
      <c r="FW3467" s="797"/>
      <c r="FX3467" s="797"/>
      <c r="FY3467" s="797"/>
      <c r="FZ3467" s="797"/>
      <c r="GA3467" s="797"/>
      <c r="GB3467" s="797"/>
      <c r="GC3467" s="797"/>
      <c r="GD3467" s="797"/>
      <c r="GE3467" s="797"/>
      <c r="GF3467" s="797"/>
      <c r="GG3467" s="797"/>
      <c r="GH3467" s="797"/>
      <c r="GI3467" s="797"/>
      <c r="GJ3467" s="797"/>
      <c r="GK3467" s="797"/>
      <c r="GL3467" s="797"/>
      <c r="GM3467" s="797"/>
      <c r="GN3467" s="797"/>
      <c r="GO3467" s="797"/>
      <c r="GP3467" s="797"/>
      <c r="GQ3467" s="797"/>
      <c r="GR3467" s="797"/>
      <c r="GS3467" s="797"/>
      <c r="GT3467" s="797"/>
      <c r="GU3467" s="797"/>
      <c r="GV3467" s="797"/>
      <c r="GW3467" s="797"/>
      <c r="GX3467" s="797"/>
      <c r="GY3467" s="797"/>
      <c r="GZ3467" s="797"/>
      <c r="HA3467" s="797"/>
      <c r="HB3467" s="797"/>
      <c r="HC3467" s="797"/>
      <c r="HD3467" s="797"/>
      <c r="HE3467" s="797"/>
      <c r="HF3467" s="797"/>
      <c r="HG3467" s="797"/>
      <c r="HH3467" s="797"/>
      <c r="HI3467" s="797"/>
      <c r="HJ3467" s="797"/>
      <c r="HK3467" s="797"/>
      <c r="HL3467" s="797"/>
      <c r="HM3467" s="797"/>
      <c r="HN3467" s="797"/>
      <c r="HO3467" s="797"/>
      <c r="HP3467" s="797"/>
      <c r="HQ3467" s="797"/>
      <c r="HR3467" s="797"/>
      <c r="HS3467" s="797"/>
      <c r="HT3467" s="797"/>
      <c r="HU3467" s="797"/>
      <c r="HV3467" s="797"/>
      <c r="HW3467" s="797"/>
      <c r="HX3467" s="797"/>
      <c r="HY3467" s="797"/>
      <c r="HZ3467" s="797"/>
      <c r="IA3467" s="797"/>
      <c r="IB3467" s="797"/>
      <c r="IC3467" s="797"/>
      <c r="ID3467" s="797"/>
      <c r="IE3467" s="797"/>
      <c r="IF3467" s="797"/>
      <c r="IG3467" s="797"/>
      <c r="IH3467" s="797"/>
      <c r="II3467" s="797"/>
      <c r="IJ3467" s="797"/>
      <c r="IK3467" s="797"/>
      <c r="IL3467" s="797"/>
      <c r="IM3467" s="797"/>
      <c r="IN3467" s="797"/>
      <c r="IO3467" s="797"/>
      <c r="IP3467" s="797"/>
      <c r="IQ3467" s="797"/>
      <c r="IR3467" s="797"/>
      <c r="IS3467" s="797"/>
      <c r="IT3467" s="797"/>
      <c r="IU3467" s="797"/>
    </row>
    <row r="3468" spans="1:255" s="359" customFormat="1" hidden="1">
      <c r="A3468" s="336"/>
      <c r="B3468" s="328"/>
      <c r="C3468" s="335" t="s">
        <v>210</v>
      </c>
      <c r="D3468" s="336"/>
      <c r="E3468" s="856"/>
      <c r="F3468" s="389"/>
      <c r="G3468" s="389"/>
      <c r="H3468" s="389"/>
      <c r="I3468" s="389"/>
      <c r="J3468" s="389"/>
      <c r="K3468" s="389"/>
      <c r="L3468" s="389"/>
      <c r="M3468" s="389"/>
      <c r="N3468" s="358"/>
      <c r="O3468" s="797"/>
      <c r="P3468" s="798"/>
      <c r="Q3468" s="798"/>
      <c r="R3468" s="798"/>
      <c r="S3468" s="798"/>
      <c r="T3468" s="798"/>
      <c r="U3468" s="798"/>
      <c r="V3468" s="798"/>
      <c r="W3468" s="798"/>
      <c r="X3468" s="798"/>
      <c r="Y3468" s="798"/>
      <c r="Z3468" s="798"/>
      <c r="AA3468" s="797"/>
      <c r="AB3468" s="797"/>
      <c r="AC3468" s="797"/>
      <c r="AD3468" s="797"/>
      <c r="AE3468" s="797"/>
      <c r="AF3468" s="797"/>
      <c r="AG3468" s="797"/>
      <c r="AH3468" s="797"/>
      <c r="AI3468" s="797"/>
      <c r="AJ3468" s="797"/>
      <c r="AK3468" s="797"/>
      <c r="AL3468" s="797"/>
      <c r="AM3468" s="797"/>
      <c r="AN3468" s="797"/>
      <c r="AO3468" s="797"/>
      <c r="AP3468" s="797"/>
      <c r="AQ3468" s="797"/>
      <c r="AR3468" s="797"/>
      <c r="AS3468" s="797"/>
      <c r="AT3468" s="797"/>
      <c r="AU3468" s="797"/>
      <c r="AV3468" s="797"/>
      <c r="AW3468" s="797"/>
      <c r="AX3468" s="797"/>
      <c r="AY3468" s="797"/>
      <c r="AZ3468" s="797"/>
      <c r="BA3468" s="797"/>
      <c r="BB3468" s="797"/>
      <c r="BC3468" s="797"/>
      <c r="BD3468" s="797"/>
      <c r="BE3468" s="797"/>
      <c r="BF3468" s="797"/>
      <c r="BG3468" s="797"/>
      <c r="BH3468" s="797"/>
      <c r="BI3468" s="797"/>
      <c r="BJ3468" s="797"/>
      <c r="BK3468" s="797"/>
      <c r="BL3468" s="797"/>
      <c r="BM3468" s="797"/>
      <c r="BN3468" s="797"/>
      <c r="BO3468" s="797"/>
      <c r="BP3468" s="797"/>
      <c r="BQ3468" s="797"/>
      <c r="BR3468" s="797"/>
      <c r="BS3468" s="797"/>
      <c r="BT3468" s="797"/>
      <c r="BU3468" s="797"/>
      <c r="BV3468" s="797"/>
      <c r="BW3468" s="797"/>
      <c r="BX3468" s="797"/>
      <c r="BY3468" s="797"/>
      <c r="BZ3468" s="797"/>
      <c r="CA3468" s="797"/>
      <c r="CB3468" s="797"/>
      <c r="CC3468" s="797"/>
      <c r="CD3468" s="797"/>
      <c r="CE3468" s="797"/>
      <c r="CF3468" s="797"/>
      <c r="CG3468" s="797"/>
      <c r="CH3468" s="797"/>
      <c r="CI3468" s="797"/>
      <c r="CJ3468" s="797"/>
      <c r="CK3468" s="797"/>
      <c r="CL3468" s="797"/>
      <c r="CM3468" s="797"/>
      <c r="CN3468" s="797"/>
      <c r="CO3468" s="797"/>
      <c r="CP3468" s="797"/>
      <c r="CQ3468" s="797"/>
      <c r="CR3468" s="797"/>
      <c r="CS3468" s="797"/>
      <c r="CT3468" s="797"/>
      <c r="CU3468" s="797"/>
      <c r="CV3468" s="797"/>
      <c r="CW3468" s="797"/>
      <c r="CX3468" s="797"/>
      <c r="CY3468" s="797"/>
      <c r="CZ3468" s="797"/>
      <c r="DA3468" s="797"/>
      <c r="DB3468" s="797"/>
      <c r="DC3468" s="797"/>
      <c r="DD3468" s="797"/>
      <c r="DE3468" s="797"/>
      <c r="DF3468" s="797"/>
      <c r="DG3468" s="797"/>
      <c r="DH3468" s="797"/>
      <c r="DI3468" s="797"/>
      <c r="DJ3468" s="797"/>
      <c r="DK3468" s="797"/>
      <c r="DL3468" s="797"/>
      <c r="DM3468" s="797"/>
      <c r="DN3468" s="797"/>
      <c r="DO3468" s="797"/>
      <c r="DP3468" s="797"/>
      <c r="DQ3468" s="797"/>
      <c r="DR3468" s="797"/>
      <c r="DS3468" s="797"/>
      <c r="DT3468" s="797"/>
      <c r="DU3468" s="797"/>
      <c r="DV3468" s="797"/>
      <c r="DW3468" s="797"/>
      <c r="DX3468" s="797"/>
      <c r="DY3468" s="797"/>
      <c r="DZ3468" s="797"/>
      <c r="EA3468" s="797"/>
      <c r="EB3468" s="797"/>
      <c r="EC3468" s="797"/>
      <c r="ED3468" s="797"/>
      <c r="EE3468" s="797"/>
      <c r="EF3468" s="797"/>
      <c r="EG3468" s="797"/>
      <c r="EH3468" s="797"/>
      <c r="EI3468" s="797"/>
      <c r="EJ3468" s="797"/>
      <c r="EK3468" s="797"/>
      <c r="EL3468" s="797"/>
      <c r="EM3468" s="797"/>
      <c r="EN3468" s="797"/>
      <c r="EO3468" s="797"/>
      <c r="EP3468" s="797"/>
      <c r="EQ3468" s="797"/>
      <c r="ER3468" s="797"/>
      <c r="ES3468" s="797"/>
      <c r="ET3468" s="797"/>
      <c r="EU3468" s="797"/>
      <c r="EV3468" s="797"/>
      <c r="EW3468" s="797"/>
      <c r="EX3468" s="797"/>
      <c r="EY3468" s="797"/>
      <c r="EZ3468" s="797"/>
      <c r="FA3468" s="797"/>
      <c r="FB3468" s="797"/>
      <c r="FC3468" s="797"/>
      <c r="FD3468" s="797"/>
      <c r="FE3468" s="797"/>
      <c r="FF3468" s="797"/>
      <c r="FG3468" s="797"/>
      <c r="FH3468" s="797"/>
      <c r="FI3468" s="797"/>
      <c r="FJ3468" s="797"/>
      <c r="FK3468" s="797"/>
      <c r="FL3468" s="797"/>
      <c r="FM3468" s="797"/>
      <c r="FN3468" s="797"/>
      <c r="FO3468" s="797"/>
      <c r="FP3468" s="797"/>
      <c r="FQ3468" s="797"/>
      <c r="FR3468" s="797"/>
      <c r="FS3468" s="797"/>
      <c r="FT3468" s="797"/>
      <c r="FU3468" s="797"/>
      <c r="FV3468" s="797"/>
      <c r="FW3468" s="797"/>
      <c r="FX3468" s="797"/>
      <c r="FY3468" s="797"/>
      <c r="FZ3468" s="797"/>
      <c r="GA3468" s="797"/>
      <c r="GB3468" s="797"/>
      <c r="GC3468" s="797"/>
      <c r="GD3468" s="797"/>
      <c r="GE3468" s="797"/>
      <c r="GF3468" s="797"/>
      <c r="GG3468" s="797"/>
      <c r="GH3468" s="797"/>
      <c r="GI3468" s="797"/>
      <c r="GJ3468" s="797"/>
      <c r="GK3468" s="797"/>
      <c r="GL3468" s="797"/>
      <c r="GM3468" s="797"/>
      <c r="GN3468" s="797"/>
      <c r="GO3468" s="797"/>
      <c r="GP3468" s="797"/>
      <c r="GQ3468" s="797"/>
      <c r="GR3468" s="797"/>
      <c r="GS3468" s="797"/>
      <c r="GT3468" s="797"/>
      <c r="GU3468" s="797"/>
      <c r="GV3468" s="797"/>
      <c r="GW3468" s="797"/>
      <c r="GX3468" s="797"/>
      <c r="GY3468" s="797"/>
      <c r="GZ3468" s="797"/>
      <c r="HA3468" s="797"/>
      <c r="HB3468" s="797"/>
      <c r="HC3468" s="797"/>
      <c r="HD3468" s="797"/>
      <c r="HE3468" s="797"/>
      <c r="HF3468" s="797"/>
      <c r="HG3468" s="797"/>
      <c r="HH3468" s="797"/>
      <c r="HI3468" s="797"/>
      <c r="HJ3468" s="797"/>
      <c r="HK3468" s="797"/>
      <c r="HL3468" s="797"/>
      <c r="HM3468" s="797"/>
      <c r="HN3468" s="797"/>
      <c r="HO3468" s="797"/>
      <c r="HP3468" s="797"/>
      <c r="HQ3468" s="797"/>
      <c r="HR3468" s="797"/>
      <c r="HS3468" s="797"/>
      <c r="HT3468" s="797"/>
      <c r="HU3468" s="797"/>
      <c r="HV3468" s="797"/>
      <c r="HW3468" s="797"/>
      <c r="HX3468" s="797"/>
      <c r="HY3468" s="797"/>
      <c r="HZ3468" s="797"/>
      <c r="IA3468" s="797"/>
      <c r="IB3468" s="797"/>
      <c r="IC3468" s="797"/>
      <c r="ID3468" s="797"/>
      <c r="IE3468" s="797"/>
      <c r="IF3468" s="797"/>
      <c r="IG3468" s="797"/>
      <c r="IH3468" s="797"/>
      <c r="II3468" s="797"/>
      <c r="IJ3468" s="797"/>
      <c r="IK3468" s="797"/>
      <c r="IL3468" s="797"/>
      <c r="IM3468" s="797"/>
      <c r="IN3468" s="797"/>
      <c r="IO3468" s="797"/>
      <c r="IP3468" s="797"/>
      <c r="IQ3468" s="797"/>
      <c r="IR3468" s="797"/>
      <c r="IS3468" s="797"/>
      <c r="IT3468" s="797"/>
      <c r="IU3468" s="797"/>
    </row>
    <row r="3469" spans="1:255" s="359" customFormat="1" ht="13.5" hidden="1" customHeight="1">
      <c r="A3469" s="342"/>
      <c r="B3469" s="417"/>
      <c r="C3469" s="551" t="s">
        <v>1187</v>
      </c>
      <c r="D3469" s="342" t="s">
        <v>88</v>
      </c>
      <c r="E3469" s="857">
        <v>5.0000000000000002E-5</v>
      </c>
      <c r="F3469" s="392">
        <f>F3464*E3469</f>
        <v>0</v>
      </c>
      <c r="G3469" s="392">
        <v>16.100000000000001</v>
      </c>
      <c r="H3469" s="392">
        <f>F3469*G3469</f>
        <v>0</v>
      </c>
      <c r="I3469" s="392"/>
      <c r="J3469" s="392"/>
      <c r="K3469" s="392"/>
      <c r="L3469" s="392"/>
      <c r="M3469" s="392">
        <f>H3469+J3469+L3469</f>
        <v>0</v>
      </c>
      <c r="N3469" s="358"/>
      <c r="O3469" s="797"/>
      <c r="P3469" s="798"/>
      <c r="Q3469" s="798"/>
      <c r="R3469" s="798"/>
      <c r="S3469" s="798"/>
      <c r="T3469" s="798"/>
      <c r="U3469" s="798"/>
      <c r="V3469" s="798"/>
      <c r="W3469" s="798"/>
      <c r="X3469" s="798"/>
      <c r="Y3469" s="798"/>
      <c r="Z3469" s="798"/>
      <c r="AA3469" s="797"/>
      <c r="AB3469" s="797"/>
      <c r="AC3469" s="797"/>
      <c r="AD3469" s="797"/>
      <c r="AE3469" s="797"/>
      <c r="AF3469" s="797"/>
      <c r="AG3469" s="797"/>
      <c r="AH3469" s="797"/>
      <c r="AI3469" s="797"/>
      <c r="AJ3469" s="797"/>
      <c r="AK3469" s="797"/>
      <c r="AL3469" s="797"/>
      <c r="AM3469" s="797"/>
      <c r="AN3469" s="797"/>
      <c r="AO3469" s="797"/>
      <c r="AP3469" s="797"/>
      <c r="AQ3469" s="797"/>
      <c r="AR3469" s="797"/>
      <c r="AS3469" s="797"/>
      <c r="AT3469" s="797"/>
      <c r="AU3469" s="797"/>
      <c r="AV3469" s="797"/>
      <c r="AW3469" s="797"/>
      <c r="AX3469" s="797"/>
      <c r="AY3469" s="797"/>
      <c r="AZ3469" s="797"/>
      <c r="BA3469" s="797"/>
      <c r="BB3469" s="797"/>
      <c r="BC3469" s="797"/>
      <c r="BD3469" s="797"/>
      <c r="BE3469" s="797"/>
      <c r="BF3469" s="797"/>
      <c r="BG3469" s="797"/>
      <c r="BH3469" s="797"/>
      <c r="BI3469" s="797"/>
      <c r="BJ3469" s="797"/>
      <c r="BK3469" s="797"/>
      <c r="BL3469" s="797"/>
      <c r="BM3469" s="797"/>
      <c r="BN3469" s="797"/>
      <c r="BO3469" s="797"/>
      <c r="BP3469" s="797"/>
      <c r="BQ3469" s="797"/>
      <c r="BR3469" s="797"/>
      <c r="BS3469" s="797"/>
      <c r="BT3469" s="797"/>
      <c r="BU3469" s="797"/>
      <c r="BV3469" s="797"/>
      <c r="BW3469" s="797"/>
      <c r="BX3469" s="797"/>
      <c r="BY3469" s="797"/>
      <c r="BZ3469" s="797"/>
      <c r="CA3469" s="797"/>
      <c r="CB3469" s="797"/>
      <c r="CC3469" s="797"/>
      <c r="CD3469" s="797"/>
      <c r="CE3469" s="797"/>
      <c r="CF3469" s="797"/>
      <c r="CG3469" s="797"/>
      <c r="CH3469" s="797"/>
      <c r="CI3469" s="797"/>
      <c r="CJ3469" s="797"/>
      <c r="CK3469" s="797"/>
      <c r="CL3469" s="797"/>
      <c r="CM3469" s="797"/>
      <c r="CN3469" s="797"/>
      <c r="CO3469" s="797"/>
      <c r="CP3469" s="797"/>
      <c r="CQ3469" s="797"/>
      <c r="CR3469" s="797"/>
      <c r="CS3469" s="797"/>
      <c r="CT3469" s="797"/>
      <c r="CU3469" s="797"/>
      <c r="CV3469" s="797"/>
      <c r="CW3469" s="797"/>
      <c r="CX3469" s="797"/>
      <c r="CY3469" s="797"/>
      <c r="CZ3469" s="797"/>
      <c r="DA3469" s="797"/>
      <c r="DB3469" s="797"/>
      <c r="DC3469" s="797"/>
      <c r="DD3469" s="797"/>
      <c r="DE3469" s="797"/>
      <c r="DF3469" s="797"/>
      <c r="DG3469" s="797"/>
      <c r="DH3469" s="797"/>
      <c r="DI3469" s="797"/>
      <c r="DJ3469" s="797"/>
      <c r="DK3469" s="797"/>
      <c r="DL3469" s="797"/>
      <c r="DM3469" s="797"/>
      <c r="DN3469" s="797"/>
      <c r="DO3469" s="797"/>
      <c r="DP3469" s="797"/>
      <c r="DQ3469" s="797"/>
      <c r="DR3469" s="797"/>
      <c r="DS3469" s="797"/>
      <c r="DT3469" s="797"/>
      <c r="DU3469" s="797"/>
      <c r="DV3469" s="797"/>
      <c r="DW3469" s="797"/>
      <c r="DX3469" s="797"/>
      <c r="DY3469" s="797"/>
      <c r="DZ3469" s="797"/>
      <c r="EA3469" s="797"/>
      <c r="EB3469" s="797"/>
      <c r="EC3469" s="797"/>
      <c r="ED3469" s="797"/>
      <c r="EE3469" s="797"/>
      <c r="EF3469" s="797"/>
      <c r="EG3469" s="797"/>
      <c r="EH3469" s="797"/>
      <c r="EI3469" s="797"/>
      <c r="EJ3469" s="797"/>
      <c r="EK3469" s="797"/>
      <c r="EL3469" s="797"/>
      <c r="EM3469" s="797"/>
      <c r="EN3469" s="797"/>
      <c r="EO3469" s="797"/>
      <c r="EP3469" s="797"/>
      <c r="EQ3469" s="797"/>
      <c r="ER3469" s="797"/>
      <c r="ES3469" s="797"/>
      <c r="ET3469" s="797"/>
      <c r="EU3469" s="797"/>
      <c r="EV3469" s="797"/>
      <c r="EW3469" s="797"/>
      <c r="EX3469" s="797"/>
      <c r="EY3469" s="797"/>
      <c r="EZ3469" s="797"/>
      <c r="FA3469" s="797"/>
      <c r="FB3469" s="797"/>
      <c r="FC3469" s="797"/>
      <c r="FD3469" s="797"/>
      <c r="FE3469" s="797"/>
      <c r="FF3469" s="797"/>
      <c r="FG3469" s="797"/>
      <c r="FH3469" s="797"/>
      <c r="FI3469" s="797"/>
      <c r="FJ3469" s="797"/>
      <c r="FK3469" s="797"/>
      <c r="FL3469" s="797"/>
      <c r="FM3469" s="797"/>
      <c r="FN3469" s="797"/>
      <c r="FO3469" s="797"/>
      <c r="FP3469" s="797"/>
      <c r="FQ3469" s="797"/>
      <c r="FR3469" s="797"/>
      <c r="FS3469" s="797"/>
      <c r="FT3469" s="797"/>
      <c r="FU3469" s="797"/>
      <c r="FV3469" s="797"/>
      <c r="FW3469" s="797"/>
      <c r="FX3469" s="797"/>
      <c r="FY3469" s="797"/>
      <c r="FZ3469" s="797"/>
      <c r="GA3469" s="797"/>
      <c r="GB3469" s="797"/>
      <c r="GC3469" s="797"/>
      <c r="GD3469" s="797"/>
      <c r="GE3469" s="797"/>
      <c r="GF3469" s="797"/>
      <c r="GG3469" s="797"/>
      <c r="GH3469" s="797"/>
      <c r="GI3469" s="797"/>
      <c r="GJ3469" s="797"/>
      <c r="GK3469" s="797"/>
      <c r="GL3469" s="797"/>
      <c r="GM3469" s="797"/>
      <c r="GN3469" s="797"/>
      <c r="GO3469" s="797"/>
      <c r="GP3469" s="797"/>
      <c r="GQ3469" s="797"/>
      <c r="GR3469" s="797"/>
      <c r="GS3469" s="797"/>
      <c r="GT3469" s="797"/>
      <c r="GU3469" s="797"/>
      <c r="GV3469" s="797"/>
      <c r="GW3469" s="797"/>
      <c r="GX3469" s="797"/>
      <c r="GY3469" s="797"/>
      <c r="GZ3469" s="797"/>
      <c r="HA3469" s="797"/>
      <c r="HB3469" s="797"/>
      <c r="HC3469" s="797"/>
      <c r="HD3469" s="797"/>
      <c r="HE3469" s="797"/>
      <c r="HF3469" s="797"/>
      <c r="HG3469" s="797"/>
      <c r="HH3469" s="797"/>
      <c r="HI3469" s="797"/>
      <c r="HJ3469" s="797"/>
      <c r="HK3469" s="797"/>
      <c r="HL3469" s="797"/>
      <c r="HM3469" s="797"/>
      <c r="HN3469" s="797"/>
      <c r="HO3469" s="797"/>
      <c r="HP3469" s="797"/>
      <c r="HQ3469" s="797"/>
      <c r="HR3469" s="797"/>
      <c r="HS3469" s="797"/>
      <c r="HT3469" s="797"/>
      <c r="HU3469" s="797"/>
      <c r="HV3469" s="797"/>
      <c r="HW3469" s="797"/>
      <c r="HX3469" s="797"/>
      <c r="HY3469" s="797"/>
      <c r="HZ3469" s="797"/>
      <c r="IA3469" s="797"/>
      <c r="IB3469" s="797"/>
      <c r="IC3469" s="797"/>
      <c r="ID3469" s="797"/>
      <c r="IE3469" s="797"/>
      <c r="IF3469" s="797"/>
      <c r="IG3469" s="797"/>
      <c r="IH3469" s="797"/>
      <c r="II3469" s="797"/>
      <c r="IJ3469" s="797"/>
      <c r="IK3469" s="797"/>
      <c r="IL3469" s="797"/>
      <c r="IM3469" s="797"/>
      <c r="IN3469" s="797"/>
      <c r="IO3469" s="797"/>
      <c r="IP3469" s="797"/>
      <c r="IQ3469" s="797"/>
      <c r="IR3469" s="797"/>
      <c r="IS3469" s="797"/>
      <c r="IT3469" s="797"/>
      <c r="IU3469" s="797"/>
    </row>
    <row r="3470" spans="1:255" s="464" customFormat="1" hidden="1">
      <c r="A3470" s="960"/>
      <c r="B3470" s="978"/>
      <c r="C3470" s="938" t="s">
        <v>1699</v>
      </c>
      <c r="D3470" s="978" t="s">
        <v>114</v>
      </c>
      <c r="E3470" s="961"/>
      <c r="F3470" s="519">
        <f>'დეფექტური აქტი'!E873</f>
        <v>0</v>
      </c>
      <c r="G3470" s="963"/>
      <c r="H3470" s="964"/>
      <c r="I3470" s="979"/>
      <c r="J3470" s="980"/>
      <c r="K3470" s="966">
        <v>3.02</v>
      </c>
      <c r="L3470" s="962">
        <f>F3470*K3470</f>
        <v>0</v>
      </c>
      <c r="M3470" s="967">
        <f>H3470+J3470+L3470</f>
        <v>0</v>
      </c>
    </row>
    <row r="3471" spans="1:255" s="359" customFormat="1" hidden="1">
      <c r="A3471" s="336"/>
      <c r="B3471" s="328" t="s">
        <v>1189</v>
      </c>
      <c r="C3471" s="329" t="s">
        <v>1133</v>
      </c>
      <c r="D3471" s="330" t="s">
        <v>88</v>
      </c>
      <c r="E3471" s="330"/>
      <c r="F3471" s="457">
        <f>'დეფექტური აქტი'!E874</f>
        <v>0</v>
      </c>
      <c r="G3471" s="330"/>
      <c r="H3471" s="331"/>
      <c r="I3471" s="414"/>
      <c r="J3471" s="331"/>
      <c r="K3471" s="414"/>
      <c r="L3471" s="331"/>
      <c r="M3471" s="331"/>
      <c r="N3471" s="358"/>
    </row>
    <row r="3472" spans="1:255" s="359" customFormat="1" hidden="1">
      <c r="A3472" s="336"/>
      <c r="B3472" s="328"/>
      <c r="C3472" s="335" t="s">
        <v>209</v>
      </c>
      <c r="D3472" s="336" t="s">
        <v>80</v>
      </c>
      <c r="E3472" s="336">
        <v>3.2299999999999998E-3</v>
      </c>
      <c r="F3472" s="331">
        <f>F3471*E3472</f>
        <v>0</v>
      </c>
      <c r="G3472" s="330"/>
      <c r="H3472" s="331"/>
      <c r="I3472" s="414">
        <v>4.5999999999999996</v>
      </c>
      <c r="J3472" s="331">
        <f>F3472*I3472</f>
        <v>0</v>
      </c>
      <c r="K3472" s="414"/>
      <c r="L3472" s="331"/>
      <c r="M3472" s="331">
        <f>H3472+J3472+L3472</f>
        <v>0</v>
      </c>
      <c r="N3472" s="358"/>
    </row>
    <row r="3473" spans="1:14" s="359" customFormat="1" ht="27" hidden="1">
      <c r="A3473" s="336"/>
      <c r="B3473" s="328"/>
      <c r="C3473" s="335" t="s">
        <v>1190</v>
      </c>
      <c r="D3473" s="336" t="s">
        <v>217</v>
      </c>
      <c r="E3473" s="336">
        <v>3.62E-3</v>
      </c>
      <c r="F3473" s="331">
        <f>F3471*E3473</f>
        <v>0</v>
      </c>
      <c r="G3473" s="330"/>
      <c r="H3473" s="331"/>
      <c r="I3473" s="414"/>
      <c r="J3473" s="331"/>
      <c r="K3473" s="414">
        <v>27.4</v>
      </c>
      <c r="L3473" s="331">
        <f>F3473*K3473</f>
        <v>0</v>
      </c>
      <c r="M3473" s="331">
        <f>H3473+J3473+L3473</f>
        <v>0</v>
      </c>
      <c r="N3473" s="358"/>
    </row>
    <row r="3474" spans="1:14" s="359" customFormat="1" ht="21" hidden="1" customHeight="1">
      <c r="A3474" s="336"/>
      <c r="B3474" s="328"/>
      <c r="C3474" s="335" t="s">
        <v>81</v>
      </c>
      <c r="D3474" s="336" t="s">
        <v>57</v>
      </c>
      <c r="E3474" s="336">
        <v>1.8000000000000001E-4</v>
      </c>
      <c r="F3474" s="331">
        <f>F3471*E3474</f>
        <v>0</v>
      </c>
      <c r="G3474" s="330"/>
      <c r="H3474" s="331"/>
      <c r="I3474" s="414"/>
      <c r="J3474" s="331"/>
      <c r="K3474" s="1077">
        <v>3.2</v>
      </c>
      <c r="L3474" s="331">
        <f>F3474*K3474</f>
        <v>0</v>
      </c>
      <c r="M3474" s="331">
        <f>H3474+J3474+L3474</f>
        <v>0</v>
      </c>
      <c r="N3474" s="358"/>
    </row>
    <row r="3475" spans="1:14" s="359" customFormat="1" hidden="1">
      <c r="A3475" s="336"/>
      <c r="B3475" s="328"/>
      <c r="C3475" s="335" t="s">
        <v>210</v>
      </c>
      <c r="D3475" s="336"/>
      <c r="E3475" s="336"/>
      <c r="F3475" s="331"/>
      <c r="G3475" s="330"/>
      <c r="H3475" s="331"/>
      <c r="I3475" s="414"/>
      <c r="J3475" s="331"/>
      <c r="K3475" s="414"/>
      <c r="L3475" s="331"/>
      <c r="M3475" s="331"/>
      <c r="N3475" s="415" t="e">
        <f>#REF!+#REF!+#REF!</f>
        <v>#REF!</v>
      </c>
    </row>
    <row r="3476" spans="1:14" s="359" customFormat="1" ht="12.75" hidden="1" customHeight="1">
      <c r="A3476" s="342"/>
      <c r="B3476" s="417"/>
      <c r="C3476" s="551" t="s">
        <v>1187</v>
      </c>
      <c r="D3476" s="342" t="s">
        <v>88</v>
      </c>
      <c r="E3476" s="342">
        <v>4.0000000000000003E-5</v>
      </c>
      <c r="F3476" s="418">
        <f>F3471*E3476</f>
        <v>0</v>
      </c>
      <c r="G3476" s="419">
        <v>16.100000000000001</v>
      </c>
      <c r="H3476" s="418">
        <f>F3476*G3476</f>
        <v>0</v>
      </c>
      <c r="I3476" s="895"/>
      <c r="J3476" s="418"/>
      <c r="K3476" s="895"/>
      <c r="L3476" s="418"/>
      <c r="M3476" s="418">
        <f>H3476+J3476+L3476</f>
        <v>0</v>
      </c>
      <c r="N3476" s="358"/>
    </row>
    <row r="3477" spans="1:14" s="359" customFormat="1" ht="15.75" hidden="1" customHeight="1">
      <c r="A3477" s="473">
        <v>7</v>
      </c>
      <c r="B3477" s="500" t="s">
        <v>1700</v>
      </c>
      <c r="C3477" s="420" t="s">
        <v>1701</v>
      </c>
      <c r="D3477" s="421" t="s">
        <v>88</v>
      </c>
      <c r="E3477" s="421"/>
      <c r="F3477" s="456">
        <f>'დეფექტური აქტი'!E875</f>
        <v>0</v>
      </c>
      <c r="G3477" s="421"/>
      <c r="H3477" s="787"/>
      <c r="I3477" s="786"/>
      <c r="J3477" s="787"/>
      <c r="K3477" s="786"/>
      <c r="L3477" s="787"/>
      <c r="M3477" s="787"/>
      <c r="N3477" s="348"/>
    </row>
    <row r="3478" spans="1:14" s="359" customFormat="1" hidden="1">
      <c r="A3478" s="342"/>
      <c r="B3478" s="417"/>
      <c r="C3478" s="551" t="s">
        <v>209</v>
      </c>
      <c r="D3478" s="342" t="s">
        <v>80</v>
      </c>
      <c r="E3478" s="342">
        <v>0.129</v>
      </c>
      <c r="F3478" s="418">
        <f>F3477*E3478</f>
        <v>0</v>
      </c>
      <c r="G3478" s="419"/>
      <c r="H3478" s="418"/>
      <c r="I3478" s="895">
        <v>4.5999999999999996</v>
      </c>
      <c r="J3478" s="418">
        <f>F3478*I3478</f>
        <v>0</v>
      </c>
      <c r="K3478" s="895"/>
      <c r="L3478" s="418"/>
      <c r="M3478" s="418">
        <f>H3478+J3478+L3478</f>
        <v>0</v>
      </c>
      <c r="N3478" s="348"/>
    </row>
    <row r="3479" spans="1:14" s="464" customFormat="1" hidden="1">
      <c r="A3479" s="951">
        <v>8</v>
      </c>
      <c r="B3479" s="544" t="s">
        <v>1642</v>
      </c>
      <c r="C3479" s="932" t="s">
        <v>1704</v>
      </c>
      <c r="D3479" s="952" t="s">
        <v>437</v>
      </c>
      <c r="E3479" s="953"/>
      <c r="F3479" s="456">
        <f>'დეფექტური აქტი'!E876</f>
        <v>0</v>
      </c>
      <c r="G3479" s="957"/>
      <c r="H3479" s="955"/>
      <c r="I3479" s="956"/>
      <c r="J3479" s="955"/>
      <c r="K3479" s="957"/>
      <c r="L3479" s="958"/>
      <c r="M3479" s="1067"/>
    </row>
    <row r="3480" spans="1:14" s="464" customFormat="1" hidden="1">
      <c r="A3480" s="969"/>
      <c r="B3480" s="981"/>
      <c r="C3480" s="934" t="s">
        <v>1627</v>
      </c>
      <c r="D3480" s="981" t="s">
        <v>80</v>
      </c>
      <c r="E3480" s="971">
        <f>21.6/100</f>
        <v>0.21600000000000003</v>
      </c>
      <c r="F3480" s="1056">
        <f>F3479*E3480</f>
        <v>0</v>
      </c>
      <c r="G3480" s="1059"/>
      <c r="H3480" s="955">
        <f>F3480*G3480</f>
        <v>0</v>
      </c>
      <c r="I3480" s="1057">
        <v>6</v>
      </c>
      <c r="J3480" s="1058">
        <f>F3480*I3480</f>
        <v>0</v>
      </c>
      <c r="K3480" s="1059"/>
      <c r="L3480" s="1060"/>
      <c r="M3480" s="983">
        <f>H3480+J3480+L3480</f>
        <v>0</v>
      </c>
    </row>
    <row r="3481" spans="1:14" s="464" customFormat="1" hidden="1">
      <c r="A3481" s="969"/>
      <c r="B3481" s="970"/>
      <c r="C3481" s="934" t="s">
        <v>1643</v>
      </c>
      <c r="D3481" s="970" t="s">
        <v>1634</v>
      </c>
      <c r="E3481" s="971">
        <f>1.24/100</f>
        <v>1.24E-2</v>
      </c>
      <c r="F3481" s="1056">
        <f>F3479*E3481</f>
        <v>0</v>
      </c>
      <c r="G3481" s="1059"/>
      <c r="H3481" s="955"/>
      <c r="I3481" s="1057"/>
      <c r="J3481" s="1061"/>
      <c r="K3481" s="1059">
        <v>25.16</v>
      </c>
      <c r="L3481" s="1060">
        <f t="shared" ref="L3481:L3486" si="97">F3481*K3481</f>
        <v>0</v>
      </c>
      <c r="M3481" s="983">
        <f t="shared" ref="M3481:M3488" si="98">H3481+J3481+L3481</f>
        <v>0</v>
      </c>
    </row>
    <row r="3482" spans="1:14" s="464" customFormat="1" hidden="1">
      <c r="A3482" s="969"/>
      <c r="B3482" s="811"/>
      <c r="C3482" s="934" t="s">
        <v>1644</v>
      </c>
      <c r="D3482" s="811" t="s">
        <v>1634</v>
      </c>
      <c r="E3482" s="971">
        <f>2.58/100</f>
        <v>2.58E-2</v>
      </c>
      <c r="F3482" s="1056">
        <f>F3479*E3482</f>
        <v>0</v>
      </c>
      <c r="G3482" s="1059"/>
      <c r="H3482" s="955"/>
      <c r="I3482" s="1057"/>
      <c r="J3482" s="1061"/>
      <c r="K3482" s="1059">
        <v>21.54</v>
      </c>
      <c r="L3482" s="1060">
        <f t="shared" si="97"/>
        <v>0</v>
      </c>
      <c r="M3482" s="983">
        <f t="shared" si="98"/>
        <v>0</v>
      </c>
    </row>
    <row r="3483" spans="1:14" s="464" customFormat="1" hidden="1">
      <c r="A3483" s="969"/>
      <c r="B3483" s="970"/>
      <c r="C3483" s="934" t="s">
        <v>1645</v>
      </c>
      <c r="D3483" s="970" t="s">
        <v>1634</v>
      </c>
      <c r="E3483" s="971">
        <f>0.41/100</f>
        <v>4.0999999999999995E-3</v>
      </c>
      <c r="F3483" s="1056">
        <f>F3479*E3483</f>
        <v>0</v>
      </c>
      <c r="G3483" s="1059"/>
      <c r="H3483" s="955"/>
      <c r="I3483" s="1057"/>
      <c r="J3483" s="1061"/>
      <c r="K3483" s="1059">
        <v>20.75</v>
      </c>
      <c r="L3483" s="1060">
        <f t="shared" si="97"/>
        <v>0</v>
      </c>
      <c r="M3483" s="983">
        <f t="shared" si="98"/>
        <v>0</v>
      </c>
    </row>
    <row r="3484" spans="1:14" s="464" customFormat="1" hidden="1">
      <c r="A3484" s="969"/>
      <c r="B3484" s="970"/>
      <c r="C3484" s="934" t="s">
        <v>1646</v>
      </c>
      <c r="D3484" s="970" t="s">
        <v>1634</v>
      </c>
      <c r="E3484" s="971">
        <f>7.6/100</f>
        <v>7.5999999999999998E-2</v>
      </c>
      <c r="F3484" s="1056">
        <f>F3479*E3484</f>
        <v>0</v>
      </c>
      <c r="G3484" s="1059"/>
      <c r="H3484" s="955"/>
      <c r="I3484" s="1057"/>
      <c r="J3484" s="1061"/>
      <c r="K3484" s="1059">
        <v>16.91</v>
      </c>
      <c r="L3484" s="1060">
        <f t="shared" si="97"/>
        <v>0</v>
      </c>
      <c r="M3484" s="983">
        <f t="shared" si="98"/>
        <v>0</v>
      </c>
    </row>
    <row r="3485" spans="1:14" s="464" customFormat="1" hidden="1">
      <c r="A3485" s="969"/>
      <c r="B3485" s="970"/>
      <c r="C3485" s="934" t="s">
        <v>1647</v>
      </c>
      <c r="D3485" s="970" t="s">
        <v>1634</v>
      </c>
      <c r="E3485" s="971">
        <f>15.1/100</f>
        <v>0.151</v>
      </c>
      <c r="F3485" s="1056">
        <f>F3479*E3485</f>
        <v>0</v>
      </c>
      <c r="G3485" s="1059"/>
      <c r="H3485" s="955"/>
      <c r="I3485" s="1057"/>
      <c r="J3485" s="1061"/>
      <c r="K3485" s="1059">
        <v>19.98</v>
      </c>
      <c r="L3485" s="1060">
        <f t="shared" si="97"/>
        <v>0</v>
      </c>
      <c r="M3485" s="983">
        <f t="shared" si="98"/>
        <v>0</v>
      </c>
    </row>
    <row r="3486" spans="1:14" s="464" customFormat="1" hidden="1">
      <c r="A3486" s="969"/>
      <c r="B3486" s="970"/>
      <c r="C3486" s="934" t="s">
        <v>1648</v>
      </c>
      <c r="D3486" s="811" t="s">
        <v>1634</v>
      </c>
      <c r="E3486" s="971">
        <f>0.97/100</f>
        <v>9.7000000000000003E-3</v>
      </c>
      <c r="F3486" s="1056">
        <f>F3479*E3486</f>
        <v>0</v>
      </c>
      <c r="G3486" s="1059"/>
      <c r="H3486" s="955"/>
      <c r="I3486" s="1057"/>
      <c r="J3486" s="1061"/>
      <c r="K3486" s="1059">
        <v>42.02</v>
      </c>
      <c r="L3486" s="1060">
        <f t="shared" si="97"/>
        <v>0</v>
      </c>
      <c r="M3486" s="983">
        <f t="shared" si="98"/>
        <v>0</v>
      </c>
    </row>
    <row r="3487" spans="1:14" s="464" customFormat="1" hidden="1">
      <c r="A3487" s="969"/>
      <c r="B3487" s="998"/>
      <c r="C3487" s="934" t="s">
        <v>1705</v>
      </c>
      <c r="D3487" s="970" t="s">
        <v>437</v>
      </c>
      <c r="E3487" s="971">
        <v>1.26</v>
      </c>
      <c r="F3487" s="1056">
        <f>F3479*E3487</f>
        <v>0</v>
      </c>
      <c r="G3487" s="1059">
        <v>9</v>
      </c>
      <c r="H3487" s="955">
        <f>F3487*G3487</f>
        <v>0</v>
      </c>
      <c r="I3487" s="1057"/>
      <c r="J3487" s="1061">
        <f>F3487*I3487</f>
        <v>0</v>
      </c>
      <c r="K3487" s="1059"/>
      <c r="L3487" s="1060"/>
      <c r="M3487" s="983">
        <f t="shared" si="98"/>
        <v>0</v>
      </c>
    </row>
    <row r="3488" spans="1:14" s="464" customFormat="1" hidden="1">
      <c r="A3488" s="960"/>
      <c r="B3488" s="978"/>
      <c r="C3488" s="938" t="s">
        <v>223</v>
      </c>
      <c r="D3488" s="978" t="s">
        <v>437</v>
      </c>
      <c r="E3488" s="961">
        <f>7/100</f>
        <v>7.0000000000000007E-2</v>
      </c>
      <c r="F3488" s="1062">
        <f>F3479*E3488</f>
        <v>0</v>
      </c>
      <c r="G3488" s="1066">
        <v>3.6</v>
      </c>
      <c r="H3488" s="1063">
        <f>F3488*G3488</f>
        <v>0</v>
      </c>
      <c r="I3488" s="1064"/>
      <c r="J3488" s="1065">
        <f>F3488*I3488</f>
        <v>0</v>
      </c>
      <c r="K3488" s="1066"/>
      <c r="L3488" s="1062"/>
      <c r="M3488" s="967">
        <f t="shared" si="98"/>
        <v>0</v>
      </c>
    </row>
    <row r="3489" spans="1:14" s="359" customFormat="1" hidden="1">
      <c r="A3489" s="336">
        <v>28</v>
      </c>
      <c r="B3489" s="328" t="s">
        <v>1706</v>
      </c>
      <c r="C3489" s="357" t="s">
        <v>1707</v>
      </c>
      <c r="D3489" s="330" t="s">
        <v>78</v>
      </c>
      <c r="E3489" s="330"/>
      <c r="F3489" s="456">
        <f>'დეფექტური აქტი'!E877</f>
        <v>0</v>
      </c>
      <c r="G3489" s="330"/>
      <c r="H3489" s="331"/>
      <c r="I3489" s="414"/>
      <c r="J3489" s="331"/>
      <c r="K3489" s="414"/>
      <c r="L3489" s="331"/>
      <c r="M3489" s="331"/>
      <c r="N3489" s="358"/>
    </row>
    <row r="3490" spans="1:14" s="359" customFormat="1" ht="13.5" hidden="1" customHeight="1">
      <c r="A3490" s="336"/>
      <c r="B3490" s="334"/>
      <c r="C3490" s="335" t="s">
        <v>128</v>
      </c>
      <c r="D3490" s="336" t="s">
        <v>80</v>
      </c>
      <c r="E3490" s="336">
        <v>3.3000000000000002E-2</v>
      </c>
      <c r="F3490" s="331">
        <f>F3489*E3490</f>
        <v>0</v>
      </c>
      <c r="G3490" s="330"/>
      <c r="H3490" s="331"/>
      <c r="I3490" s="414">
        <v>6</v>
      </c>
      <c r="J3490" s="331">
        <f>F3490*I3490</f>
        <v>0</v>
      </c>
      <c r="K3490" s="414"/>
      <c r="L3490" s="331"/>
      <c r="M3490" s="331">
        <f t="shared" ref="M3490:M3496" si="99">H3490+J3490+L3490</f>
        <v>0</v>
      </c>
      <c r="N3490" s="358"/>
    </row>
    <row r="3491" spans="1:14" s="359" customFormat="1" ht="15.75" hidden="1" customHeight="1">
      <c r="A3491" s="336"/>
      <c r="B3491" s="334"/>
      <c r="C3491" s="335" t="s">
        <v>1708</v>
      </c>
      <c r="D3491" s="336" t="s">
        <v>217</v>
      </c>
      <c r="E3491" s="336">
        <v>4.2000000000000002E-4</v>
      </c>
      <c r="F3491" s="331">
        <f>F3489*E3491</f>
        <v>0</v>
      </c>
      <c r="G3491" s="330"/>
      <c r="H3491" s="331"/>
      <c r="I3491" s="414"/>
      <c r="J3491" s="331"/>
      <c r="K3491" s="414">
        <v>25.16</v>
      </c>
      <c r="L3491" s="331">
        <f t="shared" ref="L3491:L3496" si="100">F3491*K3491</f>
        <v>0</v>
      </c>
      <c r="M3491" s="331">
        <f t="shared" si="99"/>
        <v>0</v>
      </c>
      <c r="N3491" s="358"/>
    </row>
    <row r="3492" spans="1:14" s="359" customFormat="1" ht="13.5" hidden="1" customHeight="1">
      <c r="A3492" s="336"/>
      <c r="B3492" s="334"/>
      <c r="C3492" s="335" t="s">
        <v>1709</v>
      </c>
      <c r="D3492" s="336" t="s">
        <v>217</v>
      </c>
      <c r="E3492" s="336">
        <v>2.5799999999999998E-3</v>
      </c>
      <c r="F3492" s="331">
        <f>F3489*E3492</f>
        <v>0</v>
      </c>
      <c r="G3492" s="330"/>
      <c r="H3492" s="331"/>
      <c r="I3492" s="414"/>
      <c r="J3492" s="331"/>
      <c r="K3492" s="350">
        <v>27.4</v>
      </c>
      <c r="L3492" s="331">
        <f t="shared" si="100"/>
        <v>0</v>
      </c>
      <c r="M3492" s="331">
        <f t="shared" si="99"/>
        <v>0</v>
      </c>
      <c r="N3492" s="358"/>
    </row>
    <row r="3493" spans="1:14" s="359" customFormat="1" ht="14.25" hidden="1" customHeight="1">
      <c r="A3493" s="336"/>
      <c r="B3493" s="334"/>
      <c r="C3493" s="335" t="s">
        <v>1710</v>
      </c>
      <c r="D3493" s="336" t="s">
        <v>217</v>
      </c>
      <c r="E3493" s="336">
        <v>1.12E-2</v>
      </c>
      <c r="F3493" s="331">
        <f>F3489*E3493</f>
        <v>0</v>
      </c>
      <c r="G3493" s="330"/>
      <c r="H3493" s="331"/>
      <c r="I3493" s="414"/>
      <c r="J3493" s="331"/>
      <c r="K3493" s="414">
        <v>16.91</v>
      </c>
      <c r="L3493" s="331">
        <f t="shared" si="100"/>
        <v>0</v>
      </c>
      <c r="M3493" s="331">
        <f>H3493+J3493+L3493</f>
        <v>0</v>
      </c>
      <c r="N3493" s="358"/>
    </row>
    <row r="3494" spans="1:14" s="359" customFormat="1" ht="14.25" hidden="1" customHeight="1">
      <c r="A3494" s="336">
        <v>21.32</v>
      </c>
      <c r="B3494" s="334"/>
      <c r="C3494" s="335" t="s">
        <v>1711</v>
      </c>
      <c r="D3494" s="336" t="s">
        <v>217</v>
      </c>
      <c r="E3494" s="336">
        <v>2.4799999999999999E-2</v>
      </c>
      <c r="F3494" s="331">
        <f>F3489*E3494</f>
        <v>0</v>
      </c>
      <c r="G3494" s="330"/>
      <c r="H3494" s="331"/>
      <c r="I3494" s="414"/>
      <c r="J3494" s="331"/>
      <c r="K3494" s="414">
        <v>19.98</v>
      </c>
      <c r="L3494" s="331">
        <f t="shared" si="100"/>
        <v>0</v>
      </c>
      <c r="M3494" s="331">
        <f t="shared" si="99"/>
        <v>0</v>
      </c>
      <c r="N3494" s="358"/>
    </row>
    <row r="3495" spans="1:14" s="359" customFormat="1" ht="14.25" hidden="1" customHeight="1">
      <c r="A3495" s="336"/>
      <c r="B3495" s="334"/>
      <c r="C3495" s="335" t="s">
        <v>1712</v>
      </c>
      <c r="D3495" s="336" t="s">
        <v>217</v>
      </c>
      <c r="E3495" s="336">
        <v>4.1399999999999996E-3</v>
      </c>
      <c r="F3495" s="331">
        <f>F3489*E3495</f>
        <v>0</v>
      </c>
      <c r="G3495" s="330"/>
      <c r="H3495" s="331"/>
      <c r="I3495" s="414"/>
      <c r="J3495" s="331"/>
      <c r="K3495" s="414">
        <v>42.02</v>
      </c>
      <c r="L3495" s="331">
        <f t="shared" si="100"/>
        <v>0</v>
      </c>
      <c r="M3495" s="331">
        <f t="shared" si="99"/>
        <v>0</v>
      </c>
      <c r="N3495" s="358"/>
    </row>
    <row r="3496" spans="1:14" s="359" customFormat="1" ht="15.75" hidden="1" customHeight="1">
      <c r="A3496" s="336"/>
      <c r="B3496" s="334"/>
      <c r="C3496" s="335" t="s">
        <v>1713</v>
      </c>
      <c r="D3496" s="336" t="s">
        <v>217</v>
      </c>
      <c r="E3496" s="336">
        <v>5.2999999999999998E-4</v>
      </c>
      <c r="F3496" s="331">
        <f>F3489*E3496</f>
        <v>0</v>
      </c>
      <c r="G3496" s="330"/>
      <c r="H3496" s="331"/>
      <c r="I3496" s="414"/>
      <c r="J3496" s="331"/>
      <c r="K3496" s="414">
        <v>26.4</v>
      </c>
      <c r="L3496" s="331">
        <f t="shared" si="100"/>
        <v>0</v>
      </c>
      <c r="M3496" s="331">
        <f t="shared" si="99"/>
        <v>0</v>
      </c>
      <c r="N3496" s="358"/>
    </row>
    <row r="3497" spans="1:14" s="359" customFormat="1" hidden="1">
      <c r="A3497" s="336"/>
      <c r="B3497" s="334"/>
      <c r="C3497" s="335" t="s">
        <v>210</v>
      </c>
      <c r="D3497" s="336"/>
      <c r="E3497" s="336"/>
      <c r="F3497" s="331"/>
      <c r="G3497" s="330"/>
      <c r="H3497" s="331"/>
      <c r="I3497" s="414"/>
      <c r="J3497" s="331"/>
      <c r="K3497" s="414"/>
      <c r="L3497" s="331"/>
      <c r="M3497" s="331"/>
      <c r="N3497" s="358"/>
    </row>
    <row r="3498" spans="1:14" s="359" customFormat="1" hidden="1">
      <c r="A3498" s="336"/>
      <c r="B3498" s="334"/>
      <c r="C3498" s="335" t="s">
        <v>1714</v>
      </c>
      <c r="D3498" s="336" t="s">
        <v>88</v>
      </c>
      <c r="E3498" s="336">
        <v>0.189</v>
      </c>
      <c r="F3498" s="331">
        <f>F3489*E3498</f>
        <v>0</v>
      </c>
      <c r="G3498" s="330">
        <v>15.7</v>
      </c>
      <c r="H3498" s="331">
        <f>F3498*G3498</f>
        <v>0</v>
      </c>
      <c r="I3498" s="414"/>
      <c r="J3498" s="331"/>
      <c r="K3498" s="414"/>
      <c r="L3498" s="331"/>
      <c r="M3498" s="331">
        <f>H3498+J3498+L3498</f>
        <v>0</v>
      </c>
      <c r="N3498" s="358"/>
    </row>
    <row r="3499" spans="1:14" s="359" customFormat="1" hidden="1">
      <c r="A3499" s="336"/>
      <c r="B3499" s="334"/>
      <c r="C3499" s="335" t="s">
        <v>1715</v>
      </c>
      <c r="D3499" s="336" t="s">
        <v>88</v>
      </c>
      <c r="E3499" s="336">
        <v>1.4999999999999999E-2</v>
      </c>
      <c r="F3499" s="331">
        <f>F3489*E3499</f>
        <v>0</v>
      </c>
      <c r="G3499" s="330">
        <v>16.5</v>
      </c>
      <c r="H3499" s="331">
        <f>F3499*G3499</f>
        <v>0</v>
      </c>
      <c r="I3499" s="414"/>
      <c r="J3499" s="331"/>
      <c r="K3499" s="414"/>
      <c r="L3499" s="331"/>
      <c r="M3499" s="331">
        <f>H3499+J3499+L3499</f>
        <v>0</v>
      </c>
      <c r="N3499" s="358"/>
    </row>
    <row r="3500" spans="1:14" s="359" customFormat="1" hidden="1">
      <c r="A3500" s="342"/>
      <c r="B3500" s="1045"/>
      <c r="C3500" s="551" t="s">
        <v>223</v>
      </c>
      <c r="D3500" s="342" t="s">
        <v>88</v>
      </c>
      <c r="E3500" s="342">
        <v>0.03</v>
      </c>
      <c r="F3500" s="418">
        <f>F3489*E3500</f>
        <v>0</v>
      </c>
      <c r="G3500" s="419">
        <v>4.2</v>
      </c>
      <c r="H3500" s="418">
        <f>F3500*G3500</f>
        <v>0</v>
      </c>
      <c r="I3500" s="895"/>
      <c r="J3500" s="418"/>
      <c r="K3500" s="895"/>
      <c r="L3500" s="418"/>
      <c r="M3500" s="418">
        <f>H3500+J3500+L3500</f>
        <v>0</v>
      </c>
      <c r="N3500" s="358"/>
    </row>
    <row r="3501" spans="1:14" s="464" customFormat="1" ht="27" hidden="1">
      <c r="A3501" s="951">
        <v>7</v>
      </c>
      <c r="B3501" s="952" t="s">
        <v>1640</v>
      </c>
      <c r="C3501" s="936" t="s">
        <v>1749</v>
      </c>
      <c r="D3501" s="952" t="s">
        <v>437</v>
      </c>
      <c r="E3501" s="953"/>
      <c r="F3501" s="456">
        <f>'დეფექტური აქტი'!E878</f>
        <v>0</v>
      </c>
      <c r="G3501" s="954"/>
      <c r="H3501" s="955"/>
      <c r="I3501" s="956"/>
      <c r="J3501" s="955"/>
      <c r="K3501" s="957"/>
      <c r="L3501" s="958"/>
      <c r="M3501" s="959"/>
    </row>
    <row r="3502" spans="1:14" s="464" customFormat="1" hidden="1">
      <c r="A3502" s="969"/>
      <c r="B3502" s="981" t="s">
        <v>1641</v>
      </c>
      <c r="C3502" s="934" t="s">
        <v>1627</v>
      </c>
      <c r="D3502" s="981" t="s">
        <v>80</v>
      </c>
      <c r="E3502" s="971">
        <v>3.78</v>
      </c>
      <c r="F3502" s="976">
        <f>F3501*E3502</f>
        <v>0</v>
      </c>
      <c r="G3502" s="973"/>
      <c r="H3502" s="982">
        <f>F3502*G3502</f>
        <v>0</v>
      </c>
      <c r="I3502" s="974">
        <v>4.5999999999999996</v>
      </c>
      <c r="J3502" s="984">
        <f>F3502*I3502</f>
        <v>0</v>
      </c>
      <c r="K3502" s="975"/>
      <c r="L3502" s="972"/>
      <c r="M3502" s="983">
        <f>H3502+J3502+L3502</f>
        <v>0</v>
      </c>
      <c r="N3502" s="336"/>
    </row>
    <row r="3503" spans="1:14" s="464" customFormat="1" hidden="1">
      <c r="A3503" s="969"/>
      <c r="B3503" s="970"/>
      <c r="C3503" s="934" t="s">
        <v>1628</v>
      </c>
      <c r="D3503" s="970" t="s">
        <v>57</v>
      </c>
      <c r="E3503" s="971">
        <v>0.92</v>
      </c>
      <c r="F3503" s="972">
        <f>F3501*E3503</f>
        <v>0</v>
      </c>
      <c r="G3503" s="973"/>
      <c r="H3503" s="982"/>
      <c r="I3503" s="974"/>
      <c r="J3503" s="965"/>
      <c r="K3503" s="975">
        <v>3.2</v>
      </c>
      <c r="L3503" s="972">
        <f>F3503*K3503</f>
        <v>0</v>
      </c>
      <c r="M3503" s="983">
        <f t="shared" ref="M3503:M3508" si="101">H3503+J3503+L3503</f>
        <v>0</v>
      </c>
      <c r="N3503" s="336"/>
    </row>
    <row r="3504" spans="1:14" s="464" customFormat="1" hidden="1">
      <c r="A3504" s="969"/>
      <c r="B3504" s="970"/>
      <c r="C3504" s="934" t="s">
        <v>1629</v>
      </c>
      <c r="D3504" s="970" t="s">
        <v>437</v>
      </c>
      <c r="E3504" s="971">
        <v>1.0149999999999999</v>
      </c>
      <c r="F3504" s="976">
        <f>F3501*E3504</f>
        <v>0</v>
      </c>
      <c r="G3504" s="974">
        <v>104</v>
      </c>
      <c r="H3504" s="982">
        <f>F3504*G3504</f>
        <v>0</v>
      </c>
      <c r="I3504" s="974"/>
      <c r="J3504" s="965">
        <f>F3504*I3504</f>
        <v>0</v>
      </c>
      <c r="K3504" s="975"/>
      <c r="L3504" s="972"/>
      <c r="M3504" s="983">
        <f t="shared" si="101"/>
        <v>0</v>
      </c>
      <c r="N3504" s="336"/>
    </row>
    <row r="3505" spans="1:14" s="464" customFormat="1" hidden="1">
      <c r="A3505" s="969"/>
      <c r="B3505" s="970"/>
      <c r="C3505" s="934" t="s">
        <v>301</v>
      </c>
      <c r="D3505" s="970" t="s">
        <v>112</v>
      </c>
      <c r="E3505" s="971">
        <v>0.70299999999999996</v>
      </c>
      <c r="F3505" s="976">
        <f>F3501*E3505</f>
        <v>0</v>
      </c>
      <c r="G3505" s="974">
        <v>10.5</v>
      </c>
      <c r="H3505" s="982">
        <f>F3505*G3505</f>
        <v>0</v>
      </c>
      <c r="I3505" s="974"/>
      <c r="J3505" s="965">
        <f>F3505*I3505</f>
        <v>0</v>
      </c>
      <c r="K3505" s="975"/>
      <c r="L3505" s="972"/>
      <c r="M3505" s="983">
        <f t="shared" si="101"/>
        <v>0</v>
      </c>
      <c r="N3505" s="336"/>
    </row>
    <row r="3506" spans="1:14" s="464" customFormat="1" hidden="1">
      <c r="A3506" s="969"/>
      <c r="B3506" s="970"/>
      <c r="C3506" s="934" t="s">
        <v>1630</v>
      </c>
      <c r="D3506" s="970" t="s">
        <v>437</v>
      </c>
      <c r="E3506" s="971">
        <v>1.14E-2</v>
      </c>
      <c r="F3506" s="976">
        <f>F3501*E3506</f>
        <v>0</v>
      </c>
      <c r="G3506" s="974">
        <v>403</v>
      </c>
      <c r="H3506" s="982">
        <f>F3506*G3506</f>
        <v>0</v>
      </c>
      <c r="I3506" s="974"/>
      <c r="J3506" s="965">
        <f>F3506*I3506</f>
        <v>0</v>
      </c>
      <c r="K3506" s="975"/>
      <c r="L3506" s="972"/>
      <c r="M3506" s="983">
        <f t="shared" si="101"/>
        <v>0</v>
      </c>
      <c r="N3506" s="336"/>
    </row>
    <row r="3507" spans="1:14" s="464" customFormat="1" hidden="1">
      <c r="A3507" s="969"/>
      <c r="B3507" s="970"/>
      <c r="C3507" s="934" t="s">
        <v>1618</v>
      </c>
      <c r="D3507" s="970" t="s">
        <v>114</v>
      </c>
      <c r="E3507" s="971"/>
      <c r="F3507" s="456">
        <f>'დეფექტური აქტი'!E879</f>
        <v>0</v>
      </c>
      <c r="G3507" s="974">
        <v>1019</v>
      </c>
      <c r="H3507" s="982">
        <f>F3507*G3507</f>
        <v>0</v>
      </c>
      <c r="I3507" s="974"/>
      <c r="J3507" s="965">
        <f>F3507*I3507</f>
        <v>0</v>
      </c>
      <c r="K3507" s="975"/>
      <c r="L3507" s="972"/>
      <c r="M3507" s="983">
        <f t="shared" si="101"/>
        <v>0</v>
      </c>
      <c r="N3507" s="336"/>
    </row>
    <row r="3508" spans="1:14" s="464" customFormat="1" hidden="1">
      <c r="A3508" s="960"/>
      <c r="B3508" s="978"/>
      <c r="C3508" s="938" t="s">
        <v>1631</v>
      </c>
      <c r="D3508" s="978" t="s">
        <v>57</v>
      </c>
      <c r="E3508" s="961">
        <v>0.6</v>
      </c>
      <c r="F3508" s="962">
        <f>F3501*E3508</f>
        <v>0</v>
      </c>
      <c r="G3508" s="979">
        <v>3.2</v>
      </c>
      <c r="H3508" s="968">
        <f>F3508*G3508</f>
        <v>0</v>
      </c>
      <c r="I3508" s="979"/>
      <c r="J3508" s="980">
        <f>F3508*I3508</f>
        <v>0</v>
      </c>
      <c r="K3508" s="966"/>
      <c r="L3508" s="962"/>
      <c r="M3508" s="967">
        <f t="shared" si="101"/>
        <v>0</v>
      </c>
      <c r="N3508" s="336"/>
    </row>
    <row r="3509" spans="1:14" s="464" customFormat="1" ht="54" hidden="1">
      <c r="A3509" s="951">
        <v>9</v>
      </c>
      <c r="B3509" s="544" t="s">
        <v>1649</v>
      </c>
      <c r="C3509" s="932" t="s">
        <v>1753</v>
      </c>
      <c r="D3509" s="952" t="s">
        <v>112</v>
      </c>
      <c r="E3509" s="953"/>
      <c r="F3509" s="456">
        <f>'დეფექტური აქტი'!E880</f>
        <v>0</v>
      </c>
      <c r="G3509" s="954"/>
      <c r="H3509" s="955"/>
      <c r="I3509" s="956"/>
      <c r="J3509" s="955"/>
      <c r="K3509" s="957"/>
      <c r="L3509" s="958"/>
      <c r="M3509" s="959"/>
    </row>
    <row r="3510" spans="1:14" s="464" customFormat="1" hidden="1">
      <c r="A3510" s="969"/>
      <c r="B3510" s="981"/>
      <c r="C3510" s="934" t="s">
        <v>1627</v>
      </c>
      <c r="D3510" s="981" t="s">
        <v>80</v>
      </c>
      <c r="E3510" s="971">
        <v>3.78E-2</v>
      </c>
      <c r="F3510" s="976">
        <f>F3509*E3510</f>
        <v>0</v>
      </c>
      <c r="G3510" s="973"/>
      <c r="H3510" s="982">
        <f>F3510*G3510</f>
        <v>0</v>
      </c>
      <c r="I3510" s="974">
        <v>6</v>
      </c>
      <c r="J3510" s="984">
        <f>F3510*I3510</f>
        <v>0</v>
      </c>
      <c r="K3510" s="975"/>
      <c r="L3510" s="972"/>
      <c r="M3510" s="983">
        <f t="shared" ref="M3510:M3515" si="102">H3510+J3510+L3510</f>
        <v>0</v>
      </c>
    </row>
    <row r="3511" spans="1:14" s="464" customFormat="1" hidden="1">
      <c r="A3511" s="969"/>
      <c r="B3511" s="970"/>
      <c r="C3511" s="934" t="s">
        <v>1643</v>
      </c>
      <c r="D3511" s="970" t="s">
        <v>1634</v>
      </c>
      <c r="E3511" s="971">
        <v>3.2399999999999998E-3</v>
      </c>
      <c r="F3511" s="976">
        <f>F3509*E3511</f>
        <v>0</v>
      </c>
      <c r="G3511" s="973"/>
      <c r="H3511" s="982"/>
      <c r="I3511" s="974"/>
      <c r="J3511" s="965"/>
      <c r="K3511" s="975">
        <v>25.16</v>
      </c>
      <c r="L3511" s="972">
        <f>F3511*K3511</f>
        <v>0</v>
      </c>
      <c r="M3511" s="983">
        <f t="shared" si="102"/>
        <v>0</v>
      </c>
    </row>
    <row r="3512" spans="1:14" s="464" customFormat="1" hidden="1">
      <c r="A3512" s="969"/>
      <c r="B3512" s="970"/>
      <c r="C3512" s="934" t="s">
        <v>1646</v>
      </c>
      <c r="D3512" s="970" t="s">
        <v>1634</v>
      </c>
      <c r="E3512" s="971">
        <v>1.01E-2</v>
      </c>
      <c r="F3512" s="976">
        <f>F3509*E3512</f>
        <v>0</v>
      </c>
      <c r="G3512" s="973"/>
      <c r="H3512" s="982"/>
      <c r="I3512" s="974"/>
      <c r="J3512" s="965"/>
      <c r="K3512" s="975">
        <v>16.91</v>
      </c>
      <c r="L3512" s="972">
        <f>F3512*K3512</f>
        <v>0</v>
      </c>
      <c r="M3512" s="983">
        <f t="shared" si="102"/>
        <v>0</v>
      </c>
    </row>
    <row r="3513" spans="1:14" s="464" customFormat="1" hidden="1">
      <c r="A3513" s="969"/>
      <c r="B3513" s="970"/>
      <c r="C3513" s="934" t="s">
        <v>1650</v>
      </c>
      <c r="D3513" s="811" t="s">
        <v>57</v>
      </c>
      <c r="E3513" s="971">
        <v>2.8999999999999998E-3</v>
      </c>
      <c r="F3513" s="976">
        <f>F3509*E3513</f>
        <v>0</v>
      </c>
      <c r="G3513" s="973"/>
      <c r="H3513" s="982"/>
      <c r="I3513" s="974"/>
      <c r="J3513" s="965"/>
      <c r="K3513" s="975"/>
      <c r="L3513" s="972">
        <f>F3513*K3513</f>
        <v>0</v>
      </c>
      <c r="M3513" s="983">
        <f t="shared" si="102"/>
        <v>0</v>
      </c>
    </row>
    <row r="3514" spans="1:14" s="464" customFormat="1" hidden="1">
      <c r="A3514" s="969"/>
      <c r="B3514" s="998"/>
      <c r="C3514" s="934" t="s">
        <v>1651</v>
      </c>
      <c r="D3514" s="970" t="s">
        <v>437</v>
      </c>
      <c r="E3514" s="1095">
        <v>7.2999999999999995E-2</v>
      </c>
      <c r="F3514" s="976">
        <f>F3509*E3514</f>
        <v>0</v>
      </c>
      <c r="G3514" s="974">
        <v>104</v>
      </c>
      <c r="H3514" s="999">
        <f>F3514*G3514</f>
        <v>0</v>
      </c>
      <c r="I3514" s="994"/>
      <c r="J3514" s="965"/>
      <c r="K3514" s="975"/>
      <c r="L3514" s="972"/>
      <c r="M3514" s="983">
        <f t="shared" si="102"/>
        <v>0</v>
      </c>
    </row>
    <row r="3515" spans="1:14" s="464" customFormat="1" hidden="1">
      <c r="A3515" s="1000"/>
      <c r="B3515" s="1001"/>
      <c r="C3515" s="1002" t="s">
        <v>1631</v>
      </c>
      <c r="D3515" s="1001" t="s">
        <v>57</v>
      </c>
      <c r="E3515" s="1003">
        <v>5.3400000000000003E-2</v>
      </c>
      <c r="F3515" s="1003">
        <f>F3510*E3515</f>
        <v>0</v>
      </c>
      <c r="G3515" s="1004">
        <v>3.2</v>
      </c>
      <c r="H3515" s="968">
        <f>F3515*G3515</f>
        <v>0</v>
      </c>
      <c r="I3515" s="1005"/>
      <c r="J3515" s="1006"/>
      <c r="K3515" s="1007"/>
      <c r="L3515" s="1003"/>
      <c r="M3515" s="967">
        <f t="shared" si="102"/>
        <v>0</v>
      </c>
    </row>
    <row r="3516" spans="1:14" s="464" customFormat="1" ht="108" hidden="1">
      <c r="A3516" s="986">
        <v>5</v>
      </c>
      <c r="B3516" s="987" t="s">
        <v>1632</v>
      </c>
      <c r="C3516" s="936" t="s">
        <v>1752</v>
      </c>
      <c r="D3516" s="987" t="s">
        <v>114</v>
      </c>
      <c r="E3516" s="988"/>
      <c r="F3516" s="456">
        <f>'დეფექტური აქტი'!E881</f>
        <v>0</v>
      </c>
      <c r="G3516" s="954"/>
      <c r="H3516" s="955"/>
      <c r="I3516" s="956"/>
      <c r="J3516" s="955"/>
      <c r="K3516" s="957"/>
      <c r="L3516" s="958"/>
      <c r="M3516" s="959"/>
    </row>
    <row r="3517" spans="1:14" s="464" customFormat="1" hidden="1">
      <c r="A3517" s="969"/>
      <c r="B3517" s="981"/>
      <c r="C3517" s="934" t="s">
        <v>1627</v>
      </c>
      <c r="D3517" s="981" t="s">
        <v>80</v>
      </c>
      <c r="E3517" s="971">
        <v>53.8</v>
      </c>
      <c r="F3517" s="976">
        <f>F3516*E3517</f>
        <v>0</v>
      </c>
      <c r="G3517" s="973"/>
      <c r="H3517" s="982">
        <f>F3517*G3517</f>
        <v>0</v>
      </c>
      <c r="I3517" s="983">
        <v>4.5999999999999996</v>
      </c>
      <c r="J3517" s="984">
        <f>F3517*I3517</f>
        <v>0</v>
      </c>
      <c r="K3517" s="975"/>
      <c r="L3517" s="972"/>
      <c r="M3517" s="983">
        <f t="shared" ref="M3517:M3522" si="103">H3517+J3517+L3517</f>
        <v>0</v>
      </c>
    </row>
    <row r="3518" spans="1:14" s="464" customFormat="1" hidden="1">
      <c r="A3518" s="969"/>
      <c r="B3518" s="970"/>
      <c r="C3518" s="934" t="s">
        <v>1628</v>
      </c>
      <c r="D3518" s="970" t="s">
        <v>57</v>
      </c>
      <c r="E3518" s="971">
        <v>18.399999999999999</v>
      </c>
      <c r="F3518" s="976">
        <f>F3516*E3518</f>
        <v>0</v>
      </c>
      <c r="G3518" s="973"/>
      <c r="H3518" s="982"/>
      <c r="I3518" s="974"/>
      <c r="J3518" s="965"/>
      <c r="K3518" s="975">
        <v>3.2</v>
      </c>
      <c r="L3518" s="972">
        <f>F3518*K3518</f>
        <v>0</v>
      </c>
      <c r="M3518" s="983">
        <f t="shared" si="103"/>
        <v>0</v>
      </c>
    </row>
    <row r="3519" spans="1:14" s="464" customFormat="1" hidden="1">
      <c r="A3519" s="989"/>
      <c r="B3519" s="830"/>
      <c r="C3519" s="990" t="s">
        <v>1633</v>
      </c>
      <c r="D3519" s="830" t="s">
        <v>1634</v>
      </c>
      <c r="E3519" s="971">
        <v>0.35</v>
      </c>
      <c r="F3519" s="976">
        <f>F3516*E3519</f>
        <v>0</v>
      </c>
      <c r="G3519" s="973"/>
      <c r="H3519" s="982"/>
      <c r="I3519" s="974"/>
      <c r="J3519" s="965"/>
      <c r="K3519" s="975">
        <v>27.39</v>
      </c>
      <c r="L3519" s="972">
        <f>F3519*K3519</f>
        <v>0</v>
      </c>
      <c r="M3519" s="983">
        <f t="shared" si="103"/>
        <v>0</v>
      </c>
    </row>
    <row r="3520" spans="1:14" s="464" customFormat="1" hidden="1">
      <c r="A3520" s="989"/>
      <c r="B3520" s="830"/>
      <c r="C3520" s="990" t="s">
        <v>1635</v>
      </c>
      <c r="D3520" s="830" t="s">
        <v>114</v>
      </c>
      <c r="E3520" s="971">
        <v>1</v>
      </c>
      <c r="F3520" s="976">
        <f>F3516*E3520</f>
        <v>0</v>
      </c>
      <c r="G3520" s="974">
        <v>2140</v>
      </c>
      <c r="H3520" s="991">
        <f>F3520*G3520</f>
        <v>0</v>
      </c>
      <c r="I3520" s="992"/>
      <c r="J3520" s="992"/>
      <c r="K3520" s="993"/>
      <c r="L3520" s="972"/>
      <c r="M3520" s="983">
        <f t="shared" si="103"/>
        <v>0</v>
      </c>
    </row>
    <row r="3521" spans="1:13" s="464" customFormat="1" hidden="1">
      <c r="A3521" s="989"/>
      <c r="B3521" s="830"/>
      <c r="C3521" s="990" t="s">
        <v>307</v>
      </c>
      <c r="D3521" s="830" t="s">
        <v>97</v>
      </c>
      <c r="E3521" s="971">
        <v>24.4</v>
      </c>
      <c r="F3521" s="976">
        <f>F3516*E3521</f>
        <v>0</v>
      </c>
      <c r="G3521" s="974">
        <v>2.7</v>
      </c>
      <c r="H3521" s="991">
        <f>F3521*G3521</f>
        <v>0</v>
      </c>
      <c r="I3521" s="994"/>
      <c r="J3521" s="831"/>
      <c r="K3521" s="975"/>
      <c r="L3521" s="972"/>
      <c r="M3521" s="983">
        <f t="shared" si="103"/>
        <v>0</v>
      </c>
    </row>
    <row r="3522" spans="1:13" s="464" customFormat="1" hidden="1">
      <c r="A3522" s="960"/>
      <c r="B3522" s="978"/>
      <c r="C3522" s="938" t="s">
        <v>1631</v>
      </c>
      <c r="D3522" s="978" t="s">
        <v>57</v>
      </c>
      <c r="E3522" s="961">
        <v>2.78</v>
      </c>
      <c r="F3522" s="962">
        <f>F3516*E3522</f>
        <v>0</v>
      </c>
      <c r="G3522" s="979">
        <v>3.2</v>
      </c>
      <c r="H3522" s="995">
        <f>F3522*G3522</f>
        <v>0</v>
      </c>
      <c r="I3522" s="996"/>
      <c r="J3522" s="997"/>
      <c r="K3522" s="966"/>
      <c r="L3522" s="962"/>
      <c r="M3522" s="967">
        <f t="shared" si="103"/>
        <v>0</v>
      </c>
    </row>
    <row r="3523" spans="1:13" s="464" customFormat="1" hidden="1">
      <c r="A3523" s="969">
        <v>6</v>
      </c>
      <c r="B3523" s="970" t="s">
        <v>1636</v>
      </c>
      <c r="C3523" s="934" t="s">
        <v>1637</v>
      </c>
      <c r="D3523" s="970" t="s">
        <v>114</v>
      </c>
      <c r="E3523" s="971"/>
      <c r="F3523" s="456">
        <f>'დეფექტური აქტი'!E882</f>
        <v>0</v>
      </c>
      <c r="G3523" s="973"/>
      <c r="H3523" s="982"/>
      <c r="I3523" s="974"/>
      <c r="J3523" s="965"/>
      <c r="K3523" s="975"/>
      <c r="L3523" s="972"/>
      <c r="M3523" s="977"/>
    </row>
    <row r="3524" spans="1:13" s="464" customFormat="1" hidden="1">
      <c r="A3524" s="969"/>
      <c r="B3524" s="981" t="s">
        <v>1638</v>
      </c>
      <c r="C3524" s="934" t="s">
        <v>1627</v>
      </c>
      <c r="D3524" s="981" t="s">
        <v>80</v>
      </c>
      <c r="E3524" s="971">
        <v>210</v>
      </c>
      <c r="F3524" s="976">
        <f>F3523*E3524</f>
        <v>0</v>
      </c>
      <c r="G3524" s="973"/>
      <c r="H3524" s="982">
        <f>F3524*G3524</f>
        <v>0</v>
      </c>
      <c r="I3524" s="983">
        <v>4.5999999999999996</v>
      </c>
      <c r="J3524" s="984">
        <f>F3524*I3524</f>
        <v>0</v>
      </c>
      <c r="K3524" s="975"/>
      <c r="L3524" s="972"/>
      <c r="M3524" s="983">
        <f>H3524+J3524+L3524</f>
        <v>0</v>
      </c>
    </row>
    <row r="3525" spans="1:13" s="464" customFormat="1" hidden="1">
      <c r="A3525" s="969"/>
      <c r="B3525" s="970"/>
      <c r="C3525" s="934" t="s">
        <v>1628</v>
      </c>
      <c r="D3525" s="970" t="s">
        <v>57</v>
      </c>
      <c r="E3525" s="971">
        <v>1.4</v>
      </c>
      <c r="F3525" s="976">
        <f>F3523*E3525</f>
        <v>0</v>
      </c>
      <c r="G3525" s="973"/>
      <c r="H3525" s="982"/>
      <c r="I3525" s="974"/>
      <c r="J3525" s="965"/>
      <c r="K3525" s="975">
        <v>3.2</v>
      </c>
      <c r="L3525" s="972">
        <f>F3525*K3525</f>
        <v>0</v>
      </c>
      <c r="M3525" s="983">
        <f>H3525+J3525+L3525</f>
        <v>0</v>
      </c>
    </row>
    <row r="3526" spans="1:13" s="464" customFormat="1" hidden="1">
      <c r="A3526" s="969"/>
      <c r="B3526" s="970"/>
      <c r="C3526" s="934" t="s">
        <v>1639</v>
      </c>
      <c r="D3526" s="970" t="s">
        <v>114</v>
      </c>
      <c r="E3526" s="971">
        <v>1</v>
      </c>
      <c r="F3526" s="976">
        <f>F3523*E3526</f>
        <v>0</v>
      </c>
      <c r="G3526" s="973">
        <v>1620</v>
      </c>
      <c r="H3526" s="991">
        <f>F3526*G3526</f>
        <v>0</v>
      </c>
      <c r="I3526" s="974"/>
      <c r="J3526" s="965">
        <f>F3526*I3526</f>
        <v>0</v>
      </c>
      <c r="K3526" s="975"/>
      <c r="L3526" s="972"/>
      <c r="M3526" s="983">
        <f>H3526+J3526+L3526</f>
        <v>0</v>
      </c>
    </row>
    <row r="3527" spans="1:13" s="464" customFormat="1" hidden="1">
      <c r="A3527" s="960"/>
      <c r="B3527" s="978"/>
      <c r="C3527" s="938" t="s">
        <v>1631</v>
      </c>
      <c r="D3527" s="978" t="s">
        <v>57</v>
      </c>
      <c r="E3527" s="961">
        <v>2</v>
      </c>
      <c r="F3527" s="962">
        <f>F3523*E3527</f>
        <v>0</v>
      </c>
      <c r="G3527" s="963">
        <v>3.2</v>
      </c>
      <c r="H3527" s="968">
        <f>F3527*G3527</f>
        <v>0</v>
      </c>
      <c r="I3527" s="979"/>
      <c r="J3527" s="968">
        <f>F3527*I3527</f>
        <v>0</v>
      </c>
      <c r="K3527" s="966"/>
      <c r="L3527" s="961"/>
      <c r="M3527" s="967">
        <f>H3527+J3527+L3527</f>
        <v>0</v>
      </c>
    </row>
    <row r="3528" spans="1:13" s="464" customFormat="1" ht="94.5" hidden="1">
      <c r="A3528" s="986">
        <v>10</v>
      </c>
      <c r="B3528" s="987" t="s">
        <v>1652</v>
      </c>
      <c r="C3528" s="939" t="s">
        <v>1716</v>
      </c>
      <c r="D3528" s="987" t="s">
        <v>112</v>
      </c>
      <c r="E3528" s="988"/>
      <c r="F3528" s="456">
        <f>'დეფექტური აქტი'!E884</f>
        <v>0</v>
      </c>
      <c r="G3528" s="954"/>
      <c r="H3528" s="955"/>
      <c r="I3528" s="956"/>
      <c r="J3528" s="955"/>
      <c r="K3528" s="957"/>
      <c r="L3528" s="958"/>
      <c r="M3528" s="959"/>
    </row>
    <row r="3529" spans="1:13" s="464" customFormat="1" hidden="1">
      <c r="A3529" s="969"/>
      <c r="B3529" s="981"/>
      <c r="C3529" s="934" t="s">
        <v>1627</v>
      </c>
      <c r="D3529" s="981" t="s">
        <v>80</v>
      </c>
      <c r="E3529" s="971">
        <v>1.1499999999999999</v>
      </c>
      <c r="F3529" s="976">
        <f>F3528*E3529</f>
        <v>0</v>
      </c>
      <c r="G3529" s="973"/>
      <c r="H3529" s="982">
        <f>F3529*G3529</f>
        <v>0</v>
      </c>
      <c r="I3529" s="974">
        <v>4.5999999999999996</v>
      </c>
      <c r="J3529" s="984">
        <f>F3529*I3529</f>
        <v>0</v>
      </c>
      <c r="K3529" s="975"/>
      <c r="L3529" s="972"/>
      <c r="M3529" s="983">
        <f>H3529+J3529+L3529</f>
        <v>0</v>
      </c>
    </row>
    <row r="3530" spans="1:13" s="464" customFormat="1" hidden="1">
      <c r="A3530" s="969"/>
      <c r="B3530" s="970"/>
      <c r="C3530" s="934" t="s">
        <v>1628</v>
      </c>
      <c r="D3530" s="970" t="s">
        <v>57</v>
      </c>
      <c r="E3530" s="971">
        <v>0.1174</v>
      </c>
      <c r="F3530" s="976">
        <f>F3528*E3530</f>
        <v>0</v>
      </c>
      <c r="G3530" s="973"/>
      <c r="H3530" s="982"/>
      <c r="I3530" s="974"/>
      <c r="J3530" s="965"/>
      <c r="K3530" s="975">
        <v>3.2</v>
      </c>
      <c r="L3530" s="972">
        <f>F3530*K3530</f>
        <v>0</v>
      </c>
      <c r="M3530" s="983">
        <f t="shared" ref="M3530:M3536" si="104">H3530+J3530+L3530</f>
        <v>0</v>
      </c>
    </row>
    <row r="3531" spans="1:13" s="464" customFormat="1" hidden="1">
      <c r="A3531" s="989"/>
      <c r="B3531" s="830"/>
      <c r="C3531" s="990" t="s">
        <v>1653</v>
      </c>
      <c r="D3531" s="830" t="s">
        <v>1634</v>
      </c>
      <c r="E3531" s="971">
        <v>1.2500000000000001E-2</v>
      </c>
      <c r="F3531" s="976">
        <f>F3528*E3531</f>
        <v>0</v>
      </c>
      <c r="G3531" s="973"/>
      <c r="H3531" s="982"/>
      <c r="I3531" s="974"/>
      <c r="J3531" s="965"/>
      <c r="K3531" s="975">
        <v>13.53</v>
      </c>
      <c r="L3531" s="972">
        <f>F3531*K3531</f>
        <v>0</v>
      </c>
      <c r="M3531" s="983">
        <f t="shared" si="104"/>
        <v>0</v>
      </c>
    </row>
    <row r="3532" spans="1:13" s="464" customFormat="1" hidden="1">
      <c r="A3532" s="989"/>
      <c r="B3532" s="830"/>
      <c r="C3532" s="990" t="s">
        <v>1654</v>
      </c>
      <c r="D3532" s="830" t="s">
        <v>124</v>
      </c>
      <c r="E3532" s="971"/>
      <c r="F3532" s="455">
        <f>'დეფექტური აქტი'!E886</f>
        <v>0</v>
      </c>
      <c r="G3532" s="1008">
        <v>2.97</v>
      </c>
      <c r="H3532" s="999">
        <f t="shared" ref="H3532:H3537" si="105">F3532*G3532</f>
        <v>0</v>
      </c>
      <c r="I3532" s="1008"/>
      <c r="J3532" s="965"/>
      <c r="K3532" s="975"/>
      <c r="L3532" s="972"/>
      <c r="M3532" s="983">
        <f t="shared" si="104"/>
        <v>0</v>
      </c>
    </row>
    <row r="3533" spans="1:13" s="464" customFormat="1" ht="27" hidden="1">
      <c r="A3533" s="986"/>
      <c r="B3533" s="987"/>
      <c r="C3533" s="939" t="s">
        <v>1655</v>
      </c>
      <c r="D3533" s="987" t="s">
        <v>124</v>
      </c>
      <c r="E3533" s="953"/>
      <c r="F3533" s="455">
        <f>'დეფექტური აქტი'!E885</f>
        <v>0</v>
      </c>
      <c r="G3533" s="1010">
        <v>1</v>
      </c>
      <c r="H3533" s="999">
        <f t="shared" si="105"/>
        <v>0</v>
      </c>
      <c r="I3533" s="1010"/>
      <c r="J3533" s="955"/>
      <c r="K3533" s="957"/>
      <c r="L3533" s="958"/>
      <c r="M3533" s="983">
        <f t="shared" si="104"/>
        <v>0</v>
      </c>
    </row>
    <row r="3534" spans="1:13" s="464" customFormat="1" ht="54" hidden="1">
      <c r="A3534" s="986"/>
      <c r="B3534" s="987"/>
      <c r="C3534" s="939" t="s">
        <v>1717</v>
      </c>
      <c r="D3534" s="987" t="s">
        <v>112</v>
      </c>
      <c r="E3534" s="953"/>
      <c r="F3534" s="1009">
        <f>F3528</f>
        <v>0</v>
      </c>
      <c r="G3534" s="1010">
        <v>14</v>
      </c>
      <c r="H3534" s="1038">
        <f t="shared" si="105"/>
        <v>0</v>
      </c>
      <c r="I3534" s="1010"/>
      <c r="J3534" s="955"/>
      <c r="K3534" s="957"/>
      <c r="L3534" s="958"/>
      <c r="M3534" s="983">
        <f t="shared" si="104"/>
        <v>0</v>
      </c>
    </row>
    <row r="3535" spans="1:13" s="464" customFormat="1" hidden="1">
      <c r="A3535" s="989"/>
      <c r="B3535" s="830"/>
      <c r="C3535" s="990" t="s">
        <v>307</v>
      </c>
      <c r="D3535" s="830" t="s">
        <v>97</v>
      </c>
      <c r="E3535" s="971">
        <v>4.1000000000000002E-2</v>
      </c>
      <c r="F3535" s="976">
        <f>F3528*E3535</f>
        <v>0</v>
      </c>
      <c r="G3535" s="1008">
        <v>3.75</v>
      </c>
      <c r="H3535" s="999">
        <f t="shared" si="105"/>
        <v>0</v>
      </c>
      <c r="I3535" s="1008"/>
      <c r="J3535" s="965"/>
      <c r="K3535" s="975"/>
      <c r="L3535" s="972"/>
      <c r="M3535" s="983">
        <f t="shared" si="104"/>
        <v>0</v>
      </c>
    </row>
    <row r="3536" spans="1:13" s="464" customFormat="1" hidden="1">
      <c r="A3536" s="960"/>
      <c r="B3536" s="978"/>
      <c r="C3536" s="938" t="s">
        <v>1631</v>
      </c>
      <c r="D3536" s="978" t="s">
        <v>57</v>
      </c>
      <c r="E3536" s="961">
        <v>2.7799999999999998E-2</v>
      </c>
      <c r="F3536" s="962">
        <f>F3528*E3536</f>
        <v>0</v>
      </c>
      <c r="G3536" s="1011">
        <v>3.2</v>
      </c>
      <c r="H3536" s="999">
        <f t="shared" si="105"/>
        <v>0</v>
      </c>
      <c r="I3536" s="1011"/>
      <c r="J3536" s="980"/>
      <c r="K3536" s="966"/>
      <c r="L3536" s="962"/>
      <c r="M3536" s="967">
        <f t="shared" si="104"/>
        <v>0</v>
      </c>
    </row>
    <row r="3537" spans="1:13" s="464" customFormat="1" ht="27" hidden="1">
      <c r="A3537" s="1012">
        <v>11</v>
      </c>
      <c r="B3537" s="933" t="s">
        <v>99</v>
      </c>
      <c r="C3537" s="936" t="s">
        <v>1619</v>
      </c>
      <c r="D3537" s="933" t="s">
        <v>112</v>
      </c>
      <c r="E3537" s="1013"/>
      <c r="F3537" s="456">
        <f>'დეფექტური აქტი'!E887</f>
        <v>0</v>
      </c>
      <c r="G3537" s="1014">
        <v>14.2</v>
      </c>
      <c r="H3537" s="1015">
        <f t="shared" si="105"/>
        <v>0</v>
      </c>
      <c r="I3537" s="1016">
        <v>2.5</v>
      </c>
      <c r="J3537" s="1015">
        <f>F3537*I3537</f>
        <v>0</v>
      </c>
      <c r="K3537" s="1017"/>
      <c r="L3537" s="1018"/>
      <c r="M3537" s="1019">
        <f>H3537+J3537</f>
        <v>0</v>
      </c>
    </row>
    <row r="3538" spans="1:13" s="464" customFormat="1" ht="27" hidden="1">
      <c r="A3538" s="951">
        <v>13</v>
      </c>
      <c r="B3538" s="952" t="s">
        <v>1656</v>
      </c>
      <c r="C3538" s="932" t="s">
        <v>1620</v>
      </c>
      <c r="D3538" s="952" t="s">
        <v>112</v>
      </c>
      <c r="E3538" s="953"/>
      <c r="F3538" s="456">
        <f>'დეფექტური აქტი'!E888</f>
        <v>0</v>
      </c>
      <c r="G3538" s="954"/>
      <c r="H3538" s="955"/>
      <c r="I3538" s="956"/>
      <c r="J3538" s="955"/>
      <c r="K3538" s="957"/>
      <c r="L3538" s="958"/>
      <c r="M3538" s="959"/>
    </row>
    <row r="3539" spans="1:13" s="464" customFormat="1" hidden="1">
      <c r="A3539" s="969"/>
      <c r="B3539" s="981" t="s">
        <v>325</v>
      </c>
      <c r="C3539" s="934" t="s">
        <v>1657</v>
      </c>
      <c r="D3539" s="981" t="s">
        <v>80</v>
      </c>
      <c r="E3539" s="971">
        <f>68/100</f>
        <v>0.68</v>
      </c>
      <c r="F3539" s="976">
        <f>F3538*E3539</f>
        <v>0</v>
      </c>
      <c r="G3539" s="973"/>
      <c r="H3539" s="982">
        <f>F3539*G3539</f>
        <v>0</v>
      </c>
      <c r="I3539" s="974">
        <v>4.5999999999999996</v>
      </c>
      <c r="J3539" s="984">
        <f>F3539*I3539</f>
        <v>0</v>
      </c>
      <c r="K3539" s="975"/>
      <c r="L3539" s="972"/>
      <c r="M3539" s="983">
        <f t="shared" ref="M3539:M3544" si="106">H3539+J3539+L3539</f>
        <v>0</v>
      </c>
    </row>
    <row r="3540" spans="1:13" s="464" customFormat="1" hidden="1">
      <c r="A3540" s="969"/>
      <c r="B3540" s="970"/>
      <c r="C3540" s="934" t="s">
        <v>1628</v>
      </c>
      <c r="D3540" s="970" t="s">
        <v>57</v>
      </c>
      <c r="E3540" s="971">
        <f>0.03/100</f>
        <v>2.9999999999999997E-4</v>
      </c>
      <c r="F3540" s="976">
        <f>F3538*E3540</f>
        <v>0</v>
      </c>
      <c r="G3540" s="973"/>
      <c r="H3540" s="982"/>
      <c r="I3540" s="974"/>
      <c r="J3540" s="965"/>
      <c r="K3540" s="975">
        <v>3.2</v>
      </c>
      <c r="L3540" s="972">
        <f>F3540*K3540</f>
        <v>0</v>
      </c>
      <c r="M3540" s="983">
        <f t="shared" si="106"/>
        <v>0</v>
      </c>
    </row>
    <row r="3541" spans="1:13" s="464" customFormat="1" hidden="1">
      <c r="A3541" s="969"/>
      <c r="B3541" s="970"/>
      <c r="C3541" s="934" t="s">
        <v>1658</v>
      </c>
      <c r="D3541" s="970" t="s">
        <v>1659</v>
      </c>
      <c r="E3541" s="971">
        <f>24.4/100</f>
        <v>0.24399999999999999</v>
      </c>
      <c r="F3541" s="976">
        <f>F3538*E3541</f>
        <v>0</v>
      </c>
      <c r="G3541" s="1008">
        <v>5</v>
      </c>
      <c r="H3541" s="999">
        <f>F3541*G3541</f>
        <v>0</v>
      </c>
      <c r="I3541" s="1008"/>
      <c r="J3541" s="965">
        <f>F3541*I3541</f>
        <v>0</v>
      </c>
      <c r="K3541" s="975"/>
      <c r="L3541" s="972"/>
      <c r="M3541" s="983">
        <f t="shared" si="106"/>
        <v>0</v>
      </c>
    </row>
    <row r="3542" spans="1:13" s="464" customFormat="1" hidden="1">
      <c r="A3542" s="969"/>
      <c r="B3542" s="970"/>
      <c r="C3542" s="934" t="s">
        <v>1660</v>
      </c>
      <c r="D3542" s="970" t="s">
        <v>1659</v>
      </c>
      <c r="E3542" s="971">
        <f>0.2/100</f>
        <v>2E-3</v>
      </c>
      <c r="F3542" s="976">
        <f>F3538*E3542</f>
        <v>0</v>
      </c>
      <c r="G3542" s="1008">
        <v>11</v>
      </c>
      <c r="H3542" s="999">
        <f>F3542*G3542</f>
        <v>0</v>
      </c>
      <c r="I3542" s="1008"/>
      <c r="J3542" s="965">
        <f>F3542*I3542</f>
        <v>0</v>
      </c>
      <c r="K3542" s="975"/>
      <c r="L3542" s="972"/>
      <c r="M3542" s="983">
        <f t="shared" si="106"/>
        <v>0</v>
      </c>
    </row>
    <row r="3543" spans="1:13" s="464" customFormat="1" hidden="1">
      <c r="A3543" s="969"/>
      <c r="B3543" s="970"/>
      <c r="C3543" s="934" t="s">
        <v>138</v>
      </c>
      <c r="D3543" s="970" t="s">
        <v>1659</v>
      </c>
      <c r="E3543" s="971">
        <f>2.7/100</f>
        <v>2.7000000000000003E-2</v>
      </c>
      <c r="F3543" s="976">
        <f>F3538*E3543</f>
        <v>0</v>
      </c>
      <c r="G3543" s="1008">
        <v>4</v>
      </c>
      <c r="H3543" s="999">
        <f>F3543*G3543</f>
        <v>0</v>
      </c>
      <c r="I3543" s="1008"/>
      <c r="J3543" s="965">
        <f>F3543*I3543</f>
        <v>0</v>
      </c>
      <c r="K3543" s="975"/>
      <c r="L3543" s="972"/>
      <c r="M3543" s="983">
        <f t="shared" si="106"/>
        <v>0</v>
      </c>
    </row>
    <row r="3544" spans="1:13" s="464" customFormat="1" hidden="1">
      <c r="A3544" s="960"/>
      <c r="B3544" s="978"/>
      <c r="C3544" s="938" t="s">
        <v>1631</v>
      </c>
      <c r="D3544" s="978" t="s">
        <v>57</v>
      </c>
      <c r="E3544" s="961">
        <f>0.19/100</f>
        <v>1.9E-3</v>
      </c>
      <c r="F3544" s="962">
        <f>F3538*E3544</f>
        <v>0</v>
      </c>
      <c r="G3544" s="1011">
        <v>3.2</v>
      </c>
      <c r="H3544" s="985">
        <f>F3544*G3544</f>
        <v>0</v>
      </c>
      <c r="I3544" s="1011"/>
      <c r="J3544" s="980">
        <f>F3544*I3544</f>
        <v>0</v>
      </c>
      <c r="K3544" s="966"/>
      <c r="L3544" s="962"/>
      <c r="M3544" s="967">
        <f t="shared" si="106"/>
        <v>0</v>
      </c>
    </row>
    <row r="3545" spans="1:13" s="464" customFormat="1" hidden="1">
      <c r="A3545" s="969">
        <v>14</v>
      </c>
      <c r="B3545" s="970" t="s">
        <v>1661</v>
      </c>
      <c r="C3545" s="934" t="s">
        <v>1621</v>
      </c>
      <c r="D3545" s="970" t="s">
        <v>437</v>
      </c>
      <c r="E3545" s="971"/>
      <c r="F3545" s="456">
        <f>'დეფექტური აქტი'!E889</f>
        <v>0</v>
      </c>
      <c r="G3545" s="973"/>
      <c r="H3545" s="982"/>
      <c r="I3545" s="974"/>
      <c r="J3545" s="965"/>
      <c r="K3545" s="975"/>
      <c r="L3545" s="972"/>
      <c r="M3545" s="977"/>
    </row>
    <row r="3546" spans="1:13" s="464" customFormat="1" hidden="1">
      <c r="A3546" s="969"/>
      <c r="B3546" s="981" t="s">
        <v>1662</v>
      </c>
      <c r="C3546" s="934" t="s">
        <v>1627</v>
      </c>
      <c r="D3546" s="981" t="s">
        <v>80</v>
      </c>
      <c r="E3546" s="971">
        <v>3</v>
      </c>
      <c r="F3546" s="976">
        <f>F3545*E3546</f>
        <v>0</v>
      </c>
      <c r="G3546" s="973"/>
      <c r="H3546" s="982">
        <f>F3546*G3546</f>
        <v>0</v>
      </c>
      <c r="I3546" s="974">
        <v>4.5999999999999996</v>
      </c>
      <c r="J3546" s="984">
        <f>F3546*I3546</f>
        <v>0</v>
      </c>
      <c r="K3546" s="975"/>
      <c r="L3546" s="972"/>
      <c r="M3546" s="983">
        <f>H3546+J3546+L3546</f>
        <v>0</v>
      </c>
    </row>
    <row r="3547" spans="1:13" s="464" customFormat="1" hidden="1">
      <c r="A3547" s="969"/>
      <c r="B3547" s="981"/>
      <c r="C3547" s="934" t="s">
        <v>1663</v>
      </c>
      <c r="D3547" s="981" t="s">
        <v>437</v>
      </c>
      <c r="E3547" s="971">
        <v>1.2</v>
      </c>
      <c r="F3547" s="976">
        <f>F3545*E3547</f>
        <v>0</v>
      </c>
      <c r="G3547" s="973">
        <v>33</v>
      </c>
      <c r="H3547" s="999">
        <f>F3547*G3547</f>
        <v>0</v>
      </c>
      <c r="I3547" s="1008"/>
      <c r="J3547" s="965">
        <f>F3547*I3547</f>
        <v>0</v>
      </c>
      <c r="K3547" s="975"/>
      <c r="L3547" s="972"/>
      <c r="M3547" s="983">
        <f>H3547+J3547+L3547</f>
        <v>0</v>
      </c>
    </row>
    <row r="3548" spans="1:13" s="464" customFormat="1" hidden="1">
      <c r="A3548" s="960"/>
      <c r="B3548" s="978"/>
      <c r="C3548" s="938" t="s">
        <v>1631</v>
      </c>
      <c r="D3548" s="978" t="s">
        <v>57</v>
      </c>
      <c r="E3548" s="961">
        <v>0.01</v>
      </c>
      <c r="F3548" s="962">
        <f>F3545*E3548</f>
        <v>0</v>
      </c>
      <c r="G3548" s="963">
        <v>3.2</v>
      </c>
      <c r="H3548" s="985">
        <f>F3548*G3548</f>
        <v>0</v>
      </c>
      <c r="I3548" s="1011"/>
      <c r="J3548" s="980">
        <f>F3548*I3548</f>
        <v>0</v>
      </c>
      <c r="K3548" s="966"/>
      <c r="L3548" s="962"/>
      <c r="M3548" s="967">
        <f>H3548+J3548+L3548</f>
        <v>0</v>
      </c>
    </row>
    <row r="3549" spans="1:13" s="464" customFormat="1" hidden="1">
      <c r="A3549" s="1020"/>
      <c r="B3549" s="941"/>
      <c r="C3549" s="940" t="s">
        <v>110</v>
      </c>
      <c r="D3549" s="941"/>
      <c r="E3549" s="1021"/>
      <c r="F3549" s="1021"/>
      <c r="G3549" s="1022"/>
      <c r="H3549" s="1023">
        <f>SUM(H3464:H3548)</f>
        <v>0</v>
      </c>
      <c r="I3549" s="1024"/>
      <c r="J3549" s="1025">
        <f>SUM(J3464:J3548)</f>
        <v>0</v>
      </c>
      <c r="K3549" s="1026"/>
      <c r="L3549" s="1021">
        <f>SUM(L3464:L3548)</f>
        <v>0</v>
      </c>
      <c r="M3549" s="1027">
        <f>SUM(M3464:M3548)</f>
        <v>0</v>
      </c>
    </row>
    <row r="3550" spans="1:13" s="464" customFormat="1" hidden="1">
      <c r="A3550" s="1028"/>
      <c r="B3550" s="1029"/>
      <c r="C3550" s="942" t="s">
        <v>554</v>
      </c>
      <c r="D3550" s="943">
        <v>0.1</v>
      </c>
      <c r="E3550" s="1030"/>
      <c r="F3550" s="1030"/>
      <c r="G3550" s="1031"/>
      <c r="H3550" s="1032">
        <f>H3549*D3550</f>
        <v>0</v>
      </c>
      <c r="I3550" s="1033"/>
      <c r="J3550" s="1032">
        <f>J3549*D3550</f>
        <v>0</v>
      </c>
      <c r="K3550" s="1034"/>
      <c r="L3550" s="1030">
        <f>L3549*D3550</f>
        <v>0</v>
      </c>
      <c r="M3550" s="1035">
        <f>SUM(H3550:L3550)</f>
        <v>0</v>
      </c>
    </row>
    <row r="3551" spans="1:13" s="464" customFormat="1" hidden="1">
      <c r="A3551" s="1020"/>
      <c r="B3551" s="941"/>
      <c r="C3551" s="940" t="s">
        <v>110</v>
      </c>
      <c r="D3551" s="944"/>
      <c r="E3551" s="1021"/>
      <c r="F3551" s="1021"/>
      <c r="G3551" s="1022"/>
      <c r="H3551" s="1023">
        <f>H3549+H3550</f>
        <v>0</v>
      </c>
      <c r="I3551" s="1024"/>
      <c r="J3551" s="1025">
        <f>J3549+J3550</f>
        <v>0</v>
      </c>
      <c r="K3551" s="1026"/>
      <c r="L3551" s="1021">
        <f>L3549+L3550</f>
        <v>0</v>
      </c>
      <c r="M3551" s="1027">
        <f>M3549+M3550</f>
        <v>0</v>
      </c>
    </row>
    <row r="3552" spans="1:13" s="464" customFormat="1" hidden="1">
      <c r="A3552" s="1020"/>
      <c r="B3552" s="941"/>
      <c r="C3552" s="945" t="s">
        <v>1623</v>
      </c>
      <c r="D3552" s="946">
        <v>0.08</v>
      </c>
      <c r="E3552" s="1021"/>
      <c r="F3552" s="1021"/>
      <c r="G3552" s="1022"/>
      <c r="H3552" s="1023">
        <f>H3551*D3552</f>
        <v>0</v>
      </c>
      <c r="I3552" s="1024"/>
      <c r="J3552" s="1025">
        <f>J3551*D3552</f>
        <v>0</v>
      </c>
      <c r="K3552" s="1026"/>
      <c r="L3552" s="1021">
        <f>L3551*D3552</f>
        <v>0</v>
      </c>
      <c r="M3552" s="1027">
        <f>SUM(H3552:L3552)</f>
        <v>0</v>
      </c>
    </row>
    <row r="3553" spans="1:14" s="464" customFormat="1" hidden="1">
      <c r="A3553" s="1020"/>
      <c r="B3553" s="941"/>
      <c r="C3553" s="940" t="s">
        <v>1725</v>
      </c>
      <c r="D3553" s="941"/>
      <c r="E3553" s="1021"/>
      <c r="F3553" s="1021"/>
      <c r="G3553" s="1022"/>
      <c r="H3553" s="1023">
        <f>H3551+H3552</f>
        <v>0</v>
      </c>
      <c r="I3553" s="1024"/>
      <c r="J3553" s="1025">
        <f>J3551+J3552</f>
        <v>0</v>
      </c>
      <c r="K3553" s="1026"/>
      <c r="L3553" s="1021">
        <f>L3551+L3552</f>
        <v>0</v>
      </c>
      <c r="M3553" s="1027">
        <f>SUM(H3553:L3553)</f>
        <v>0</v>
      </c>
    </row>
    <row r="3554" spans="1:14" s="1273" customFormat="1">
      <c r="A3554" s="1193"/>
      <c r="B3554" s="1267"/>
      <c r="C3554" s="1268" t="s">
        <v>1878</v>
      </c>
      <c r="D3554" s="1269"/>
      <c r="E3554" s="1270"/>
      <c r="F3554" s="1271"/>
      <c r="G3554" s="1271"/>
      <c r="H3554" s="1271"/>
      <c r="I3554" s="1271"/>
      <c r="J3554" s="1271"/>
      <c r="K3554" s="1271"/>
      <c r="L3554" s="1271"/>
      <c r="M3554" s="1271"/>
      <c r="N3554" s="1272"/>
    </row>
    <row r="3555" spans="1:14">
      <c r="A3555" s="1193"/>
      <c r="B3555" s="81"/>
      <c r="C3555" s="72" t="s">
        <v>428</v>
      </c>
      <c r="D3555" s="124">
        <f>'დეფექტური აქტი'!E899%</f>
        <v>0.05</v>
      </c>
      <c r="E3555" s="13"/>
      <c r="F3555" s="401"/>
      <c r="G3555" s="401"/>
      <c r="H3555" s="401"/>
      <c r="I3555" s="401"/>
      <c r="J3555" s="401"/>
      <c r="K3555" s="401"/>
      <c r="L3555" s="401"/>
      <c r="M3555" s="401"/>
    </row>
    <row r="3556" spans="1:14">
      <c r="A3556" s="1193"/>
      <c r="B3556" s="81"/>
      <c r="C3556" s="114" t="s">
        <v>110</v>
      </c>
      <c r="D3556" s="106"/>
      <c r="E3556" s="13"/>
      <c r="F3556" s="401"/>
      <c r="G3556" s="401"/>
      <c r="H3556" s="1347"/>
      <c r="I3556" s="1347"/>
      <c r="J3556" s="1347"/>
      <c r="K3556" s="1347"/>
      <c r="L3556" s="1347"/>
      <c r="M3556" s="1347"/>
    </row>
    <row r="3557" spans="1:14">
      <c r="A3557" s="1193"/>
      <c r="B3557" s="81"/>
      <c r="C3557" s="72" t="s">
        <v>7</v>
      </c>
      <c r="D3557" s="124">
        <f>'დეფექტური აქტი'!E901%</f>
        <v>0.05</v>
      </c>
      <c r="E3557" s="13"/>
      <c r="F3557" s="401"/>
      <c r="G3557" s="401"/>
      <c r="H3557" s="1347"/>
      <c r="I3557" s="1347"/>
      <c r="J3557" s="1347"/>
      <c r="K3557" s="1347"/>
      <c r="L3557" s="1347"/>
      <c r="M3557" s="1347"/>
    </row>
    <row r="3558" spans="1:14">
      <c r="A3558" s="1193"/>
      <c r="B3558" s="81"/>
      <c r="C3558" s="114" t="s">
        <v>110</v>
      </c>
      <c r="D3558" s="14"/>
      <c r="E3558" s="13"/>
      <c r="F3558" s="401"/>
      <c r="G3558" s="401"/>
      <c r="H3558" s="1347"/>
      <c r="I3558" s="1347"/>
      <c r="J3558" s="1347"/>
      <c r="K3558" s="1347"/>
      <c r="L3558" s="1347"/>
      <c r="M3558" s="1347"/>
    </row>
    <row r="3559" spans="1:14" ht="27" hidden="1">
      <c r="A3559" s="81"/>
      <c r="B3559" s="81"/>
      <c r="C3559" s="102" t="s">
        <v>418</v>
      </c>
      <c r="D3559" s="48" t="s">
        <v>4</v>
      </c>
      <c r="E3559" s="104"/>
      <c r="F3559" s="456">
        <f>'დეფექტური აქტი'!E903</f>
        <v>0</v>
      </c>
      <c r="G3559" s="1037">
        <v>700</v>
      </c>
      <c r="H3559" s="390">
        <f>F3559*G3559</f>
        <v>0</v>
      </c>
      <c r="I3559" s="1037">
        <v>50</v>
      </c>
      <c r="J3559" s="390">
        <f>F3559*I3559</f>
        <v>0</v>
      </c>
      <c r="K3559" s="382"/>
      <c r="L3559" s="382"/>
      <c r="M3559" s="390">
        <f>H3559+J3559+L3559</f>
        <v>0</v>
      </c>
    </row>
    <row r="3560" spans="1:14" hidden="1">
      <c r="A3560" s="81"/>
      <c r="B3560" s="81"/>
      <c r="C3560" s="936" t="s">
        <v>1624</v>
      </c>
      <c r="D3560" s="48" t="s">
        <v>4</v>
      </c>
      <c r="E3560" s="105"/>
      <c r="F3560" s="519">
        <f>'დეფექტური აქტი'!E904</f>
        <v>0</v>
      </c>
      <c r="G3560" s="1036">
        <v>165</v>
      </c>
      <c r="H3560" s="607">
        <f>F3560*G3560</f>
        <v>0</v>
      </c>
      <c r="I3560" s="637">
        <v>30</v>
      </c>
      <c r="J3560" s="607">
        <f>F3560*I3560</f>
        <v>0</v>
      </c>
      <c r="K3560" s="382"/>
      <c r="L3560" s="382"/>
      <c r="M3560" s="607">
        <f>H3560+J3560+L3560</f>
        <v>0</v>
      </c>
    </row>
    <row r="3561" spans="1:14">
      <c r="A3561" s="1193"/>
      <c r="B3561" s="81"/>
      <c r="C3561" s="115" t="s">
        <v>110</v>
      </c>
      <c r="D3561" s="103"/>
      <c r="E3561" s="105"/>
      <c r="F3561" s="409"/>
      <c r="G3561" s="638"/>
      <c r="H3561" s="1348"/>
      <c r="I3561" s="1348"/>
      <c r="J3561" s="1348"/>
      <c r="K3561" s="1348"/>
      <c r="L3561" s="1348"/>
      <c r="M3561" s="1348"/>
    </row>
    <row r="3562" spans="1:14">
      <c r="A3562" s="1193"/>
      <c r="B3562" s="81"/>
      <c r="C3562" s="72" t="s">
        <v>763</v>
      </c>
      <c r="D3562" s="124">
        <f>'დეფექტური აქტი'!E906%</f>
        <v>0.18</v>
      </c>
      <c r="E3562" s="13"/>
      <c r="F3562" s="401"/>
      <c r="G3562" s="401"/>
      <c r="H3562" s="1347"/>
      <c r="I3562" s="1347"/>
      <c r="J3562" s="1347"/>
      <c r="K3562" s="1347"/>
      <c r="L3562" s="1347"/>
      <c r="M3562" s="1347"/>
    </row>
    <row r="3563" spans="1:14">
      <c r="A3563" s="1193"/>
      <c r="B3563" s="81"/>
      <c r="C3563" s="115" t="s">
        <v>110</v>
      </c>
      <c r="D3563" s="14"/>
      <c r="E3563" s="13"/>
      <c r="F3563" s="401"/>
      <c r="G3563" s="401"/>
      <c r="H3563" s="1347"/>
      <c r="I3563" s="1347"/>
      <c r="J3563" s="1347"/>
      <c r="K3563" s="1347"/>
      <c r="L3563" s="1347"/>
      <c r="M3563" s="1347"/>
      <c r="N3563" s="589"/>
    </row>
    <row r="3564" spans="1:14" ht="27" hidden="1">
      <c r="A3564" s="81"/>
      <c r="B3564" s="81"/>
      <c r="C3564" s="485" t="s">
        <v>1559</v>
      </c>
      <c r="D3564" s="360">
        <v>0</v>
      </c>
      <c r="E3564" s="352"/>
      <c r="F3564" s="401"/>
      <c r="G3564" s="401"/>
      <c r="H3564" s="401"/>
      <c r="I3564" s="401"/>
      <c r="J3564" s="401"/>
      <c r="K3564" s="401"/>
      <c r="L3564" s="401"/>
      <c r="M3564" s="401">
        <f>M3563*D3564</f>
        <v>0</v>
      </c>
    </row>
    <row r="3565" spans="1:14">
      <c r="A3565" s="1202"/>
      <c r="B3565" s="351"/>
      <c r="C3565" s="114" t="s">
        <v>111</v>
      </c>
      <c r="D3565" s="97"/>
      <c r="E3565" s="9"/>
      <c r="F3565" s="382"/>
      <c r="G3565" s="639"/>
      <c r="H3565" s="639"/>
      <c r="I3565" s="639"/>
      <c r="J3565" s="639"/>
      <c r="K3565" s="639"/>
      <c r="L3565" s="639"/>
      <c r="M3565" s="1331">
        <f>M3564+M3563</f>
        <v>0</v>
      </c>
    </row>
    <row r="3566" spans="1:14">
      <c r="A3566" s="1203"/>
      <c r="B3566" s="928"/>
      <c r="C3566" s="929"/>
      <c r="D3566" s="930"/>
      <c r="E3566" s="4"/>
      <c r="F3566" s="380"/>
      <c r="G3566" s="594"/>
      <c r="H3566" s="594"/>
      <c r="I3566" s="594"/>
      <c r="J3566" s="594"/>
      <c r="K3566" s="594"/>
      <c r="L3566" s="594"/>
      <c r="M3566" s="592"/>
    </row>
    <row r="3567" spans="1:14" s="64" customFormat="1" hidden="1">
      <c r="A3567" s="59"/>
      <c r="B3567" s="82"/>
      <c r="C3567" s="73"/>
      <c r="D3567" s="59"/>
      <c r="E3567" s="59"/>
      <c r="F3567" s="410"/>
      <c r="G3567" s="640"/>
      <c r="H3567" s="640"/>
      <c r="I3567" s="640"/>
      <c r="J3567" s="640"/>
      <c r="K3567" s="640"/>
      <c r="L3567" s="640"/>
      <c r="M3567" s="640"/>
    </row>
    <row r="3568" spans="1:14" s="64" customFormat="1" hidden="1">
      <c r="A3568" s="59"/>
      <c r="B3568" s="82"/>
      <c r="C3568" s="44"/>
      <c r="D3568" s="59"/>
      <c r="E3568" s="59"/>
      <c r="F3568" s="410"/>
      <c r="G3568" s="640"/>
      <c r="H3568" s="640"/>
      <c r="I3568" s="640"/>
      <c r="J3568" s="640"/>
      <c r="K3568" s="640"/>
      <c r="L3568" s="640"/>
      <c r="M3568" s="640"/>
    </row>
  </sheetData>
  <sheetProtection selectLockedCells="1"/>
  <autoFilter ref="A6:M3568">
    <filterColumn colId="0">
      <colorFilter dxfId="0"/>
    </filterColumn>
  </autoFilter>
  <mergeCells count="395">
    <mergeCell ref="B1905:B1910"/>
    <mergeCell ref="B1912:B1917"/>
    <mergeCell ref="B1924:B1929"/>
    <mergeCell ref="B1534:B1539"/>
    <mergeCell ref="B1560:B1561"/>
    <mergeCell ref="B1562:B1565"/>
    <mergeCell ref="B1918:B1923"/>
    <mergeCell ref="B1567:B1572"/>
    <mergeCell ref="B2291:B2295"/>
    <mergeCell ref="B2208:B2213"/>
    <mergeCell ref="B2139:B2147"/>
    <mergeCell ref="B2500:B2505"/>
    <mergeCell ref="B2372:B2377"/>
    <mergeCell ref="B1466:B1469"/>
    <mergeCell ref="B2272:B2278"/>
    <mergeCell ref="B1230:B1231"/>
    <mergeCell ref="B2320:B2321"/>
    <mergeCell ref="B2322:B2323"/>
    <mergeCell ref="B2280:B2284"/>
    <mergeCell ref="B2296:B2301"/>
    <mergeCell ref="B2168:B2175"/>
    <mergeCell ref="B2191:B2195"/>
    <mergeCell ref="B2220:B2225"/>
    <mergeCell ref="B2393:B2396"/>
    <mergeCell ref="B2419:B2423"/>
    <mergeCell ref="B2364:B2365"/>
    <mergeCell ref="B2327:B2332"/>
    <mergeCell ref="B2353:B2357"/>
    <mergeCell ref="B2424:B2428"/>
    <mergeCell ref="B2347:B2351"/>
    <mergeCell ref="B2476:B2479"/>
    <mergeCell ref="B2254:B2258"/>
    <mergeCell ref="B2259:B2264"/>
    <mergeCell ref="B2227:B2232"/>
    <mergeCell ref="B2265:B2270"/>
    <mergeCell ref="B1267:B1268"/>
    <mergeCell ref="B2242:B2247"/>
    <mergeCell ref="B2248:B2253"/>
    <mergeCell ref="B1522:B1527"/>
    <mergeCell ref="B1483:B1489"/>
    <mergeCell ref="B1573:B1575"/>
    <mergeCell ref="B1576:B1580"/>
    <mergeCell ref="B1638:B1645"/>
    <mergeCell ref="B1510:B1515"/>
    <mergeCell ref="B1516:B1521"/>
    <mergeCell ref="B2233:B2240"/>
    <mergeCell ref="B2214:B2219"/>
    <mergeCell ref="B2101:B2108"/>
    <mergeCell ref="B2111:B2118"/>
    <mergeCell ref="B2031:B2037"/>
    <mergeCell ref="B2150:B2156"/>
    <mergeCell ref="B1968:B1973"/>
    <mergeCell ref="B1998:B2003"/>
    <mergeCell ref="B1891:B1896"/>
    <mergeCell ref="B1897:B1900"/>
    <mergeCell ref="B1901:B1904"/>
    <mergeCell ref="B1280:B1292"/>
    <mergeCell ref="B1341:B1351"/>
    <mergeCell ref="B1326:B1340"/>
    <mergeCell ref="B2333:B2345"/>
    <mergeCell ref="B2307:B2313"/>
    <mergeCell ref="B575:B580"/>
    <mergeCell ref="B938:B943"/>
    <mergeCell ref="B1986:B1991"/>
    <mergeCell ref="B1992:B1997"/>
    <mergeCell ref="B2176:B2182"/>
    <mergeCell ref="B1974:B1979"/>
    <mergeCell ref="B1980:B1985"/>
    <mergeCell ref="B2004:B2009"/>
    <mergeCell ref="B2010:B2015"/>
    <mergeCell ref="B2016:B2021"/>
    <mergeCell ref="B2022:B2027"/>
    <mergeCell ref="B2038:B2047"/>
    <mergeCell ref="B2048:B2055"/>
    <mergeCell ref="B1930:B1935"/>
    <mergeCell ref="B1936:B1941"/>
    <mergeCell ref="B1950:B1955"/>
    <mergeCell ref="B1646:B1647"/>
    <mergeCell ref="B1885:B1890"/>
    <mergeCell ref="B1528:B1533"/>
    <mergeCell ref="B1553:B1558"/>
    <mergeCell ref="B1498:B1503"/>
    <mergeCell ref="B1504:B1509"/>
    <mergeCell ref="B2506:B2511"/>
    <mergeCell ref="B2488:B2493"/>
    <mergeCell ref="B2429:B2433"/>
    <mergeCell ref="B2285:B2289"/>
    <mergeCell ref="B2157:B2167"/>
    <mergeCell ref="B2183:B2190"/>
    <mergeCell ref="B2196:B2201"/>
    <mergeCell ref="B2454:B2457"/>
    <mergeCell ref="B2749:B2754"/>
    <mergeCell ref="B2444:B2448"/>
    <mergeCell ref="B2449:B2453"/>
    <mergeCell ref="B2405:B2412"/>
    <mergeCell ref="B2512:B2517"/>
    <mergeCell ref="B2528:B2535"/>
    <mergeCell ref="B2611:B2618"/>
    <mergeCell ref="B2458:B2461"/>
    <mergeCell ref="B2462:B2465"/>
    <mergeCell ref="B2494:B2499"/>
    <mergeCell ref="B2658:B2667"/>
    <mergeCell ref="B2324:B2325"/>
    <mergeCell ref="B2434:B2438"/>
    <mergeCell ref="B2480:B2485"/>
    <mergeCell ref="B2471:B2475"/>
    <mergeCell ref="B2536:B2540"/>
    <mergeCell ref="B2715:B2719"/>
    <mergeCell ref="B2721:B2726"/>
    <mergeCell ref="B2773:B2778"/>
    <mergeCell ref="B2761:B2766"/>
    <mergeCell ref="B2619:B2622"/>
    <mergeCell ref="B2779:B2784"/>
    <mergeCell ref="B2767:B2772"/>
    <mergeCell ref="B2674:B2679"/>
    <mergeCell ref="B2680:B2692"/>
    <mergeCell ref="B2702:B2707"/>
    <mergeCell ref="B2708:B2713"/>
    <mergeCell ref="B2646:B2651"/>
    <mergeCell ref="B2623:B2628"/>
    <mergeCell ref="B2642:B2643"/>
    <mergeCell ref="B2644:B2645"/>
    <mergeCell ref="B533:B538"/>
    <mergeCell ref="B700:B705"/>
    <mergeCell ref="B694:B699"/>
    <mergeCell ref="B688:B693"/>
    <mergeCell ref="B581:B588"/>
    <mergeCell ref="B2798:B2805"/>
    <mergeCell ref="B2727:B2732"/>
    <mergeCell ref="B2733:B2738"/>
    <mergeCell ref="B2745:B2746"/>
    <mergeCell ref="B2747:B2748"/>
    <mergeCell ref="B2755:B2760"/>
    <mergeCell ref="B2057:B2062"/>
    <mergeCell ref="B2063:B2068"/>
    <mergeCell ref="B2082:B2083"/>
    <mergeCell ref="B2084:B2085"/>
    <mergeCell ref="B2439:B2443"/>
    <mergeCell ref="B2466:B2470"/>
    <mergeCell ref="B2397:B2400"/>
    <mergeCell ref="B2401:B2404"/>
    <mergeCell ref="B2379:B2386"/>
    <mergeCell ref="B2387:B2392"/>
    <mergeCell ref="B2086:B2087"/>
    <mergeCell ref="B2089:B2094"/>
    <mergeCell ref="B2785:B2790"/>
    <mergeCell ref="B840:B845"/>
    <mergeCell ref="B806:B813"/>
    <mergeCell ref="B795:B805"/>
    <mergeCell ref="B778:B781"/>
    <mergeCell ref="B764:B770"/>
    <mergeCell ref="B784:B794"/>
    <mergeCell ref="B771:B777"/>
    <mergeCell ref="B541:B544"/>
    <mergeCell ref="B597:B604"/>
    <mergeCell ref="B618:B624"/>
    <mergeCell ref="B814:B820"/>
    <mergeCell ref="B625:B631"/>
    <mergeCell ref="B589:B596"/>
    <mergeCell ref="B641:B646"/>
    <mergeCell ref="B647:B655"/>
    <mergeCell ref="B730:B737"/>
    <mergeCell ref="B720:B729"/>
    <mergeCell ref="B716:B719"/>
    <mergeCell ref="B637:B640"/>
    <mergeCell ref="B605:B611"/>
    <mergeCell ref="B612:B617"/>
    <mergeCell ref="B563:B568"/>
    <mergeCell ref="B510:B518"/>
    <mergeCell ref="B401:B406"/>
    <mergeCell ref="B858:B863"/>
    <mergeCell ref="B900:B907"/>
    <mergeCell ref="B834:B839"/>
    <mergeCell ref="B829:B833"/>
    <mergeCell ref="B526:B532"/>
    <mergeCell ref="B396:B400"/>
    <mergeCell ref="B341:B347"/>
    <mergeCell ref="B682:B687"/>
    <mergeCell ref="B569:B574"/>
    <mergeCell ref="B742:B747"/>
    <mergeCell ref="B738:B741"/>
    <mergeCell ref="B633:B636"/>
    <mergeCell ref="B712:B715"/>
    <mergeCell ref="B706:B711"/>
    <mergeCell ref="B667:B674"/>
    <mergeCell ref="B676:B681"/>
    <mergeCell ref="B852:B857"/>
    <mergeCell ref="B748:B755"/>
    <mergeCell ref="B551:B556"/>
    <mergeCell ref="B661:B666"/>
    <mergeCell ref="B656:B660"/>
    <mergeCell ref="B557:B562"/>
    <mergeCell ref="A158:A162"/>
    <mergeCell ref="B505:B509"/>
    <mergeCell ref="B499:B504"/>
    <mergeCell ref="B492:B498"/>
    <mergeCell ref="B486:B491"/>
    <mergeCell ref="B460:B464"/>
    <mergeCell ref="B478:B485"/>
    <mergeCell ref="B473:B477"/>
    <mergeCell ref="B251:B257"/>
    <mergeCell ref="B416:B421"/>
    <mergeCell ref="B172:B178"/>
    <mergeCell ref="B165:B171"/>
    <mergeCell ref="B158:B162"/>
    <mergeCell ref="B264:B269"/>
    <mergeCell ref="B244:B250"/>
    <mergeCell ref="B238:B243"/>
    <mergeCell ref="B230:B237"/>
    <mergeCell ref="B270:B278"/>
    <mergeCell ref="B279:B285"/>
    <mergeCell ref="B311:B319"/>
    <mergeCell ref="B320:B325"/>
    <mergeCell ref="B258:B263"/>
    <mergeCell ref="B354:B357"/>
    <mergeCell ref="B326:B333"/>
    <mergeCell ref="B1163:B1169"/>
    <mergeCell ref="B1171:B1172"/>
    <mergeCell ref="B932:B937"/>
    <mergeCell ref="B951:B955"/>
    <mergeCell ref="B846:B851"/>
    <mergeCell ref="B944:B949"/>
    <mergeCell ref="B1046:B1049"/>
    <mergeCell ref="B1015:B1021"/>
    <mergeCell ref="B984:B991"/>
    <mergeCell ref="B992:B999"/>
    <mergeCell ref="B1029:B1035"/>
    <mergeCell ref="B1022:B1028"/>
    <mergeCell ref="B1042:B1045"/>
    <mergeCell ref="B864:B869"/>
    <mergeCell ref="B892:B899"/>
    <mergeCell ref="B1036:B1041"/>
    <mergeCell ref="B926:B931"/>
    <mergeCell ref="B917:B925"/>
    <mergeCell ref="B1088:B1093"/>
    <mergeCell ref="B1095:B1096"/>
    <mergeCell ref="B1061:B1068"/>
    <mergeCell ref="B1056:B1060"/>
    <mergeCell ref="B1050:B1055"/>
    <mergeCell ref="B1448:B1453"/>
    <mergeCell ref="B1471:B1476"/>
    <mergeCell ref="B1477:B1482"/>
    <mergeCell ref="B1460:B1465"/>
    <mergeCell ref="B1258:B1265"/>
    <mergeCell ref="B1173:B1174"/>
    <mergeCell ref="B1175:B1176"/>
    <mergeCell ref="B1129:B1131"/>
    <mergeCell ref="B1132:B1142"/>
    <mergeCell ref="B1316:B1325"/>
    <mergeCell ref="B1310:B1315"/>
    <mergeCell ref="B1307:B1308"/>
    <mergeCell ref="B1200:B1205"/>
    <mergeCell ref="B1206:B1211"/>
    <mergeCell ref="B1228:B1229"/>
    <mergeCell ref="B1269:B1270"/>
    <mergeCell ref="B1271:B1272"/>
    <mergeCell ref="B1293:B1299"/>
    <mergeCell ref="B1274:B1279"/>
    <mergeCell ref="B1442:B1447"/>
    <mergeCell ref="B1436:B1441"/>
    <mergeCell ref="B1359:B1366"/>
    <mergeCell ref="B1352:B1358"/>
    <mergeCell ref="B1178:B1183"/>
    <mergeCell ref="B86:B88"/>
    <mergeCell ref="B78:B80"/>
    <mergeCell ref="B1397:B1402"/>
    <mergeCell ref="B447:B454"/>
    <mergeCell ref="B1409:B1415"/>
    <mergeCell ref="B821:B828"/>
    <mergeCell ref="B977:B983"/>
    <mergeCell ref="B969:B976"/>
    <mergeCell ref="B962:B968"/>
    <mergeCell ref="B956:B961"/>
    <mergeCell ref="B106:B108"/>
    <mergeCell ref="B109:B110"/>
    <mergeCell ref="B111:B113"/>
    <mergeCell ref="B129:B130"/>
    <mergeCell ref="B92:B94"/>
    <mergeCell ref="B95:B96"/>
    <mergeCell ref="B138:B139"/>
    <mergeCell ref="B140:B141"/>
    <mergeCell ref="B142:B143"/>
    <mergeCell ref="B151:B152"/>
    <mergeCell ref="B153:B154"/>
    <mergeCell ref="B225:B229"/>
    <mergeCell ref="B440:B446"/>
    <mergeCell ref="B1081:B1087"/>
    <mergeCell ref="B117:B121"/>
    <mergeCell ref="B455:B459"/>
    <mergeCell ref="B100:B102"/>
    <mergeCell ref="B114:B116"/>
    <mergeCell ref="B144:B145"/>
    <mergeCell ref="B89:B91"/>
    <mergeCell ref="B155:B156"/>
    <mergeCell ref="B306:B310"/>
    <mergeCell ref="B422:B427"/>
    <mergeCell ref="B219:B224"/>
    <mergeCell ref="A2:A5"/>
    <mergeCell ref="B2:B5"/>
    <mergeCell ref="D2:D5"/>
    <mergeCell ref="B60:B62"/>
    <mergeCell ref="B11:B13"/>
    <mergeCell ref="B23:B25"/>
    <mergeCell ref="B50:B51"/>
    <mergeCell ref="B14:B16"/>
    <mergeCell ref="B29:B31"/>
    <mergeCell ref="B20:B22"/>
    <mergeCell ref="B8:B10"/>
    <mergeCell ref="B17:B19"/>
    <mergeCell ref="B26:B28"/>
    <mergeCell ref="B38:B40"/>
    <mergeCell ref="B52:B53"/>
    <mergeCell ref="B54:B56"/>
    <mergeCell ref="B57:B59"/>
    <mergeCell ref="N2:P2"/>
    <mergeCell ref="E3:F3"/>
    <mergeCell ref="K3:L3"/>
    <mergeCell ref="E4:E5"/>
    <mergeCell ref="F4:F5"/>
    <mergeCell ref="H4:H5"/>
    <mergeCell ref="E2:F2"/>
    <mergeCell ref="B81:B83"/>
    <mergeCell ref="B32:B34"/>
    <mergeCell ref="B72:B74"/>
    <mergeCell ref="B75:B77"/>
    <mergeCell ref="B41:B43"/>
    <mergeCell ref="B44:B46"/>
    <mergeCell ref="B63:B65"/>
    <mergeCell ref="B66:B68"/>
    <mergeCell ref="B69:B71"/>
    <mergeCell ref="B47:B49"/>
    <mergeCell ref="G2:H3"/>
    <mergeCell ref="I2:J3"/>
    <mergeCell ref="L4:L5"/>
    <mergeCell ref="K2:L2"/>
    <mergeCell ref="M2:M5"/>
    <mergeCell ref="J4:J5"/>
    <mergeCell ref="B3342:B3347"/>
    <mergeCell ref="B3182:B3188"/>
    <mergeCell ref="B3189:B3192"/>
    <mergeCell ref="B3193:B3196"/>
    <mergeCell ref="B3197:B3204"/>
    <mergeCell ref="B3304:B3309"/>
    <mergeCell ref="B3316:B3321"/>
    <mergeCell ref="B1102:B1107"/>
    <mergeCell ref="B334:B340"/>
    <mergeCell ref="B1097:B1098"/>
    <mergeCell ref="B2989:B2995"/>
    <mergeCell ref="B1403:B1408"/>
    <mergeCell ref="B1416:B1422"/>
    <mergeCell ref="B1239:B1244"/>
    <mergeCell ref="B1233:B1238"/>
    <mergeCell ref="B2791:B2796"/>
    <mergeCell ref="B2120:B2126"/>
    <mergeCell ref="B3002:B3008"/>
    <mergeCell ref="B3009:B3016"/>
    <mergeCell ref="B1305:B1306"/>
    <mergeCell ref="B1303:B1304"/>
    <mergeCell ref="B1143:B1146"/>
    <mergeCell ref="B1147:B1156"/>
    <mergeCell ref="B1219:B1226"/>
    <mergeCell ref="B3310:B3315"/>
    <mergeCell ref="B3105:B3111"/>
    <mergeCell ref="B3134:B3139"/>
    <mergeCell ref="B3140:B3148"/>
    <mergeCell ref="B3068:B3073"/>
    <mergeCell ref="B3081:B3086"/>
    <mergeCell ref="B3156:B3157"/>
    <mergeCell ref="B3158:B3159"/>
    <mergeCell ref="B3161:B3166"/>
    <mergeCell ref="B3172:B3179"/>
    <mergeCell ref="B3048:B3053"/>
    <mergeCell ref="B1669:B1670"/>
    <mergeCell ref="B1827:B1828"/>
    <mergeCell ref="B126:B128"/>
    <mergeCell ref="B97:B99"/>
    <mergeCell ref="B131:B133"/>
    <mergeCell ref="B134:B135"/>
    <mergeCell ref="B136:B137"/>
    <mergeCell ref="B103:B105"/>
    <mergeCell ref="B1212:B1218"/>
    <mergeCell ref="B1184:B1188"/>
    <mergeCell ref="B1189:B1199"/>
    <mergeCell ref="B1250:B1257"/>
    <mergeCell ref="B359:B361"/>
    <mergeCell ref="B362:B365"/>
    <mergeCell ref="B366:B375"/>
    <mergeCell ref="B376:B379"/>
    <mergeCell ref="B1108:B1120"/>
    <mergeCell ref="B1099:B1100"/>
    <mergeCell ref="B1157:B1162"/>
    <mergeCell ref="B1075:B1080"/>
    <mergeCell ref="B1069:B1074"/>
    <mergeCell ref="B1490:B1496"/>
    <mergeCell ref="B1454:B1459"/>
  </mergeCells>
  <phoneticPr fontId="36" type="noConversion"/>
  <printOptions horizontalCentered="1"/>
  <pageMargins left="0" right="0" top="0" bottom="0" header="0.118110236220472" footer="0.118110236220472"/>
  <pageSetup paperSize="9" scale="86" orientation="landscape" r:id="rId1"/>
  <headerFooter alignWithMargins="0">
    <oddHeader>&amp;Cსაგანმანათლებლო და სამეცნიერო ინფრასტრუქტურის განვითარების სააგენტო</oddHeader>
    <oddFooter>&amp;L&amp;A&amp;R&amp;P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დეფექტური აქტი</vt:lpstr>
      <vt:lpstr>eleqt, sant</vt:lpstr>
      <vt:lpstr>ხარჯთაღრიცხვა</vt:lpstr>
      <vt:lpstr>'eleqt, sant'!Print_Area</vt:lpstr>
      <vt:lpstr>'დეფექტური აქტი'!Print_Area</vt:lpstr>
      <vt:lpstr>ხარჯთაღრიცხვა!Print_Area</vt:lpstr>
      <vt:lpstr>'დეფექტური აქტი'!Print_Titles</vt:lpstr>
      <vt:lpstr>ხარჯთაღრიცხვა!Print_Titles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</dc:creator>
  <cp:lastModifiedBy>IRAKLI</cp:lastModifiedBy>
  <cp:lastPrinted>2017-10-19T13:21:31Z</cp:lastPrinted>
  <dcterms:created xsi:type="dcterms:W3CDTF">2012-09-17T10:30:05Z</dcterms:created>
  <dcterms:modified xsi:type="dcterms:W3CDTF">2017-12-25T07:20:21Z</dcterms:modified>
</cp:coreProperties>
</file>