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oini\Desktop\"/>
    </mc:Choice>
  </mc:AlternateContent>
  <bookViews>
    <workbookView xWindow="0" yWindow="0" windowWidth="28770" windowHeight="8100" tabRatio="826"/>
  </bookViews>
  <sheets>
    <sheet name="nakrebi lari" sheetId="127" r:id="rId1"/>
    <sheet name="x.a.1" sheetId="87" r:id="rId2"/>
    <sheet name="x.a.2" sheetId="112" r:id="rId3"/>
    <sheet name="x.a.3" sheetId="73" r:id="rId4"/>
  </sheets>
  <definedNames>
    <definedName name="_xlnm.Print_Area" localSheetId="0">'nakrebi lari'!$A$1:$N$39</definedName>
    <definedName name="_xlnm.Print_Area" localSheetId="1">x.a.1!$A$1:$M$58</definedName>
    <definedName name="_xlnm.Print_Area" localSheetId="2">x.a.2!$A$1:$M$385</definedName>
    <definedName name="_xlnm.Print_Area" localSheetId="3">x.a.3!$A$1:$M$114</definedName>
    <definedName name="_xlnm.Print_Titles" localSheetId="0">'nakrebi lari'!$15:$15</definedName>
    <definedName name="_xlnm.Print_Titles" localSheetId="2">x.a.2!$12:$12</definedName>
    <definedName name="_xlnm.Print_Titles" localSheetId="3">x.a.3!$12:$12</definedName>
  </definedNames>
  <calcPr calcId="162913"/>
</workbook>
</file>

<file path=xl/calcChain.xml><?xml version="1.0" encoding="utf-8"?>
<calcChain xmlns="http://schemas.openxmlformats.org/spreadsheetml/2006/main">
  <c r="F107" i="73" l="1"/>
  <c r="E106" i="73"/>
  <c r="F106" i="73" s="1"/>
  <c r="F105" i="73"/>
  <c r="E104" i="73"/>
  <c r="F104" i="73" s="1"/>
  <c r="E103" i="73"/>
  <c r="F103" i="73" s="1"/>
  <c r="E102" i="73"/>
  <c r="F102" i="73"/>
  <c r="E99" i="73"/>
  <c r="F99" i="73"/>
  <c r="E98" i="73"/>
  <c r="F98" i="73"/>
  <c r="E97" i="73"/>
  <c r="F97" i="73"/>
  <c r="F85" i="73"/>
  <c r="E84" i="73"/>
  <c r="E83" i="73"/>
  <c r="E82" i="73"/>
  <c r="F81" i="73"/>
  <c r="F82" i="73" s="1"/>
  <c r="F80" i="73"/>
  <c r="E79" i="73"/>
  <c r="F79" i="73"/>
  <c r="F77" i="73"/>
  <c r="E76" i="73"/>
  <c r="F76" i="73"/>
  <c r="E75" i="73"/>
  <c r="F75" i="73"/>
  <c r="E74" i="73"/>
  <c r="F74" i="73"/>
  <c r="F71" i="73"/>
  <c r="E69" i="73"/>
  <c r="F69" i="73"/>
  <c r="E68" i="73"/>
  <c r="F68" i="73"/>
  <c r="F66" i="73"/>
  <c r="F70" i="73"/>
  <c r="E65" i="73"/>
  <c r="F65" i="73" s="1"/>
  <c r="F64" i="73"/>
  <c r="E61" i="73"/>
  <c r="F61" i="73"/>
  <c r="F60" i="73"/>
  <c r="F62" i="73" s="1"/>
  <c r="E59" i="73"/>
  <c r="F59" i="73"/>
  <c r="E58" i="73"/>
  <c r="F58" i="73"/>
  <c r="E57" i="73"/>
  <c r="F57" i="73"/>
  <c r="E56" i="73"/>
  <c r="F56" i="73" s="1"/>
  <c r="E55" i="73"/>
  <c r="F55" i="73" s="1"/>
  <c r="F40" i="73"/>
  <c r="F46" i="73" s="1"/>
  <c r="E31" i="73"/>
  <c r="F31" i="73" s="1"/>
  <c r="E30" i="73"/>
  <c r="E29" i="73"/>
  <c r="F29" i="73" s="1"/>
  <c r="F28" i="73"/>
  <c r="F27" i="73"/>
  <c r="E26" i="73"/>
  <c r="F26" i="73"/>
  <c r="F24" i="73"/>
  <c r="E23" i="73"/>
  <c r="F23" i="73"/>
  <c r="E22" i="73"/>
  <c r="F22" i="73"/>
  <c r="E21" i="73"/>
  <c r="F21" i="73"/>
  <c r="F378" i="112"/>
  <c r="F377" i="112"/>
  <c r="F375" i="112"/>
  <c r="F374" i="112"/>
  <c r="F357" i="112"/>
  <c r="F358" i="112" s="1"/>
  <c r="F359" i="112"/>
  <c r="E363" i="112"/>
  <c r="E362" i="112"/>
  <c r="E361" i="112"/>
  <c r="F361" i="112" s="1"/>
  <c r="F360" i="112"/>
  <c r="F363" i="112" s="1"/>
  <c r="F364" i="112"/>
  <c r="F356" i="112"/>
  <c r="F355" i="112"/>
  <c r="E354" i="112"/>
  <c r="F354" i="112"/>
  <c r="E353" i="112"/>
  <c r="F353" i="112" s="1"/>
  <c r="F351" i="112"/>
  <c r="F350" i="112"/>
  <c r="F349" i="112"/>
  <c r="F348" i="112"/>
  <c r="F345" i="112"/>
  <c r="E344" i="112"/>
  <c r="F344" i="112" s="1"/>
  <c r="E343" i="112"/>
  <c r="F343" i="112"/>
  <c r="E342" i="112"/>
  <c r="F342" i="112"/>
  <c r="E341" i="112"/>
  <c r="F341" i="112"/>
  <c r="F340" i="112"/>
  <c r="F338" i="112"/>
  <c r="F346" i="112" s="1"/>
  <c r="F337" i="112"/>
  <c r="F336" i="112"/>
  <c r="F371" i="112"/>
  <c r="F368" i="112"/>
  <c r="F367" i="112"/>
  <c r="F312" i="112"/>
  <c r="E297" i="112"/>
  <c r="E296" i="112"/>
  <c r="E295" i="112"/>
  <c r="F294" i="112"/>
  <c r="F293" i="112"/>
  <c r="F292" i="112"/>
  <c r="F333" i="112"/>
  <c r="F332" i="112"/>
  <c r="E331" i="112"/>
  <c r="F331" i="112" s="1"/>
  <c r="E330" i="112"/>
  <c r="F330" i="112"/>
  <c r="E325" i="112"/>
  <c r="F325" i="112" s="1"/>
  <c r="F324" i="112"/>
  <c r="F322" i="112"/>
  <c r="E319" i="112"/>
  <c r="F319" i="112"/>
  <c r="E318" i="112"/>
  <c r="F318" i="112"/>
  <c r="E317" i="112"/>
  <c r="F317" i="112" s="1"/>
  <c r="E316" i="112"/>
  <c r="F316" i="112"/>
  <c r="F311" i="112"/>
  <c r="F315" i="112"/>
  <c r="E307" i="112"/>
  <c r="F307" i="112" s="1"/>
  <c r="E306" i="112"/>
  <c r="E305" i="112"/>
  <c r="F304" i="112"/>
  <c r="F306" i="112" s="1"/>
  <c r="F302" i="112"/>
  <c r="F303" i="112" s="1"/>
  <c r="E301" i="112"/>
  <c r="F301" i="112"/>
  <c r="E300" i="112"/>
  <c r="F300" i="112"/>
  <c r="E290" i="112"/>
  <c r="E289" i="112"/>
  <c r="E288" i="112"/>
  <c r="F287" i="112"/>
  <c r="F289" i="112" s="1"/>
  <c r="F290" i="112"/>
  <c r="F286" i="112"/>
  <c r="E285" i="112"/>
  <c r="F285" i="112" s="1"/>
  <c r="F283" i="112"/>
  <c r="E282" i="112"/>
  <c r="F282" i="112"/>
  <c r="E281" i="112"/>
  <c r="F281" i="112"/>
  <c r="E280" i="112"/>
  <c r="F280" i="112"/>
  <c r="F30" i="73"/>
  <c r="F372" i="112"/>
  <c r="F321" i="112"/>
  <c r="F310" i="112"/>
  <c r="F320" i="112"/>
  <c r="F309" i="112"/>
  <c r="F277" i="112"/>
  <c r="F276" i="112"/>
  <c r="E275" i="112"/>
  <c r="F275" i="112" s="1"/>
  <c r="E274" i="112"/>
  <c r="F274" i="112"/>
  <c r="E269" i="112"/>
  <c r="F269" i="112" s="1"/>
  <c r="F268" i="112"/>
  <c r="F251" i="112"/>
  <c r="F239" i="112"/>
  <c r="F244" i="112" s="1"/>
  <c r="E266" i="112"/>
  <c r="F266" i="112"/>
  <c r="E265" i="112"/>
  <c r="F265" i="112" s="1"/>
  <c r="E264" i="112"/>
  <c r="F264" i="112" s="1"/>
  <c r="F263" i="112"/>
  <c r="F261" i="112"/>
  <c r="E260" i="112"/>
  <c r="F260" i="112" s="1"/>
  <c r="E259" i="112"/>
  <c r="F259" i="112" s="1"/>
  <c r="E257" i="112"/>
  <c r="F257" i="112"/>
  <c r="E256" i="112"/>
  <c r="F256" i="112"/>
  <c r="E255" i="112"/>
  <c r="F255" i="112" s="1"/>
  <c r="E254" i="112"/>
  <c r="F254" i="112"/>
  <c r="F253" i="112"/>
  <c r="E248" i="112"/>
  <c r="F248" i="112" s="1"/>
  <c r="E247" i="112"/>
  <c r="F247" i="112"/>
  <c r="E246" i="112"/>
  <c r="F246" i="112"/>
  <c r="E245" i="112"/>
  <c r="F245" i="112" s="1"/>
  <c r="E238" i="112"/>
  <c r="E237" i="112"/>
  <c r="E236" i="112"/>
  <c r="F236" i="112" s="1"/>
  <c r="F235" i="112"/>
  <c r="F237" i="112" s="1"/>
  <c r="F238" i="112"/>
  <c r="F233" i="112"/>
  <c r="E232" i="112"/>
  <c r="F232" i="112"/>
  <c r="E231" i="112"/>
  <c r="F231" i="112"/>
  <c r="E229" i="112"/>
  <c r="F229" i="112" s="1"/>
  <c r="E228" i="112"/>
  <c r="E227" i="112"/>
  <c r="F227" i="112" s="1"/>
  <c r="F226" i="112"/>
  <c r="F225" i="112"/>
  <c r="E224" i="112"/>
  <c r="F224" i="112" s="1"/>
  <c r="F222" i="112"/>
  <c r="E221" i="112"/>
  <c r="F221" i="112"/>
  <c r="E220" i="112"/>
  <c r="F220" i="112" s="1"/>
  <c r="E219" i="112"/>
  <c r="F219" i="112"/>
  <c r="F234" i="112"/>
  <c r="F228" i="112"/>
  <c r="F262" i="112"/>
  <c r="F211" i="112"/>
  <c r="F212" i="112"/>
  <c r="F177" i="112"/>
  <c r="F180" i="112"/>
  <c r="E216" i="112"/>
  <c r="E215" i="112"/>
  <c r="E214" i="112"/>
  <c r="F213" i="112"/>
  <c r="F215" i="112" s="1"/>
  <c r="E210" i="112"/>
  <c r="F210" i="112"/>
  <c r="E209" i="112"/>
  <c r="F209" i="112" s="1"/>
  <c r="F206" i="112"/>
  <c r="E205" i="112"/>
  <c r="F205" i="112"/>
  <c r="F204" i="112"/>
  <c r="F202" i="112"/>
  <c r="F201" i="112"/>
  <c r="F200" i="112"/>
  <c r="F199" i="112"/>
  <c r="F197" i="112"/>
  <c r="F196" i="112"/>
  <c r="F195" i="112"/>
  <c r="F194" i="112"/>
  <c r="F193" i="112"/>
  <c r="E191" i="112"/>
  <c r="F191" i="112"/>
  <c r="E190" i="112"/>
  <c r="F190" i="112" s="1"/>
  <c r="E189" i="112"/>
  <c r="F189" i="112"/>
  <c r="E188" i="112"/>
  <c r="F188" i="112"/>
  <c r="F187" i="112"/>
  <c r="F185" i="112"/>
  <c r="F184" i="112"/>
  <c r="E183" i="112"/>
  <c r="F183" i="112"/>
  <c r="F182" i="112"/>
  <c r="E176" i="112"/>
  <c r="F176" i="112" s="1"/>
  <c r="F175" i="112"/>
  <c r="E174" i="112"/>
  <c r="F174" i="112"/>
  <c r="F173" i="112"/>
  <c r="F171" i="112"/>
  <c r="F148" i="112"/>
  <c r="F149" i="112" s="1"/>
  <c r="E151" i="112"/>
  <c r="F151" i="112" s="1"/>
  <c r="E150" i="112"/>
  <c r="E149" i="112"/>
  <c r="E142" i="112"/>
  <c r="F142" i="112"/>
  <c r="E141" i="112"/>
  <c r="F141" i="112"/>
  <c r="E140" i="112"/>
  <c r="F140" i="112"/>
  <c r="E139" i="112"/>
  <c r="F139" i="112"/>
  <c r="F138" i="112"/>
  <c r="F124" i="112"/>
  <c r="E123" i="112"/>
  <c r="E122" i="112"/>
  <c r="E121" i="112"/>
  <c r="F121" i="112"/>
  <c r="F120" i="112"/>
  <c r="E119" i="112"/>
  <c r="F119" i="112"/>
  <c r="F118" i="112"/>
  <c r="F169" i="112"/>
  <c r="E168" i="112"/>
  <c r="F168" i="112" s="1"/>
  <c r="E167" i="112"/>
  <c r="F167" i="112"/>
  <c r="E166" i="112"/>
  <c r="F166" i="112" s="1"/>
  <c r="E165" i="112"/>
  <c r="F165" i="112" s="1"/>
  <c r="F164" i="112"/>
  <c r="F161" i="112"/>
  <c r="F170" i="112"/>
  <c r="F160" i="112"/>
  <c r="F159" i="112"/>
  <c r="F156" i="112"/>
  <c r="F155" i="112"/>
  <c r="F154" i="112"/>
  <c r="F153" i="112"/>
  <c r="F146" i="112"/>
  <c r="E145" i="112"/>
  <c r="F145" i="112" s="1"/>
  <c r="E144" i="112"/>
  <c r="F144" i="112"/>
  <c r="E136" i="112"/>
  <c r="F136" i="112" s="1"/>
  <c r="E135" i="112"/>
  <c r="E134" i="112"/>
  <c r="F134" i="112" s="1"/>
  <c r="F133" i="112"/>
  <c r="F132" i="112"/>
  <c r="E131" i="112"/>
  <c r="F131" i="112"/>
  <c r="F129" i="112"/>
  <c r="E128" i="112"/>
  <c r="F128" i="112" s="1"/>
  <c r="E127" i="112"/>
  <c r="F127" i="112"/>
  <c r="E126" i="112"/>
  <c r="F126" i="112"/>
  <c r="F94" i="112"/>
  <c r="F100" i="112" s="1"/>
  <c r="F115" i="112"/>
  <c r="F114" i="112"/>
  <c r="F113" i="112"/>
  <c r="F112" i="112"/>
  <c r="F111" i="112"/>
  <c r="F110" i="112"/>
  <c r="F108" i="112"/>
  <c r="F107" i="112"/>
  <c r="F106" i="112"/>
  <c r="F105" i="112"/>
  <c r="F104" i="112"/>
  <c r="F103" i="112"/>
  <c r="F98" i="112"/>
  <c r="F97" i="112"/>
  <c r="F96" i="112"/>
  <c r="F95" i="112"/>
  <c r="F93" i="112"/>
  <c r="F92" i="112"/>
  <c r="F91" i="112"/>
  <c r="F88" i="112"/>
  <c r="F89" i="112"/>
  <c r="F87" i="112"/>
  <c r="F86" i="112"/>
  <c r="E84" i="112"/>
  <c r="E83" i="112"/>
  <c r="E82" i="112"/>
  <c r="F81" i="112"/>
  <c r="F80" i="112"/>
  <c r="E79" i="112"/>
  <c r="F79" i="112" s="1"/>
  <c r="F77" i="112"/>
  <c r="E76" i="112"/>
  <c r="F76" i="112"/>
  <c r="E75" i="112"/>
  <c r="F75" i="112"/>
  <c r="E74" i="112"/>
  <c r="F74" i="112"/>
  <c r="F71" i="112"/>
  <c r="F70" i="112"/>
  <c r="F69" i="112"/>
  <c r="F68" i="112"/>
  <c r="F66" i="112"/>
  <c r="F65" i="112"/>
  <c r="F64" i="112"/>
  <c r="F63" i="112"/>
  <c r="F62" i="112"/>
  <c r="F61" i="112"/>
  <c r="F59" i="112"/>
  <c r="F58" i="112"/>
  <c r="F57" i="112"/>
  <c r="F56" i="112"/>
  <c r="F55" i="112"/>
  <c r="F54" i="112"/>
  <c r="E51" i="112"/>
  <c r="E50" i="112"/>
  <c r="E49" i="112"/>
  <c r="F48" i="112"/>
  <c r="F50" i="112" s="1"/>
  <c r="F46" i="112"/>
  <c r="F47" i="112" s="1"/>
  <c r="E45" i="112"/>
  <c r="F45" i="112"/>
  <c r="E44" i="112"/>
  <c r="F44" i="112"/>
  <c r="F40" i="112"/>
  <c r="F39" i="112"/>
  <c r="F38" i="112"/>
  <c r="F37" i="112"/>
  <c r="F35" i="112"/>
  <c r="F41" i="112"/>
  <c r="F34" i="112"/>
  <c r="F33" i="112"/>
  <c r="F30" i="112"/>
  <c r="F31" i="112"/>
  <c r="F29" i="112"/>
  <c r="F28" i="112"/>
  <c r="F25" i="112"/>
  <c r="F17" i="112"/>
  <c r="F16" i="112"/>
  <c r="F15" i="112"/>
  <c r="E24" i="112"/>
  <c r="F24" i="112"/>
  <c r="E23" i="112"/>
  <c r="F23" i="112" s="1"/>
  <c r="F42" i="87"/>
  <c r="F46" i="87" s="1"/>
  <c r="F37" i="87"/>
  <c r="E41" i="87"/>
  <c r="E40" i="87"/>
  <c r="E39" i="87"/>
  <c r="F38" i="87"/>
  <c r="F34" i="87"/>
  <c r="F35" i="87"/>
  <c r="E33" i="87"/>
  <c r="F33" i="87"/>
  <c r="F32" i="87"/>
  <c r="E31" i="87"/>
  <c r="F31" i="87"/>
  <c r="F30" i="87"/>
  <c r="E28" i="87"/>
  <c r="E27" i="87"/>
  <c r="E26" i="87"/>
  <c r="F25" i="87"/>
  <c r="F24" i="87"/>
  <c r="F21" i="87"/>
  <c r="F22" i="87" s="1"/>
  <c r="E20" i="87"/>
  <c r="F20" i="87"/>
  <c r="F19" i="87"/>
  <c r="E18" i="87"/>
  <c r="F18" i="87" s="1"/>
  <c r="F17" i="87"/>
  <c r="F15" i="87"/>
  <c r="F14" i="87"/>
  <c r="F41" i="73"/>
  <c r="F43" i="73"/>
  <c r="F48" i="73"/>
  <c r="F50" i="73" s="1"/>
  <c r="F42" i="73"/>
  <c r="E49" i="87"/>
  <c r="E48" i="87"/>
  <c r="E47" i="87"/>
  <c r="F53" i="73"/>
  <c r="F52" i="73"/>
  <c r="E38" i="73"/>
  <c r="F38" i="73"/>
  <c r="F37" i="73"/>
  <c r="F39" i="73"/>
  <c r="E36" i="73"/>
  <c r="F36" i="73"/>
  <c r="E35" i="73"/>
  <c r="F35" i="73" s="1"/>
  <c r="E34" i="73"/>
  <c r="F34" i="73"/>
  <c r="F33" i="73"/>
  <c r="F19" i="73"/>
  <c r="F18" i="73"/>
  <c r="E16" i="73"/>
  <c r="F16" i="73"/>
  <c r="E15" i="73"/>
  <c r="F15" i="73"/>
  <c r="F179" i="112"/>
  <c r="F207" i="112"/>
  <c r="F178" i="112"/>
  <c r="F135" i="112"/>
  <c r="F147" i="112"/>
  <c r="F18" i="112"/>
  <c r="F123" i="112"/>
  <c r="F122" i="112"/>
  <c r="F82" i="112"/>
  <c r="F83" i="112"/>
  <c r="F84" i="112"/>
  <c r="F51" i="112"/>
  <c r="F42" i="112"/>
  <c r="F21" i="112"/>
  <c r="F20" i="112"/>
  <c r="F39" i="87"/>
  <c r="F40" i="87"/>
  <c r="F41" i="87"/>
  <c r="F36" i="87"/>
  <c r="F26" i="87"/>
  <c r="F27" i="87"/>
  <c r="F28" i="87"/>
  <c r="F23" i="87"/>
  <c r="F92" i="73"/>
  <c r="F86" i="73"/>
  <c r="F94" i="73"/>
  <c r="F93" i="73"/>
  <c r="F88" i="73"/>
  <c r="F91" i="73"/>
  <c r="F90" i="73"/>
  <c r="F89" i="73"/>
  <c r="F87" i="73"/>
  <c r="F99" i="112"/>
  <c r="F43" i="87"/>
  <c r="F157" i="112"/>
  <c r="F296" i="112"/>
  <c r="F298" i="112"/>
  <c r="F295" i="112"/>
  <c r="F297" i="112"/>
  <c r="F95" i="73"/>
  <c r="F216" i="112" l="1"/>
  <c r="F45" i="73"/>
  <c r="F305" i="112"/>
  <c r="F362" i="112"/>
  <c r="F47" i="73"/>
  <c r="F240" i="112"/>
  <c r="F84" i="73"/>
  <c r="F49" i="87"/>
  <c r="F214" i="112"/>
  <c r="F44" i="73"/>
  <c r="F241" i="112"/>
  <c r="F249" i="112"/>
  <c r="F49" i="112"/>
  <c r="F83" i="73"/>
  <c r="F45" i="87"/>
  <c r="F51" i="87" s="1"/>
  <c r="F49" i="73"/>
  <c r="F44" i="87"/>
  <c r="F242" i="112"/>
  <c r="F250" i="112" s="1"/>
  <c r="F150" i="112"/>
  <c r="F288" i="112"/>
  <c r="F47" i="87"/>
  <c r="F48" i="87"/>
  <c r="F50" i="87"/>
  <c r="M6" i="127"/>
</calcChain>
</file>

<file path=xl/sharedStrings.xml><?xml version="1.0" encoding="utf-8"?>
<sst xmlns="http://schemas.openxmlformats.org/spreadsheetml/2006/main" count="1512" uniqueCount="402">
  <si>
    <t>aT.lari</t>
  </si>
  <si>
    <t>saxarjTaRricxvo Rirebuleba</t>
  </si>
  <si>
    <t>#</t>
  </si>
  <si>
    <t>safuZveli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</si>
  <si>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</si>
  <si>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</si>
  <si>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</si>
  <si>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</si>
  <si>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</si>
  <si>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</si>
  <si>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</si>
  <si>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</si>
  <si>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sul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</si>
  <si>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</si>
  <si>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</si>
  <si>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</si>
  <si>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</si>
  <si>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</si>
  <si>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</si>
  <si>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</si>
  <si>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</si>
  <si>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</si>
  <si>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</si>
  <si>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</si>
  <si>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</si>
  <si>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</si>
  <si>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</si>
  <si>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samuSaoebis, resursebis   dasaxeleba</t>
  </si>
  <si>
    <t>safuZveli: samuSaoTa moculobebis uwyisi</t>
  </si>
  <si>
    <t>normatiuli Sromatevadoba</t>
  </si>
  <si>
    <t>kac/sT</t>
  </si>
  <si>
    <t>manq/sT</t>
  </si>
  <si>
    <t>mosarwyav-mosarecxi manqana 6000l</t>
  </si>
  <si>
    <t>lari</t>
  </si>
  <si>
    <t>t</t>
  </si>
  <si>
    <t>g.m.</t>
  </si>
  <si>
    <t>sxva manqanebi</t>
  </si>
  <si>
    <t>sxva masalebi</t>
  </si>
  <si>
    <t xml:space="preserve">mSeneblobis Rirebulebis </t>
  </si>
  <si>
    <t xml:space="preserve">nakrebi saxarjTaRricxvo angariSi </t>
  </si>
  <si>
    <t>##</t>
  </si>
  <si>
    <t>xarjTa-Rricx-vebis angari-Sebis ##</t>
  </si>
  <si>
    <t>Tavebis, obieqtebis, samuSaoebis da danaxarjebis dasaxeleba</t>
  </si>
  <si>
    <t>samSeneblo samuSaoe-bis</t>
  </si>
  <si>
    <t>samontaJo samu-Saoebis</t>
  </si>
  <si>
    <t>mowyobilo-bebis, inven-taris</t>
  </si>
  <si>
    <t>sxva dana-xarjebis</t>
  </si>
  <si>
    <t>x.a.#1</t>
  </si>
  <si>
    <t>x.a.#2</t>
  </si>
  <si>
    <t>gauTvaliswinebeli xarjebi 3%</t>
  </si>
  <si>
    <t>dRg 18%</t>
  </si>
  <si>
    <t>sul mSeneblobis Rirebulebis nakrebi saxarjTaRrivxvo angariSiT</t>
  </si>
  <si>
    <t>satkepni sagzao TviTmavali gluvi 5t</t>
  </si>
  <si>
    <t>igive, 10t</t>
  </si>
  <si>
    <t>x.a.#3</t>
  </si>
  <si>
    <t xml:space="preserve"> lokaluri  xarjTaRricxva # 1</t>
  </si>
  <si>
    <t>sxva masala</t>
  </si>
  <si>
    <t>buldozeri 79 kvt</t>
  </si>
  <si>
    <t>27-63-1</t>
  </si>
  <si>
    <t>avtogudronatori 3500 l</t>
  </si>
  <si>
    <t>2</t>
  </si>
  <si>
    <t>Tavi I</t>
  </si>
  <si>
    <t>mSeneblobis teritoriis momzadeba</t>
  </si>
  <si>
    <t>sagzao samosi</t>
  </si>
  <si>
    <t>sul Tavi III</t>
  </si>
  <si>
    <t>Tavi III</t>
  </si>
  <si>
    <t>eqskavatori</t>
  </si>
  <si>
    <t>1-25-2</t>
  </si>
  <si>
    <t>qviSa-xreSovani narevi</t>
  </si>
  <si>
    <t>buldozeri 79kvt</t>
  </si>
  <si>
    <t>manqanebi</t>
  </si>
  <si>
    <t>1-11-15</t>
  </si>
  <si>
    <t>vibraciuli satkepni</t>
  </si>
  <si>
    <t>traqtori 79kvt</t>
  </si>
  <si>
    <t>avtogreideri saSualo tipis 79kvt</t>
  </si>
  <si>
    <t xml:space="preserve">nayarSi muSaoba </t>
  </si>
  <si>
    <t>1-118-5,6 SeniSvna</t>
  </si>
  <si>
    <t xml:space="preserve"> lokaluri  xarjTaRricxva # 2</t>
  </si>
  <si>
    <t xml:space="preserve"> lokaluri  xarjTaRricxva # 3</t>
  </si>
  <si>
    <t xml:space="preserve">  Txevadi bitumi </t>
  </si>
  <si>
    <t>Tavi II</t>
  </si>
  <si>
    <t>sul Tavi II</t>
  </si>
  <si>
    <t>k/sT</t>
  </si>
  <si>
    <t>saerTo   saxajTaR-ricxvo   Rirebuleba,   lari</t>
  </si>
  <si>
    <t>c</t>
  </si>
  <si>
    <t>mosamzadebeli samuSaoebi</t>
  </si>
  <si>
    <t>sul Tavi I</t>
  </si>
  <si>
    <t>wyali</t>
  </si>
  <si>
    <t>1-22-14</t>
  </si>
  <si>
    <t>kg</t>
  </si>
  <si>
    <t xml:space="preserve">Zeli </t>
  </si>
  <si>
    <t>WanWiki</t>
  </si>
  <si>
    <t>eleqtrodi</t>
  </si>
  <si>
    <t>15-164-7</t>
  </si>
  <si>
    <t xml:space="preserve">koleri </t>
  </si>
  <si>
    <t>pigmenti</t>
  </si>
  <si>
    <t>olifa</t>
  </si>
  <si>
    <r>
      <t>m</t>
    </r>
    <r>
      <rPr>
        <b/>
        <vertAlign val="superscript"/>
        <sz val="12"/>
        <rFont val="AcadNusx"/>
      </rPr>
      <t>3</t>
    </r>
  </si>
  <si>
    <r>
      <t>m</t>
    </r>
    <r>
      <rPr>
        <vertAlign val="superscript"/>
        <sz val="12"/>
        <rFont val="AcadNusx"/>
      </rPr>
      <t>3</t>
    </r>
  </si>
  <si>
    <t>saxarjTaRricxvo Rirebuleba, lari</t>
  </si>
  <si>
    <t>27-7-2</t>
  </si>
  <si>
    <t>satkepni sagzao TviTmavali pnevmosvlaze 18 t</t>
  </si>
  <si>
    <t>proeqtiT</t>
  </si>
  <si>
    <t>fraqciuli RorRis transportireba 45 km manZilidan</t>
  </si>
  <si>
    <r>
      <t>m</t>
    </r>
    <r>
      <rPr>
        <b/>
        <vertAlign val="superscript"/>
        <sz val="12"/>
        <rFont val="AcadNusx"/>
      </rPr>
      <t>2</t>
    </r>
  </si>
  <si>
    <t>6-28-3</t>
  </si>
  <si>
    <t>betoni</t>
  </si>
  <si>
    <t>30-3-2</t>
  </si>
  <si>
    <t>qviSa-xreSis narevi</t>
  </si>
  <si>
    <t>9-17-5</t>
  </si>
  <si>
    <t>cxauris mowyoba kuTxovaniT 80X80X6</t>
  </si>
  <si>
    <t>kuTxovana 80X80X6</t>
  </si>
  <si>
    <t>liTonis cxauris SeRebva antikoroziuli saRebaviT</t>
  </si>
  <si>
    <t>asfaltobetonis damgebi</t>
  </si>
  <si>
    <t>27-39-1                    27-40-1</t>
  </si>
  <si>
    <t>wvrilmarcvlovani asfaltobetoni</t>
  </si>
  <si>
    <t>Txevadi bitumis mosxma safuZvlis zeda fenaze 0,7 l/m2-ze</t>
  </si>
  <si>
    <t>qvesagebi fenis mowyoba qviSa-xreSovani nareviT fr 0-70 mm, sisqiT 10 sm</t>
  </si>
  <si>
    <t>qviSa-xreSovani narevis transportireba 45 km manZilidan</t>
  </si>
  <si>
    <t>betonis transportireba 45 km manZilidan</t>
  </si>
  <si>
    <t>qviSAa-xreSovani narevi</t>
  </si>
  <si>
    <t>27-28-1</t>
  </si>
  <si>
    <t>nawiburebis CaWra xerxiT</t>
  </si>
  <si>
    <t>Txevadi bitumis mosxma nawiburebze 0,35 l/g.m.</t>
  </si>
  <si>
    <t>qviSa-xreSovani narevis gaSla da datkepna vibraciuli satkepniT fenebad 6-jer gavliT, fenis sisqiT 20 sm</t>
  </si>
  <si>
    <r>
      <t>ficari Camoganuli III xarisxis,</t>
    </r>
    <r>
      <rPr>
        <sz val="12"/>
        <rFont val="Calibri"/>
        <family val="2"/>
        <charset val="204"/>
      </rPr>
      <t xml:space="preserve">        40 </t>
    </r>
    <r>
      <rPr>
        <sz val="12"/>
        <rFont val="AcadNusx"/>
      </rPr>
      <t xml:space="preserve">mm </t>
    </r>
  </si>
  <si>
    <r>
      <t xml:space="preserve">ficari Camoganuli III xarisxis,  </t>
    </r>
    <r>
      <rPr>
        <sz val="12"/>
        <rFont val="Calibri"/>
        <family val="2"/>
        <charset val="204"/>
      </rPr>
      <t xml:space="preserve">      25-32 </t>
    </r>
    <r>
      <rPr>
        <sz val="12"/>
        <rFont val="AcadNusx"/>
      </rPr>
      <t xml:space="preserve">mm </t>
    </r>
  </si>
  <si>
    <t>pr.</t>
  </si>
  <si>
    <r>
      <t>monoliTuri rkina-betonis kiuvetis mowyoba</t>
    </r>
    <r>
      <rPr>
        <b/>
        <sz val="12"/>
        <rFont val="Cambria"/>
        <family val="1"/>
        <charset val="204"/>
      </rPr>
      <t xml:space="preserve"> B30 F200 W6</t>
    </r>
  </si>
  <si>
    <r>
      <t xml:space="preserve">armatura </t>
    </r>
    <r>
      <rPr>
        <sz val="12"/>
        <rFont val="Calibri"/>
        <family val="2"/>
        <charset val="204"/>
      </rPr>
      <t>AI</t>
    </r>
    <r>
      <rPr>
        <sz val="12"/>
        <rFont val="AcadNusx"/>
      </rPr>
      <t xml:space="preserve"> Ǿ8</t>
    </r>
  </si>
  <si>
    <t>cali</t>
  </si>
  <si>
    <t>grZ.m</t>
  </si>
  <si>
    <t>III kat. gruntis moxsna meqanizmebiT datvirTva a/TviTmclelebze da zidva nayarSi 10 km-mde</t>
  </si>
  <si>
    <t>transportireba nayarSi 10 km manZilze</t>
  </si>
  <si>
    <t>III kat. gruntis moxsna xeliT datvirTva a/TviTmclelebze da zidva nayarSi 10 km-mde</t>
  </si>
  <si>
    <t>tranSeas carieli sivrcis Sevseba qviSa-xreSovani nareviT fr. 0-70 mm</t>
  </si>
  <si>
    <t>6</t>
  </si>
  <si>
    <t>27-19-4</t>
  </si>
  <si>
    <r>
      <t>bordiuri</t>
    </r>
    <r>
      <rPr>
        <sz val="12"/>
        <rFont val="Calibri"/>
        <family val="2"/>
        <charset val="204"/>
      </rPr>
      <t>L</t>
    </r>
    <r>
      <rPr>
        <sz val="12"/>
        <rFont val="AcadNusx"/>
      </rPr>
      <t>=1m</t>
    </r>
  </si>
  <si>
    <r>
      <t>safuZvlis betoni</t>
    </r>
    <r>
      <rPr>
        <sz val="12"/>
        <rFont val="Calibri"/>
        <family val="2"/>
        <charset val="204"/>
      </rPr>
      <t xml:space="preserve"> B15</t>
    </r>
    <r>
      <rPr>
        <sz val="12"/>
        <rFont val="AcadNusx"/>
      </rPr>
      <t xml:space="preserve">  </t>
    </r>
  </si>
  <si>
    <t>cementis xsnari М-100</t>
  </si>
  <si>
    <t>sabazro</t>
  </si>
  <si>
    <t>safaris mowyoba wvrilmarcvlovani a/betonis cxeli nareviT, sisqiT 5 sm</t>
  </si>
  <si>
    <t>12-105</t>
  </si>
  <si>
    <t>13.2-10</t>
  </si>
  <si>
    <t>12-118</t>
  </si>
  <si>
    <t>13.2-25</t>
  </si>
  <si>
    <t>3.1-261</t>
  </si>
  <si>
    <t>1.1-1</t>
  </si>
  <si>
    <t>4-21</t>
  </si>
  <si>
    <t>4-15</t>
  </si>
  <si>
    <t>4-12</t>
  </si>
  <si>
    <t>13.1-25</t>
  </si>
  <si>
    <t>12-189</t>
  </si>
  <si>
    <t>12-6</t>
  </si>
  <si>
    <t>1.5-32</t>
  </si>
  <si>
    <t>1.10-26</t>
  </si>
  <si>
    <t>1.10-22</t>
  </si>
  <si>
    <t>3.4-16</t>
  </si>
  <si>
    <t>12-173</t>
  </si>
  <si>
    <t>3.3-4</t>
  </si>
  <si>
    <t>12-175</t>
  </si>
  <si>
    <t>12-192</t>
  </si>
  <si>
    <t>12-201</t>
  </si>
  <si>
    <t>3.1-255</t>
  </si>
  <si>
    <t>12-190</t>
  </si>
  <si>
    <t>12-191</t>
  </si>
  <si>
    <t>12-204</t>
  </si>
  <si>
    <t>3.3-2</t>
  </si>
  <si>
    <t>6-11-1</t>
  </si>
  <si>
    <t>fari ficris yalibis</t>
  </si>
  <si>
    <r>
      <t>m</t>
    </r>
    <r>
      <rPr>
        <vertAlign val="superscript"/>
        <sz val="12"/>
        <rFont val="AcadNusx"/>
      </rPr>
      <t>2</t>
    </r>
  </si>
  <si>
    <t>Zeli</t>
  </si>
  <si>
    <r>
      <t>m</t>
    </r>
    <r>
      <rPr>
        <vertAlign val="superscript"/>
        <sz val="12"/>
        <rFont val="AcadNusx"/>
      </rPr>
      <t>3</t>
    </r>
    <r>
      <rPr>
        <sz val="11"/>
        <color indexed="8"/>
        <rFont val="Calibri"/>
        <family val="2"/>
        <charset val="204"/>
      </rPr>
      <t/>
    </r>
  </si>
  <si>
    <t>ficari Camoganuli III xarisxis, 40 mm</t>
  </si>
  <si>
    <t>samSeneblo WanWiki</t>
  </si>
  <si>
    <t>საბაზრო</t>
  </si>
  <si>
    <t>1-80-3</t>
  </si>
  <si>
    <t>armaturis transportireba 45 km manZilidan</t>
  </si>
  <si>
    <t>27-11.4</t>
  </si>
  <si>
    <r>
      <t>1000 m</t>
    </r>
    <r>
      <rPr>
        <b/>
        <vertAlign val="superscript"/>
        <sz val="12"/>
        <rFont val="AcadNusx"/>
      </rPr>
      <t>2</t>
    </r>
  </si>
  <si>
    <t xml:space="preserve">Sromis xarji </t>
  </si>
  <si>
    <t>AAAavtogreideris eqspluatacia G</t>
  </si>
  <si>
    <t>m/sT</t>
  </si>
  <si>
    <t>buldozeri 79 kvt (108cx.Z.)</t>
  </si>
  <si>
    <t xml:space="preserve">pnevmomtkepnavi TviTmavali 5t </t>
  </si>
  <si>
    <t xml:space="preserve">pnevmomtkepnavi TviTmavali 10t </t>
  </si>
  <si>
    <t>mosarwyav mosarecxi manqana moculobiT 6000 l</t>
  </si>
  <si>
    <t>qvis namtvrevebis manawilebeli
manqana</t>
  </si>
  <si>
    <t>fraqciuli RorRi 0-40 mm</t>
  </si>
  <si>
    <t>asfaltbetonis transportireba 45 km manZilidan</t>
  </si>
  <si>
    <t>polieTilenis mili</t>
  </si>
  <si>
    <t>qviSa</t>
  </si>
  <si>
    <t>22-5-13</t>
  </si>
  <si>
    <t>liTonis mili</t>
  </si>
  <si>
    <t>fari ficris, yalibis</t>
  </si>
  <si>
    <t>mza bordiurebis transportireba 45 km manZilidan</t>
  </si>
  <si>
    <t>betonis bordiuris mowyoba 15X30 sm</t>
  </si>
  <si>
    <t>30-51-3</t>
  </si>
  <si>
    <t>bitumi navTobis</t>
  </si>
  <si>
    <r>
      <t>cementis xsnari</t>
    </r>
    <r>
      <rPr>
        <sz val="12"/>
        <rFont val="Calibri"/>
        <family val="2"/>
        <charset val="204"/>
      </rPr>
      <t xml:space="preserve"> M150</t>
    </r>
  </si>
  <si>
    <t>sn. da w. 8-4-5</t>
  </si>
  <si>
    <t>Sromis danaxarji</t>
  </si>
  <si>
    <t>linekromi</t>
  </si>
  <si>
    <t>tona</t>
  </si>
  <si>
    <t>cementis xsnari</t>
  </si>
  <si>
    <t>1-123-8</t>
  </si>
  <si>
    <t>qvis transportireba 45 km manZilidan</t>
  </si>
  <si>
    <t>27-9-4</t>
  </si>
  <si>
    <t>sangrevi CaquCebi</t>
  </si>
  <si>
    <t>kompresori</t>
  </si>
  <si>
    <t>1-22-15</t>
  </si>
  <si>
    <t>samSeneblo nagvis datvirTva eqskavatoriT</t>
  </si>
  <si>
    <r>
      <t>1000 მ</t>
    </r>
    <r>
      <rPr>
        <vertAlign val="superscript"/>
        <sz val="12"/>
        <rFont val="AcadNusx"/>
      </rPr>
      <t>3</t>
    </r>
  </si>
  <si>
    <t>მ/ს</t>
  </si>
  <si>
    <t xml:space="preserve"> transportireba nayarSi 10 km manZilze</t>
  </si>
  <si>
    <t>ტ</t>
  </si>
  <si>
    <t>Sedgenilia 2023 wlis IV kv. fasebSi</t>
  </si>
  <si>
    <t>3.1-363</t>
  </si>
  <si>
    <t>3.1-363
3.1-375</t>
  </si>
  <si>
    <r>
      <t>betoni</t>
    </r>
    <r>
      <rPr>
        <sz val="12"/>
        <rFont val="Calibri"/>
        <family val="2"/>
        <charset val="204"/>
      </rPr>
      <t xml:space="preserve"> B15</t>
    </r>
    <r>
      <rPr>
        <sz val="12"/>
        <rFont val="AcadNusx"/>
      </rPr>
      <t xml:space="preserve"> (plastifikatoris danamatiT)</t>
    </r>
  </si>
  <si>
    <t>3.1-367
3,1-675</t>
  </si>
  <si>
    <t>3.1-258</t>
  </si>
  <si>
    <t>3.4-65</t>
  </si>
  <si>
    <t>3.4-64</t>
  </si>
  <si>
    <t>12-202</t>
  </si>
  <si>
    <t>3.1-259</t>
  </si>
  <si>
    <t>2,1-1</t>
  </si>
  <si>
    <t>4-128</t>
  </si>
  <si>
    <t>3.1-118</t>
  </si>
  <si>
    <t>3.1-391</t>
  </si>
  <si>
    <t>3.2-25</t>
  </si>
  <si>
    <t>1.1</t>
  </si>
  <si>
    <t>3.1-268</t>
  </si>
  <si>
    <t>12-304</t>
  </si>
  <si>
    <t>12-100</t>
  </si>
  <si>
    <t>13.1-10</t>
  </si>
  <si>
    <t>4</t>
  </si>
  <si>
    <t>arsebuli kotejis (jixuri) demontaJi da dasawyobeba damkveTis mier miTiTebul adgilze 10 km-mde manZilze</t>
  </si>
  <si>
    <t>arsebuli dazianebuli a/betonis safaris moxsna pnevmaturi CaquCebiT, datvirTva a/TviTmclelebze da zidva nayarSi 10 km-mde</t>
  </si>
  <si>
    <t>arsebuli dazianebuli betonis moxsna pnevmaturi CaquCebiT, datvirTva a/TviTmclelebze da zidva nayarSi 10 km-mde</t>
  </si>
  <si>
    <t>arsebuli sakomunikacio Webis moyvana gzis niSnulze betonis safuZvelze, specialuri betonis romlis Semkvrivebis dro iqneba araumetes 3 saaTi (8 cali)</t>
  </si>
  <si>
    <t>xelovnuri nagebobebis mowyoba</t>
  </si>
  <si>
    <t>xelovnuri nagebobebi</t>
  </si>
  <si>
    <t>amwe saavtomobilo svlaze svlaze 10 t</t>
  </si>
  <si>
    <t>anakrebi  konstruqciebi</t>
  </si>
  <si>
    <t>m</t>
  </si>
  <si>
    <t>3.3-6</t>
  </si>
  <si>
    <t>bitumis mastika</t>
  </si>
  <si>
    <t>anakrebi konstruqciebi transportireba 45 km manZilidan</t>
  </si>
  <si>
    <t>fr. RorRis sagebis mowyoba sisqiT 5 sm</t>
  </si>
  <si>
    <t>fr. RorRis transportireba 45 km manZilidan</t>
  </si>
  <si>
    <t>fr. RorRi</t>
  </si>
  <si>
    <t>anakrebi polimerbetonis Raris mowyoba saerTo sigrZiT 95 m.</t>
  </si>
  <si>
    <t>27-5-6 misad.</t>
  </si>
  <si>
    <t>liTonis cxauriT daxuruli pilimerbetonis Rari, saerTo sigrZiT 95 m</t>
  </si>
  <si>
    <t>monoliTuri rk/betonis kiuvetis mowyoba (tipi I) saerTo sigrZiT 103 m.</t>
  </si>
  <si>
    <t>cxauris mowyoba rk/betonis gadasaxurad, saerTo sigrZiT 103 m</t>
  </si>
  <si>
    <r>
      <t>liTonis mili</t>
    </r>
    <r>
      <rPr>
        <b/>
        <sz val="12"/>
        <rFont val="Calibri"/>
        <family val="2"/>
        <charset val="204"/>
      </rPr>
      <t xml:space="preserve"> D-426</t>
    </r>
    <r>
      <rPr>
        <b/>
        <sz val="12"/>
        <rFont val="AcadNusx"/>
      </rPr>
      <t>mm, kedlis sisqiT 8 mm</t>
    </r>
  </si>
  <si>
    <t>monoliTuri rk/betonis kiuvetis mowyoba (tipi II) saerTo sigrZiT 5 m</t>
  </si>
  <si>
    <t>cxauris mowyoba rk/betonis gadasaxurad, saerTo sigrZiT 5 m</t>
  </si>
  <si>
    <t>rk/betonis kedlebis mowyoba</t>
  </si>
  <si>
    <t>ЕНиР § Е 20-1-44-1 a  misadag.</t>
  </si>
  <si>
    <t xml:space="preserve"> sangrevi CaquCebi</t>
  </si>
  <si>
    <t>mnq/sT</t>
  </si>
  <si>
    <t xml:space="preserve">sn da w 1-22-18 misad </t>
  </si>
  <si>
    <t xml:space="preserve">mongreuli nawilebis datvirTva avtoTviTmclelebze </t>
  </si>
  <si>
    <t>sxva manqana</t>
  </si>
  <si>
    <t xml:space="preserve"> mongreuli nawilebis  transportireba nayarSi 10 km</t>
  </si>
  <si>
    <t>1-87-2</t>
  </si>
  <si>
    <t>tranSeas gamagreba xis farebiT</t>
  </si>
  <si>
    <t>samSeneblo mori</t>
  </si>
  <si>
    <t>ficari Camouganavi III xarisxis, 40-60mm</t>
  </si>
  <si>
    <t>15sm sisqis RorRis safuZvlis mowyoba da datkepna (TxrilSi)</t>
  </si>
  <si>
    <t>RorRi 0-40 mm</t>
  </si>
  <si>
    <t>6-1-1</t>
  </si>
  <si>
    <t>10sm sisqis betonis momzadebis mowyoba. betoni-B15</t>
  </si>
  <si>
    <t>6-11-7</t>
  </si>
  <si>
    <t xml:space="preserve">ficari Camoganuli III xarisxis,        40-60 mm </t>
  </si>
  <si>
    <t>22-8-3 misad</t>
  </si>
  <si>
    <t>26_8_11.</t>
  </si>
  <si>
    <t>deformaciuli nakeris mowyoba 2 sm sisqis "penopolistiroliT"</t>
  </si>
  <si>
    <t xml:space="preserve">Sromis danaxarji </t>
  </si>
  <si>
    <t>penopolistiroli sisqiT 2sm</t>
  </si>
  <si>
    <t>ГЭСН  2017 06-01-018-01</t>
  </si>
  <si>
    <t>deformaciuli nakeris amokverva bitumis mastikiT</t>
  </si>
  <si>
    <t>qvabi bitumis moZravi</t>
  </si>
  <si>
    <t>cxeli bitumis wasma betonis zedapirze 2-jer</t>
  </si>
  <si>
    <t>rulonuri hidroizolaciis gakvra  kedlebis gare  zedapirze  deformaciuli nakeris farglebSi</t>
  </si>
  <si>
    <t>bitumis emulsia</t>
  </si>
  <si>
    <t>8-4-8</t>
  </si>
  <si>
    <t>kedlebis ukan  20sm  sisqis  wyalgaumtari  fenis  mowyoba poxieri  TixiT</t>
  </si>
  <si>
    <t>Tixa</t>
  </si>
  <si>
    <t xml:space="preserve">kedlebis ukan  sadrenaJo  fenis  mowyoba  30sm  sisqis  qvayriliT </t>
  </si>
  <si>
    <t>qva</t>
  </si>
  <si>
    <r>
      <t>betoni</t>
    </r>
    <r>
      <rPr>
        <sz val="12"/>
        <rFont val="Calibri"/>
        <family val="2"/>
        <charset val="204"/>
      </rPr>
      <t xml:space="preserve"> B15</t>
    </r>
  </si>
  <si>
    <r>
      <t>monoliTuri rkinabetonis kedlis tanisa da saZirkvlis mowyoba</t>
    </r>
    <r>
      <rPr>
        <b/>
        <sz val="12"/>
        <rFont val="Calibri"/>
        <family val="2"/>
        <charset val="204"/>
      </rPr>
      <t xml:space="preserve"> B30; F200; W6 </t>
    </r>
    <r>
      <rPr>
        <b/>
        <sz val="12"/>
        <rFont val="AcadNusx"/>
      </rPr>
      <t>betoniT</t>
    </r>
  </si>
  <si>
    <r>
      <t>betoni</t>
    </r>
    <r>
      <rPr>
        <sz val="12"/>
        <rFont val="Calibri"/>
        <family val="2"/>
        <charset val="204"/>
      </rPr>
      <t>B30 F200 W6</t>
    </r>
  </si>
  <si>
    <r>
      <t>armatura</t>
    </r>
    <r>
      <rPr>
        <sz val="12"/>
        <rFont val="Calibri"/>
        <family val="2"/>
        <charset val="204"/>
      </rPr>
      <t xml:space="preserve">  AIII </t>
    </r>
  </si>
  <si>
    <r>
      <t xml:space="preserve">armatura </t>
    </r>
    <r>
      <rPr>
        <sz val="12"/>
        <rFont val="Calibri"/>
        <family val="2"/>
        <charset val="204"/>
      </rPr>
      <t xml:space="preserve">AI </t>
    </r>
  </si>
  <si>
    <t>arsebuli dazianebuli betonis blokis wyobis kedlis mongreva, datvirTva a/TviTmclelebze da zidva nayarSi 10 km-mde</t>
  </si>
  <si>
    <t>RorRis transportireba 45 km manZilidan</t>
  </si>
  <si>
    <t>sadrenaJo plastmasis milebi Ǿ110 mm</t>
  </si>
  <si>
    <t>4-9</t>
  </si>
  <si>
    <t>2.8-10</t>
  </si>
  <si>
    <t>3.3-5</t>
  </si>
  <si>
    <t>3.1-244</t>
  </si>
  <si>
    <t>12-36</t>
  </si>
  <si>
    <t>rk/betonis kibis mowyoba #1</t>
  </si>
  <si>
    <t>fraqciuli RorRis sagebis mowyoba sisqiT 15 sm</t>
  </si>
  <si>
    <r>
      <t>monoliTuri rkinabetonis kibis da kedlebis mowyoba</t>
    </r>
    <r>
      <rPr>
        <b/>
        <sz val="12"/>
        <rFont val="Calibri"/>
        <family val="2"/>
        <charset val="204"/>
      </rPr>
      <t xml:space="preserve"> B30; F200; W6 </t>
    </r>
    <r>
      <rPr>
        <b/>
        <sz val="12"/>
        <rFont val="AcadNusx"/>
      </rPr>
      <t>betoniT</t>
    </r>
  </si>
  <si>
    <t>kedlis wina da ukana sivrcis Sevseba qviSa-xreSovani nareviT</t>
  </si>
  <si>
    <t>carieli sivrcis Sevseba qviSa-xreSovani nareviT</t>
  </si>
  <si>
    <t>სნ და წ 7-21-9</t>
  </si>
  <si>
    <t>moajiris mowyoba</t>
  </si>
  <si>
    <t>გრ.მ</t>
  </si>
  <si>
    <t>SromiTi resursebi</t>
  </si>
  <si>
    <t>კ/სთ</t>
  </si>
  <si>
    <t>მნქ/სთ</t>
  </si>
  <si>
    <t>პრ</t>
  </si>
  <si>
    <t>15-164-8</t>
  </si>
  <si>
    <t>antikoroziuli saRebavi</t>
  </si>
  <si>
    <t>foladis kvadratuli mili 40X40X3 mm</t>
  </si>
  <si>
    <t>foladis marTkuTxa mili 40X20X2.5 mm</t>
  </si>
  <si>
    <t>foladis kvadratuli mili 20X20X2 mm</t>
  </si>
  <si>
    <t>rk/betonis kibis mowyoba #2</t>
  </si>
  <si>
    <t>30-11-3</t>
  </si>
  <si>
    <t>datvirTva TviTmclelze</t>
  </si>
  <si>
    <t>arsebuli dazianebuli kibis demontaJi meqanizmebiT, datvirTva a/TviTmclelebze da zidva nayarSi 10 km-mde</t>
  </si>
  <si>
    <t>fraqciuli RorRis sagebis mowyoba sisqiT 20 sm</t>
  </si>
  <si>
    <r>
      <t>armatura</t>
    </r>
    <r>
      <rPr>
        <sz val="12"/>
        <rFont val="Calibri"/>
        <family val="2"/>
        <charset val="204"/>
      </rPr>
      <t xml:space="preserve">  AIII - 6</t>
    </r>
  </si>
  <si>
    <r>
      <t>armatura</t>
    </r>
    <r>
      <rPr>
        <sz val="12"/>
        <rFont val="Calibri"/>
        <family val="2"/>
        <charset val="204"/>
      </rPr>
      <t xml:space="preserve">  AIII - 10</t>
    </r>
  </si>
  <si>
    <t>loTonis furceli 120X4</t>
  </si>
  <si>
    <t>foladis kvadratuli mili 60X60X3 mm</t>
  </si>
  <si>
    <t>foladis marTkuTxa mili 60X20X3 mm</t>
  </si>
  <si>
    <t>foladis kvadratuli mili 40X40X2,5 mm</t>
  </si>
  <si>
    <t>pr</t>
  </si>
  <si>
    <t>moajiris SeRebva antikoroziuli saRebaviT. 2 fena</t>
  </si>
  <si>
    <t>arsebuli betonis kibeebis reabilitacia</t>
  </si>
  <si>
    <t>მ2</t>
  </si>
  <si>
    <t>შრომითი დანახარჯები</t>
  </si>
  <si>
    <t>კაც/სთ</t>
  </si>
  <si>
    <t xml:space="preserve"> </t>
  </si>
  <si>
    <t>ხსნარის ტუმბო</t>
  </si>
  <si>
    <t>მან/სთ</t>
  </si>
  <si>
    <t>მ3</t>
  </si>
  <si>
    <t>სხვა მასალა</t>
  </si>
  <si>
    <t>ლარი</t>
  </si>
  <si>
    <r>
      <t>arsebuli kibis mTel farTze betonis safaris mowyoba, saS. sisqiT 5 sm (safexurebi, gverdebi, safexurebs Soris simaRllebi,gverdiTa kedlebi)</t>
    </r>
    <r>
      <rPr>
        <b/>
        <sz val="12"/>
        <rFont val="Calibri"/>
        <family val="2"/>
        <charset val="204"/>
      </rPr>
      <t xml:space="preserve"> B30; F200; W6 </t>
    </r>
    <r>
      <rPr>
        <b/>
        <sz val="12"/>
        <rFont val="AcadNusx"/>
      </rPr>
      <t>betoniT</t>
    </r>
  </si>
  <si>
    <t>liTonis bade 150X150X4 mm</t>
  </si>
  <si>
    <t>1.10-6</t>
  </si>
  <si>
    <t>8-4-3 მიყ.</t>
  </si>
  <si>
    <t>betonis zedapiris damuSaveba Txevadi parafinis mTel farTze mosxmiT</t>
  </si>
  <si>
    <t>Txevadi parafini</t>
  </si>
  <si>
    <t>arsebuli liTonis moajiris damuSaveba da SeRebva antikoroziuli saRebaviT</t>
  </si>
  <si>
    <t>arsebuli bazaltis safexurebis demontaJi da dasawyobeba damkveTis mier miTiTebul adgilas</t>
  </si>
  <si>
    <t>transportireba damkveTis mier miTiTebul adgilas 10 km manZilze</t>
  </si>
  <si>
    <t>arsebuli kedlebis reabilitacia</t>
  </si>
  <si>
    <t xml:space="preserve">arsebuli kedlis mTel farTis SebaTqaSeba, saS. sisqiT 5 sm </t>
  </si>
  <si>
    <t>ბეტონი B30W6F200</t>
  </si>
  <si>
    <t>პრ.</t>
  </si>
  <si>
    <t>15,55,5. მისად</t>
  </si>
  <si>
    <t>liTonis bade 150X150X6 mm</t>
  </si>
  <si>
    <t>1.10-14</t>
  </si>
  <si>
    <t xml:space="preserve">arsebuli kedlis mTel farTze betonis Selesva, saS. sisqiT 5 sm </t>
  </si>
  <si>
    <t>asfaltbetonis safaris mowyoba</t>
  </si>
  <si>
    <t>III kat. Ggruntis damuSaveba meqanizmebiT, farTis 90%-ze, saS. sisqiT 30 sm-ze datvirTva a/TviTmclelebze da zidva nayarSi 10 km-mde</t>
  </si>
  <si>
    <t>III kat. Ggruntis damuSaveba xeliT, farTis 10%-ze, saS. sisqiT 30 sm-ze datvirTva a/TviTmclelebze da zidva nayarSi 10km-mde</t>
  </si>
  <si>
    <t xml:space="preserve">safuZvlis qveda fenis mowyoba qviSa-xreSovani nareviT fr. 0-70mm, sisqiT 15 sm </t>
  </si>
  <si>
    <t>safuZvlis zeda fenis mowyoba fraqciuli RorRis 0-40mm. nareviT, sisqiT 15 sm</t>
  </si>
  <si>
    <t>asfaltbetonis da betonis safaris mowyoba</t>
  </si>
  <si>
    <t>betonis safaris mowyoba</t>
  </si>
  <si>
    <t>Semasworebeli fenis mowyoba fraqciuli RorRis 0-40mm. nareviT, sisqiT 15 sm</t>
  </si>
  <si>
    <t>27-24-17,18</t>
  </si>
  <si>
    <t>შრომის დანახარჯი</t>
  </si>
  <si>
    <t>სხვა მანქანა</t>
  </si>
  <si>
    <t>biTum=kauCukis mastika</t>
  </si>
  <si>
    <t>fari ficris</t>
  </si>
  <si>
    <r>
      <t>betonis safaris mowyoba, sisqiT 12sm,</t>
    </r>
    <r>
      <rPr>
        <b/>
        <sz val="12"/>
        <rFont val="Calibri"/>
        <family val="2"/>
        <charset val="204"/>
      </rPr>
      <t xml:space="preserve"> B22,5</t>
    </r>
  </si>
  <si>
    <r>
      <t>ბეტონი</t>
    </r>
    <r>
      <rPr>
        <sz val="12"/>
        <rFont val="Calibri"/>
        <family val="2"/>
        <charset val="204"/>
      </rPr>
      <t xml:space="preserve"> B30F200W6</t>
    </r>
  </si>
  <si>
    <t>liTonis bade 200X200X6 mm</t>
  </si>
  <si>
    <t>1.10-13</t>
  </si>
  <si>
    <t>sul Tavi I_III</t>
  </si>
  <si>
    <t>q. siRnaRSi, vaJa-fSavelas quCaze arsebuli #12, #14, #16, #18, #19, #21 da #23 mravalbiniani sacxovrebeli korpusebis keTilmowyobis samuSaoebi</t>
  </si>
  <si>
    <t>14</t>
  </si>
  <si>
    <t>24</t>
  </si>
  <si>
    <t>35</t>
  </si>
  <si>
    <t>40</t>
  </si>
  <si>
    <t>44</t>
  </si>
  <si>
    <t>52</t>
  </si>
  <si>
    <t>57</t>
  </si>
  <si>
    <t>60</t>
  </si>
  <si>
    <t>61</t>
  </si>
  <si>
    <t>ზღვრული ფასი</t>
  </si>
  <si>
    <t>satransporto xarjebi masalebze % (betonis garda)</t>
  </si>
  <si>
    <t xml:space="preserve">zednadebi xarjebi  % </t>
  </si>
  <si>
    <t xml:space="preserve">gegmiuri mogeba   % </t>
  </si>
  <si>
    <t>satransporto xarjebi masalebze % (armaturis, betonis da inertuli masalebis garda)</t>
  </si>
  <si>
    <t>satransporto xarjebi masalebze % (xreSis, RorRis, asfaltbetonis da betonis garda)</t>
  </si>
  <si>
    <t>შენიშვნა:</t>
  </si>
  <si>
    <t>მოცულობითი უწყისი წარმოდგენილია ზღვრული ფასებით</t>
  </si>
  <si>
    <t xml:space="preserve">პრეტენდენტის მიერ წარმოდგენილი ხარჯთაღიცხვის  თავების ჯამი არ უნდა
აღემატებოდეს მოცულობით უწყისში მითითებულ ზღვრულ ფასებს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</si>
</sst>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00"/>
    <numFmt numFmtId="166" formatCode="0.0000"/>
    <numFmt numFmtId="167" formatCode="0.00000"/>
    <numFmt numFmtId="168" formatCode="_-* #,##0.000_р_._-;\-* #,##0.000_р_._-;_-* &quot;-&quot;??_р_._-;_-@_-"/>
  </numFmts>
  <fonts count="48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b/>
      <sz val="12"/>
      <name val="AcadNusx"/>
    </font>
    <font>
      <sz val="10"/>
      <name val="AcadNusx"/>
    </font>
    <font>
      <sz val="12"/>
      <name val="AcadNusx"/>
    </font>
    <font>
      <sz val="12"/>
      <name val="Sylfaen"/>
      <family val="1"/>
      <charset val="204"/>
    </font>
    <font>
      <sz val="10"/>
      <name val="Arial Cyr"/>
      <family val="2"/>
      <charset val="204"/>
    </font>
    <font>
      <b/>
      <vertAlign val="superscript"/>
      <sz val="12"/>
      <name val="AcadNusx"/>
    </font>
    <font>
      <b/>
      <u/>
      <sz val="12"/>
      <name val="AcadNusx"/>
    </font>
    <font>
      <u/>
      <sz val="12"/>
      <name val="AcadNusx"/>
    </font>
    <font>
      <vertAlign val="superscript"/>
      <sz val="12"/>
      <name val="AcadNusx"/>
    </font>
    <font>
      <sz val="12"/>
      <name val="Arachveulebrivi Thin"/>
      <family val="2"/>
    </font>
    <font>
      <sz val="12"/>
      <name val="Calibri"/>
      <family val="2"/>
      <charset val="204"/>
    </font>
    <font>
      <b/>
      <sz val="12"/>
      <name val="Arachveulebrivi Thin"/>
      <family val="2"/>
    </font>
    <font>
      <sz val="11"/>
      <name val="AcadNusx"/>
    </font>
    <font>
      <b/>
      <i/>
      <u/>
      <sz val="12"/>
      <name val="AcadNusx"/>
    </font>
    <font>
      <b/>
      <sz val="12"/>
      <name val="Cambria"/>
      <family val="1"/>
      <charset val="204"/>
    </font>
    <font>
      <b/>
      <sz val="10"/>
      <name val="AcadNusx"/>
    </font>
    <font>
      <sz val="11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Arachveulebrivi Thin"/>
      <family val="2"/>
      <charset val="204"/>
    </font>
    <font>
      <b/>
      <sz val="12"/>
      <name val="Arachveulebrivi Thin"/>
      <family val="2"/>
      <charset val="204"/>
    </font>
    <font>
      <sz val="12"/>
      <name val="AcadMtavr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charset val="1"/>
      <scheme val="minor"/>
    </font>
    <font>
      <u/>
      <sz val="10"/>
      <color theme="10"/>
      <name val="Arial"/>
      <family val="2"/>
      <charset val="204"/>
    </font>
    <font>
      <b/>
      <sz val="12"/>
      <name val="Sylfaen"/>
      <family val="2"/>
      <charset val="204"/>
      <scheme val="minor"/>
    </font>
    <font>
      <sz val="12"/>
      <name val="Sylfaen"/>
      <family val="2"/>
      <charset val="204"/>
      <scheme val="minor"/>
    </font>
    <font>
      <sz val="10"/>
      <name val="Sylfaen"/>
      <family val="2"/>
      <charset val="204"/>
      <scheme val="minor"/>
    </font>
    <font>
      <sz val="12"/>
      <color rgb="FFFF0000"/>
      <name val="AcadNusx"/>
    </font>
    <font>
      <b/>
      <sz val="12"/>
      <color theme="1"/>
      <name val="AcadNusx"/>
    </font>
    <font>
      <b/>
      <sz val="12"/>
      <color rgb="FFFF0000"/>
      <name val="AcadNusx"/>
    </font>
    <font>
      <sz val="10"/>
      <color rgb="FFFF0000"/>
      <name val="AcadNusx"/>
    </font>
    <font>
      <sz val="12"/>
      <color rgb="FFFF0000"/>
      <name val="Arachveulebrivi Thin"/>
      <family val="2"/>
    </font>
    <font>
      <sz val="12"/>
      <color rgb="FFFF0000"/>
      <name val="Arachveulebrivi Thin"/>
      <family val="2"/>
      <charset val="204"/>
    </font>
    <font>
      <b/>
      <sz val="12"/>
      <color rgb="FFFF0000"/>
      <name val="Arachveulebrivi Thin"/>
      <family val="2"/>
      <charset val="204"/>
    </font>
    <font>
      <sz val="12"/>
      <color rgb="FFFF0000"/>
      <name val="AcadMtavr"/>
    </font>
    <font>
      <sz val="12"/>
      <color rgb="FFFF0000"/>
      <name val="Arial"/>
      <family val="2"/>
      <charset val="204"/>
    </font>
    <font>
      <sz val="11"/>
      <color rgb="FFFF0000"/>
      <name val="Sylfaen"/>
      <family val="2"/>
      <charset val="1"/>
      <scheme val="minor"/>
    </font>
    <font>
      <sz val="11"/>
      <color theme="1"/>
      <name val="Sylfaen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3">
    <xf numFmtId="0" fontId="0" fillId="0" borderId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31" fillId="0" borderId="0"/>
    <xf numFmtId="0" fontId="3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10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46" fillId="0" borderId="0" applyNumberFormat="0" applyFill="0" applyBorder="0" applyAlignment="0" applyProtection="0"/>
    <xf numFmtId="0" fontId="47" fillId="0" borderId="0"/>
  </cellStyleXfs>
  <cellXfs count="440">
    <xf numFmtId="0" fontId="0" fillId="0" borderId="0" xfId="0"/>
    <xf numFmtId="0" fontId="7" fillId="0" borderId="0" xfId="0" applyFont="1" applyFill="1" applyAlignment="1">
      <alignment horizontal="center" vertical="center" wrapText="1"/>
    </xf>
    <xf numFmtId="2" fontId="9" fillId="0" borderId="1" xfId="21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1" xfId="0" applyFont="1" applyFill="1" applyBorder="1"/>
    <xf numFmtId="2" fontId="9" fillId="0" borderId="4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2" fontId="9" fillId="0" borderId="4" xfId="21" applyNumberFormat="1" applyFont="1" applyFill="1" applyBorder="1" applyAlignment="1">
      <alignment horizontal="center" vertical="center"/>
    </xf>
    <xf numFmtId="2" fontId="9" fillId="0" borderId="1" xfId="21" applyNumberFormat="1" applyFont="1" applyFill="1" applyBorder="1" applyAlignment="1">
      <alignment horizontal="center" vertical="center"/>
    </xf>
    <xf numFmtId="2" fontId="9" fillId="0" borderId="0" xfId="21" applyNumberFormat="1" applyFont="1" applyFill="1" applyBorder="1" applyAlignment="1">
      <alignment horizontal="center" vertical="center"/>
    </xf>
    <xf numFmtId="2" fontId="9" fillId="0" borderId="2" xfId="2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4" xfId="21" applyFont="1" applyFill="1" applyBorder="1" applyAlignment="1">
      <alignment horizontal="center" vertical="center"/>
    </xf>
    <xf numFmtId="2" fontId="7" fillId="0" borderId="1" xfId="21" applyNumberFormat="1" applyFont="1" applyFill="1" applyBorder="1" applyAlignment="1">
      <alignment horizontal="center" vertical="center"/>
    </xf>
    <xf numFmtId="0" fontId="9" fillId="0" borderId="1" xfId="21" applyFont="1" applyFill="1" applyBorder="1" applyAlignment="1">
      <alignment horizontal="center" vertical="center"/>
    </xf>
    <xf numFmtId="49" fontId="9" fillId="0" borderId="1" xfId="21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4" xfId="21" applyFont="1" applyFill="1" applyBorder="1" applyAlignment="1">
      <alignment horizontal="center" vertical="center"/>
    </xf>
    <xf numFmtId="0" fontId="9" fillId="0" borderId="2" xfId="2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/>
    <xf numFmtId="2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6" xfId="2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49" fontId="7" fillId="0" borderId="1" xfId="2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9" fontId="9" fillId="0" borderId="5" xfId="21" applyNumberFormat="1" applyFont="1" applyFill="1" applyBorder="1" applyAlignment="1">
      <alignment horizontal="center" vertical="center" wrapText="1"/>
    </xf>
    <xf numFmtId="2" fontId="9" fillId="0" borderId="7" xfId="21" applyNumberFormat="1" applyFont="1" applyFill="1" applyBorder="1" applyAlignment="1">
      <alignment horizontal="center" vertical="center"/>
    </xf>
    <xf numFmtId="2" fontId="9" fillId="0" borderId="5" xfId="21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1" fontId="9" fillId="0" borderId="3" xfId="21" applyNumberFormat="1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9" fillId="0" borderId="1" xfId="3" applyFont="1" applyFill="1" applyBorder="1" applyAlignment="1">
      <alignment horizontal="center" vertical="center" wrapText="1"/>
    </xf>
    <xf numFmtId="9" fontId="9" fillId="0" borderId="1" xfId="24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/>
    </xf>
    <xf numFmtId="49" fontId="9" fillId="0" borderId="1" xfId="3" applyNumberFormat="1" applyFont="1" applyFill="1" applyBorder="1" applyAlignment="1">
      <alignment horizont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wrapText="1"/>
    </xf>
    <xf numFmtId="2" fontId="9" fillId="0" borderId="1" xfId="3" applyNumberFormat="1" applyFont="1" applyFill="1" applyBorder="1" applyAlignment="1">
      <alignment horizontal="center" vertical="center" wrapText="1"/>
    </xf>
    <xf numFmtId="165" fontId="9" fillId="0" borderId="1" xfId="3" applyNumberFormat="1" applyFont="1" applyFill="1" applyBorder="1" applyAlignment="1">
      <alignment horizontal="center" wrapText="1"/>
    </xf>
    <xf numFmtId="2" fontId="9" fillId="0" borderId="1" xfId="3" applyNumberFormat="1" applyFont="1" applyFill="1" applyBorder="1" applyAlignment="1">
      <alignment horizontal="center" wrapText="1"/>
    </xf>
    <xf numFmtId="2" fontId="9" fillId="0" borderId="4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/>
    </xf>
    <xf numFmtId="2" fontId="9" fillId="0" borderId="1" xfId="3" applyNumberFormat="1" applyFont="1" applyFill="1" applyBorder="1" applyAlignment="1">
      <alignment horizontal="center" vertical="center"/>
    </xf>
    <xf numFmtId="2" fontId="9" fillId="0" borderId="4" xfId="3" applyNumberFormat="1" applyFont="1" applyFill="1" applyBorder="1" applyAlignment="1">
      <alignment horizontal="center" vertical="center"/>
    </xf>
    <xf numFmtId="165" fontId="9" fillId="0" borderId="1" xfId="3" applyNumberFormat="1" applyFont="1" applyFill="1" applyBorder="1" applyAlignment="1">
      <alignment horizontal="center" vertical="center" wrapText="1"/>
    </xf>
    <xf numFmtId="49" fontId="9" fillId="0" borderId="2" xfId="3" applyNumberFormat="1" applyFont="1" applyFill="1" applyBorder="1" applyAlignment="1">
      <alignment horizontal="center"/>
    </xf>
    <xf numFmtId="49" fontId="9" fillId="0" borderId="2" xfId="3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/>
    </xf>
    <xf numFmtId="9" fontId="9" fillId="0" borderId="2" xfId="24" applyFont="1" applyFill="1" applyBorder="1" applyAlignment="1">
      <alignment horizontal="center" vertical="center"/>
    </xf>
    <xf numFmtId="2" fontId="9" fillId="0" borderId="2" xfId="3" applyNumberFormat="1" applyFont="1" applyFill="1" applyBorder="1" applyAlignment="1">
      <alignment horizontal="center"/>
    </xf>
    <xf numFmtId="2" fontId="9" fillId="0" borderId="6" xfId="3" applyNumberFormat="1" applyFont="1" applyFill="1" applyBorder="1" applyAlignment="1">
      <alignment horizontal="center"/>
    </xf>
    <xf numFmtId="2" fontId="7" fillId="0" borderId="2" xfId="3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1" fontId="9" fillId="0" borderId="5" xfId="21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/>
    <xf numFmtId="2" fontId="7" fillId="0" borderId="4" xfId="21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2" fontId="9" fillId="0" borderId="2" xfId="3" applyNumberFormat="1" applyFont="1" applyFill="1" applyBorder="1" applyAlignment="1">
      <alignment horizontal="center" vertical="center"/>
    </xf>
    <xf numFmtId="2" fontId="7" fillId="0" borderId="2" xfId="3" applyNumberFormat="1" applyFont="1" applyFill="1" applyBorder="1" applyAlignment="1">
      <alignment horizontal="center" vertical="center"/>
    </xf>
    <xf numFmtId="1" fontId="9" fillId="0" borderId="7" xfId="21" applyNumberFormat="1" applyFont="1" applyFill="1" applyBorder="1" applyAlignment="1">
      <alignment horizontal="center" vertical="center"/>
    </xf>
    <xf numFmtId="2" fontId="9" fillId="0" borderId="6" xfId="3" applyNumberFormat="1" applyFont="1" applyFill="1" applyBorder="1" applyAlignment="1">
      <alignment horizontal="center" vertical="center"/>
    </xf>
    <xf numFmtId="0" fontId="9" fillId="0" borderId="5" xfId="21" applyFont="1" applyFill="1" applyBorder="1" applyAlignment="1">
      <alignment horizontal="center" vertical="center"/>
    </xf>
    <xf numFmtId="0" fontId="9" fillId="0" borderId="5" xfId="21" applyFont="1" applyFill="1" applyBorder="1" applyAlignment="1">
      <alignment horizontal="center" vertical="center" wrapText="1"/>
    </xf>
    <xf numFmtId="0" fontId="9" fillId="0" borderId="0" xfId="0" applyFont="1" applyFill="1"/>
    <xf numFmtId="2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/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9" fillId="0" borderId="0" xfId="0" applyNumberFormat="1" applyFont="1" applyFill="1" applyBorder="1"/>
    <xf numFmtId="2" fontId="9" fillId="0" borderId="0" xfId="0" applyNumberFormat="1" applyFont="1" applyFill="1"/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9" fillId="0" borderId="8" xfId="0" applyFont="1" applyFill="1" applyBorder="1"/>
    <xf numFmtId="0" fontId="9" fillId="0" borderId="9" xfId="0" applyFont="1" applyFill="1" applyBorder="1"/>
    <xf numFmtId="0" fontId="9" fillId="0" borderId="8" xfId="0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4" fontId="9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Fill="1" applyBorder="1"/>
    <xf numFmtId="2" fontId="7" fillId="0" borderId="0" xfId="0" applyNumberFormat="1" applyFont="1" applyFill="1" applyBorder="1"/>
    <xf numFmtId="0" fontId="9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9" fillId="0" borderId="6" xfId="21" applyNumberFormat="1" applyFont="1" applyFill="1" applyBorder="1" applyAlignment="1">
      <alignment horizontal="center" vertical="center"/>
    </xf>
    <xf numFmtId="2" fontId="9" fillId="0" borderId="10" xfId="21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/>
    <xf numFmtId="0" fontId="9" fillId="0" borderId="3" xfId="0" applyFont="1" applyFill="1" applyBorder="1"/>
    <xf numFmtId="0" fontId="9" fillId="0" borderId="13" xfId="0" applyFont="1" applyFill="1" applyBorder="1"/>
    <xf numFmtId="2" fontId="7" fillId="0" borderId="3" xfId="21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167" fontId="9" fillId="0" borderId="2" xfId="0" applyNumberFormat="1" applyFont="1" applyFill="1" applyBorder="1" applyAlignment="1">
      <alignment horizontal="center" vertical="center"/>
    </xf>
    <xf numFmtId="0" fontId="9" fillId="0" borderId="2" xfId="2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/>
    <xf numFmtId="0" fontId="7" fillId="0" borderId="12" xfId="21" applyFont="1" applyFill="1" applyBorder="1" applyAlignment="1">
      <alignment horizontal="center" vertical="center" wrapText="1"/>
    </xf>
    <xf numFmtId="49" fontId="9" fillId="0" borderId="1" xfId="21" applyNumberFormat="1" applyFont="1" applyFill="1" applyBorder="1" applyAlignment="1">
      <alignment horizontal="center" vertical="center" wrapText="1"/>
    </xf>
    <xf numFmtId="0" fontId="9" fillId="0" borderId="12" xfId="21" applyFont="1" applyFill="1" applyBorder="1" applyAlignment="1">
      <alignment horizontal="center" vertical="center" wrapText="1"/>
    </xf>
    <xf numFmtId="49" fontId="9" fillId="0" borderId="2" xfId="21" applyNumberFormat="1" applyFont="1" applyFill="1" applyBorder="1" applyAlignment="1">
      <alignment horizontal="center" vertical="center" wrapText="1"/>
    </xf>
    <xf numFmtId="0" fontId="9" fillId="0" borderId="11" xfId="2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center" wrapText="1"/>
    </xf>
    <xf numFmtId="0" fontId="7" fillId="0" borderId="1" xfId="2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/>
    </xf>
    <xf numFmtId="166" fontId="9" fillId="0" borderId="1" xfId="21" applyNumberFormat="1" applyFont="1" applyFill="1" applyBorder="1" applyAlignment="1">
      <alignment horizontal="center" vertical="center"/>
    </xf>
    <xf numFmtId="165" fontId="9" fillId="0" borderId="1" xfId="21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49" fontId="7" fillId="0" borderId="1" xfId="3" applyNumberFormat="1" applyFont="1" applyFill="1" applyBorder="1" applyAlignment="1">
      <alignment horizontal="center" wrapText="1"/>
    </xf>
    <xf numFmtId="49" fontId="7" fillId="0" borderId="1" xfId="3" applyNumberFormat="1" applyFont="1" applyFill="1" applyBorder="1" applyAlignment="1">
      <alignment horizontal="center"/>
    </xf>
    <xf numFmtId="49" fontId="7" fillId="0" borderId="2" xfId="3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5" xfId="21" applyFont="1" applyFill="1" applyBorder="1" applyAlignment="1">
      <alignment horizontal="center" vertical="center"/>
    </xf>
    <xf numFmtId="2" fontId="9" fillId="0" borderId="3" xfId="21" applyNumberFormat="1" applyFont="1" applyFill="1" applyBorder="1" applyAlignment="1">
      <alignment horizontal="center" vertical="center"/>
    </xf>
    <xf numFmtId="0" fontId="7" fillId="0" borderId="3" xfId="2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7" fillId="0" borderId="1" xfId="2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2" fontId="9" fillId="0" borderId="3" xfId="3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165" fontId="9" fillId="0" borderId="4" xfId="21" applyNumberFormat="1" applyFont="1" applyFill="1" applyBorder="1" applyAlignment="1">
      <alignment horizontal="center" vertical="center"/>
    </xf>
    <xf numFmtId="165" fontId="9" fillId="0" borderId="2" xfId="21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9" fillId="0" borderId="2" xfId="21" applyFont="1" applyFill="1" applyBorder="1" applyAlignment="1">
      <alignment horizontal="center" wrapText="1"/>
    </xf>
    <xf numFmtId="0" fontId="7" fillId="0" borderId="0" xfId="2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7" fillId="0" borderId="2" xfId="2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2" fontId="9" fillId="0" borderId="11" xfId="21" applyNumberFormat="1" applyFont="1" applyFill="1" applyBorder="1" applyAlignment="1">
      <alignment horizontal="center" vertical="center"/>
    </xf>
    <xf numFmtId="2" fontId="9" fillId="2" borderId="5" xfId="21" applyNumberFormat="1" applyFont="1" applyFill="1" applyBorder="1" applyAlignment="1">
      <alignment horizontal="center" vertical="center"/>
    </xf>
    <xf numFmtId="49" fontId="7" fillId="0" borderId="3" xfId="21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/>
    </xf>
    <xf numFmtId="2" fontId="13" fillId="0" borderId="12" xfId="21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2" fontId="9" fillId="0" borderId="12" xfId="2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21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/>
    <xf numFmtId="2" fontId="14" fillId="0" borderId="6" xfId="2" applyNumberFormat="1" applyFont="1" applyFill="1" applyBorder="1" applyAlignment="1" applyProtection="1">
      <alignment horizontal="center" vertical="center" wrapText="1"/>
    </xf>
    <xf numFmtId="0" fontId="7" fillId="0" borderId="3" xfId="21" applyFont="1" applyFill="1" applyBorder="1" applyAlignment="1">
      <alignment horizontal="center" vertical="center" wrapText="1"/>
    </xf>
    <xf numFmtId="2" fontId="13" fillId="0" borderId="3" xfId="21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2" fontId="34" fillId="0" borderId="3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36" fillId="0" borderId="0" xfId="0" applyFont="1" applyFill="1"/>
    <xf numFmtId="2" fontId="36" fillId="0" borderId="0" xfId="0" applyNumberFormat="1" applyFont="1" applyFill="1"/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1" xfId="12" applyNumberFormat="1" applyFont="1" applyFill="1" applyBorder="1" applyAlignment="1">
      <alignment horizontal="center" vertical="center"/>
    </xf>
    <xf numFmtId="0" fontId="36" fillId="0" borderId="1" xfId="0" applyFont="1" applyFill="1" applyBorder="1"/>
    <xf numFmtId="0" fontId="8" fillId="0" borderId="0" xfId="0" applyFont="1" applyFill="1" applyAlignment="1">
      <alignment vertical="center" wrapText="1"/>
    </xf>
    <xf numFmtId="1" fontId="22" fillId="0" borderId="2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2" fontId="35" fillId="0" borderId="2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/>
    <xf numFmtId="2" fontId="35" fillId="0" borderId="2" xfId="12" applyNumberFormat="1" applyFont="1" applyFill="1" applyBorder="1" applyAlignment="1">
      <alignment horizontal="center" vertical="center"/>
    </xf>
    <xf numFmtId="2" fontId="9" fillId="0" borderId="13" xfId="21" applyNumberFormat="1" applyFont="1" applyFill="1" applyBorder="1" applyAlignment="1">
      <alignment horizontal="center" vertical="center"/>
    </xf>
    <xf numFmtId="2" fontId="9" fillId="0" borderId="15" xfId="21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19" fillId="0" borderId="12" xfId="21" applyFont="1" applyFill="1" applyBorder="1" applyAlignment="1">
      <alignment horizontal="center" vertical="center" wrapText="1"/>
    </xf>
    <xf numFmtId="49" fontId="9" fillId="0" borderId="1" xfId="0" applyNumberFormat="1" applyFont="1" applyFill="1" applyBorder="1"/>
    <xf numFmtId="0" fontId="7" fillId="0" borderId="3" xfId="23" applyFont="1" applyFill="1" applyBorder="1" applyAlignment="1">
      <alignment horizontal="center" vertical="center" wrapText="1"/>
    </xf>
    <xf numFmtId="0" fontId="7" fillId="0" borderId="3" xfId="23" applyFont="1" applyFill="1" applyBorder="1" applyAlignment="1">
      <alignment horizontal="center" vertical="center"/>
    </xf>
    <xf numFmtId="168" fontId="7" fillId="0" borderId="3" xfId="1" applyNumberFormat="1" applyFont="1" applyFill="1" applyBorder="1" applyAlignment="1">
      <alignment horizontal="center" vertical="center"/>
    </xf>
    <xf numFmtId="0" fontId="9" fillId="0" borderId="1" xfId="23" applyFont="1" applyFill="1" applyBorder="1" applyAlignment="1">
      <alignment horizontal="center" vertical="center"/>
    </xf>
    <xf numFmtId="0" fontId="9" fillId="0" borderId="1" xfId="23" applyFont="1" applyFill="1" applyBorder="1" applyAlignment="1">
      <alignment horizontal="center" vertical="center" wrapText="1"/>
    </xf>
    <xf numFmtId="2" fontId="9" fillId="0" borderId="1" xfId="23" applyNumberFormat="1" applyFont="1" applyFill="1" applyBorder="1" applyAlignment="1">
      <alignment horizontal="center" vertical="center"/>
    </xf>
    <xf numFmtId="0" fontId="9" fillId="0" borderId="1" xfId="22" applyFont="1" applyFill="1" applyBorder="1" applyAlignment="1">
      <alignment horizontal="center"/>
    </xf>
    <xf numFmtId="0" fontId="9" fillId="0" borderId="2" xfId="22" applyFont="1" applyFill="1" applyBorder="1" applyAlignment="1">
      <alignment horizontal="center"/>
    </xf>
    <xf numFmtId="49" fontId="9" fillId="0" borderId="3" xfId="21" applyNumberFormat="1" applyFont="1" applyFill="1" applyBorder="1" applyAlignment="1">
      <alignment horizontal="center" vertical="center" wrapText="1"/>
    </xf>
    <xf numFmtId="0" fontId="7" fillId="0" borderId="13" xfId="2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0" xfId="0" applyFont="1" applyFill="1" applyBorder="1" applyAlignment="1"/>
    <xf numFmtId="0" fontId="9" fillId="0" borderId="1" xfId="21" applyFont="1" applyFill="1" applyBorder="1" applyAlignment="1">
      <alignment horizontal="center" wrapText="1"/>
    </xf>
    <xf numFmtId="49" fontId="9" fillId="0" borderId="2" xfId="21" applyNumberFormat="1" applyFont="1" applyFill="1" applyBorder="1" applyAlignment="1">
      <alignment horizontal="center" vertical="center"/>
    </xf>
    <xf numFmtId="0" fontId="9" fillId="0" borderId="0" xfId="21" applyFont="1" applyFill="1" applyAlignment="1">
      <alignment horizontal="center" vertical="center" wrapText="1"/>
    </xf>
    <xf numFmtId="0" fontId="7" fillId="0" borderId="14" xfId="21" applyFont="1" applyFill="1" applyBorder="1" applyAlignment="1">
      <alignment horizontal="center" vertical="center" wrapText="1"/>
    </xf>
    <xf numFmtId="2" fontId="13" fillId="0" borderId="14" xfId="21" applyNumberFormat="1" applyFont="1" applyFill="1" applyBorder="1" applyAlignment="1">
      <alignment horizontal="center" vertical="center"/>
    </xf>
    <xf numFmtId="49" fontId="7" fillId="0" borderId="1" xfId="21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2" fontId="9" fillId="0" borderId="1" xfId="20" applyNumberFormat="1" applyFont="1" applyFill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6" xfId="0" applyFont="1" applyFill="1" applyBorder="1"/>
    <xf numFmtId="2" fontId="9" fillId="0" borderId="3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21" applyNumberFormat="1" applyFont="1" applyFill="1" applyBorder="1" applyAlignment="1">
      <alignment horizontal="center" vertical="center"/>
    </xf>
    <xf numFmtId="2" fontId="13" fillId="0" borderId="1" xfId="21" applyNumberFormat="1" applyFont="1" applyFill="1" applyBorder="1" applyAlignment="1">
      <alignment horizontal="center" vertical="center"/>
    </xf>
    <xf numFmtId="1" fontId="9" fillId="0" borderId="1" xfId="21" applyNumberFormat="1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2" borderId="2" xfId="2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2" fontId="13" fillId="0" borderId="15" xfId="21" applyNumberFormat="1" applyFont="1" applyFill="1" applyBorder="1" applyAlignment="1">
      <alignment horizontal="center" vertical="center"/>
    </xf>
    <xf numFmtId="165" fontId="7" fillId="0" borderId="3" xfId="21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165" fontId="9" fillId="0" borderId="1" xfId="21" applyNumberFormat="1" applyFont="1" applyFill="1" applyBorder="1" applyAlignment="1">
      <alignment horizontal="center"/>
    </xf>
    <xf numFmtId="0" fontId="9" fillId="0" borderId="4" xfId="2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/>
    </xf>
    <xf numFmtId="0" fontId="26" fillId="0" borderId="0" xfId="0" applyFont="1" applyFill="1"/>
    <xf numFmtId="0" fontId="25" fillId="0" borderId="0" xfId="3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/>
    <xf numFmtId="165" fontId="7" fillId="0" borderId="3" xfId="0" applyNumberFormat="1" applyFont="1" applyFill="1" applyBorder="1" applyAlignment="1">
      <alignment horizontal="center"/>
    </xf>
    <xf numFmtId="1" fontId="7" fillId="0" borderId="3" xfId="12" applyNumberFormat="1" applyFont="1" applyFill="1" applyBorder="1" applyAlignment="1">
      <alignment horizontal="center" vertical="center"/>
    </xf>
    <xf numFmtId="166" fontId="9" fillId="0" borderId="2" xfId="21" applyNumberFormat="1" applyFont="1" applyFill="1" applyBorder="1" applyAlignment="1">
      <alignment horizontal="center" vertical="center"/>
    </xf>
    <xf numFmtId="2" fontId="9" fillId="3" borderId="5" xfId="21" applyNumberFormat="1" applyFont="1" applyFill="1" applyBorder="1" applyAlignment="1">
      <alignment horizontal="center" vertical="center"/>
    </xf>
    <xf numFmtId="2" fontId="9" fillId="3" borderId="7" xfId="21" applyNumberFormat="1" applyFont="1" applyFill="1" applyBorder="1" applyAlignment="1">
      <alignment horizontal="center" vertical="center"/>
    </xf>
    <xf numFmtId="0" fontId="9" fillId="0" borderId="0" xfId="2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 vertical="center"/>
    </xf>
    <xf numFmtId="165" fontId="7" fillId="0" borderId="3" xfId="3" applyNumberFormat="1" applyFont="1" applyFill="1" applyBorder="1" applyAlignment="1">
      <alignment horizontal="center" vertical="center"/>
    </xf>
    <xf numFmtId="2" fontId="7" fillId="0" borderId="3" xfId="3" applyNumberFormat="1" applyFont="1" applyFill="1" applyBorder="1" applyAlignment="1">
      <alignment horizontal="center" vertical="center"/>
    </xf>
    <xf numFmtId="165" fontId="9" fillId="0" borderId="1" xfId="3" applyNumberFormat="1" applyFont="1" applyFill="1" applyBorder="1" applyAlignment="1">
      <alignment horizontal="center" vertical="center"/>
    </xf>
    <xf numFmtId="165" fontId="9" fillId="0" borderId="2" xfId="3" applyNumberFormat="1" applyFont="1" applyFill="1" applyBorder="1" applyAlignment="1">
      <alignment horizontal="center" vertical="center"/>
    </xf>
    <xf numFmtId="49" fontId="34" fillId="0" borderId="3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2" fontId="28" fillId="0" borderId="3" xfId="0" applyNumberFormat="1" applyFont="1" applyFill="1" applyBorder="1" applyAlignment="1">
      <alignment horizontal="center" vertical="center"/>
    </xf>
    <xf numFmtId="0" fontId="29" fillId="0" borderId="0" xfId="0" applyFont="1" applyFill="1"/>
    <xf numFmtId="49" fontId="34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49" fontId="34" fillId="0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165" fontId="30" fillId="0" borderId="2" xfId="0" applyNumberFormat="1" applyFont="1" applyFill="1" applyBorder="1" applyAlignment="1">
      <alignment horizontal="center" vertical="center"/>
    </xf>
    <xf numFmtId="2" fontId="30" fillId="0" borderId="2" xfId="0" applyNumberFormat="1" applyFont="1" applyFill="1" applyBorder="1" applyAlignment="1">
      <alignment horizontal="center" vertical="center"/>
    </xf>
    <xf numFmtId="49" fontId="7" fillId="0" borderId="3" xfId="3" applyNumberFormat="1" applyFont="1" applyFill="1" applyBorder="1" applyAlignment="1">
      <alignment horizontal="center" vertical="center" wrapText="1"/>
    </xf>
    <xf numFmtId="0" fontId="37" fillId="0" borderId="0" xfId="0" applyFont="1" applyFill="1"/>
    <xf numFmtId="0" fontId="9" fillId="0" borderId="1" xfId="1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/>
    </xf>
    <xf numFmtId="0" fontId="37" fillId="0" borderId="5" xfId="0" applyFont="1" applyFill="1" applyBorder="1" applyAlignment="1">
      <alignment horizontal="center"/>
    </xf>
    <xf numFmtId="2" fontId="37" fillId="0" borderId="5" xfId="0" applyNumberFormat="1" applyFont="1" applyFill="1" applyBorder="1" applyAlignment="1">
      <alignment horizontal="center"/>
    </xf>
    <xf numFmtId="0" fontId="37" fillId="0" borderId="5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2" fillId="0" borderId="5" xfId="3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/>
    </xf>
    <xf numFmtId="0" fontId="42" fillId="0" borderId="5" xfId="0" applyFont="1" applyFill="1" applyBorder="1" applyAlignment="1">
      <alignment horizontal="center"/>
    </xf>
    <xf numFmtId="0" fontId="43" fillId="0" borderId="5" xfId="0" applyFont="1" applyFill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45" fillId="0" borderId="5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2" fontId="37" fillId="0" borderId="3" xfId="0" applyNumberFormat="1" applyFont="1" applyBorder="1" applyAlignment="1">
      <alignment horizontal="center" vertical="center" wrapText="1"/>
    </xf>
    <xf numFmtId="2" fontId="37" fillId="0" borderId="1" xfId="0" applyNumberFormat="1" applyFont="1" applyBorder="1" applyAlignment="1">
      <alignment horizontal="center" vertical="center" wrapText="1"/>
    </xf>
    <xf numFmtId="2" fontId="37" fillId="0" borderId="2" xfId="0" applyNumberFormat="1" applyFont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0" borderId="14" xfId="21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6" xfId="21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3" xfId="21" applyNumberFormat="1" applyFont="1" applyFill="1" applyBorder="1" applyAlignment="1">
      <alignment horizontal="center" vertical="center"/>
    </xf>
    <xf numFmtId="2" fontId="9" fillId="0" borderId="2" xfId="2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2" fontId="9" fillId="0" borderId="13" xfId="21" applyNumberFormat="1" applyFont="1" applyFill="1" applyBorder="1" applyAlignment="1">
      <alignment horizontal="center" vertical="center"/>
    </xf>
    <xf numFmtId="2" fontId="9" fillId="0" borderId="15" xfId="21" applyNumberFormat="1" applyFont="1" applyFill="1" applyBorder="1" applyAlignment="1">
      <alignment horizontal="center" vertical="center"/>
    </xf>
    <xf numFmtId="2" fontId="9" fillId="0" borderId="10" xfId="21" applyNumberFormat="1" applyFont="1" applyFill="1" applyBorder="1" applyAlignment="1">
      <alignment horizontal="center" vertical="center"/>
    </xf>
    <xf numFmtId="2" fontId="9" fillId="0" borderId="11" xfId="21" applyNumberFormat="1" applyFont="1" applyFill="1" applyBorder="1" applyAlignment="1">
      <alignment horizontal="center" vertical="center"/>
    </xf>
    <xf numFmtId="49" fontId="9" fillId="0" borderId="3" xfId="21" applyNumberFormat="1" applyFont="1" applyFill="1" applyBorder="1" applyAlignment="1">
      <alignment horizontal="center" vertical="center" textRotation="90" wrapText="1"/>
    </xf>
    <xf numFmtId="49" fontId="9" fillId="0" borderId="1" xfId="21" applyNumberFormat="1" applyFont="1" applyFill="1" applyBorder="1" applyAlignment="1">
      <alignment horizontal="center" vertical="center" textRotation="90" wrapText="1"/>
    </xf>
    <xf numFmtId="49" fontId="9" fillId="0" borderId="2" xfId="21" applyNumberFormat="1" applyFont="1" applyFill="1" applyBorder="1" applyAlignment="1">
      <alignment horizontal="center" vertical="center" textRotation="90" wrapText="1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" xfId="21" applyFont="1" applyFill="1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2" borderId="6" xfId="21" applyFont="1" applyFill="1" applyBorder="1" applyAlignment="1">
      <alignment horizontal="center" vertical="center" wrapText="1"/>
    </xf>
    <xf numFmtId="0" fontId="20" fillId="2" borderId="10" xfId="21" applyFont="1" applyFill="1" applyBorder="1" applyAlignment="1">
      <alignment horizontal="center" vertical="center" wrapText="1"/>
    </xf>
    <xf numFmtId="0" fontId="20" fillId="2" borderId="11" xfId="2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20" fillId="2" borderId="7" xfId="21" applyFont="1" applyFill="1" applyBorder="1" applyAlignment="1">
      <alignment horizontal="center" vertical="center" wrapText="1"/>
    </xf>
    <xf numFmtId="0" fontId="20" fillId="2" borderId="8" xfId="21" applyFont="1" applyFill="1" applyBorder="1" applyAlignment="1">
      <alignment horizontal="center" vertical="center" wrapText="1"/>
    </xf>
    <xf numFmtId="0" fontId="20" fillId="2" borderId="9" xfId="2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49" fontId="20" fillId="0" borderId="8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0" fontId="20" fillId="3" borderId="7" xfId="21" applyFont="1" applyFill="1" applyBorder="1" applyAlignment="1">
      <alignment horizontal="center" vertical="center"/>
    </xf>
    <xf numFmtId="0" fontId="20" fillId="3" borderId="8" xfId="21" applyFont="1" applyFill="1" applyBorder="1" applyAlignment="1">
      <alignment horizontal="center" vertical="center"/>
    </xf>
    <xf numFmtId="0" fontId="20" fillId="3" borderId="9" xfId="21" applyFont="1" applyFill="1" applyBorder="1" applyAlignment="1">
      <alignment horizontal="center" vertical="center"/>
    </xf>
    <xf numFmtId="0" fontId="7" fillId="0" borderId="3" xfId="2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6" fillId="0" borderId="0" xfId="31" applyAlignment="1">
      <alignment horizontal="center" vertical="center"/>
    </xf>
    <xf numFmtId="0" fontId="46" fillId="0" borderId="0" xfId="31" applyAlignment="1">
      <alignment horizontal="center" vertical="center" wrapText="1"/>
    </xf>
  </cellXfs>
  <cellStyles count="33">
    <cellStyle name="Comma" xfId="1" builtinId="3"/>
    <cellStyle name="Hyperlink" xfId="2" builtinId="8"/>
    <cellStyle name="Normal" xfId="0" builtinId="0"/>
    <cellStyle name="Normal 10" xfId="3"/>
    <cellStyle name="Normal 10 2" xfId="4"/>
    <cellStyle name="Normal 11 2" xfId="5"/>
    <cellStyle name="Normal 11 2 2" xfId="6"/>
    <cellStyle name="Normal 13 5 3" xfId="7"/>
    <cellStyle name="Normal 14" xfId="8"/>
    <cellStyle name="Normal 14 4" xfId="9"/>
    <cellStyle name="Normal 14_axalqalaqis skola " xfId="10"/>
    <cellStyle name="Normal 2" xfId="11"/>
    <cellStyle name="Normal 2 10" xfId="12"/>
    <cellStyle name="Normal 3" xfId="13"/>
    <cellStyle name="Normal 3 2" xfId="32"/>
    <cellStyle name="Normal 32 3" xfId="14"/>
    <cellStyle name="Normal 33 2" xfId="15"/>
    <cellStyle name="Normal 36 2" xfId="16"/>
    <cellStyle name="Normal 36 2 2 3" xfId="17"/>
    <cellStyle name="Normal 38" xfId="18"/>
    <cellStyle name="Normal 4" xfId="19"/>
    <cellStyle name="Normal_axalqalaqis skola " xfId="20"/>
    <cellStyle name="Normal_gare wyalsadfenigagarini 2_SMSH2008-IIkv ." xfId="21"/>
    <cellStyle name="Normal_senaki keTilmowyoba" xfId="22"/>
    <cellStyle name="Normal_senaki keTilmowyoba_xarj-va keTilmowyobis" xfId="23"/>
    <cellStyle name="Percent 2" xfId="24"/>
    <cellStyle name="silfain" xfId="25"/>
    <cellStyle name="Warning Text" xfId="31" builtinId="11"/>
    <cellStyle name="Обычный 10" xfId="26"/>
    <cellStyle name="Обычный 2 2" xfId="27"/>
    <cellStyle name="Обычный 4" xfId="28"/>
    <cellStyle name="Обычный 4 3" xfId="29"/>
    <cellStyle name="Обычный 5 2 2" xfId="30"/>
  </cellStyles>
  <dxfs count="11"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1"/>
  <sheetViews>
    <sheetView tabSelected="1" topLeftCell="A25" zoomScaleNormal="100" zoomScaleSheetLayoutView="100" workbookViewId="0">
      <selection activeCell="C49" sqref="C49"/>
    </sheetView>
  </sheetViews>
  <sheetFormatPr defaultRowHeight="16.5"/>
  <cols>
    <col min="1" max="1" width="5.28515625" style="130" customWidth="1"/>
    <col min="2" max="2" width="14.85546875" style="98" customWidth="1"/>
    <col min="3" max="3" width="84.85546875" style="46" customWidth="1"/>
    <col min="4" max="4" width="8.5703125" style="98" hidden="1" customWidth="1"/>
    <col min="5" max="5" width="8.7109375" style="98" hidden="1" customWidth="1"/>
    <col min="6" max="6" width="8.5703125" style="98" hidden="1" customWidth="1"/>
    <col min="7" max="7" width="9.5703125" style="98" hidden="1" customWidth="1"/>
    <col min="8" max="8" width="3.28515625" style="98" hidden="1" customWidth="1"/>
    <col min="9" max="9" width="0.140625" style="98" hidden="1" customWidth="1"/>
    <col min="10" max="10" width="20.140625" style="98" customWidth="1"/>
    <col min="11" max="11" width="13.28515625" style="98" customWidth="1"/>
    <col min="12" max="12" width="12.7109375" style="106" customWidth="1"/>
    <col min="13" max="13" width="16.140625" style="98" customWidth="1"/>
    <col min="14" max="14" width="20.7109375" style="98" customWidth="1"/>
    <col min="15" max="15" width="18.42578125" style="98" customWidth="1"/>
    <col min="16" max="16" width="13.140625" style="98" bestFit="1" customWidth="1"/>
    <col min="17" max="16384" width="9.140625" style="98"/>
  </cols>
  <sheetData>
    <row r="1" spans="1:15" ht="14.45" customHeight="1">
      <c r="A1" s="382" t="s">
        <v>38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100"/>
    </row>
    <row r="2" spans="1:15" ht="23.45" customHeight="1">
      <c r="A2" s="382" t="s">
        <v>39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100"/>
    </row>
    <row r="3" spans="1:15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101"/>
    </row>
    <row r="4" spans="1:15" ht="34.5" customHeight="1">
      <c r="A4" s="383" t="s">
        <v>383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100"/>
    </row>
    <row r="5" spans="1:15" ht="17.45" customHeight="1">
      <c r="A5" s="38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100"/>
    </row>
    <row r="6" spans="1:15" ht="18.600000000000001" customHeight="1">
      <c r="A6" s="100"/>
      <c r="B6" s="374" t="s">
        <v>217</v>
      </c>
      <c r="C6" s="374"/>
      <c r="D6" s="102"/>
      <c r="E6" s="102"/>
      <c r="F6" s="102"/>
      <c r="G6" s="102"/>
      <c r="H6" s="102"/>
      <c r="I6" s="102"/>
      <c r="J6" s="375" t="s">
        <v>1</v>
      </c>
      <c r="K6" s="375"/>
      <c r="L6" s="375"/>
      <c r="M6" s="104">
        <f>N38</f>
        <v>0</v>
      </c>
      <c r="N6" s="103" t="s">
        <v>33</v>
      </c>
    </row>
    <row r="7" spans="1:15">
      <c r="A7" s="82"/>
      <c r="B7" s="11"/>
      <c r="C7" s="132"/>
      <c r="D7" s="11"/>
      <c r="E7" s="11"/>
      <c r="F7" s="11"/>
      <c r="G7" s="11"/>
      <c r="H7" s="11"/>
      <c r="I7" s="11"/>
      <c r="J7" s="11"/>
      <c r="K7" s="11"/>
      <c r="L7" s="105"/>
      <c r="M7" s="11"/>
      <c r="N7" s="11"/>
    </row>
    <row r="8" spans="1:15" ht="16.5" customHeight="1">
      <c r="A8" s="344" t="s">
        <v>40</v>
      </c>
      <c r="B8" s="347" t="s">
        <v>41</v>
      </c>
      <c r="C8" s="372" t="s">
        <v>42</v>
      </c>
      <c r="D8" s="376"/>
      <c r="E8" s="376"/>
      <c r="F8" s="376"/>
      <c r="G8" s="376"/>
      <c r="H8" s="376"/>
      <c r="I8" s="377"/>
      <c r="J8" s="372" t="s">
        <v>99</v>
      </c>
      <c r="K8" s="376"/>
      <c r="L8" s="376"/>
      <c r="M8" s="377"/>
      <c r="N8" s="347" t="s">
        <v>83</v>
      </c>
      <c r="O8" s="384" t="s">
        <v>393</v>
      </c>
    </row>
    <row r="9" spans="1:15">
      <c r="A9" s="345"/>
      <c r="B9" s="348"/>
      <c r="C9" s="378"/>
      <c r="D9" s="371"/>
      <c r="E9" s="371"/>
      <c r="F9" s="371"/>
      <c r="G9" s="371"/>
      <c r="H9" s="371"/>
      <c r="I9" s="379"/>
      <c r="J9" s="373"/>
      <c r="K9" s="380"/>
      <c r="L9" s="380"/>
      <c r="M9" s="381"/>
      <c r="N9" s="348"/>
      <c r="O9" s="385"/>
    </row>
    <row r="10" spans="1:15">
      <c r="A10" s="345"/>
      <c r="B10" s="348"/>
      <c r="C10" s="378"/>
      <c r="D10" s="371"/>
      <c r="E10" s="371"/>
      <c r="F10" s="371"/>
      <c r="G10" s="371"/>
      <c r="H10" s="371"/>
      <c r="I10" s="379"/>
      <c r="J10" s="347" t="s">
        <v>43</v>
      </c>
      <c r="K10" s="347" t="s">
        <v>44</v>
      </c>
      <c r="L10" s="389" t="s">
        <v>45</v>
      </c>
      <c r="M10" s="347" t="s">
        <v>46</v>
      </c>
      <c r="N10" s="348"/>
      <c r="O10" s="385"/>
    </row>
    <row r="11" spans="1:15">
      <c r="A11" s="345"/>
      <c r="B11" s="348"/>
      <c r="C11" s="378"/>
      <c r="D11" s="371"/>
      <c r="E11" s="371"/>
      <c r="F11" s="371"/>
      <c r="G11" s="371"/>
      <c r="H11" s="371"/>
      <c r="I11" s="379"/>
      <c r="J11" s="348"/>
      <c r="K11" s="348"/>
      <c r="L11" s="390"/>
      <c r="M11" s="348"/>
      <c r="N11" s="348"/>
      <c r="O11" s="385"/>
    </row>
    <row r="12" spans="1:15">
      <c r="A12" s="345"/>
      <c r="B12" s="348"/>
      <c r="C12" s="378"/>
      <c r="D12" s="371"/>
      <c r="E12" s="371"/>
      <c r="F12" s="371"/>
      <c r="G12" s="371"/>
      <c r="H12" s="371"/>
      <c r="I12" s="379"/>
      <c r="J12" s="348"/>
      <c r="K12" s="348"/>
      <c r="L12" s="390"/>
      <c r="M12" s="348"/>
      <c r="N12" s="348"/>
      <c r="O12" s="385"/>
    </row>
    <row r="13" spans="1:15">
      <c r="A13" s="345"/>
      <c r="B13" s="348"/>
      <c r="C13" s="378"/>
      <c r="D13" s="371"/>
      <c r="E13" s="371"/>
      <c r="F13" s="371"/>
      <c r="G13" s="371"/>
      <c r="H13" s="371"/>
      <c r="I13" s="379"/>
      <c r="J13" s="348"/>
      <c r="K13" s="348"/>
      <c r="L13" s="390"/>
      <c r="M13" s="348"/>
      <c r="N13" s="348"/>
      <c r="O13" s="386"/>
    </row>
    <row r="14" spans="1:15" ht="1.1499999999999999" customHeight="1">
      <c r="A14" s="346"/>
      <c r="B14" s="349"/>
      <c r="C14" s="373"/>
      <c r="D14" s="380"/>
      <c r="E14" s="380"/>
      <c r="F14" s="380"/>
      <c r="G14" s="380"/>
      <c r="H14" s="380"/>
      <c r="I14" s="381"/>
      <c r="J14" s="349"/>
      <c r="K14" s="349"/>
      <c r="L14" s="391"/>
      <c r="M14" s="349"/>
      <c r="N14" s="349"/>
      <c r="O14" s="326"/>
    </row>
    <row r="15" spans="1:15">
      <c r="A15" s="107">
        <v>1</v>
      </c>
      <c r="B15" s="31">
        <v>2</v>
      </c>
      <c r="C15" s="350">
        <v>3</v>
      </c>
      <c r="D15" s="351"/>
      <c r="E15" s="351"/>
      <c r="F15" s="351"/>
      <c r="G15" s="351"/>
      <c r="H15" s="351"/>
      <c r="I15" s="352"/>
      <c r="J15" s="31">
        <v>4</v>
      </c>
      <c r="K15" s="108">
        <v>5</v>
      </c>
      <c r="L15" s="83">
        <v>6</v>
      </c>
      <c r="M15" s="108">
        <v>7</v>
      </c>
      <c r="N15" s="31">
        <v>8</v>
      </c>
      <c r="O15" s="326">
        <v>9</v>
      </c>
    </row>
    <row r="16" spans="1:15">
      <c r="A16" s="107"/>
      <c r="B16" s="109"/>
      <c r="C16" s="131" t="s">
        <v>61</v>
      </c>
      <c r="D16" s="110"/>
      <c r="E16" s="110"/>
      <c r="F16" s="110"/>
      <c r="G16" s="110"/>
      <c r="H16" s="110"/>
      <c r="I16" s="111"/>
      <c r="J16" s="109"/>
      <c r="K16" s="112"/>
      <c r="L16" s="113"/>
      <c r="M16" s="112"/>
      <c r="N16" s="109"/>
      <c r="O16" s="328"/>
    </row>
    <row r="17" spans="1:15" ht="24.75" customHeight="1">
      <c r="A17" s="107"/>
      <c r="B17" s="109"/>
      <c r="C17" s="131" t="s">
        <v>62</v>
      </c>
      <c r="D17" s="110"/>
      <c r="E17" s="110"/>
      <c r="F17" s="110"/>
      <c r="G17" s="110"/>
      <c r="H17" s="110"/>
      <c r="I17" s="111"/>
      <c r="J17" s="109"/>
      <c r="K17" s="112"/>
      <c r="L17" s="113"/>
      <c r="M17" s="112"/>
      <c r="N17" s="109"/>
      <c r="O17" s="328"/>
    </row>
    <row r="18" spans="1:15">
      <c r="A18" s="107">
        <v>2</v>
      </c>
      <c r="B18" s="109" t="s">
        <v>47</v>
      </c>
      <c r="C18" s="107" t="s">
        <v>85</v>
      </c>
      <c r="D18" s="110"/>
      <c r="E18" s="110"/>
      <c r="F18" s="110"/>
      <c r="G18" s="110"/>
      <c r="H18" s="110"/>
      <c r="I18" s="111"/>
      <c r="J18" s="115"/>
      <c r="K18" s="116"/>
      <c r="L18" s="117"/>
      <c r="M18" s="118"/>
      <c r="N18" s="115"/>
      <c r="O18" s="328"/>
    </row>
    <row r="19" spans="1:15" ht="21" customHeight="1">
      <c r="A19" s="107"/>
      <c r="B19" s="109"/>
      <c r="C19" s="131" t="s">
        <v>86</v>
      </c>
      <c r="D19" s="110"/>
      <c r="E19" s="110"/>
      <c r="F19" s="110"/>
      <c r="G19" s="110"/>
      <c r="H19" s="110"/>
      <c r="I19" s="111"/>
      <c r="J19" s="119"/>
      <c r="K19" s="116"/>
      <c r="L19" s="117"/>
      <c r="M19" s="119"/>
      <c r="N19" s="119"/>
      <c r="O19" s="328">
        <v>2279.7199999999998</v>
      </c>
    </row>
    <row r="20" spans="1:15">
      <c r="A20" s="107"/>
      <c r="B20" s="109"/>
      <c r="C20" s="131"/>
      <c r="D20" s="110"/>
      <c r="E20" s="110"/>
      <c r="F20" s="110"/>
      <c r="G20" s="110"/>
      <c r="H20" s="110"/>
      <c r="I20" s="111"/>
      <c r="J20" s="119"/>
      <c r="K20" s="116"/>
      <c r="L20" s="117"/>
      <c r="M20" s="118"/>
      <c r="N20" s="119"/>
      <c r="O20" s="328"/>
    </row>
    <row r="21" spans="1:15" ht="19.5" customHeight="1">
      <c r="A21" s="107"/>
      <c r="B21" s="109"/>
      <c r="C21" s="131" t="s">
        <v>80</v>
      </c>
      <c r="D21" s="110"/>
      <c r="E21" s="110"/>
      <c r="F21" s="110"/>
      <c r="G21" s="110"/>
      <c r="H21" s="110"/>
      <c r="I21" s="111"/>
      <c r="J21" s="119"/>
      <c r="K21" s="116"/>
      <c r="L21" s="117"/>
      <c r="M21" s="118"/>
      <c r="N21" s="119"/>
      <c r="O21" s="328"/>
    </row>
    <row r="22" spans="1:15" ht="21.75" customHeight="1">
      <c r="A22" s="107"/>
      <c r="B22" s="109"/>
      <c r="C22" s="131" t="s">
        <v>243</v>
      </c>
      <c r="D22" s="110"/>
      <c r="E22" s="110"/>
      <c r="F22" s="110"/>
      <c r="G22" s="110"/>
      <c r="H22" s="110"/>
      <c r="I22" s="111"/>
      <c r="J22" s="119"/>
      <c r="K22" s="116"/>
      <c r="L22" s="117"/>
      <c r="M22" s="118"/>
      <c r="N22" s="119"/>
      <c r="O22" s="328"/>
    </row>
    <row r="23" spans="1:15">
      <c r="A23" s="107">
        <v>3</v>
      </c>
      <c r="B23" s="109" t="s">
        <v>48</v>
      </c>
      <c r="C23" s="107" t="s">
        <v>242</v>
      </c>
      <c r="D23" s="110"/>
      <c r="E23" s="110"/>
      <c r="F23" s="110"/>
      <c r="G23" s="110"/>
      <c r="H23" s="110"/>
      <c r="I23" s="111"/>
      <c r="J23" s="115"/>
      <c r="K23" s="116"/>
      <c r="L23" s="117"/>
      <c r="M23" s="118"/>
      <c r="N23" s="115"/>
      <c r="O23" s="328"/>
    </row>
    <row r="24" spans="1:15" ht="21.75" customHeight="1">
      <c r="A24" s="107"/>
      <c r="B24" s="109"/>
      <c r="C24" s="131" t="s">
        <v>81</v>
      </c>
      <c r="D24" s="110"/>
      <c r="E24" s="110"/>
      <c r="F24" s="110"/>
      <c r="G24" s="110"/>
      <c r="H24" s="110"/>
      <c r="I24" s="111"/>
      <c r="J24" s="119"/>
      <c r="K24" s="116"/>
      <c r="L24" s="117"/>
      <c r="M24" s="118"/>
      <c r="N24" s="119"/>
      <c r="O24" s="328">
        <v>72908.429999999993</v>
      </c>
    </row>
    <row r="25" spans="1:15">
      <c r="A25" s="107"/>
      <c r="B25" s="109"/>
      <c r="C25" s="131"/>
      <c r="D25" s="110"/>
      <c r="E25" s="110"/>
      <c r="F25" s="110"/>
      <c r="G25" s="110"/>
      <c r="H25" s="110"/>
      <c r="I25" s="111"/>
      <c r="J25" s="119"/>
      <c r="K25" s="116"/>
      <c r="L25" s="117"/>
      <c r="M25" s="118"/>
      <c r="N25" s="119"/>
      <c r="O25" s="328"/>
    </row>
    <row r="26" spans="1:15">
      <c r="A26" s="107"/>
      <c r="B26" s="109"/>
      <c r="C26" s="131"/>
      <c r="D26" s="110"/>
      <c r="E26" s="110"/>
      <c r="F26" s="110"/>
      <c r="G26" s="110"/>
      <c r="H26" s="110"/>
      <c r="I26" s="111"/>
      <c r="J26" s="119"/>
      <c r="K26" s="116"/>
      <c r="L26" s="117"/>
      <c r="M26" s="118"/>
      <c r="N26" s="119"/>
      <c r="O26" s="328"/>
    </row>
    <row r="27" spans="1:15" ht="21" customHeight="1">
      <c r="A27" s="107"/>
      <c r="B27" s="109"/>
      <c r="C27" s="131" t="s">
        <v>65</v>
      </c>
      <c r="D27" s="110"/>
      <c r="E27" s="110"/>
      <c r="F27" s="110"/>
      <c r="G27" s="110"/>
      <c r="H27" s="110"/>
      <c r="I27" s="111"/>
      <c r="J27" s="115"/>
      <c r="K27" s="112"/>
      <c r="L27" s="113"/>
      <c r="M27" s="120"/>
      <c r="N27" s="115"/>
      <c r="O27" s="328"/>
    </row>
    <row r="28" spans="1:15" ht="21" customHeight="1">
      <c r="A28" s="107"/>
      <c r="B28" s="109"/>
      <c r="C28" s="131" t="s">
        <v>63</v>
      </c>
      <c r="D28" s="110"/>
      <c r="E28" s="110"/>
      <c r="F28" s="110"/>
      <c r="G28" s="110"/>
      <c r="H28" s="110"/>
      <c r="I28" s="111"/>
      <c r="J28" s="115"/>
      <c r="K28" s="112"/>
      <c r="L28" s="113"/>
      <c r="M28" s="120"/>
      <c r="N28" s="115"/>
      <c r="O28" s="328"/>
    </row>
    <row r="29" spans="1:15">
      <c r="A29" s="107">
        <v>4</v>
      </c>
      <c r="B29" s="109" t="s">
        <v>54</v>
      </c>
      <c r="C29" s="107" t="s">
        <v>370</v>
      </c>
      <c r="D29" s="110"/>
      <c r="E29" s="110"/>
      <c r="F29" s="110"/>
      <c r="G29" s="110"/>
      <c r="H29" s="110"/>
      <c r="I29" s="111"/>
      <c r="J29" s="115"/>
      <c r="K29" s="112"/>
      <c r="L29" s="113"/>
      <c r="M29" s="120"/>
      <c r="N29" s="115"/>
      <c r="O29" s="328"/>
    </row>
    <row r="30" spans="1:15">
      <c r="A30" s="107"/>
      <c r="B30" s="109"/>
      <c r="C30" s="131" t="s">
        <v>64</v>
      </c>
      <c r="D30" s="110"/>
      <c r="E30" s="110"/>
      <c r="F30" s="110"/>
      <c r="G30" s="110"/>
      <c r="H30" s="110"/>
      <c r="I30" s="111"/>
      <c r="J30" s="119"/>
      <c r="K30" s="116"/>
      <c r="L30" s="117"/>
      <c r="M30" s="118"/>
      <c r="N30" s="119"/>
      <c r="O30" s="328">
        <v>146537.62</v>
      </c>
    </row>
    <row r="31" spans="1:15">
      <c r="A31" s="107"/>
      <c r="B31" s="109"/>
      <c r="C31" s="131"/>
      <c r="D31" s="110"/>
      <c r="E31" s="110"/>
      <c r="F31" s="110"/>
      <c r="G31" s="110"/>
      <c r="H31" s="110"/>
      <c r="I31" s="111"/>
      <c r="J31" s="119"/>
      <c r="K31" s="116"/>
      <c r="L31" s="117"/>
      <c r="M31" s="118"/>
      <c r="N31" s="119"/>
      <c r="O31" s="328"/>
    </row>
    <row r="32" spans="1:15" ht="21" customHeight="1">
      <c r="A32" s="31"/>
      <c r="B32" s="31"/>
      <c r="C32" s="32" t="s">
        <v>382</v>
      </c>
      <c r="D32" s="108"/>
      <c r="E32" s="108"/>
      <c r="F32" s="108"/>
      <c r="G32" s="108"/>
      <c r="H32" s="108"/>
      <c r="I32" s="121"/>
      <c r="J32" s="99"/>
      <c r="K32" s="99"/>
      <c r="L32" s="99"/>
      <c r="M32" s="99"/>
      <c r="N32" s="99"/>
      <c r="O32" s="328">
        <v>221725.76</v>
      </c>
    </row>
    <row r="33" spans="1:17">
      <c r="A33" s="107"/>
      <c r="B33" s="109"/>
      <c r="C33" s="131"/>
      <c r="D33" s="110"/>
      <c r="E33" s="110"/>
      <c r="F33" s="110"/>
      <c r="G33" s="110"/>
      <c r="H33" s="110"/>
      <c r="I33" s="111"/>
      <c r="J33" s="119"/>
      <c r="K33" s="116"/>
      <c r="L33" s="117"/>
      <c r="M33" s="118"/>
      <c r="N33" s="119"/>
      <c r="O33" s="328"/>
    </row>
    <row r="34" spans="1:17">
      <c r="A34" s="31">
        <v>5</v>
      </c>
      <c r="B34" s="122"/>
      <c r="C34" s="114" t="s">
        <v>49</v>
      </c>
      <c r="D34" s="31"/>
      <c r="E34" s="31"/>
      <c r="F34" s="31"/>
      <c r="G34" s="31"/>
      <c r="H34" s="31"/>
      <c r="I34" s="31"/>
      <c r="J34" s="30"/>
      <c r="K34" s="30"/>
      <c r="L34" s="30"/>
      <c r="M34" s="30"/>
      <c r="N34" s="30"/>
      <c r="O34" s="328"/>
    </row>
    <row r="35" spans="1:17" ht="21" customHeight="1">
      <c r="A35" s="31"/>
      <c r="B35" s="122"/>
      <c r="C35" s="353" t="s">
        <v>12</v>
      </c>
      <c r="D35" s="353"/>
      <c r="E35" s="353"/>
      <c r="F35" s="353"/>
      <c r="G35" s="353"/>
      <c r="H35" s="353"/>
      <c r="I35" s="353"/>
      <c r="J35" s="99"/>
      <c r="K35" s="99"/>
      <c r="L35" s="99"/>
      <c r="M35" s="99"/>
      <c r="N35" s="99"/>
      <c r="O35" s="328"/>
    </row>
    <row r="36" spans="1:17">
      <c r="A36" s="31"/>
      <c r="B36" s="122"/>
      <c r="C36" s="123"/>
      <c r="D36" s="123"/>
      <c r="E36" s="123"/>
      <c r="F36" s="123"/>
      <c r="G36" s="123"/>
      <c r="H36" s="123"/>
      <c r="I36" s="123"/>
      <c r="J36" s="99"/>
      <c r="K36" s="99"/>
      <c r="L36" s="99"/>
      <c r="M36" s="99"/>
      <c r="N36" s="99"/>
      <c r="O36" s="328"/>
    </row>
    <row r="37" spans="1:17" ht="21.75" customHeight="1">
      <c r="A37" s="31">
        <v>6</v>
      </c>
      <c r="B37" s="122"/>
      <c r="C37" s="114" t="s">
        <v>50</v>
      </c>
      <c r="D37" s="31"/>
      <c r="E37" s="31"/>
      <c r="F37" s="31"/>
      <c r="G37" s="31"/>
      <c r="H37" s="31"/>
      <c r="I37" s="31"/>
      <c r="J37" s="30"/>
      <c r="K37" s="30"/>
      <c r="L37" s="30"/>
      <c r="M37" s="30"/>
      <c r="N37" s="30"/>
      <c r="O37" s="115"/>
    </row>
    <row r="38" spans="1:17">
      <c r="A38" s="372"/>
      <c r="B38" s="367"/>
      <c r="C38" s="360" t="s">
        <v>51</v>
      </c>
      <c r="D38" s="361"/>
      <c r="E38" s="361"/>
      <c r="F38" s="361"/>
      <c r="G38" s="361"/>
      <c r="H38" s="361"/>
      <c r="I38" s="362"/>
      <c r="J38" s="369"/>
      <c r="K38" s="355"/>
      <c r="L38" s="355"/>
      <c r="M38" s="355"/>
      <c r="N38" s="357"/>
      <c r="O38" s="387"/>
      <c r="P38" s="106"/>
      <c r="Q38" s="106"/>
    </row>
    <row r="39" spans="1:17" ht="19.5" customHeight="1">
      <c r="A39" s="373"/>
      <c r="B39" s="368"/>
      <c r="C39" s="363"/>
      <c r="D39" s="364"/>
      <c r="E39" s="364"/>
      <c r="F39" s="364"/>
      <c r="G39" s="364"/>
      <c r="H39" s="364"/>
      <c r="I39" s="365"/>
      <c r="J39" s="370"/>
      <c r="K39" s="356"/>
      <c r="L39" s="356"/>
      <c r="M39" s="356"/>
      <c r="N39" s="358"/>
      <c r="O39" s="388"/>
      <c r="P39" s="124"/>
    </row>
    <row r="40" spans="1:17">
      <c r="A40" s="82"/>
      <c r="B40" s="125"/>
      <c r="C40" s="133"/>
      <c r="D40" s="126"/>
      <c r="E40" s="126"/>
      <c r="F40" s="126"/>
      <c r="G40" s="126"/>
      <c r="H40" s="126"/>
      <c r="I40" s="126"/>
      <c r="J40" s="88"/>
      <c r="K40" s="126"/>
      <c r="L40" s="126"/>
      <c r="M40" s="88"/>
      <c r="N40" s="88"/>
    </row>
    <row r="41" spans="1:17" ht="16.5" customHeight="1">
      <c r="A41" s="127"/>
      <c r="B41" s="438" t="s">
        <v>399</v>
      </c>
      <c r="C41" s="438"/>
      <c r="D41" s="439" t="s">
        <v>400</v>
      </c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</row>
    <row r="42" spans="1:17" ht="34.5" customHeight="1">
      <c r="A42" s="343"/>
      <c r="B42" s="438"/>
      <c r="C42" s="438"/>
      <c r="D42" s="439" t="s">
        <v>401</v>
      </c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</row>
    <row r="43" spans="1:17">
      <c r="A43" s="342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P43" s="106"/>
    </row>
    <row r="44" spans="1:17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1:17">
      <c r="A45" s="359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106"/>
    </row>
    <row r="46" spans="1:17">
      <c r="A46" s="44"/>
      <c r="B46" s="128"/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129"/>
    </row>
    <row r="47" spans="1:17">
      <c r="A47" s="354"/>
      <c r="B47" s="354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</row>
    <row r="48" spans="1:17">
      <c r="L48" s="98"/>
      <c r="N48" s="106"/>
    </row>
    <row r="49" spans="13:14">
      <c r="N49" s="106"/>
    </row>
    <row r="51" spans="13:14">
      <c r="M51" s="106"/>
    </row>
  </sheetData>
  <mergeCells count="34">
    <mergeCell ref="B41:C42"/>
    <mergeCell ref="D42:O42"/>
    <mergeCell ref="D41:O41"/>
    <mergeCell ref="O8:O13"/>
    <mergeCell ref="O38:O39"/>
    <mergeCell ref="L10:L14"/>
    <mergeCell ref="B8:B14"/>
    <mergeCell ref="J10:J14"/>
    <mergeCell ref="B6:C6"/>
    <mergeCell ref="J6:L6"/>
    <mergeCell ref="C8:I14"/>
    <mergeCell ref="J8:M9"/>
    <mergeCell ref="A1:N1"/>
    <mergeCell ref="A4:N4"/>
    <mergeCell ref="A5:N5"/>
    <mergeCell ref="A2:N2"/>
    <mergeCell ref="A3:N3"/>
    <mergeCell ref="A47:N47"/>
    <mergeCell ref="L38:L39"/>
    <mergeCell ref="M38:M39"/>
    <mergeCell ref="N38:N39"/>
    <mergeCell ref="A45:N45"/>
    <mergeCell ref="C38:I39"/>
    <mergeCell ref="C46:M46"/>
    <mergeCell ref="B38:B39"/>
    <mergeCell ref="J38:J39"/>
    <mergeCell ref="K38:K39"/>
    <mergeCell ref="A38:A39"/>
    <mergeCell ref="A8:A14"/>
    <mergeCell ref="N8:N14"/>
    <mergeCell ref="K10:K14"/>
    <mergeCell ref="C15:I15"/>
    <mergeCell ref="C35:I35"/>
    <mergeCell ref="M10:M14"/>
  </mergeCells>
  <phoneticPr fontId="4" type="noConversion"/>
  <printOptions horizontalCentered="1"/>
  <pageMargins left="0.59055118110236227" right="0.31496062992125984" top="0.59055118110236227" bottom="0.31496062992125984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62"/>
  <sheetViews>
    <sheetView topLeftCell="A49" zoomScale="115" zoomScaleNormal="115" zoomScaleSheetLayoutView="100" workbookViewId="0">
      <selection activeCell="C67" sqref="C67"/>
    </sheetView>
  </sheetViews>
  <sheetFormatPr defaultColWidth="9" defaultRowHeight="15"/>
  <cols>
    <col min="1" max="1" width="3.85546875" style="77" customWidth="1"/>
    <col min="2" max="2" width="10.7109375" style="78" customWidth="1"/>
    <col min="3" max="3" width="72.7109375" style="78" customWidth="1"/>
    <col min="4" max="4" width="10" style="79" customWidth="1"/>
    <col min="5" max="5" width="9.140625" style="79" bestFit="1" customWidth="1"/>
    <col min="6" max="6" width="12.85546875" style="79" customWidth="1"/>
    <col min="7" max="7" width="9.5703125" style="79" customWidth="1"/>
    <col min="8" max="8" width="12.5703125" style="79" customWidth="1"/>
    <col min="9" max="9" width="9" style="79" customWidth="1"/>
    <col min="10" max="10" width="10.7109375" style="79" customWidth="1"/>
    <col min="11" max="11" width="9" style="79" customWidth="1"/>
    <col min="12" max="12" width="10.28515625" style="79" customWidth="1"/>
    <col min="13" max="13" width="15.28515625" style="79" customWidth="1"/>
    <col min="14" max="14" width="12.85546875" style="334" customWidth="1"/>
    <col min="15" max="15" width="14.7109375" style="33" customWidth="1"/>
    <col min="16" max="16" width="9.140625" style="33" bestFit="1" customWidth="1"/>
    <col min="17" max="18" width="9" style="33"/>
    <col min="19" max="19" width="10.28515625" style="33" customWidth="1"/>
    <col min="20" max="16384" width="9" style="33"/>
  </cols>
  <sheetData>
    <row r="1" spans="1:25" s="3" customFormat="1" ht="21" customHeight="1">
      <c r="A1" s="392" t="s">
        <v>383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30"/>
    </row>
    <row r="2" spans="1:25" s="3" customFormat="1" ht="21" customHeight="1">
      <c r="A2" s="403" t="s">
        <v>55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332"/>
    </row>
    <row r="3" spans="1:25" s="3" customFormat="1" ht="21" customHeight="1">
      <c r="A3" s="404" t="s">
        <v>85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332"/>
    </row>
    <row r="4" spans="1:25" s="3" customFormat="1" ht="16.5">
      <c r="A4" s="4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332"/>
    </row>
    <row r="5" spans="1:25" s="3" customFormat="1" ht="24.75" customHeight="1">
      <c r="A5" s="45"/>
      <c r="B5" s="393" t="s">
        <v>28</v>
      </c>
      <c r="C5" s="393"/>
      <c r="D5" s="393"/>
      <c r="E5" s="34"/>
      <c r="F5" s="394" t="s">
        <v>1</v>
      </c>
      <c r="G5" s="394"/>
      <c r="H5" s="394"/>
      <c r="I5" s="394"/>
      <c r="J5" s="47"/>
      <c r="K5" s="134" t="s">
        <v>0</v>
      </c>
      <c r="L5" s="34"/>
      <c r="M5" s="34"/>
      <c r="N5" s="332"/>
      <c r="O5" s="82"/>
    </row>
    <row r="6" spans="1:25" s="3" customFormat="1" ht="16.5" customHeight="1">
      <c r="A6" s="45"/>
      <c r="B6" s="393" t="s">
        <v>217</v>
      </c>
      <c r="C6" s="393"/>
      <c r="D6" s="34"/>
      <c r="E6" s="34"/>
      <c r="F6" s="394"/>
      <c r="G6" s="394"/>
      <c r="H6" s="394"/>
      <c r="I6" s="394"/>
      <c r="J6" s="34"/>
      <c r="K6" s="34"/>
      <c r="L6" s="34"/>
      <c r="M6" s="34"/>
      <c r="N6" s="332"/>
    </row>
    <row r="7" spans="1:25" s="3" customFormat="1" ht="16.5">
      <c r="A7" s="45"/>
      <c r="B7" s="45"/>
      <c r="C7" s="45"/>
      <c r="D7" s="34"/>
      <c r="E7" s="34"/>
      <c r="F7" s="34"/>
      <c r="G7" s="34"/>
      <c r="H7" s="34"/>
      <c r="I7" s="34"/>
      <c r="J7" s="34"/>
      <c r="K7" s="34"/>
      <c r="L7" s="34"/>
      <c r="M7" s="34"/>
      <c r="N7" s="332"/>
    </row>
    <row r="8" spans="1:25" s="3" customFormat="1" ht="16.5">
      <c r="A8" s="417" t="s">
        <v>2</v>
      </c>
      <c r="B8" s="409" t="s">
        <v>3</v>
      </c>
      <c r="C8" s="347" t="s">
        <v>27</v>
      </c>
      <c r="D8" s="405" t="s">
        <v>4</v>
      </c>
      <c r="E8" s="406"/>
      <c r="F8" s="395"/>
      <c r="G8" s="405" t="s">
        <v>5</v>
      </c>
      <c r="H8" s="412"/>
      <c r="I8" s="405" t="s">
        <v>6</v>
      </c>
      <c r="J8" s="413"/>
      <c r="K8" s="405" t="s">
        <v>7</v>
      </c>
      <c r="L8" s="412"/>
      <c r="M8" s="395" t="s">
        <v>8</v>
      </c>
      <c r="N8" s="418" t="s">
        <v>393</v>
      </c>
    </row>
    <row r="9" spans="1:25" s="3" customFormat="1" ht="16.5">
      <c r="A9" s="345"/>
      <c r="B9" s="410"/>
      <c r="C9" s="348"/>
      <c r="D9" s="399"/>
      <c r="E9" s="407"/>
      <c r="F9" s="408"/>
      <c r="G9" s="414"/>
      <c r="H9" s="400"/>
      <c r="I9" s="414"/>
      <c r="J9" s="415"/>
      <c r="K9" s="399" t="s">
        <v>9</v>
      </c>
      <c r="L9" s="400"/>
      <c r="M9" s="396"/>
      <c r="N9" s="419"/>
    </row>
    <row r="10" spans="1:25" s="3" customFormat="1" ht="16.5">
      <c r="A10" s="345"/>
      <c r="B10" s="410"/>
      <c r="C10" s="348"/>
      <c r="D10" s="401" t="s">
        <v>10</v>
      </c>
      <c r="E10" s="401" t="s">
        <v>11</v>
      </c>
      <c r="F10" s="401" t="s">
        <v>12</v>
      </c>
      <c r="G10" s="16" t="s">
        <v>11</v>
      </c>
      <c r="H10" s="401" t="s">
        <v>12</v>
      </c>
      <c r="I10" s="16" t="s">
        <v>11</v>
      </c>
      <c r="J10" s="401" t="s">
        <v>12</v>
      </c>
      <c r="K10" s="16" t="s">
        <v>11</v>
      </c>
      <c r="L10" s="401" t="s">
        <v>12</v>
      </c>
      <c r="M10" s="397"/>
      <c r="N10" s="419"/>
    </row>
    <row r="11" spans="1:25" s="3" customFormat="1" ht="23.25" customHeight="1">
      <c r="A11" s="346"/>
      <c r="B11" s="411"/>
      <c r="C11" s="349"/>
      <c r="D11" s="402"/>
      <c r="E11" s="402"/>
      <c r="F11" s="402"/>
      <c r="G11" s="18" t="s">
        <v>13</v>
      </c>
      <c r="H11" s="402"/>
      <c r="I11" s="18" t="s">
        <v>13</v>
      </c>
      <c r="J11" s="402"/>
      <c r="K11" s="18" t="s">
        <v>13</v>
      </c>
      <c r="L11" s="402"/>
      <c r="M11" s="398"/>
      <c r="N11" s="420"/>
    </row>
    <row r="12" spans="1:25" s="3" customFormat="1" ht="16.5">
      <c r="A12" s="83">
        <v>1</v>
      </c>
      <c r="B12" s="84" t="s">
        <v>60</v>
      </c>
      <c r="C12" s="85">
        <v>3</v>
      </c>
      <c r="D12" s="84">
        <v>4</v>
      </c>
      <c r="E12" s="84">
        <v>5</v>
      </c>
      <c r="F12" s="84">
        <v>6</v>
      </c>
      <c r="G12" s="84">
        <v>7</v>
      </c>
      <c r="H12" s="84">
        <v>8</v>
      </c>
      <c r="I12" s="84">
        <v>9</v>
      </c>
      <c r="J12" s="84">
        <v>10</v>
      </c>
      <c r="K12" s="84">
        <v>11</v>
      </c>
      <c r="L12" s="84">
        <v>12</v>
      </c>
      <c r="M12" s="83">
        <v>13</v>
      </c>
      <c r="N12" s="326">
        <v>14</v>
      </c>
    </row>
    <row r="13" spans="1:25" s="230" customFormat="1" ht="49.5">
      <c r="A13" s="184">
        <v>1</v>
      </c>
      <c r="B13" s="219" t="s">
        <v>176</v>
      </c>
      <c r="C13" s="181" t="s">
        <v>238</v>
      </c>
      <c r="D13" s="225" t="s">
        <v>130</v>
      </c>
      <c r="E13" s="226"/>
      <c r="F13" s="227">
        <v>1</v>
      </c>
      <c r="G13" s="228"/>
      <c r="H13" s="228"/>
      <c r="I13" s="228"/>
      <c r="J13" s="228"/>
      <c r="K13" s="228"/>
      <c r="L13" s="228"/>
      <c r="M13" s="228"/>
      <c r="N13" s="329"/>
      <c r="O13" s="229"/>
      <c r="P13" s="229"/>
      <c r="Q13" s="229"/>
      <c r="Y13" s="231"/>
    </row>
    <row r="14" spans="1:25" s="230" customFormat="1" ht="18" customHeight="1">
      <c r="A14" s="187"/>
      <c r="B14" s="218"/>
      <c r="C14" s="14" t="s">
        <v>29</v>
      </c>
      <c r="D14" s="141" t="s">
        <v>30</v>
      </c>
      <c r="E14" s="267">
        <v>80</v>
      </c>
      <c r="F14" s="232">
        <f>E14*F13</f>
        <v>80</v>
      </c>
      <c r="G14" s="233"/>
      <c r="H14" s="232"/>
      <c r="I14" s="234"/>
      <c r="J14" s="234"/>
      <c r="K14" s="234"/>
      <c r="L14" s="234"/>
      <c r="M14" s="232"/>
      <c r="N14" s="333"/>
      <c r="O14" s="229"/>
      <c r="P14" s="229"/>
      <c r="Q14" s="229"/>
      <c r="Y14" s="231"/>
    </row>
    <row r="15" spans="1:25" s="230" customFormat="1" ht="18">
      <c r="A15" s="236"/>
      <c r="B15" s="222"/>
      <c r="C15" s="21" t="s">
        <v>70</v>
      </c>
      <c r="D15" s="237" t="s">
        <v>33</v>
      </c>
      <c r="E15" s="268">
        <v>15</v>
      </c>
      <c r="F15" s="238">
        <f>F13*E15</f>
        <v>15</v>
      </c>
      <c r="G15" s="239"/>
      <c r="H15" s="239"/>
      <c r="I15" s="239"/>
      <c r="J15" s="239"/>
      <c r="K15" s="238"/>
      <c r="L15" s="240"/>
      <c r="M15" s="240"/>
      <c r="N15" s="331"/>
      <c r="O15" s="235"/>
      <c r="P15" s="235"/>
      <c r="Q15" s="235"/>
      <c r="Y15" s="231"/>
    </row>
    <row r="16" spans="1:25" s="98" customFormat="1" ht="49.5">
      <c r="A16" s="269">
        <v>2</v>
      </c>
      <c r="B16" s="151" t="s">
        <v>208</v>
      </c>
      <c r="C16" s="274" t="s">
        <v>239</v>
      </c>
      <c r="D16" s="275" t="s">
        <v>97</v>
      </c>
      <c r="E16" s="275"/>
      <c r="F16" s="276">
        <v>7.2</v>
      </c>
      <c r="G16" s="277"/>
      <c r="H16" s="277"/>
      <c r="I16" s="277"/>
      <c r="J16" s="277"/>
      <c r="K16" s="277"/>
      <c r="L16" s="277"/>
      <c r="M16" s="265"/>
      <c r="N16" s="327"/>
    </row>
    <row r="17" spans="1:14" s="98" customFormat="1" ht="16.5">
      <c r="A17" s="4"/>
      <c r="B17" s="4"/>
      <c r="C17" s="14" t="s">
        <v>29</v>
      </c>
      <c r="D17" s="6" t="s">
        <v>30</v>
      </c>
      <c r="E17" s="6">
        <v>1.6</v>
      </c>
      <c r="F17" s="6">
        <f>E17*F16</f>
        <v>11.520000000000001</v>
      </c>
      <c r="G17" s="6"/>
      <c r="H17" s="6"/>
      <c r="I17" s="5"/>
      <c r="J17" s="265"/>
      <c r="K17" s="5"/>
      <c r="L17" s="5"/>
      <c r="M17" s="6"/>
      <c r="N17" s="327"/>
    </row>
    <row r="18" spans="1:14" s="98" customFormat="1" ht="16.5">
      <c r="A18" s="4"/>
      <c r="B18" s="4" t="s">
        <v>161</v>
      </c>
      <c r="C18" s="14" t="s">
        <v>74</v>
      </c>
      <c r="D18" s="6" t="s">
        <v>31</v>
      </c>
      <c r="E18" s="145">
        <f>1.91/100</f>
        <v>1.9099999999999999E-2</v>
      </c>
      <c r="F18" s="6">
        <f>E18*F16</f>
        <v>0.13752</v>
      </c>
      <c r="G18" s="6"/>
      <c r="H18" s="5"/>
      <c r="I18" s="5"/>
      <c r="J18" s="265"/>
      <c r="K18" s="6"/>
      <c r="L18" s="6"/>
      <c r="M18" s="6"/>
      <c r="N18" s="327"/>
    </row>
    <row r="19" spans="1:14" s="98" customFormat="1" ht="16.5">
      <c r="A19" s="4"/>
      <c r="B19" s="4" t="s">
        <v>234</v>
      </c>
      <c r="C19" s="14" t="s">
        <v>209</v>
      </c>
      <c r="D19" s="6" t="s">
        <v>31</v>
      </c>
      <c r="E19" s="145">
        <v>0.77500000000000002</v>
      </c>
      <c r="F19" s="6">
        <f>E19*F16</f>
        <v>5.58</v>
      </c>
      <c r="G19" s="6"/>
      <c r="H19" s="6"/>
      <c r="I19" s="5"/>
      <c r="J19" s="265"/>
      <c r="K19" s="6"/>
      <c r="L19" s="6"/>
      <c r="M19" s="6"/>
      <c r="N19" s="327"/>
    </row>
    <row r="20" spans="1:14" s="98" customFormat="1" ht="16.5">
      <c r="A20" s="4"/>
      <c r="B20" s="4" t="s">
        <v>235</v>
      </c>
      <c r="C20" s="14" t="s">
        <v>210</v>
      </c>
      <c r="D20" s="6" t="s">
        <v>31</v>
      </c>
      <c r="E20" s="145">
        <f>0.775/2</f>
        <v>0.38750000000000001</v>
      </c>
      <c r="F20" s="6">
        <f>E20*F16</f>
        <v>2.79</v>
      </c>
      <c r="G20" s="6"/>
      <c r="H20" s="6"/>
      <c r="I20" s="5"/>
      <c r="J20" s="265"/>
      <c r="K20" s="6"/>
      <c r="L20" s="6"/>
      <c r="M20" s="6"/>
      <c r="N20" s="327"/>
    </row>
    <row r="21" spans="1:14" s="98" customFormat="1" ht="20.25">
      <c r="A21" s="4"/>
      <c r="B21" s="4" t="s">
        <v>211</v>
      </c>
      <c r="C21" s="14" t="s">
        <v>212</v>
      </c>
      <c r="D21" s="6" t="s">
        <v>213</v>
      </c>
      <c r="E21" s="6"/>
      <c r="F21" s="145">
        <f>F16/1000</f>
        <v>7.1999999999999998E-3</v>
      </c>
      <c r="G21" s="6"/>
      <c r="H21" s="6"/>
      <c r="I21" s="5"/>
      <c r="J21" s="265"/>
      <c r="K21" s="6"/>
      <c r="L21" s="6"/>
      <c r="M21" s="6"/>
      <c r="N21" s="327"/>
    </row>
    <row r="22" spans="1:14" s="98" customFormat="1" ht="16.5">
      <c r="A22" s="4"/>
      <c r="B22" s="4"/>
      <c r="C22" s="14" t="s">
        <v>29</v>
      </c>
      <c r="D22" s="6" t="s">
        <v>30</v>
      </c>
      <c r="E22" s="6">
        <v>20</v>
      </c>
      <c r="F22" s="6">
        <f>F21*E22</f>
        <v>0.14399999999999999</v>
      </c>
      <c r="G22" s="6"/>
      <c r="H22" s="6"/>
      <c r="I22" s="5"/>
      <c r="J22" s="265"/>
      <c r="K22" s="6"/>
      <c r="L22" s="6"/>
      <c r="M22" s="6"/>
      <c r="N22" s="327"/>
    </row>
    <row r="23" spans="1:14" s="98" customFormat="1" ht="16.5">
      <c r="A23" s="4"/>
      <c r="B23" s="4" t="s">
        <v>143</v>
      </c>
      <c r="C23" s="14" t="s">
        <v>66</v>
      </c>
      <c r="D23" s="6" t="s">
        <v>214</v>
      </c>
      <c r="E23" s="6">
        <v>44.8</v>
      </c>
      <c r="F23" s="6">
        <f>F21*E23</f>
        <v>0.32255999999999996</v>
      </c>
      <c r="G23" s="6"/>
      <c r="H23" s="6"/>
      <c r="I23" s="5"/>
      <c r="J23" s="265"/>
      <c r="K23" s="6"/>
      <c r="L23" s="6"/>
      <c r="M23" s="6"/>
      <c r="N23" s="327"/>
    </row>
    <row r="24" spans="1:14" s="98" customFormat="1" ht="16.5">
      <c r="A24" s="146"/>
      <c r="B24" s="146" t="s">
        <v>236</v>
      </c>
      <c r="C24" s="205" t="s">
        <v>215</v>
      </c>
      <c r="D24" s="8" t="s">
        <v>216</v>
      </c>
      <c r="E24" s="256"/>
      <c r="F24" s="8">
        <f>F16*2.2</f>
        <v>15.840000000000002</v>
      </c>
      <c r="G24" s="8"/>
      <c r="H24" s="8"/>
      <c r="I24" s="8"/>
      <c r="J24" s="8"/>
      <c r="K24" s="8"/>
      <c r="L24" s="8"/>
      <c r="M24" s="8"/>
      <c r="N24" s="327"/>
    </row>
    <row r="25" spans="1:14" s="98" customFormat="1" ht="20.25">
      <c r="A25" s="255">
        <v>3</v>
      </c>
      <c r="B25" s="39" t="s">
        <v>67</v>
      </c>
      <c r="C25" s="40" t="s">
        <v>75</v>
      </c>
      <c r="D25" s="10" t="s">
        <v>97</v>
      </c>
      <c r="E25" s="152"/>
      <c r="F25" s="209">
        <f>F16</f>
        <v>7.2</v>
      </c>
      <c r="G25" s="153"/>
      <c r="H25" s="153"/>
      <c r="I25" s="153"/>
      <c r="J25" s="153"/>
      <c r="K25" s="153"/>
      <c r="L25" s="154"/>
      <c r="M25" s="155"/>
      <c r="N25" s="327"/>
    </row>
    <row r="26" spans="1:14" s="98" customFormat="1" ht="16.5">
      <c r="A26" s="12"/>
      <c r="B26" s="12"/>
      <c r="C26" s="26" t="s">
        <v>29</v>
      </c>
      <c r="D26" s="6" t="s">
        <v>30</v>
      </c>
      <c r="E26" s="145">
        <f>3.23/1000</f>
        <v>3.2299999999999998E-3</v>
      </c>
      <c r="F26" s="6">
        <f>E26*F25</f>
        <v>2.3255999999999999E-2</v>
      </c>
      <c r="G26" s="7"/>
      <c r="H26" s="7"/>
      <c r="I26" s="41"/>
      <c r="J26" s="41"/>
      <c r="K26" s="41"/>
      <c r="L26" s="156"/>
      <c r="M26" s="7"/>
      <c r="N26" s="327"/>
    </row>
    <row r="27" spans="1:14" s="98" customFormat="1" ht="16.5">
      <c r="A27" s="4"/>
      <c r="B27" s="4" t="s">
        <v>145</v>
      </c>
      <c r="C27" s="26" t="s">
        <v>57</v>
      </c>
      <c r="D27" s="6" t="s">
        <v>31</v>
      </c>
      <c r="E27" s="29">
        <f>3.62/1000</f>
        <v>3.62E-3</v>
      </c>
      <c r="F27" s="6">
        <f>E27*F25</f>
        <v>2.6064E-2</v>
      </c>
      <c r="G27" s="6"/>
      <c r="H27" s="6"/>
      <c r="I27" s="6"/>
      <c r="J27" s="6"/>
      <c r="K27" s="6"/>
      <c r="L27" s="13"/>
      <c r="M27" s="6"/>
      <c r="N27" s="327"/>
    </row>
    <row r="28" spans="1:14" s="98" customFormat="1" ht="16.5">
      <c r="A28" s="86"/>
      <c r="B28" s="86"/>
      <c r="C28" s="42" t="s">
        <v>36</v>
      </c>
      <c r="D28" s="86" t="s">
        <v>33</v>
      </c>
      <c r="E28" s="157">
        <f>0.19/1000</f>
        <v>1.9000000000000001E-4</v>
      </c>
      <c r="F28" s="185">
        <f>E28*F25</f>
        <v>1.3680000000000001E-3</v>
      </c>
      <c r="G28" s="86"/>
      <c r="H28" s="86"/>
      <c r="I28" s="86"/>
      <c r="J28" s="86"/>
      <c r="K28" s="9"/>
      <c r="L28" s="148"/>
      <c r="M28" s="185"/>
      <c r="N28" s="327"/>
    </row>
    <row r="29" spans="1:14" s="98" customFormat="1" ht="49.5">
      <c r="A29" s="269">
        <v>4</v>
      </c>
      <c r="B29" s="151" t="s">
        <v>208</v>
      </c>
      <c r="C29" s="274" t="s">
        <v>240</v>
      </c>
      <c r="D29" s="275" t="s">
        <v>97</v>
      </c>
      <c r="E29" s="275"/>
      <c r="F29" s="276">
        <v>7.5</v>
      </c>
      <c r="G29" s="277"/>
      <c r="H29" s="277"/>
      <c r="I29" s="277"/>
      <c r="J29" s="277"/>
      <c r="K29" s="277"/>
      <c r="L29" s="277"/>
      <c r="M29" s="265"/>
      <c r="N29" s="327"/>
    </row>
    <row r="30" spans="1:14" s="98" customFormat="1" ht="16.5">
      <c r="A30" s="4"/>
      <c r="B30" s="4"/>
      <c r="C30" s="14" t="s">
        <v>29</v>
      </c>
      <c r="D30" s="6" t="s">
        <v>30</v>
      </c>
      <c r="E30" s="6">
        <v>1.6</v>
      </c>
      <c r="F30" s="6">
        <f>E30*F29</f>
        <v>12</v>
      </c>
      <c r="G30" s="6"/>
      <c r="H30" s="6"/>
      <c r="I30" s="5"/>
      <c r="J30" s="265"/>
      <c r="K30" s="5"/>
      <c r="L30" s="5"/>
      <c r="M30" s="6"/>
      <c r="N30" s="327"/>
    </row>
    <row r="31" spans="1:14" s="98" customFormat="1" ht="16.5">
      <c r="A31" s="4"/>
      <c r="B31" s="4" t="s">
        <v>161</v>
      </c>
      <c r="C31" s="14" t="s">
        <v>74</v>
      </c>
      <c r="D31" s="6" t="s">
        <v>31</v>
      </c>
      <c r="E31" s="145">
        <f>1.91/100</f>
        <v>1.9099999999999999E-2</v>
      </c>
      <c r="F31" s="6">
        <f>E31*F29</f>
        <v>0.14324999999999999</v>
      </c>
      <c r="G31" s="6"/>
      <c r="H31" s="5"/>
      <c r="I31" s="5"/>
      <c r="J31" s="265"/>
      <c r="K31" s="6"/>
      <c r="L31" s="6"/>
      <c r="M31" s="6"/>
      <c r="N31" s="327"/>
    </row>
    <row r="32" spans="1:14" s="98" customFormat="1" ht="16.5">
      <c r="A32" s="4"/>
      <c r="B32" s="4" t="s">
        <v>234</v>
      </c>
      <c r="C32" s="14" t="s">
        <v>209</v>
      </c>
      <c r="D32" s="6" t="s">
        <v>31</v>
      </c>
      <c r="E32" s="145">
        <v>0.77500000000000002</v>
      </c>
      <c r="F32" s="6">
        <f>E32*F29</f>
        <v>5.8125</v>
      </c>
      <c r="G32" s="6"/>
      <c r="H32" s="6"/>
      <c r="I32" s="5"/>
      <c r="J32" s="265"/>
      <c r="K32" s="6"/>
      <c r="L32" s="6"/>
      <c r="M32" s="6"/>
      <c r="N32" s="327"/>
    </row>
    <row r="33" spans="1:14" s="98" customFormat="1" ht="16.5">
      <c r="A33" s="4"/>
      <c r="B33" s="4" t="s">
        <v>235</v>
      </c>
      <c r="C33" s="14" t="s">
        <v>210</v>
      </c>
      <c r="D33" s="6" t="s">
        <v>31</v>
      </c>
      <c r="E33" s="145">
        <f>0.775/2</f>
        <v>0.38750000000000001</v>
      </c>
      <c r="F33" s="6">
        <f>E33*F29</f>
        <v>2.90625</v>
      </c>
      <c r="G33" s="6"/>
      <c r="H33" s="6"/>
      <c r="I33" s="5"/>
      <c r="J33" s="265"/>
      <c r="K33" s="6"/>
      <c r="L33" s="6"/>
      <c r="M33" s="6"/>
      <c r="N33" s="327"/>
    </row>
    <row r="34" spans="1:14" s="98" customFormat="1" ht="20.25">
      <c r="A34" s="4"/>
      <c r="B34" s="4" t="s">
        <v>211</v>
      </c>
      <c r="C34" s="14" t="s">
        <v>212</v>
      </c>
      <c r="D34" s="6" t="s">
        <v>213</v>
      </c>
      <c r="E34" s="6"/>
      <c r="F34" s="145">
        <f>F29/1000</f>
        <v>7.4999999999999997E-3</v>
      </c>
      <c r="G34" s="6"/>
      <c r="H34" s="6"/>
      <c r="I34" s="5"/>
      <c r="J34" s="265"/>
      <c r="K34" s="6"/>
      <c r="L34" s="6"/>
      <c r="M34" s="6"/>
      <c r="N34" s="327"/>
    </row>
    <row r="35" spans="1:14" s="98" customFormat="1" ht="16.5">
      <c r="A35" s="4"/>
      <c r="B35" s="4"/>
      <c r="C35" s="14" t="s">
        <v>29</v>
      </c>
      <c r="D35" s="6" t="s">
        <v>30</v>
      </c>
      <c r="E35" s="6">
        <v>20</v>
      </c>
      <c r="F35" s="6">
        <f>F34*E35</f>
        <v>0.15</v>
      </c>
      <c r="G35" s="6"/>
      <c r="H35" s="6"/>
      <c r="I35" s="5"/>
      <c r="J35" s="265"/>
      <c r="K35" s="6"/>
      <c r="L35" s="6"/>
      <c r="M35" s="6"/>
      <c r="N35" s="327"/>
    </row>
    <row r="36" spans="1:14" s="98" customFormat="1" ht="16.5">
      <c r="A36" s="4"/>
      <c r="B36" s="4" t="s">
        <v>143</v>
      </c>
      <c r="C36" s="14" t="s">
        <v>66</v>
      </c>
      <c r="D36" s="6" t="s">
        <v>214</v>
      </c>
      <c r="E36" s="6">
        <v>44.8</v>
      </c>
      <c r="F36" s="6">
        <f>F34*E36</f>
        <v>0.33599999999999997</v>
      </c>
      <c r="G36" s="6"/>
      <c r="H36" s="6"/>
      <c r="I36" s="5"/>
      <c r="J36" s="265"/>
      <c r="K36" s="6"/>
      <c r="L36" s="6"/>
      <c r="M36" s="6"/>
      <c r="N36" s="327"/>
    </row>
    <row r="37" spans="1:14" s="98" customFormat="1" ht="16.5">
      <c r="A37" s="146"/>
      <c r="B37" s="146" t="s">
        <v>236</v>
      </c>
      <c r="C37" s="205" t="s">
        <v>215</v>
      </c>
      <c r="D37" s="8" t="s">
        <v>216</v>
      </c>
      <c r="E37" s="256"/>
      <c r="F37" s="8">
        <f>F29*2.4</f>
        <v>18</v>
      </c>
      <c r="G37" s="8"/>
      <c r="H37" s="8"/>
      <c r="I37" s="8"/>
      <c r="J37" s="8"/>
      <c r="K37" s="8"/>
      <c r="L37" s="8"/>
      <c r="M37" s="8"/>
      <c r="N37" s="327"/>
    </row>
    <row r="38" spans="1:14" s="98" customFormat="1" ht="20.25">
      <c r="A38" s="255">
        <v>5</v>
      </c>
      <c r="B38" s="39" t="s">
        <v>67</v>
      </c>
      <c r="C38" s="40" t="s">
        <v>75</v>
      </c>
      <c r="D38" s="10" t="s">
        <v>97</v>
      </c>
      <c r="E38" s="152"/>
      <c r="F38" s="209">
        <f>F29</f>
        <v>7.5</v>
      </c>
      <c r="G38" s="153"/>
      <c r="H38" s="153"/>
      <c r="I38" s="153"/>
      <c r="J38" s="153"/>
      <c r="K38" s="153"/>
      <c r="L38" s="154"/>
      <c r="M38" s="155"/>
      <c r="N38" s="327"/>
    </row>
    <row r="39" spans="1:14" s="98" customFormat="1" ht="16.5">
      <c r="A39" s="12"/>
      <c r="B39" s="12"/>
      <c r="C39" s="26" t="s">
        <v>29</v>
      </c>
      <c r="D39" s="6" t="s">
        <v>30</v>
      </c>
      <c r="E39" s="145">
        <f>3.23/1000</f>
        <v>3.2299999999999998E-3</v>
      </c>
      <c r="F39" s="6">
        <f>E39*F38</f>
        <v>2.4225E-2</v>
      </c>
      <c r="G39" s="7"/>
      <c r="H39" s="7"/>
      <c r="I39" s="41"/>
      <c r="J39" s="41"/>
      <c r="K39" s="41"/>
      <c r="L39" s="156"/>
      <c r="M39" s="7"/>
      <c r="N39" s="327"/>
    </row>
    <row r="40" spans="1:14" s="98" customFormat="1" ht="16.5">
      <c r="A40" s="4"/>
      <c r="B40" s="4" t="s">
        <v>145</v>
      </c>
      <c r="C40" s="26" t="s">
        <v>57</v>
      </c>
      <c r="D40" s="6" t="s">
        <v>31</v>
      </c>
      <c r="E40" s="29">
        <f>3.62/1000</f>
        <v>3.62E-3</v>
      </c>
      <c r="F40" s="6">
        <f>E40*F38</f>
        <v>2.7150000000000001E-2</v>
      </c>
      <c r="G40" s="6"/>
      <c r="H40" s="6"/>
      <c r="I40" s="6"/>
      <c r="J40" s="6"/>
      <c r="K40" s="6"/>
      <c r="L40" s="13"/>
      <c r="M40" s="6"/>
      <c r="N40" s="327"/>
    </row>
    <row r="41" spans="1:14" s="98" customFormat="1" ht="16.5">
      <c r="A41" s="86"/>
      <c r="B41" s="86"/>
      <c r="C41" s="42" t="s">
        <v>36</v>
      </c>
      <c r="D41" s="86" t="s">
        <v>33</v>
      </c>
      <c r="E41" s="157">
        <f>0.24/1000</f>
        <v>2.3999999999999998E-4</v>
      </c>
      <c r="F41" s="185">
        <f>E41*F38</f>
        <v>1.8E-3</v>
      </c>
      <c r="G41" s="86"/>
      <c r="H41" s="86"/>
      <c r="I41" s="86"/>
      <c r="J41" s="86"/>
      <c r="K41" s="9"/>
      <c r="L41" s="148"/>
      <c r="M41" s="185"/>
      <c r="N41" s="327"/>
    </row>
    <row r="42" spans="1:14" s="98" customFormat="1" ht="81" customHeight="1">
      <c r="A42" s="39">
        <v>6</v>
      </c>
      <c r="B42" s="264" t="s">
        <v>169</v>
      </c>
      <c r="C42" s="19" t="s">
        <v>241</v>
      </c>
      <c r="D42" s="187" t="s">
        <v>97</v>
      </c>
      <c r="E42" s="190"/>
      <c r="F42" s="211">
        <f>8*0.25</f>
        <v>2</v>
      </c>
      <c r="G42" s="265"/>
      <c r="H42" s="6"/>
      <c r="I42" s="6"/>
      <c r="J42" s="6"/>
      <c r="K42" s="6"/>
      <c r="L42" s="6"/>
      <c r="M42" s="266"/>
      <c r="N42" s="327"/>
    </row>
    <row r="43" spans="1:14" s="98" customFormat="1" ht="16.5">
      <c r="A43" s="169"/>
      <c r="B43" s="25"/>
      <c r="C43" s="14" t="s">
        <v>29</v>
      </c>
      <c r="D43" s="6" t="s">
        <v>30</v>
      </c>
      <c r="E43" s="2">
        <v>2.81</v>
      </c>
      <c r="F43" s="16">
        <f>E43*F42</f>
        <v>5.62</v>
      </c>
      <c r="G43" s="2"/>
      <c r="H43" s="6"/>
      <c r="I43" s="2"/>
      <c r="J43" s="2"/>
      <c r="K43" s="2"/>
      <c r="L43" s="2"/>
      <c r="M43" s="2"/>
      <c r="N43" s="327"/>
    </row>
    <row r="44" spans="1:14" s="98" customFormat="1" ht="16.5">
      <c r="A44" s="169"/>
      <c r="B44" s="25"/>
      <c r="C44" s="261" t="s">
        <v>70</v>
      </c>
      <c r="D44" s="6" t="s">
        <v>33</v>
      </c>
      <c r="E44" s="41">
        <v>0.33</v>
      </c>
      <c r="F44" s="6">
        <f>E44*F42</f>
        <v>0.66</v>
      </c>
      <c r="G44" s="7"/>
      <c r="H44" s="7"/>
      <c r="I44" s="7"/>
      <c r="J44" s="7"/>
      <c r="K44" s="7"/>
      <c r="L44" s="7"/>
      <c r="M44" s="7"/>
      <c r="N44" s="327"/>
    </row>
    <row r="45" spans="1:14" s="98" customFormat="1" ht="33">
      <c r="A45" s="169"/>
      <c r="B45" s="161" t="s">
        <v>219</v>
      </c>
      <c r="C45" s="14" t="s">
        <v>220</v>
      </c>
      <c r="D45" s="6" t="s">
        <v>98</v>
      </c>
      <c r="E45" s="41">
        <v>1.02</v>
      </c>
      <c r="F45" s="6">
        <f>E45*F42</f>
        <v>2.04</v>
      </c>
      <c r="G45" s="7"/>
      <c r="H45" s="7"/>
      <c r="I45" s="16"/>
      <c r="J45" s="7"/>
      <c r="K45" s="7"/>
      <c r="L45" s="7"/>
      <c r="M45" s="7"/>
      <c r="N45" s="327"/>
    </row>
    <row r="46" spans="1:14" s="98" customFormat="1" ht="20.25">
      <c r="A46" s="169"/>
      <c r="B46" s="25"/>
      <c r="C46" s="14" t="s">
        <v>170</v>
      </c>
      <c r="D46" s="6" t="s">
        <v>171</v>
      </c>
      <c r="E46" s="41">
        <v>0.71699999999999997</v>
      </c>
      <c r="F46" s="6">
        <f>E46*F42</f>
        <v>1.4339999999999999</v>
      </c>
      <c r="G46" s="7"/>
      <c r="H46" s="7"/>
      <c r="I46" s="16"/>
      <c r="J46" s="7"/>
      <c r="K46" s="7"/>
      <c r="L46" s="7"/>
      <c r="M46" s="7"/>
      <c r="N46" s="327"/>
    </row>
    <row r="47" spans="1:14" s="98" customFormat="1" ht="20.25">
      <c r="A47" s="169"/>
      <c r="B47" s="25" t="s">
        <v>149</v>
      </c>
      <c r="C47" s="14" t="s">
        <v>172</v>
      </c>
      <c r="D47" s="6" t="s">
        <v>173</v>
      </c>
      <c r="E47" s="41">
        <f>0.13/100</f>
        <v>1.2999999999999999E-3</v>
      </c>
      <c r="F47" s="29">
        <f>E47*F42</f>
        <v>2.5999999999999999E-3</v>
      </c>
      <c r="G47" s="7"/>
      <c r="H47" s="7"/>
      <c r="I47" s="16"/>
      <c r="J47" s="7"/>
      <c r="K47" s="7"/>
      <c r="L47" s="7"/>
      <c r="M47" s="7"/>
      <c r="N47" s="327"/>
    </row>
    <row r="48" spans="1:14" s="98" customFormat="1" ht="20.25">
      <c r="A48" s="169"/>
      <c r="B48" s="4" t="s">
        <v>150</v>
      </c>
      <c r="C48" s="14" t="s">
        <v>174</v>
      </c>
      <c r="D48" s="6" t="s">
        <v>173</v>
      </c>
      <c r="E48" s="29">
        <f>1.52/100</f>
        <v>1.52E-2</v>
      </c>
      <c r="F48" s="29">
        <f>E48*F42</f>
        <v>3.04E-2</v>
      </c>
      <c r="G48" s="7"/>
      <c r="H48" s="7"/>
      <c r="I48" s="16"/>
      <c r="J48" s="6"/>
      <c r="K48" s="6"/>
      <c r="L48" s="6"/>
      <c r="M48" s="6"/>
      <c r="N48" s="327"/>
    </row>
    <row r="49" spans="1:15" s="98" customFormat="1" ht="16.5">
      <c r="A49" s="169"/>
      <c r="B49" s="25" t="s">
        <v>156</v>
      </c>
      <c r="C49" s="20" t="s">
        <v>175</v>
      </c>
      <c r="D49" s="24" t="s">
        <v>34</v>
      </c>
      <c r="E49" s="41">
        <f>0.09/100</f>
        <v>8.9999999999999998E-4</v>
      </c>
      <c r="F49" s="29">
        <f>E49*F42</f>
        <v>1.8E-3</v>
      </c>
      <c r="G49" s="7"/>
      <c r="H49" s="7"/>
      <c r="I49" s="7"/>
      <c r="J49" s="7"/>
      <c r="K49" s="7"/>
      <c r="L49" s="7"/>
      <c r="M49" s="7"/>
      <c r="N49" s="327"/>
      <c r="O49" s="103"/>
    </row>
    <row r="50" spans="1:15" s="98" customFormat="1" ht="16.5">
      <c r="A50" s="170"/>
      <c r="B50" s="260"/>
      <c r="C50" s="21" t="s">
        <v>56</v>
      </c>
      <c r="D50" s="28" t="s">
        <v>33</v>
      </c>
      <c r="E50" s="42">
        <v>0.16</v>
      </c>
      <c r="F50" s="8">
        <f>E50*F42</f>
        <v>0.32</v>
      </c>
      <c r="G50" s="9"/>
      <c r="H50" s="9"/>
      <c r="I50" s="9"/>
      <c r="J50" s="9"/>
      <c r="K50" s="9"/>
      <c r="L50" s="9"/>
      <c r="M50" s="9"/>
      <c r="N50" s="327"/>
    </row>
    <row r="51" spans="1:15" s="98" customFormat="1" ht="16.5">
      <c r="A51" s="96"/>
      <c r="B51" s="161" t="s">
        <v>152</v>
      </c>
      <c r="C51" s="164" t="s">
        <v>119</v>
      </c>
      <c r="D51" s="137" t="s">
        <v>34</v>
      </c>
      <c r="E51" s="18">
        <v>2.4</v>
      </c>
      <c r="F51" s="50">
        <f>E51*F45</f>
        <v>4.8959999999999999</v>
      </c>
      <c r="G51" s="138"/>
      <c r="H51" s="137"/>
      <c r="I51" s="18"/>
      <c r="J51" s="138"/>
      <c r="K51" s="18"/>
      <c r="L51" s="137"/>
      <c r="M51" s="18"/>
      <c r="N51" s="327"/>
    </row>
    <row r="52" spans="1:15" s="3" customFormat="1" ht="16.5">
      <c r="A52" s="51"/>
      <c r="B52" s="52"/>
      <c r="C52" s="89" t="s">
        <v>12</v>
      </c>
      <c r="D52" s="52" t="s">
        <v>33</v>
      </c>
      <c r="E52" s="52"/>
      <c r="F52" s="52"/>
      <c r="G52" s="52"/>
      <c r="H52" s="54"/>
      <c r="I52" s="54"/>
      <c r="J52" s="54"/>
      <c r="K52" s="54"/>
      <c r="L52" s="54"/>
      <c r="M52" s="54"/>
      <c r="N52" s="327">
        <v>1915.76</v>
      </c>
    </row>
    <row r="53" spans="1:15" s="3" customFormat="1" ht="16.5">
      <c r="A53" s="55"/>
      <c r="B53" s="4"/>
      <c r="C53" s="56" t="s">
        <v>394</v>
      </c>
      <c r="D53" s="57" t="s">
        <v>33</v>
      </c>
      <c r="E53" s="6"/>
      <c r="F53" s="6"/>
      <c r="G53" s="6"/>
      <c r="H53" s="6"/>
      <c r="I53" s="6"/>
      <c r="J53" s="6"/>
      <c r="K53" s="5"/>
      <c r="L53" s="6"/>
      <c r="M53" s="6"/>
      <c r="N53" s="327"/>
    </row>
    <row r="54" spans="1:15" s="3" customFormat="1" ht="16.5">
      <c r="A54" s="55"/>
      <c r="B54" s="4"/>
      <c r="C54" s="90" t="s">
        <v>12</v>
      </c>
      <c r="D54" s="57" t="s">
        <v>33</v>
      </c>
      <c r="E54" s="6"/>
      <c r="F54" s="6"/>
      <c r="G54" s="6"/>
      <c r="H54" s="6"/>
      <c r="I54" s="6"/>
      <c r="J54" s="6"/>
      <c r="K54" s="5"/>
      <c r="L54" s="6"/>
      <c r="M54" s="6"/>
      <c r="N54" s="327"/>
    </row>
    <row r="55" spans="1:15" s="3" customFormat="1" ht="16.5">
      <c r="A55" s="59"/>
      <c r="B55" s="60"/>
      <c r="C55" s="56" t="s">
        <v>395</v>
      </c>
      <c r="D55" s="57" t="s">
        <v>33</v>
      </c>
      <c r="E55" s="62"/>
      <c r="F55" s="69"/>
      <c r="G55" s="62"/>
      <c r="H55" s="62"/>
      <c r="I55" s="62"/>
      <c r="J55" s="62"/>
      <c r="K55" s="62"/>
      <c r="L55" s="62"/>
      <c r="M55" s="62"/>
      <c r="N55" s="327"/>
    </row>
    <row r="56" spans="1:15" s="3" customFormat="1" ht="16.5">
      <c r="A56" s="66"/>
      <c r="B56" s="60"/>
      <c r="C56" s="90" t="s">
        <v>12</v>
      </c>
      <c r="D56" s="57" t="s">
        <v>33</v>
      </c>
      <c r="E56" s="67"/>
      <c r="F56" s="90"/>
      <c r="G56" s="90"/>
      <c r="H56" s="67"/>
      <c r="I56" s="67"/>
      <c r="J56" s="67"/>
      <c r="K56" s="67"/>
      <c r="L56" s="67"/>
      <c r="M56" s="67"/>
      <c r="N56" s="327"/>
    </row>
    <row r="57" spans="1:15" s="3" customFormat="1" ht="16.5">
      <c r="A57" s="59"/>
      <c r="B57" s="60"/>
      <c r="C57" s="56" t="s">
        <v>396</v>
      </c>
      <c r="D57" s="57" t="s">
        <v>33</v>
      </c>
      <c r="E57" s="62"/>
      <c r="F57" s="69"/>
      <c r="G57" s="62"/>
      <c r="H57" s="62"/>
      <c r="I57" s="62"/>
      <c r="J57" s="62"/>
      <c r="K57" s="62"/>
      <c r="L57" s="62"/>
      <c r="M57" s="62"/>
      <c r="N57" s="327"/>
    </row>
    <row r="58" spans="1:15" s="3" customFormat="1" ht="16.5">
      <c r="A58" s="70"/>
      <c r="B58" s="71"/>
      <c r="C58" s="91" t="s">
        <v>12</v>
      </c>
      <c r="D58" s="73" t="s">
        <v>33</v>
      </c>
      <c r="E58" s="91"/>
      <c r="F58" s="91"/>
      <c r="G58" s="91"/>
      <c r="H58" s="92"/>
      <c r="I58" s="92"/>
      <c r="J58" s="92"/>
      <c r="K58" s="92"/>
      <c r="L58" s="92"/>
      <c r="M58" s="93"/>
      <c r="N58" s="327">
        <v>2279.7199999999998</v>
      </c>
    </row>
    <row r="61" spans="1:15">
      <c r="B61" s="438" t="s">
        <v>399</v>
      </c>
      <c r="C61" s="438"/>
      <c r="D61" s="439" t="s">
        <v>400</v>
      </c>
      <c r="E61" s="439"/>
      <c r="F61" s="439"/>
      <c r="G61" s="439"/>
      <c r="H61" s="439"/>
      <c r="I61" s="439"/>
      <c r="J61" s="439"/>
      <c r="K61" s="439"/>
      <c r="L61" s="439"/>
      <c r="M61" s="439"/>
      <c r="N61" s="439"/>
      <c r="O61" s="439"/>
    </row>
    <row r="62" spans="1:15" ht="32.25" customHeight="1">
      <c r="B62" s="438"/>
      <c r="C62" s="438"/>
      <c r="D62" s="439" t="s">
        <v>401</v>
      </c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439"/>
    </row>
  </sheetData>
  <mergeCells count="27">
    <mergeCell ref="B61:C62"/>
    <mergeCell ref="D61:O61"/>
    <mergeCell ref="D62:O62"/>
    <mergeCell ref="F6:I6"/>
    <mergeCell ref="A4:M4"/>
    <mergeCell ref="J10:J11"/>
    <mergeCell ref="A8:A11"/>
    <mergeCell ref="N8:N11"/>
    <mergeCell ref="L10:L11"/>
    <mergeCell ref="G8:H9"/>
    <mergeCell ref="C8:C11"/>
    <mergeCell ref="A1:M1"/>
    <mergeCell ref="B5:D5"/>
    <mergeCell ref="F5:I5"/>
    <mergeCell ref="M8:M11"/>
    <mergeCell ref="K9:L9"/>
    <mergeCell ref="D10:D11"/>
    <mergeCell ref="H10:H11"/>
    <mergeCell ref="A2:M2"/>
    <mergeCell ref="A3:M3"/>
    <mergeCell ref="D8:F9"/>
    <mergeCell ref="B8:B11"/>
    <mergeCell ref="F10:F11"/>
    <mergeCell ref="B6:C6"/>
    <mergeCell ref="K8:L8"/>
    <mergeCell ref="I8:J9"/>
    <mergeCell ref="E10:E11"/>
  </mergeCells>
  <phoneticPr fontId="4" type="noConversion"/>
  <conditionalFormatting sqref="D42:D51">
    <cfRule type="cellIs" dxfId="10" priority="6" stopIfTrue="1" operator="equal">
      <formula>8223.307275</formula>
    </cfRule>
  </conditionalFormatting>
  <conditionalFormatting sqref="D14">
    <cfRule type="cellIs" dxfId="9" priority="3" stopIfTrue="1" operator="equal">
      <formula>8223.307275</formula>
    </cfRule>
  </conditionalFormatting>
  <conditionalFormatting sqref="D16:D24">
    <cfRule type="cellIs" dxfId="8" priority="2" stopIfTrue="1" operator="equal">
      <formula>8223.307275</formula>
    </cfRule>
  </conditionalFormatting>
  <conditionalFormatting sqref="D29:D37">
    <cfRule type="cellIs" dxfId="7" priority="1" stopIfTrue="1" operator="equal">
      <formula>8223.307275</formula>
    </cfRule>
  </conditionalFormatting>
  <printOptions horizontalCentered="1"/>
  <pageMargins left="0.51181102362204722" right="0.31496062992125984" top="0.39370078740157483" bottom="0.31496062992125984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91"/>
  <sheetViews>
    <sheetView topLeftCell="A369" zoomScaleNormal="100" zoomScaleSheetLayoutView="85" workbookViewId="0">
      <selection activeCell="G399" sqref="G399"/>
    </sheetView>
  </sheetViews>
  <sheetFormatPr defaultColWidth="9" defaultRowHeight="15"/>
  <cols>
    <col min="1" max="1" width="3.85546875" style="77" customWidth="1"/>
    <col min="2" max="2" width="11.28515625" style="78" customWidth="1"/>
    <col min="3" max="3" width="76.85546875" style="78" customWidth="1"/>
    <col min="4" max="4" width="10" style="79" customWidth="1"/>
    <col min="5" max="5" width="9.140625" style="79" bestFit="1" customWidth="1"/>
    <col min="6" max="6" width="11.7109375" style="79" customWidth="1"/>
    <col min="7" max="7" width="7.7109375" style="79" customWidth="1"/>
    <col min="8" max="8" width="11.7109375" style="79" customWidth="1"/>
    <col min="9" max="9" width="10.7109375" style="79" customWidth="1"/>
    <col min="10" max="10" width="13" style="79" customWidth="1"/>
    <col min="11" max="11" width="9.7109375" style="79" customWidth="1"/>
    <col min="12" max="12" width="11.28515625" style="79" customWidth="1"/>
    <col min="13" max="13" width="14.140625" style="79" customWidth="1"/>
    <col min="14" max="14" width="12" style="334" customWidth="1"/>
    <col min="15" max="15" width="10.28515625" style="33" customWidth="1"/>
    <col min="16" max="16384" width="9" style="33"/>
  </cols>
  <sheetData>
    <row r="1" spans="1:14" s="3" customFormat="1" ht="39.75" customHeight="1">
      <c r="A1" s="392" t="s">
        <v>383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32"/>
    </row>
    <row r="2" spans="1:14" s="3" customFormat="1" ht="21.75" customHeight="1">
      <c r="A2" s="403" t="s">
        <v>77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332"/>
    </row>
    <row r="3" spans="1:14" s="3" customFormat="1" ht="21.75" customHeight="1">
      <c r="A3" s="404" t="s">
        <v>242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332"/>
    </row>
    <row r="4" spans="1:14" s="3" customFormat="1" ht="16.5">
      <c r="A4" s="4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332"/>
    </row>
    <row r="5" spans="1:14" s="3" customFormat="1" ht="31.5">
      <c r="A5" s="45"/>
      <c r="B5" s="393" t="s">
        <v>28</v>
      </c>
      <c r="C5" s="393"/>
      <c r="D5" s="425"/>
      <c r="E5" s="34"/>
      <c r="F5" s="394" t="s">
        <v>1</v>
      </c>
      <c r="G5" s="394"/>
      <c r="H5" s="394"/>
      <c r="I5" s="394"/>
      <c r="J5" s="47"/>
      <c r="K5" s="134" t="s">
        <v>0</v>
      </c>
      <c r="L5" s="34"/>
      <c r="M5" s="34"/>
      <c r="N5" s="332"/>
    </row>
    <row r="6" spans="1:14" s="3" customFormat="1" ht="16.5">
      <c r="A6" s="45"/>
      <c r="B6" s="393" t="s">
        <v>217</v>
      </c>
      <c r="C6" s="393"/>
      <c r="D6" s="34"/>
      <c r="E6" s="34"/>
      <c r="F6" s="394"/>
      <c r="G6" s="394"/>
      <c r="H6" s="394"/>
      <c r="I6" s="394"/>
      <c r="J6" s="34"/>
      <c r="K6" s="34"/>
      <c r="L6" s="34"/>
      <c r="M6" s="34"/>
      <c r="N6" s="332"/>
    </row>
    <row r="7" spans="1:14" s="3" customFormat="1" ht="16.5">
      <c r="A7" s="45"/>
      <c r="B7" s="45"/>
      <c r="C7" s="45"/>
      <c r="D7" s="34"/>
      <c r="E7" s="34"/>
      <c r="F7" s="34"/>
      <c r="G7" s="34"/>
      <c r="H7" s="34"/>
      <c r="I7" s="34"/>
      <c r="J7" s="34"/>
      <c r="K7" s="34"/>
      <c r="L7" s="34"/>
      <c r="M7" s="34"/>
      <c r="N7" s="332"/>
    </row>
    <row r="8" spans="1:14" s="3" customFormat="1" ht="16.5">
      <c r="A8" s="417" t="s">
        <v>2</v>
      </c>
      <c r="B8" s="409" t="s">
        <v>3</v>
      </c>
      <c r="C8" s="347" t="s">
        <v>27</v>
      </c>
      <c r="D8" s="405" t="s">
        <v>4</v>
      </c>
      <c r="E8" s="406"/>
      <c r="F8" s="395"/>
      <c r="G8" s="405" t="s">
        <v>5</v>
      </c>
      <c r="H8" s="412"/>
      <c r="I8" s="405" t="s">
        <v>6</v>
      </c>
      <c r="J8" s="413"/>
      <c r="K8" s="405" t="s">
        <v>7</v>
      </c>
      <c r="L8" s="413"/>
      <c r="M8" s="401" t="s">
        <v>8</v>
      </c>
      <c r="N8" s="418" t="s">
        <v>393</v>
      </c>
    </row>
    <row r="9" spans="1:14" s="3" customFormat="1" ht="16.5">
      <c r="A9" s="345"/>
      <c r="B9" s="410"/>
      <c r="C9" s="348"/>
      <c r="D9" s="399"/>
      <c r="E9" s="407"/>
      <c r="F9" s="408"/>
      <c r="G9" s="414"/>
      <c r="H9" s="400"/>
      <c r="I9" s="414"/>
      <c r="J9" s="415"/>
      <c r="K9" s="399" t="s">
        <v>9</v>
      </c>
      <c r="L9" s="415"/>
      <c r="M9" s="397"/>
      <c r="N9" s="419"/>
    </row>
    <row r="10" spans="1:14" s="3" customFormat="1" ht="16.5">
      <c r="A10" s="345"/>
      <c r="B10" s="410"/>
      <c r="C10" s="348"/>
      <c r="D10" s="401" t="s">
        <v>10</v>
      </c>
      <c r="E10" s="401" t="s">
        <v>11</v>
      </c>
      <c r="F10" s="401" t="s">
        <v>12</v>
      </c>
      <c r="G10" s="16" t="s">
        <v>11</v>
      </c>
      <c r="H10" s="401" t="s">
        <v>12</v>
      </c>
      <c r="I10" s="16" t="s">
        <v>11</v>
      </c>
      <c r="J10" s="401" t="s">
        <v>12</v>
      </c>
      <c r="K10" s="16" t="s">
        <v>11</v>
      </c>
      <c r="L10" s="405" t="s">
        <v>12</v>
      </c>
      <c r="M10" s="397"/>
      <c r="N10" s="419"/>
    </row>
    <row r="11" spans="1:14" s="3" customFormat="1" ht="22.5" customHeight="1">
      <c r="A11" s="346"/>
      <c r="B11" s="411"/>
      <c r="C11" s="349"/>
      <c r="D11" s="402"/>
      <c r="E11" s="402"/>
      <c r="F11" s="402"/>
      <c r="G11" s="18" t="s">
        <v>13</v>
      </c>
      <c r="H11" s="402"/>
      <c r="I11" s="18" t="s">
        <v>13</v>
      </c>
      <c r="J11" s="402"/>
      <c r="K11" s="18" t="s">
        <v>13</v>
      </c>
      <c r="L11" s="399"/>
      <c r="M11" s="398"/>
      <c r="N11" s="420"/>
    </row>
    <row r="12" spans="1:14" s="3" customFormat="1" ht="16.5">
      <c r="A12" s="83">
        <v>1</v>
      </c>
      <c r="B12" s="84" t="s">
        <v>60</v>
      </c>
      <c r="C12" s="85">
        <v>3</v>
      </c>
      <c r="D12" s="84">
        <v>4</v>
      </c>
      <c r="E12" s="84">
        <v>5</v>
      </c>
      <c r="F12" s="84">
        <v>6</v>
      </c>
      <c r="G12" s="84">
        <v>7</v>
      </c>
      <c r="H12" s="84">
        <v>8</v>
      </c>
      <c r="I12" s="84">
        <v>9</v>
      </c>
      <c r="J12" s="84">
        <v>10</v>
      </c>
      <c r="K12" s="84">
        <v>11</v>
      </c>
      <c r="L12" s="94">
        <v>12</v>
      </c>
      <c r="M12" s="83">
        <v>13</v>
      </c>
      <c r="N12" s="326">
        <v>14</v>
      </c>
    </row>
    <row r="13" spans="1:14" s="3" customFormat="1" ht="48" customHeight="1">
      <c r="A13" s="426" t="s">
        <v>253</v>
      </c>
      <c r="B13" s="427"/>
      <c r="C13" s="427"/>
      <c r="D13" s="427"/>
      <c r="E13" s="427"/>
      <c r="F13" s="428"/>
      <c r="G13" s="207"/>
      <c r="H13" s="207"/>
      <c r="I13" s="207"/>
      <c r="J13" s="207"/>
      <c r="K13" s="207"/>
      <c r="L13" s="207"/>
      <c r="M13" s="207"/>
      <c r="N13" s="329"/>
    </row>
    <row r="14" spans="1:14" s="3" customFormat="1" ht="20.25">
      <c r="A14" s="22">
        <v>1</v>
      </c>
      <c r="B14" s="151" t="s">
        <v>107</v>
      </c>
      <c r="C14" s="200" t="s">
        <v>250</v>
      </c>
      <c r="D14" s="22" t="s">
        <v>97</v>
      </c>
      <c r="E14" s="187"/>
      <c r="F14" s="210">
        <v>0.66</v>
      </c>
      <c r="G14" s="17"/>
      <c r="H14" s="15"/>
      <c r="I14" s="16"/>
      <c r="J14" s="17"/>
      <c r="K14" s="16"/>
      <c r="L14" s="15"/>
      <c r="M14" s="16"/>
      <c r="N14" s="327"/>
    </row>
    <row r="15" spans="1:14" s="3" customFormat="1" ht="16.5">
      <c r="A15" s="197"/>
      <c r="B15" s="4"/>
      <c r="C15" s="26" t="s">
        <v>29</v>
      </c>
      <c r="D15" s="6" t="s">
        <v>30</v>
      </c>
      <c r="E15" s="16">
        <v>2.12</v>
      </c>
      <c r="F15" s="16">
        <f>E15*F14</f>
        <v>1.3992000000000002</v>
      </c>
      <c r="G15" s="16"/>
      <c r="H15" s="15"/>
      <c r="I15" s="16"/>
      <c r="J15" s="17"/>
      <c r="K15" s="16"/>
      <c r="L15" s="15"/>
      <c r="M15" s="16"/>
      <c r="N15" s="327"/>
    </row>
    <row r="16" spans="1:14" s="3" customFormat="1" ht="16.5">
      <c r="A16" s="197"/>
      <c r="B16" s="4"/>
      <c r="C16" s="34" t="s">
        <v>36</v>
      </c>
      <c r="D16" s="13" t="s">
        <v>33</v>
      </c>
      <c r="E16" s="145">
        <v>0.10100000000000001</v>
      </c>
      <c r="F16" s="6">
        <f>E16*F14</f>
        <v>6.6660000000000011E-2</v>
      </c>
      <c r="G16" s="6"/>
      <c r="H16" s="13"/>
      <c r="I16" s="6"/>
      <c r="J16" s="35"/>
      <c r="K16" s="6"/>
      <c r="L16" s="13"/>
      <c r="M16" s="6"/>
      <c r="N16" s="327"/>
    </row>
    <row r="17" spans="1:14" s="3" customFormat="1" ht="20.25">
      <c r="A17" s="201"/>
      <c r="B17" s="4"/>
      <c r="C17" s="202" t="s">
        <v>252</v>
      </c>
      <c r="D17" s="36" t="s">
        <v>98</v>
      </c>
      <c r="E17" s="8">
        <v>1.1000000000000001</v>
      </c>
      <c r="F17" s="8">
        <f>E17*F14</f>
        <v>0.72600000000000009</v>
      </c>
      <c r="G17" s="8"/>
      <c r="H17" s="37"/>
      <c r="I17" s="18"/>
      <c r="J17" s="140"/>
      <c r="K17" s="167"/>
      <c r="L17" s="37"/>
      <c r="M17" s="8"/>
      <c r="N17" s="327"/>
    </row>
    <row r="18" spans="1:14" s="3" customFormat="1" ht="16.5">
      <c r="A18" s="36"/>
      <c r="B18" s="48" t="s">
        <v>146</v>
      </c>
      <c r="C18" s="164" t="s">
        <v>251</v>
      </c>
      <c r="D18" s="137" t="s">
        <v>34</v>
      </c>
      <c r="E18" s="18">
        <v>1.6</v>
      </c>
      <c r="F18" s="50">
        <f>E18*F17</f>
        <v>1.1616000000000002</v>
      </c>
      <c r="G18" s="138"/>
      <c r="H18" s="137"/>
      <c r="I18" s="18"/>
      <c r="J18" s="138"/>
      <c r="K18" s="18"/>
      <c r="L18" s="137"/>
      <c r="M18" s="18"/>
      <c r="N18" s="327"/>
    </row>
    <row r="19" spans="1:14" s="98" customFormat="1" ht="55.5" customHeight="1">
      <c r="A19" s="142" t="s">
        <v>60</v>
      </c>
      <c r="B19" s="181" t="s">
        <v>254</v>
      </c>
      <c r="C19" s="136" t="s">
        <v>255</v>
      </c>
      <c r="D19" s="155" t="s">
        <v>97</v>
      </c>
      <c r="E19" s="10"/>
      <c r="F19" s="209">
        <v>1</v>
      </c>
      <c r="G19" s="54"/>
      <c r="H19" s="272"/>
      <c r="I19" s="272"/>
      <c r="J19" s="272"/>
      <c r="K19" s="272"/>
      <c r="L19" s="272"/>
      <c r="M19" s="272"/>
      <c r="N19" s="327"/>
    </row>
    <row r="20" spans="1:14" s="98" customFormat="1" ht="16.5">
      <c r="A20" s="12"/>
      <c r="B20" s="4"/>
      <c r="C20" s="26" t="s">
        <v>29</v>
      </c>
      <c r="D20" s="41" t="s">
        <v>30</v>
      </c>
      <c r="E20" s="41">
        <v>3.42</v>
      </c>
      <c r="F20" s="41">
        <f>E20*F19</f>
        <v>3.42</v>
      </c>
      <c r="G20" s="6"/>
      <c r="H20" s="7"/>
      <c r="I20" s="7"/>
      <c r="J20" s="7"/>
      <c r="K20" s="7"/>
      <c r="L20" s="7"/>
      <c r="M20" s="7"/>
      <c r="N20" s="327"/>
    </row>
    <row r="21" spans="1:14" s="98" customFormat="1" ht="16.5">
      <c r="A21" s="12"/>
      <c r="B21" s="4" t="s">
        <v>307</v>
      </c>
      <c r="C21" s="20" t="s">
        <v>244</v>
      </c>
      <c r="D21" s="6" t="s">
        <v>31</v>
      </c>
      <c r="E21" s="5">
        <v>1.1299999999999999</v>
      </c>
      <c r="F21" s="5">
        <f>E21*F19</f>
        <v>1.1299999999999999</v>
      </c>
      <c r="G21" s="6"/>
      <c r="H21" s="6"/>
      <c r="I21" s="6"/>
      <c r="J21" s="6"/>
      <c r="K21" s="6"/>
      <c r="L21" s="6"/>
      <c r="M21" s="6"/>
      <c r="N21" s="327"/>
    </row>
    <row r="22" spans="1:14" s="98" customFormat="1" ht="16.5">
      <c r="A22" s="12"/>
      <c r="B22" s="4" t="s">
        <v>141</v>
      </c>
      <c r="C22" s="20" t="s">
        <v>245</v>
      </c>
      <c r="D22" s="16" t="s">
        <v>246</v>
      </c>
      <c r="E22" s="215" t="s">
        <v>102</v>
      </c>
      <c r="F22" s="6">
        <v>95</v>
      </c>
      <c r="G22" s="6"/>
      <c r="H22" s="7"/>
      <c r="I22" s="6"/>
      <c r="J22" s="6"/>
      <c r="K22" s="6"/>
      <c r="L22" s="6"/>
      <c r="M22" s="6"/>
      <c r="N22" s="327"/>
    </row>
    <row r="23" spans="1:14" s="98" customFormat="1" ht="16.5">
      <c r="A23" s="12"/>
      <c r="B23" s="4" t="s">
        <v>247</v>
      </c>
      <c r="C23" s="20" t="s">
        <v>248</v>
      </c>
      <c r="D23" s="16" t="s">
        <v>34</v>
      </c>
      <c r="E23" s="41">
        <f>1.93/100</f>
        <v>1.9299999999999998E-2</v>
      </c>
      <c r="F23" s="6">
        <f>E23*F19</f>
        <v>1.9299999999999998E-2</v>
      </c>
      <c r="G23" s="6"/>
      <c r="H23" s="7"/>
      <c r="I23" s="6"/>
      <c r="J23" s="6"/>
      <c r="K23" s="6"/>
      <c r="L23" s="6"/>
      <c r="M23" s="6"/>
      <c r="N23" s="327"/>
    </row>
    <row r="24" spans="1:14" s="98" customFormat="1" ht="20.25">
      <c r="A24" s="86"/>
      <c r="B24" s="146" t="s">
        <v>230</v>
      </c>
      <c r="C24" s="42" t="s">
        <v>205</v>
      </c>
      <c r="D24" s="18" t="s">
        <v>98</v>
      </c>
      <c r="E24" s="42">
        <f>9.2/100</f>
        <v>9.1999999999999998E-2</v>
      </c>
      <c r="F24" s="42">
        <f>E24*F19</f>
        <v>9.1999999999999998E-2</v>
      </c>
      <c r="G24" s="8"/>
      <c r="H24" s="9"/>
      <c r="I24" s="9"/>
      <c r="J24" s="8"/>
      <c r="K24" s="9"/>
      <c r="L24" s="9"/>
      <c r="M24" s="9"/>
      <c r="N24" s="327"/>
    </row>
    <row r="25" spans="1:14" s="98" customFormat="1" ht="16.5">
      <c r="A25" s="36"/>
      <c r="B25" s="48" t="s">
        <v>152</v>
      </c>
      <c r="C25" s="164" t="s">
        <v>249</v>
      </c>
      <c r="D25" s="137" t="s">
        <v>34</v>
      </c>
      <c r="E25" s="18"/>
      <c r="F25" s="50">
        <f>F22*15/1000</f>
        <v>1.425</v>
      </c>
      <c r="G25" s="138"/>
      <c r="H25" s="137"/>
      <c r="I25" s="18"/>
      <c r="J25" s="138"/>
      <c r="K25" s="18"/>
      <c r="L25" s="137"/>
      <c r="M25" s="18"/>
      <c r="N25" s="327"/>
    </row>
    <row r="26" spans="1:14" s="3" customFormat="1" ht="48" customHeight="1">
      <c r="A26" s="426" t="s">
        <v>256</v>
      </c>
      <c r="B26" s="427"/>
      <c r="C26" s="427"/>
      <c r="D26" s="427"/>
      <c r="E26" s="427"/>
      <c r="F26" s="428"/>
      <c r="G26" s="207"/>
      <c r="H26" s="207"/>
      <c r="I26" s="207"/>
      <c r="J26" s="207"/>
      <c r="K26" s="207"/>
      <c r="L26" s="207"/>
      <c r="M26" s="207"/>
      <c r="N26" s="327"/>
    </row>
    <row r="27" spans="1:14" s="3" customFormat="1" ht="33">
      <c r="A27" s="22">
        <v>3</v>
      </c>
      <c r="B27" s="151" t="s">
        <v>107</v>
      </c>
      <c r="C27" s="200" t="s">
        <v>117</v>
      </c>
      <c r="D27" s="22" t="s">
        <v>97</v>
      </c>
      <c r="E27" s="187"/>
      <c r="F27" s="210">
        <v>4.12</v>
      </c>
      <c r="G27" s="17"/>
      <c r="H27" s="15"/>
      <c r="I27" s="16"/>
      <c r="J27" s="17"/>
      <c r="K27" s="16"/>
      <c r="L27" s="15"/>
      <c r="M27" s="16"/>
      <c r="N27" s="327"/>
    </row>
    <row r="28" spans="1:14" s="3" customFormat="1" ht="16.5">
      <c r="A28" s="197"/>
      <c r="B28" s="4"/>
      <c r="C28" s="26" t="s">
        <v>29</v>
      </c>
      <c r="D28" s="6" t="s">
        <v>30</v>
      </c>
      <c r="E28" s="16">
        <v>2.12</v>
      </c>
      <c r="F28" s="16">
        <f>E28*F27</f>
        <v>8.7344000000000008</v>
      </c>
      <c r="G28" s="16"/>
      <c r="H28" s="15"/>
      <c r="I28" s="16"/>
      <c r="J28" s="17"/>
      <c r="K28" s="16"/>
      <c r="L28" s="15"/>
      <c r="M28" s="16"/>
      <c r="N28" s="327"/>
    </row>
    <row r="29" spans="1:14" s="3" customFormat="1" ht="16.5">
      <c r="A29" s="197"/>
      <c r="B29" s="4"/>
      <c r="C29" s="34" t="s">
        <v>36</v>
      </c>
      <c r="D29" s="13" t="s">
        <v>33</v>
      </c>
      <c r="E29" s="145">
        <v>0.10100000000000001</v>
      </c>
      <c r="F29" s="6">
        <f>E29*F27</f>
        <v>0.41612000000000005</v>
      </c>
      <c r="G29" s="6"/>
      <c r="H29" s="13"/>
      <c r="I29" s="6"/>
      <c r="J29" s="35"/>
      <c r="K29" s="6"/>
      <c r="L29" s="13"/>
      <c r="M29" s="6"/>
      <c r="N29" s="327"/>
    </row>
    <row r="30" spans="1:14" s="3" customFormat="1" ht="20.25">
      <c r="A30" s="201"/>
      <c r="B30" s="4" t="s">
        <v>147</v>
      </c>
      <c r="C30" s="202" t="s">
        <v>108</v>
      </c>
      <c r="D30" s="36" t="s">
        <v>98</v>
      </c>
      <c r="E30" s="8">
        <v>1.1000000000000001</v>
      </c>
      <c r="F30" s="8">
        <f>E30*F27</f>
        <v>4.5320000000000009</v>
      </c>
      <c r="G30" s="8"/>
      <c r="H30" s="37"/>
      <c r="I30" s="18"/>
      <c r="J30" s="140"/>
      <c r="K30" s="167"/>
      <c r="L30" s="37"/>
      <c r="M30" s="8"/>
      <c r="N30" s="327"/>
    </row>
    <row r="31" spans="1:14" s="3" customFormat="1" ht="16.5">
      <c r="A31" s="36"/>
      <c r="B31" s="48" t="s">
        <v>146</v>
      </c>
      <c r="C31" s="164" t="s">
        <v>118</v>
      </c>
      <c r="D31" s="137" t="s">
        <v>34</v>
      </c>
      <c r="E31" s="18">
        <v>1.6</v>
      </c>
      <c r="F31" s="50">
        <f>E31*F30</f>
        <v>7.2512000000000016</v>
      </c>
      <c r="G31" s="138"/>
      <c r="H31" s="137"/>
      <c r="I31" s="18"/>
      <c r="J31" s="138"/>
      <c r="K31" s="18"/>
      <c r="L31" s="137"/>
      <c r="M31" s="18"/>
      <c r="N31" s="327"/>
    </row>
    <row r="32" spans="1:14" s="3" customFormat="1" ht="32.25">
      <c r="A32" s="198" t="s">
        <v>237</v>
      </c>
      <c r="B32" s="151" t="s">
        <v>105</v>
      </c>
      <c r="C32" s="19" t="s">
        <v>128</v>
      </c>
      <c r="D32" s="6" t="s">
        <v>98</v>
      </c>
      <c r="E32" s="145"/>
      <c r="F32" s="212">
        <v>11.33</v>
      </c>
      <c r="G32" s="7"/>
      <c r="H32" s="7"/>
      <c r="I32" s="7"/>
      <c r="J32" s="7"/>
      <c r="K32" s="7"/>
      <c r="L32" s="7"/>
      <c r="M32" s="7"/>
      <c r="N32" s="327"/>
    </row>
    <row r="33" spans="1:14" s="3" customFormat="1" ht="16.5">
      <c r="A33" s="197"/>
      <c r="B33" s="4"/>
      <c r="C33" s="20" t="s">
        <v>29</v>
      </c>
      <c r="D33" s="6" t="s">
        <v>30</v>
      </c>
      <c r="E33" s="2">
        <v>11.2</v>
      </c>
      <c r="F33" s="16">
        <f>E33*F32</f>
        <v>126.89599999999999</v>
      </c>
      <c r="G33" s="2"/>
      <c r="H33" s="2"/>
      <c r="I33" s="2"/>
      <c r="J33" s="2"/>
      <c r="K33" s="2"/>
      <c r="L33" s="2"/>
      <c r="M33" s="2"/>
      <c r="N33" s="327"/>
    </row>
    <row r="34" spans="1:14" s="3" customFormat="1" ht="16.5">
      <c r="A34" s="197"/>
      <c r="B34" s="4"/>
      <c r="C34" s="41" t="s">
        <v>70</v>
      </c>
      <c r="D34" s="5" t="s">
        <v>33</v>
      </c>
      <c r="E34" s="41">
        <v>0.79</v>
      </c>
      <c r="F34" s="6">
        <f>E34*F32</f>
        <v>8.9507000000000012</v>
      </c>
      <c r="G34" s="7"/>
      <c r="H34" s="7"/>
      <c r="I34" s="7"/>
      <c r="J34" s="7"/>
      <c r="K34" s="7"/>
      <c r="L34" s="7"/>
      <c r="M34" s="7"/>
      <c r="N34" s="327"/>
    </row>
    <row r="35" spans="1:14" s="3" customFormat="1" ht="33">
      <c r="A35" s="197"/>
      <c r="B35" s="161" t="s">
        <v>221</v>
      </c>
      <c r="C35" s="5" t="s">
        <v>106</v>
      </c>
      <c r="D35" s="24" t="s">
        <v>98</v>
      </c>
      <c r="E35" s="5">
        <v>1.0149999999999999</v>
      </c>
      <c r="F35" s="6">
        <f>E35*F32</f>
        <v>11.499949999999998</v>
      </c>
      <c r="G35" s="6"/>
      <c r="H35" s="6"/>
      <c r="I35" s="67"/>
      <c r="J35" s="6"/>
      <c r="K35" s="6"/>
      <c r="L35" s="6"/>
      <c r="M35" s="6"/>
      <c r="N35" s="327"/>
    </row>
    <row r="36" spans="1:14" s="3" customFormat="1" ht="16.5">
      <c r="A36" s="197"/>
      <c r="B36" s="4" t="s">
        <v>148</v>
      </c>
      <c r="C36" s="41" t="s">
        <v>129</v>
      </c>
      <c r="D36" s="24" t="s">
        <v>34</v>
      </c>
      <c r="E36" s="215" t="s">
        <v>102</v>
      </c>
      <c r="F36" s="6">
        <v>0.51500000000000001</v>
      </c>
      <c r="G36" s="7"/>
      <c r="H36" s="7"/>
      <c r="I36" s="16"/>
      <c r="J36" s="7"/>
      <c r="K36" s="7"/>
      <c r="L36" s="7"/>
      <c r="M36" s="7"/>
      <c r="N36" s="327"/>
    </row>
    <row r="37" spans="1:14" s="3" customFormat="1" ht="20.25">
      <c r="A37" s="197"/>
      <c r="B37" s="25" t="s">
        <v>149</v>
      </c>
      <c r="C37" s="172" t="s">
        <v>90</v>
      </c>
      <c r="D37" s="24" t="s">
        <v>98</v>
      </c>
      <c r="E37" s="41">
        <v>4.4999999999999997E-3</v>
      </c>
      <c r="F37" s="6">
        <f>E37*F32</f>
        <v>5.0984999999999996E-2</v>
      </c>
      <c r="G37" s="7"/>
      <c r="H37" s="7"/>
      <c r="I37" s="16"/>
      <c r="J37" s="7"/>
      <c r="K37" s="7"/>
      <c r="L37" s="7"/>
      <c r="M37" s="7"/>
      <c r="N37" s="327"/>
    </row>
    <row r="38" spans="1:14" s="3" customFormat="1" ht="20.25">
      <c r="A38" s="197"/>
      <c r="B38" s="25" t="s">
        <v>150</v>
      </c>
      <c r="C38" s="172" t="s">
        <v>125</v>
      </c>
      <c r="D38" s="24" t="s">
        <v>98</v>
      </c>
      <c r="E38" s="29">
        <v>4.8800000000000003E-2</v>
      </c>
      <c r="F38" s="6">
        <f>E38*F32</f>
        <v>0.55290400000000006</v>
      </c>
      <c r="G38" s="7"/>
      <c r="H38" s="7"/>
      <c r="I38" s="16"/>
      <c r="J38" s="6"/>
      <c r="K38" s="6"/>
      <c r="L38" s="6"/>
      <c r="M38" s="6"/>
      <c r="N38" s="327"/>
    </row>
    <row r="39" spans="1:14" s="3" customFormat="1" ht="20.25">
      <c r="A39" s="197"/>
      <c r="B39" s="25" t="s">
        <v>151</v>
      </c>
      <c r="C39" s="172" t="s">
        <v>126</v>
      </c>
      <c r="D39" s="24" t="s">
        <v>98</v>
      </c>
      <c r="E39" s="29">
        <v>6.1600000000000002E-2</v>
      </c>
      <c r="F39" s="6">
        <f>E39*F32</f>
        <v>0.69792799999999999</v>
      </c>
      <c r="G39" s="7"/>
      <c r="H39" s="7"/>
      <c r="I39" s="16"/>
      <c r="J39" s="6"/>
      <c r="K39" s="6"/>
      <c r="L39" s="6"/>
      <c r="M39" s="6"/>
      <c r="N39" s="327"/>
    </row>
    <row r="40" spans="1:14" s="3" customFormat="1" ht="16.5">
      <c r="A40" s="197"/>
      <c r="B40" s="146"/>
      <c r="C40" s="199" t="s">
        <v>37</v>
      </c>
      <c r="D40" s="28" t="s">
        <v>33</v>
      </c>
      <c r="E40" s="42">
        <v>2.2799999999999998</v>
      </c>
      <c r="F40" s="8">
        <f>E40*F32</f>
        <v>25.832399999999996</v>
      </c>
      <c r="G40" s="9"/>
      <c r="H40" s="9"/>
      <c r="I40" s="9"/>
      <c r="J40" s="9"/>
      <c r="K40" s="9"/>
      <c r="L40" s="9"/>
      <c r="M40" s="9"/>
      <c r="N40" s="327"/>
    </row>
    <row r="41" spans="1:14" s="3" customFormat="1" ht="16.5">
      <c r="A41" s="96"/>
      <c r="B41" s="254" t="s">
        <v>152</v>
      </c>
      <c r="C41" s="164" t="s">
        <v>119</v>
      </c>
      <c r="D41" s="137" t="s">
        <v>34</v>
      </c>
      <c r="E41" s="18">
        <v>2.4</v>
      </c>
      <c r="F41" s="50">
        <f>E41*F35</f>
        <v>27.599879999999995</v>
      </c>
      <c r="G41" s="138"/>
      <c r="H41" s="137"/>
      <c r="I41" s="18"/>
      <c r="J41" s="138"/>
      <c r="K41" s="18"/>
      <c r="L41" s="137"/>
      <c r="M41" s="18"/>
      <c r="N41" s="327"/>
    </row>
    <row r="42" spans="1:14" s="3" customFormat="1" ht="16.5">
      <c r="A42" s="36"/>
      <c r="B42" s="48" t="s">
        <v>152</v>
      </c>
      <c r="C42" s="164" t="s">
        <v>178</v>
      </c>
      <c r="D42" s="137" t="s">
        <v>34</v>
      </c>
      <c r="E42" s="18"/>
      <c r="F42" s="50">
        <f>F36</f>
        <v>0.51500000000000001</v>
      </c>
      <c r="G42" s="138"/>
      <c r="H42" s="137"/>
      <c r="I42" s="18"/>
      <c r="J42" s="138"/>
      <c r="K42" s="18"/>
      <c r="L42" s="137"/>
      <c r="M42" s="18"/>
      <c r="N42" s="327"/>
    </row>
    <row r="43" spans="1:14" s="3" customFormat="1" ht="33">
      <c r="A43" s="184">
        <v>5</v>
      </c>
      <c r="B43" s="151" t="s">
        <v>71</v>
      </c>
      <c r="C43" s="173" t="s">
        <v>135</v>
      </c>
      <c r="D43" s="22" t="s">
        <v>97</v>
      </c>
      <c r="E43" s="23"/>
      <c r="F43" s="210">
        <v>12.36</v>
      </c>
      <c r="G43" s="17"/>
      <c r="H43" s="15"/>
      <c r="I43" s="16"/>
      <c r="J43" s="17"/>
      <c r="K43" s="183"/>
      <c r="L43" s="17"/>
      <c r="M43" s="183"/>
      <c r="N43" s="327"/>
    </row>
    <row r="44" spans="1:14" s="3" customFormat="1" ht="16.5">
      <c r="A44" s="24"/>
      <c r="B44" s="25"/>
      <c r="C44" s="26" t="s">
        <v>29</v>
      </c>
      <c r="D44" s="6" t="s">
        <v>30</v>
      </c>
      <c r="E44" s="145">
        <f>16.5/1000</f>
        <v>1.6500000000000001E-2</v>
      </c>
      <c r="F44" s="6">
        <f>E44*F43</f>
        <v>0.20394000000000001</v>
      </c>
      <c r="G44" s="6"/>
      <c r="H44" s="6"/>
      <c r="I44" s="16"/>
      <c r="J44" s="15"/>
      <c r="K44" s="16"/>
      <c r="L44" s="17"/>
      <c r="M44" s="16"/>
      <c r="N44" s="327"/>
    </row>
    <row r="45" spans="1:14" s="3" customFormat="1" ht="16.5">
      <c r="A45" s="24"/>
      <c r="B45" s="161" t="s">
        <v>143</v>
      </c>
      <c r="C45" s="26" t="s">
        <v>66</v>
      </c>
      <c r="D45" s="6" t="s">
        <v>31</v>
      </c>
      <c r="E45" s="145">
        <f>37/1000</f>
        <v>3.6999999999999998E-2</v>
      </c>
      <c r="F45" s="6">
        <f>E45*F43</f>
        <v>0.45731999999999995</v>
      </c>
      <c r="G45" s="6"/>
      <c r="H45" s="6"/>
      <c r="I45" s="16"/>
      <c r="J45" s="17"/>
      <c r="K45" s="6"/>
      <c r="L45" s="17"/>
      <c r="M45" s="16"/>
      <c r="N45" s="327"/>
    </row>
    <row r="46" spans="1:14" s="3" customFormat="1" ht="20.25">
      <c r="A46" s="28"/>
      <c r="B46" s="146" t="s">
        <v>222</v>
      </c>
      <c r="C46" s="196" t="s">
        <v>120</v>
      </c>
      <c r="D46" s="28" t="s">
        <v>98</v>
      </c>
      <c r="E46" s="8">
        <v>1.1000000000000001</v>
      </c>
      <c r="F46" s="8">
        <f>E46*F43</f>
        <v>13.596</v>
      </c>
      <c r="G46" s="8"/>
      <c r="H46" s="8"/>
      <c r="I46" s="18"/>
      <c r="J46" s="137"/>
      <c r="K46" s="8"/>
      <c r="L46" s="140"/>
      <c r="M46" s="8"/>
      <c r="N46" s="327"/>
    </row>
    <row r="47" spans="1:14" s="3" customFormat="1" ht="16.5">
      <c r="A47" s="36"/>
      <c r="B47" s="163" t="s">
        <v>146</v>
      </c>
      <c r="C47" s="164" t="s">
        <v>118</v>
      </c>
      <c r="D47" s="137" t="s">
        <v>34</v>
      </c>
      <c r="E47" s="18">
        <v>1.6</v>
      </c>
      <c r="F47" s="50">
        <f>E47*F46</f>
        <v>21.753600000000002</v>
      </c>
      <c r="G47" s="138"/>
      <c r="H47" s="137"/>
      <c r="I47" s="18"/>
      <c r="J47" s="138"/>
      <c r="K47" s="18"/>
      <c r="L47" s="137"/>
      <c r="M47" s="18"/>
      <c r="N47" s="327"/>
    </row>
    <row r="48" spans="1:14" ht="49.5">
      <c r="A48" s="151" t="s">
        <v>136</v>
      </c>
      <c r="B48" s="171" t="s">
        <v>76</v>
      </c>
      <c r="C48" s="19" t="s">
        <v>124</v>
      </c>
      <c r="D48" s="187" t="s">
        <v>97</v>
      </c>
      <c r="E48" s="143"/>
      <c r="F48" s="211">
        <f>F43</f>
        <v>12.36</v>
      </c>
      <c r="G48" s="6"/>
      <c r="H48" s="6"/>
      <c r="I48" s="6"/>
      <c r="J48" s="6"/>
      <c r="K48" s="5"/>
      <c r="L48" s="13"/>
      <c r="M48" s="54"/>
      <c r="N48" s="337"/>
    </row>
    <row r="49" spans="1:14" ht="16.5">
      <c r="A49" s="4"/>
      <c r="B49" s="4" t="s">
        <v>153</v>
      </c>
      <c r="C49" s="26" t="s">
        <v>72</v>
      </c>
      <c r="D49" s="6" t="s">
        <v>31</v>
      </c>
      <c r="E49" s="29">
        <f>(1.85 + 0.21*2)*6/1000</f>
        <v>1.362E-2</v>
      </c>
      <c r="F49" s="6">
        <f>E49*F48</f>
        <v>0.1683432</v>
      </c>
      <c r="G49" s="6"/>
      <c r="H49" s="6"/>
      <c r="I49" s="6"/>
      <c r="J49" s="6"/>
      <c r="K49" s="13"/>
      <c r="L49" s="13"/>
      <c r="M49" s="6"/>
      <c r="N49" s="337"/>
    </row>
    <row r="50" spans="1:14" ht="16.5">
      <c r="A50" s="4"/>
      <c r="B50" s="4" t="s">
        <v>145</v>
      </c>
      <c r="C50" s="26" t="s">
        <v>69</v>
      </c>
      <c r="D50" s="6" t="s">
        <v>31</v>
      </c>
      <c r="E50" s="29">
        <f>(10.5+1.02*2)/1000</f>
        <v>1.2539999999999999E-2</v>
      </c>
      <c r="F50" s="6">
        <f>E50*F48</f>
        <v>0.15499439999999998</v>
      </c>
      <c r="G50" s="6"/>
      <c r="H50" s="6"/>
      <c r="I50" s="6"/>
      <c r="J50" s="6"/>
      <c r="K50" s="13"/>
      <c r="L50" s="13"/>
      <c r="M50" s="6"/>
      <c r="N50" s="337"/>
    </row>
    <row r="51" spans="1:14" ht="16.5">
      <c r="A51" s="4"/>
      <c r="B51" s="161" t="s">
        <v>154</v>
      </c>
      <c r="C51" s="26" t="s">
        <v>73</v>
      </c>
      <c r="D51" s="6" t="s">
        <v>31</v>
      </c>
      <c r="E51" s="29">
        <f>(1.85+0.21*2)*6/1000</f>
        <v>1.362E-2</v>
      </c>
      <c r="F51" s="6">
        <f>E51*F48</f>
        <v>0.1683432</v>
      </c>
      <c r="G51" s="6"/>
      <c r="H51" s="6"/>
      <c r="I51" s="6"/>
      <c r="J51" s="6"/>
      <c r="K51" s="13"/>
      <c r="L51" s="13"/>
      <c r="M51" s="6"/>
      <c r="N51" s="337"/>
    </row>
    <row r="52" spans="1:14" s="3" customFormat="1" ht="48.75" customHeight="1">
      <c r="A52" s="429" t="s">
        <v>257</v>
      </c>
      <c r="B52" s="430"/>
      <c r="C52" s="431"/>
      <c r="D52" s="30"/>
      <c r="E52" s="30"/>
      <c r="F52" s="30"/>
      <c r="G52" s="30"/>
      <c r="H52" s="30"/>
      <c r="I52" s="30"/>
      <c r="J52" s="30"/>
      <c r="K52" s="31"/>
      <c r="L52" s="174"/>
      <c r="M52" s="30"/>
      <c r="N52" s="327"/>
    </row>
    <row r="53" spans="1:14" s="3" customFormat="1" ht="16.5">
      <c r="A53" s="189">
        <v>7</v>
      </c>
      <c r="B53" s="151" t="s">
        <v>109</v>
      </c>
      <c r="C53" s="171" t="s">
        <v>110</v>
      </c>
      <c r="D53" s="143" t="s">
        <v>34</v>
      </c>
      <c r="E53" s="190"/>
      <c r="F53" s="213">
        <v>3.6160000000000001</v>
      </c>
      <c r="G53" s="67"/>
      <c r="H53" s="67"/>
      <c r="I53" s="67"/>
      <c r="J53" s="67"/>
      <c r="K53" s="67"/>
      <c r="L53" s="68"/>
      <c r="M53" s="191"/>
      <c r="N53" s="327"/>
    </row>
    <row r="54" spans="1:14" s="3" customFormat="1" ht="16.5">
      <c r="A54" s="4"/>
      <c r="B54" s="4"/>
      <c r="C54" s="26" t="s">
        <v>29</v>
      </c>
      <c r="D54" s="6" t="s">
        <v>30</v>
      </c>
      <c r="E54" s="6">
        <v>34.9</v>
      </c>
      <c r="F54" s="141">
        <f>E54*F53</f>
        <v>126.19839999999999</v>
      </c>
      <c r="G54" s="35"/>
      <c r="H54" s="13"/>
      <c r="I54" s="6"/>
      <c r="J54" s="35"/>
      <c r="K54" s="5"/>
      <c r="L54" s="13"/>
      <c r="M54" s="6"/>
      <c r="N54" s="327"/>
    </row>
    <row r="55" spans="1:14" s="3" customFormat="1" ht="16.5">
      <c r="A55" s="4"/>
      <c r="B55" s="4"/>
      <c r="C55" s="192" t="s">
        <v>70</v>
      </c>
      <c r="D55" s="13" t="s">
        <v>33</v>
      </c>
      <c r="E55" s="6">
        <v>4.07</v>
      </c>
      <c r="F55" s="141">
        <f>E55*F53</f>
        <v>14.717120000000001</v>
      </c>
      <c r="G55" s="35"/>
      <c r="H55" s="13"/>
      <c r="I55" s="6"/>
      <c r="J55" s="35"/>
      <c r="K55" s="6"/>
      <c r="L55" s="13"/>
      <c r="M55" s="6"/>
      <c r="N55" s="327"/>
    </row>
    <row r="56" spans="1:14" s="3" customFormat="1" ht="16.5">
      <c r="A56" s="4"/>
      <c r="B56" s="25" t="s">
        <v>155</v>
      </c>
      <c r="C56" s="192" t="s">
        <v>111</v>
      </c>
      <c r="D56" s="13" t="s">
        <v>34</v>
      </c>
      <c r="E56" s="216" t="s">
        <v>102</v>
      </c>
      <c r="F56" s="217">
        <f>F53</f>
        <v>3.6160000000000001</v>
      </c>
      <c r="G56" s="35"/>
      <c r="H56" s="13"/>
      <c r="I56" s="6"/>
      <c r="J56" s="6"/>
      <c r="K56" s="5"/>
      <c r="L56" s="13"/>
      <c r="M56" s="6"/>
      <c r="N56" s="327"/>
    </row>
    <row r="57" spans="1:14" s="3" customFormat="1" ht="16.5">
      <c r="A57" s="4"/>
      <c r="B57" s="25" t="s">
        <v>156</v>
      </c>
      <c r="C57" s="192" t="s">
        <v>91</v>
      </c>
      <c r="D57" s="13" t="s">
        <v>89</v>
      </c>
      <c r="E57" s="6">
        <v>3.3</v>
      </c>
      <c r="F57" s="141">
        <f>E57*F53</f>
        <v>11.9328</v>
      </c>
      <c r="G57" s="35"/>
      <c r="H57" s="13"/>
      <c r="I57" s="6"/>
      <c r="J57" s="6"/>
      <c r="K57" s="5"/>
      <c r="L57" s="13"/>
      <c r="M57" s="6"/>
      <c r="N57" s="327"/>
    </row>
    <row r="58" spans="1:14" s="3" customFormat="1" ht="16.5">
      <c r="A58" s="4"/>
      <c r="B58" s="4" t="s">
        <v>157</v>
      </c>
      <c r="C58" s="192" t="s">
        <v>92</v>
      </c>
      <c r="D58" s="13" t="s">
        <v>89</v>
      </c>
      <c r="E58" s="6">
        <v>15.2</v>
      </c>
      <c r="F58" s="141">
        <f>E58*F53</f>
        <v>54.963200000000001</v>
      </c>
      <c r="G58" s="35"/>
      <c r="H58" s="13"/>
      <c r="I58" s="6"/>
      <c r="J58" s="6"/>
      <c r="K58" s="5"/>
      <c r="L58" s="13"/>
      <c r="M58" s="6"/>
      <c r="N58" s="327"/>
    </row>
    <row r="59" spans="1:14" s="3" customFormat="1" ht="16.5">
      <c r="A59" s="146"/>
      <c r="B59" s="146"/>
      <c r="C59" s="193" t="s">
        <v>56</v>
      </c>
      <c r="D59" s="8" t="s">
        <v>33</v>
      </c>
      <c r="E59" s="8">
        <v>2.78</v>
      </c>
      <c r="F59" s="139">
        <f>E59*F53</f>
        <v>10.052479999999999</v>
      </c>
      <c r="G59" s="140"/>
      <c r="H59" s="37"/>
      <c r="I59" s="8"/>
      <c r="J59" s="8"/>
      <c r="K59" s="167"/>
      <c r="L59" s="37"/>
      <c r="M59" s="8"/>
      <c r="N59" s="327"/>
    </row>
    <row r="60" spans="1:14" ht="20.25">
      <c r="A60" s="22">
        <v>8</v>
      </c>
      <c r="B60" s="38" t="s">
        <v>93</v>
      </c>
      <c r="C60" s="160" t="s">
        <v>112</v>
      </c>
      <c r="D60" s="87" t="s">
        <v>104</v>
      </c>
      <c r="E60" s="23"/>
      <c r="F60" s="210">
        <v>200.85</v>
      </c>
      <c r="G60" s="17"/>
      <c r="H60" s="15"/>
      <c r="I60" s="16"/>
      <c r="J60" s="17"/>
      <c r="K60" s="16"/>
      <c r="L60" s="15"/>
      <c r="M60" s="183"/>
      <c r="N60" s="337"/>
    </row>
    <row r="61" spans="1:14" ht="16.5">
      <c r="A61" s="27"/>
      <c r="B61" s="161"/>
      <c r="C61" s="14" t="s">
        <v>29</v>
      </c>
      <c r="D61" s="6" t="s">
        <v>30</v>
      </c>
      <c r="E61" s="16">
        <v>0.68</v>
      </c>
      <c r="F61" s="214">
        <f>E61*F60</f>
        <v>136.578</v>
      </c>
      <c r="G61" s="17"/>
      <c r="H61" s="15"/>
      <c r="I61" s="16"/>
      <c r="J61" s="17"/>
      <c r="K61" s="16"/>
      <c r="L61" s="15"/>
      <c r="M61" s="16"/>
      <c r="N61" s="337"/>
    </row>
    <row r="62" spans="1:14" ht="16.5">
      <c r="A62" s="27"/>
      <c r="B62" s="161"/>
      <c r="C62" s="162" t="s">
        <v>36</v>
      </c>
      <c r="D62" s="13" t="s">
        <v>33</v>
      </c>
      <c r="E62" s="175">
        <v>2.9999999999999997E-4</v>
      </c>
      <c r="F62" s="214">
        <f>E62*F60</f>
        <v>6.0254999999999996E-2</v>
      </c>
      <c r="G62" s="17"/>
      <c r="H62" s="15"/>
      <c r="I62" s="16"/>
      <c r="J62" s="17"/>
      <c r="K62" s="16"/>
      <c r="L62" s="194"/>
      <c r="M62" s="16"/>
      <c r="N62" s="337"/>
    </row>
    <row r="63" spans="1:14" ht="16.5">
      <c r="A63" s="27"/>
      <c r="B63" s="161" t="s">
        <v>224</v>
      </c>
      <c r="C63" s="162" t="s">
        <v>94</v>
      </c>
      <c r="D63" s="15" t="s">
        <v>89</v>
      </c>
      <c r="E63" s="176">
        <v>0.251</v>
      </c>
      <c r="F63" s="214">
        <f>E63*F60</f>
        <v>50.413350000000001</v>
      </c>
      <c r="G63" s="17"/>
      <c r="H63" s="15"/>
      <c r="I63" s="16"/>
      <c r="J63" s="17"/>
      <c r="K63" s="16"/>
      <c r="L63" s="15"/>
      <c r="M63" s="16"/>
      <c r="N63" s="337"/>
    </row>
    <row r="64" spans="1:14" ht="16.5">
      <c r="A64" s="27"/>
      <c r="B64" s="161" t="s">
        <v>223</v>
      </c>
      <c r="C64" s="162" t="s">
        <v>95</v>
      </c>
      <c r="D64" s="15" t="s">
        <v>89</v>
      </c>
      <c r="E64" s="176">
        <v>2E-3</v>
      </c>
      <c r="F64" s="214">
        <f>E64*F60</f>
        <v>0.4017</v>
      </c>
      <c r="G64" s="17"/>
      <c r="H64" s="15"/>
      <c r="I64" s="16"/>
      <c r="J64" s="17"/>
      <c r="K64" s="16"/>
      <c r="L64" s="15"/>
      <c r="M64" s="16"/>
      <c r="N64" s="337"/>
    </row>
    <row r="65" spans="1:14" ht="16.5">
      <c r="A65" s="27"/>
      <c r="B65" s="161" t="s">
        <v>158</v>
      </c>
      <c r="C65" s="162" t="s">
        <v>96</v>
      </c>
      <c r="D65" s="15" t="s">
        <v>89</v>
      </c>
      <c r="E65" s="176">
        <v>2.7E-2</v>
      </c>
      <c r="F65" s="214">
        <f>E65*F60</f>
        <v>5.4229500000000002</v>
      </c>
      <c r="G65" s="17"/>
      <c r="H65" s="15"/>
      <c r="I65" s="16"/>
      <c r="J65" s="17"/>
      <c r="K65" s="16"/>
      <c r="L65" s="15"/>
      <c r="M65" s="16"/>
      <c r="N65" s="337"/>
    </row>
    <row r="66" spans="1:14" ht="16.5">
      <c r="A66" s="36"/>
      <c r="B66" s="163"/>
      <c r="C66" s="164" t="s">
        <v>37</v>
      </c>
      <c r="D66" s="137" t="s">
        <v>33</v>
      </c>
      <c r="E66" s="195">
        <v>1.9E-3</v>
      </c>
      <c r="F66" s="206">
        <f>E66*F60</f>
        <v>0.38161499999999998</v>
      </c>
      <c r="G66" s="138"/>
      <c r="H66" s="137"/>
      <c r="I66" s="18"/>
      <c r="J66" s="138"/>
      <c r="K66" s="18"/>
      <c r="L66" s="137"/>
      <c r="M66" s="18"/>
      <c r="N66" s="337"/>
    </row>
    <row r="67" spans="1:14" s="98" customFormat="1" ht="27.75" customHeight="1">
      <c r="A67" s="169">
        <v>9</v>
      </c>
      <c r="B67" s="151" t="s">
        <v>193</v>
      </c>
      <c r="C67" s="150" t="s">
        <v>258</v>
      </c>
      <c r="D67" s="143" t="s">
        <v>35</v>
      </c>
      <c r="E67" s="143"/>
      <c r="F67" s="143">
        <v>2</v>
      </c>
      <c r="G67" s="6"/>
      <c r="H67" s="6"/>
      <c r="I67" s="6"/>
      <c r="J67" s="6"/>
      <c r="K67" s="6"/>
      <c r="L67" s="6"/>
      <c r="M67" s="6"/>
      <c r="N67" s="327"/>
    </row>
    <row r="68" spans="1:14" s="98" customFormat="1" ht="16.5">
      <c r="A68" s="221"/>
      <c r="B68" s="12"/>
      <c r="C68" s="26" t="s">
        <v>29</v>
      </c>
      <c r="D68" s="6" t="s">
        <v>30</v>
      </c>
      <c r="E68" s="145">
        <v>1.32</v>
      </c>
      <c r="F68" s="6">
        <f>E68*F67</f>
        <v>2.64</v>
      </c>
      <c r="G68" s="6"/>
      <c r="H68" s="13"/>
      <c r="I68" s="16"/>
      <c r="J68" s="17"/>
      <c r="K68" s="16"/>
      <c r="L68" s="15"/>
      <c r="M68" s="16"/>
      <c r="N68" s="327"/>
    </row>
    <row r="69" spans="1:14" s="98" customFormat="1" ht="16.5">
      <c r="A69" s="221"/>
      <c r="B69" s="12"/>
      <c r="C69" s="270" t="s">
        <v>70</v>
      </c>
      <c r="D69" s="221" t="s">
        <v>33</v>
      </c>
      <c r="E69" s="145">
        <v>0.70199999999999996</v>
      </c>
      <c r="F69" s="214">
        <f>E69*F67</f>
        <v>1.4039999999999999</v>
      </c>
      <c r="G69" s="11"/>
      <c r="H69" s="221"/>
      <c r="I69" s="12"/>
      <c r="J69" s="11"/>
      <c r="K69" s="7"/>
      <c r="L69" s="16"/>
      <c r="M69" s="7"/>
      <c r="N69" s="327"/>
    </row>
    <row r="70" spans="1:14" s="98" customFormat="1" ht="16.5">
      <c r="A70" s="221"/>
      <c r="B70" s="5" t="s">
        <v>227</v>
      </c>
      <c r="C70" s="162" t="s">
        <v>194</v>
      </c>
      <c r="D70" s="15" t="s">
        <v>35</v>
      </c>
      <c r="E70" s="145">
        <v>1.0029999999999999</v>
      </c>
      <c r="F70" s="214">
        <f>E70*F67</f>
        <v>2.0059999999999998</v>
      </c>
      <c r="G70" s="17"/>
      <c r="H70" s="15"/>
      <c r="I70" s="16"/>
      <c r="J70" s="17"/>
      <c r="K70" s="16"/>
      <c r="L70" s="15"/>
      <c r="M70" s="16"/>
      <c r="N70" s="327"/>
    </row>
    <row r="71" spans="1:14" s="98" customFormat="1" ht="16.5">
      <c r="A71" s="271"/>
      <c r="B71" s="86"/>
      <c r="C71" s="164" t="s">
        <v>37</v>
      </c>
      <c r="D71" s="137" t="s">
        <v>33</v>
      </c>
      <c r="E71" s="185">
        <v>0.33100000000000002</v>
      </c>
      <c r="F71" s="206">
        <f>E71*F67</f>
        <v>0.66200000000000003</v>
      </c>
      <c r="G71" s="138"/>
      <c r="H71" s="137"/>
      <c r="I71" s="18"/>
      <c r="J71" s="138"/>
      <c r="K71" s="18"/>
      <c r="L71" s="137"/>
      <c r="M71" s="18"/>
      <c r="N71" s="327"/>
    </row>
    <row r="72" spans="1:14" s="3" customFormat="1" ht="48" customHeight="1">
      <c r="A72" s="426" t="s">
        <v>259</v>
      </c>
      <c r="B72" s="427"/>
      <c r="C72" s="427"/>
      <c r="D72" s="427"/>
      <c r="E72" s="427"/>
      <c r="F72" s="428"/>
      <c r="G72" s="207"/>
      <c r="H72" s="207"/>
      <c r="I72" s="207"/>
      <c r="J72" s="207"/>
      <c r="K72" s="207"/>
      <c r="L72" s="207"/>
      <c r="M72" s="207"/>
      <c r="N72" s="327"/>
    </row>
    <row r="73" spans="1:14" s="3" customFormat="1" ht="33">
      <c r="A73" s="22">
        <v>10</v>
      </c>
      <c r="B73" s="142" t="s">
        <v>88</v>
      </c>
      <c r="C73" s="160" t="s">
        <v>132</v>
      </c>
      <c r="D73" s="87" t="s">
        <v>97</v>
      </c>
      <c r="E73" s="23"/>
      <c r="F73" s="210">
        <v>3.06</v>
      </c>
      <c r="G73" s="17"/>
      <c r="H73" s="15"/>
      <c r="I73" s="16"/>
      <c r="J73" s="17"/>
      <c r="K73" s="16"/>
      <c r="L73" s="15"/>
      <c r="M73" s="155"/>
      <c r="N73" s="327"/>
    </row>
    <row r="74" spans="1:14" s="3" customFormat="1" ht="16.5">
      <c r="A74" s="4"/>
      <c r="B74" s="4"/>
      <c r="C74" s="26" t="s">
        <v>29</v>
      </c>
      <c r="D74" s="6" t="s">
        <v>30</v>
      </c>
      <c r="E74" s="145">
        <f>20/1000</f>
        <v>0.02</v>
      </c>
      <c r="F74" s="6">
        <f>E74*F73</f>
        <v>6.1200000000000004E-2</v>
      </c>
      <c r="G74" s="6"/>
      <c r="H74" s="6"/>
      <c r="I74" s="16"/>
      <c r="J74" s="16"/>
      <c r="K74" s="16"/>
      <c r="L74" s="15"/>
      <c r="M74" s="16"/>
      <c r="N74" s="327"/>
    </row>
    <row r="75" spans="1:14" s="3" customFormat="1" ht="16.5">
      <c r="A75" s="4"/>
      <c r="B75" s="4" t="s">
        <v>143</v>
      </c>
      <c r="C75" s="26" t="s">
        <v>66</v>
      </c>
      <c r="D75" s="6" t="s">
        <v>31</v>
      </c>
      <c r="E75" s="145">
        <f>44.8/1000</f>
        <v>4.48E-2</v>
      </c>
      <c r="F75" s="6">
        <f>E75*F73</f>
        <v>0.13708799999999999</v>
      </c>
      <c r="G75" s="6"/>
      <c r="H75" s="6"/>
      <c r="I75" s="16"/>
      <c r="J75" s="17"/>
      <c r="K75" s="6"/>
      <c r="L75" s="15"/>
      <c r="M75" s="16"/>
      <c r="N75" s="327"/>
    </row>
    <row r="76" spans="1:14" s="3" customFormat="1" ht="16.5">
      <c r="A76" s="4"/>
      <c r="B76" s="4"/>
      <c r="C76" s="26" t="s">
        <v>36</v>
      </c>
      <c r="D76" s="6" t="s">
        <v>33</v>
      </c>
      <c r="E76" s="145">
        <f>2.1/1000</f>
        <v>2.1000000000000003E-3</v>
      </c>
      <c r="F76" s="13">
        <f>E76*F73</f>
        <v>6.4260000000000012E-3</v>
      </c>
      <c r="G76" s="6"/>
      <c r="H76" s="6"/>
      <c r="I76" s="6"/>
      <c r="J76" s="6"/>
      <c r="K76" s="6"/>
      <c r="L76" s="13"/>
      <c r="M76" s="6"/>
      <c r="N76" s="327"/>
    </row>
    <row r="77" spans="1:14" s="3" customFormat="1" ht="16.5">
      <c r="A77" s="36"/>
      <c r="B77" s="163" t="s">
        <v>144</v>
      </c>
      <c r="C77" s="164" t="s">
        <v>133</v>
      </c>
      <c r="D77" s="137" t="s">
        <v>34</v>
      </c>
      <c r="E77" s="18"/>
      <c r="F77" s="206">
        <f>F73*1.8</f>
        <v>5.508</v>
      </c>
      <c r="G77" s="138"/>
      <c r="H77" s="137"/>
      <c r="I77" s="18"/>
      <c r="J77" s="138"/>
      <c r="K77" s="18"/>
      <c r="L77" s="137"/>
      <c r="M77" s="18"/>
      <c r="N77" s="327"/>
    </row>
    <row r="78" spans="1:14" s="3" customFormat="1" ht="33">
      <c r="A78" s="22">
        <v>11</v>
      </c>
      <c r="B78" s="181" t="s">
        <v>177</v>
      </c>
      <c r="C78" s="160" t="s">
        <v>134</v>
      </c>
      <c r="D78" s="87" t="s">
        <v>97</v>
      </c>
      <c r="E78" s="23"/>
      <c r="F78" s="210">
        <v>0.34</v>
      </c>
      <c r="G78" s="17"/>
      <c r="H78" s="15"/>
      <c r="I78" s="16"/>
      <c r="J78" s="17"/>
      <c r="K78" s="16"/>
      <c r="L78" s="15"/>
      <c r="M78" s="155"/>
      <c r="N78" s="327"/>
    </row>
    <row r="79" spans="1:14" s="3" customFormat="1" ht="16.5">
      <c r="A79" s="4"/>
      <c r="B79" s="4"/>
      <c r="C79" s="26" t="s">
        <v>29</v>
      </c>
      <c r="D79" s="6" t="s">
        <v>30</v>
      </c>
      <c r="E79" s="6">
        <f>2.06+0.87</f>
        <v>2.93</v>
      </c>
      <c r="F79" s="6">
        <f>E79*F78</f>
        <v>0.99620000000000009</v>
      </c>
      <c r="G79" s="6"/>
      <c r="H79" s="6"/>
      <c r="I79" s="16"/>
      <c r="J79" s="16"/>
      <c r="K79" s="16"/>
      <c r="L79" s="15"/>
      <c r="M79" s="16"/>
      <c r="N79" s="327"/>
    </row>
    <row r="80" spans="1:14" s="3" customFormat="1" ht="16.5">
      <c r="A80" s="36"/>
      <c r="B80" s="163" t="s">
        <v>144</v>
      </c>
      <c r="C80" s="164" t="s">
        <v>133</v>
      </c>
      <c r="D80" s="137" t="s">
        <v>34</v>
      </c>
      <c r="E80" s="18"/>
      <c r="F80" s="206">
        <f>F78*1.8</f>
        <v>0.6120000000000001</v>
      </c>
      <c r="G80" s="138"/>
      <c r="H80" s="137"/>
      <c r="I80" s="18"/>
      <c r="J80" s="138"/>
      <c r="K80" s="18"/>
      <c r="L80" s="137"/>
      <c r="M80" s="18"/>
      <c r="N80" s="327"/>
    </row>
    <row r="81" spans="1:14" s="3" customFormat="1" ht="20.25">
      <c r="A81" s="22">
        <v>12</v>
      </c>
      <c r="B81" s="142" t="s">
        <v>67</v>
      </c>
      <c r="C81" s="40" t="s">
        <v>75</v>
      </c>
      <c r="D81" s="10" t="s">
        <v>97</v>
      </c>
      <c r="E81" s="152"/>
      <c r="F81" s="209">
        <f>F78+F73</f>
        <v>3.4</v>
      </c>
      <c r="G81" s="153"/>
      <c r="H81" s="153"/>
      <c r="I81" s="153"/>
      <c r="J81" s="153"/>
      <c r="K81" s="153"/>
      <c r="L81" s="154"/>
      <c r="M81" s="155"/>
      <c r="N81" s="327"/>
    </row>
    <row r="82" spans="1:14" s="3" customFormat="1" ht="16.5">
      <c r="A82" s="12"/>
      <c r="B82" s="245"/>
      <c r="C82" s="26" t="s">
        <v>29</v>
      </c>
      <c r="D82" s="6" t="s">
        <v>30</v>
      </c>
      <c r="E82" s="145">
        <f>3.23/1000</f>
        <v>3.2299999999999998E-3</v>
      </c>
      <c r="F82" s="6">
        <f>E82*F81</f>
        <v>1.0981999999999999E-2</v>
      </c>
      <c r="G82" s="7"/>
      <c r="H82" s="7"/>
      <c r="I82" s="41"/>
      <c r="J82" s="41"/>
      <c r="K82" s="41"/>
      <c r="L82" s="156"/>
      <c r="M82" s="7"/>
      <c r="N82" s="327"/>
    </row>
    <row r="83" spans="1:14" s="3" customFormat="1" ht="16.5">
      <c r="A83" s="4"/>
      <c r="B83" s="4" t="s">
        <v>145</v>
      </c>
      <c r="C83" s="26" t="s">
        <v>57</v>
      </c>
      <c r="D83" s="6" t="s">
        <v>31</v>
      </c>
      <c r="E83" s="29">
        <f>3.62/1000</f>
        <v>3.62E-3</v>
      </c>
      <c r="F83" s="6">
        <f>E83*F81</f>
        <v>1.2307999999999999E-2</v>
      </c>
      <c r="G83" s="6"/>
      <c r="H83" s="6"/>
      <c r="I83" s="6"/>
      <c r="J83" s="6"/>
      <c r="K83" s="6"/>
      <c r="L83" s="13"/>
      <c r="M83" s="6"/>
      <c r="N83" s="327"/>
    </row>
    <row r="84" spans="1:14" s="3" customFormat="1" ht="16.5">
      <c r="A84" s="86"/>
      <c r="B84" s="86"/>
      <c r="C84" s="42" t="s">
        <v>36</v>
      </c>
      <c r="D84" s="86" t="s">
        <v>33</v>
      </c>
      <c r="E84" s="157">
        <f>0.18/1000</f>
        <v>1.7999999999999998E-4</v>
      </c>
      <c r="F84" s="185">
        <f>E84*F81</f>
        <v>6.1199999999999991E-4</v>
      </c>
      <c r="G84" s="86"/>
      <c r="H84" s="86"/>
      <c r="I84" s="86"/>
      <c r="J84" s="86"/>
      <c r="K84" s="9"/>
      <c r="L84" s="37"/>
      <c r="M84" s="8"/>
      <c r="N84" s="327"/>
    </row>
    <row r="85" spans="1:14" s="3" customFormat="1" ht="33">
      <c r="A85" s="22">
        <v>13</v>
      </c>
      <c r="B85" s="151" t="s">
        <v>107</v>
      </c>
      <c r="C85" s="200" t="s">
        <v>117</v>
      </c>
      <c r="D85" s="22" t="s">
        <v>97</v>
      </c>
      <c r="E85" s="187"/>
      <c r="F85" s="210">
        <v>0.3</v>
      </c>
      <c r="G85" s="17"/>
      <c r="H85" s="15"/>
      <c r="I85" s="16"/>
      <c r="J85" s="17"/>
      <c r="K85" s="16"/>
      <c r="L85" s="15"/>
      <c r="M85" s="16"/>
      <c r="N85" s="327"/>
    </row>
    <row r="86" spans="1:14" s="3" customFormat="1" ht="16.5">
      <c r="A86" s="197"/>
      <c r="B86" s="4"/>
      <c r="C86" s="26" t="s">
        <v>29</v>
      </c>
      <c r="D86" s="6" t="s">
        <v>30</v>
      </c>
      <c r="E86" s="16">
        <v>2.12</v>
      </c>
      <c r="F86" s="16">
        <f>E86*F85</f>
        <v>0.63600000000000001</v>
      </c>
      <c r="G86" s="16"/>
      <c r="H86" s="15"/>
      <c r="I86" s="16"/>
      <c r="J86" s="17"/>
      <c r="K86" s="16"/>
      <c r="L86" s="15"/>
      <c r="M86" s="16"/>
      <c r="N86" s="327"/>
    </row>
    <row r="87" spans="1:14" s="3" customFormat="1" ht="16.5">
      <c r="A87" s="197"/>
      <c r="B87" s="4"/>
      <c r="C87" s="34" t="s">
        <v>36</v>
      </c>
      <c r="D87" s="13" t="s">
        <v>33</v>
      </c>
      <c r="E87" s="145">
        <v>0.10100000000000001</v>
      </c>
      <c r="F87" s="6">
        <f>E87*F85</f>
        <v>3.0300000000000001E-2</v>
      </c>
      <c r="G87" s="6"/>
      <c r="H87" s="13"/>
      <c r="I87" s="6"/>
      <c r="J87" s="35"/>
      <c r="K87" s="6"/>
      <c r="L87" s="13"/>
      <c r="M87" s="6"/>
      <c r="N87" s="327"/>
    </row>
    <row r="88" spans="1:14" s="3" customFormat="1" ht="20.25">
      <c r="A88" s="201"/>
      <c r="B88" s="4" t="s">
        <v>147</v>
      </c>
      <c r="C88" s="202" t="s">
        <v>108</v>
      </c>
      <c r="D88" s="36" t="s">
        <v>98</v>
      </c>
      <c r="E88" s="8">
        <v>1.1000000000000001</v>
      </c>
      <c r="F88" s="8">
        <f>E88*F85</f>
        <v>0.33</v>
      </c>
      <c r="G88" s="8"/>
      <c r="H88" s="37"/>
      <c r="I88" s="18"/>
      <c r="J88" s="140"/>
      <c r="K88" s="167"/>
      <c r="L88" s="37"/>
      <c r="M88" s="8"/>
      <c r="N88" s="327"/>
    </row>
    <row r="89" spans="1:14" s="3" customFormat="1" ht="16.5">
      <c r="A89" s="36"/>
      <c r="B89" s="48" t="s">
        <v>146</v>
      </c>
      <c r="C89" s="164" t="s">
        <v>118</v>
      </c>
      <c r="D89" s="137" t="s">
        <v>34</v>
      </c>
      <c r="E89" s="18">
        <v>1.6</v>
      </c>
      <c r="F89" s="50">
        <f>E89*F88</f>
        <v>0.52800000000000002</v>
      </c>
      <c r="G89" s="138"/>
      <c r="H89" s="137"/>
      <c r="I89" s="18"/>
      <c r="J89" s="138"/>
      <c r="K89" s="18"/>
      <c r="L89" s="137"/>
      <c r="M89" s="18"/>
      <c r="N89" s="327"/>
    </row>
    <row r="90" spans="1:14" s="3" customFormat="1" ht="32.25">
      <c r="A90" s="198" t="s">
        <v>384</v>
      </c>
      <c r="B90" s="151" t="s">
        <v>105</v>
      </c>
      <c r="C90" s="19" t="s">
        <v>128</v>
      </c>
      <c r="D90" s="6" t="s">
        <v>98</v>
      </c>
      <c r="E90" s="145"/>
      <c r="F90" s="212">
        <v>0.7</v>
      </c>
      <c r="G90" s="7"/>
      <c r="H90" s="7"/>
      <c r="I90" s="7"/>
      <c r="J90" s="7"/>
      <c r="K90" s="7"/>
      <c r="L90" s="7"/>
      <c r="M90" s="7"/>
      <c r="N90" s="327"/>
    </row>
    <row r="91" spans="1:14" s="3" customFormat="1" ht="16.5">
      <c r="A91" s="197"/>
      <c r="B91" s="4"/>
      <c r="C91" s="20" t="s">
        <v>29</v>
      </c>
      <c r="D91" s="6" t="s">
        <v>30</v>
      </c>
      <c r="E91" s="2">
        <v>11.2</v>
      </c>
      <c r="F91" s="16">
        <f>E91*F90</f>
        <v>7.839999999999999</v>
      </c>
      <c r="G91" s="2"/>
      <c r="H91" s="2"/>
      <c r="I91" s="2"/>
      <c r="J91" s="2"/>
      <c r="K91" s="2"/>
      <c r="L91" s="2"/>
      <c r="M91" s="2"/>
      <c r="N91" s="327"/>
    </row>
    <row r="92" spans="1:14" s="3" customFormat="1" ht="16.5">
      <c r="A92" s="197"/>
      <c r="B92" s="4"/>
      <c r="C92" s="41" t="s">
        <v>70</v>
      </c>
      <c r="D92" s="5" t="s">
        <v>33</v>
      </c>
      <c r="E92" s="41">
        <v>0.79</v>
      </c>
      <c r="F92" s="6">
        <f>E92*F90</f>
        <v>0.55299999999999994</v>
      </c>
      <c r="G92" s="7"/>
      <c r="H92" s="7"/>
      <c r="I92" s="7"/>
      <c r="J92" s="7"/>
      <c r="K92" s="7"/>
      <c r="L92" s="7"/>
      <c r="M92" s="7"/>
      <c r="N92" s="327"/>
    </row>
    <row r="93" spans="1:14" s="3" customFormat="1" ht="33">
      <c r="A93" s="197"/>
      <c r="B93" s="161" t="s">
        <v>221</v>
      </c>
      <c r="C93" s="5" t="s">
        <v>106</v>
      </c>
      <c r="D93" s="24" t="s">
        <v>98</v>
      </c>
      <c r="E93" s="5">
        <v>1.0149999999999999</v>
      </c>
      <c r="F93" s="6">
        <f>E93*F90</f>
        <v>0.71049999999999991</v>
      </c>
      <c r="G93" s="6"/>
      <c r="H93" s="6"/>
      <c r="I93" s="67"/>
      <c r="J93" s="6"/>
      <c r="K93" s="6"/>
      <c r="L93" s="6"/>
      <c r="M93" s="6"/>
      <c r="N93" s="327"/>
    </row>
    <row r="94" spans="1:14" s="3" customFormat="1" ht="16.5">
      <c r="A94" s="197"/>
      <c r="B94" s="4" t="s">
        <v>148</v>
      </c>
      <c r="C94" s="41" t="s">
        <v>129</v>
      </c>
      <c r="D94" s="24" t="s">
        <v>34</v>
      </c>
      <c r="E94" s="215" t="s">
        <v>102</v>
      </c>
      <c r="F94" s="6">
        <f>28.45/1000</f>
        <v>2.845E-2</v>
      </c>
      <c r="G94" s="7"/>
      <c r="H94" s="7"/>
      <c r="I94" s="16"/>
      <c r="J94" s="7"/>
      <c r="K94" s="7"/>
      <c r="L94" s="7"/>
      <c r="M94" s="7"/>
      <c r="N94" s="327"/>
    </row>
    <row r="95" spans="1:14" s="3" customFormat="1" ht="20.25">
      <c r="A95" s="197"/>
      <c r="B95" s="25" t="s">
        <v>149</v>
      </c>
      <c r="C95" s="172" t="s">
        <v>90</v>
      </c>
      <c r="D95" s="24" t="s">
        <v>98</v>
      </c>
      <c r="E95" s="41">
        <v>4.4999999999999997E-3</v>
      </c>
      <c r="F95" s="6">
        <f>E95*F90</f>
        <v>3.1499999999999996E-3</v>
      </c>
      <c r="G95" s="7"/>
      <c r="H95" s="7"/>
      <c r="I95" s="16"/>
      <c r="J95" s="7"/>
      <c r="K95" s="7"/>
      <c r="L95" s="7"/>
      <c r="M95" s="7"/>
      <c r="N95" s="327"/>
    </row>
    <row r="96" spans="1:14" s="3" customFormat="1" ht="20.25">
      <c r="A96" s="197"/>
      <c r="B96" s="25" t="s">
        <v>150</v>
      </c>
      <c r="C96" s="172" t="s">
        <v>125</v>
      </c>
      <c r="D96" s="24" t="s">
        <v>98</v>
      </c>
      <c r="E96" s="29">
        <v>4.8800000000000003E-2</v>
      </c>
      <c r="F96" s="6">
        <f>E96*F90</f>
        <v>3.4160000000000003E-2</v>
      </c>
      <c r="G96" s="7"/>
      <c r="H96" s="7"/>
      <c r="I96" s="16"/>
      <c r="J96" s="6"/>
      <c r="K96" s="6"/>
      <c r="L96" s="6"/>
      <c r="M96" s="6"/>
      <c r="N96" s="327"/>
    </row>
    <row r="97" spans="1:14" s="3" customFormat="1" ht="20.25">
      <c r="A97" s="197"/>
      <c r="B97" s="25" t="s">
        <v>151</v>
      </c>
      <c r="C97" s="172" t="s">
        <v>126</v>
      </c>
      <c r="D97" s="24" t="s">
        <v>98</v>
      </c>
      <c r="E97" s="29">
        <v>6.1600000000000002E-2</v>
      </c>
      <c r="F97" s="6">
        <f>E97*F90</f>
        <v>4.3119999999999999E-2</v>
      </c>
      <c r="G97" s="7"/>
      <c r="H97" s="7"/>
      <c r="I97" s="16"/>
      <c r="J97" s="6"/>
      <c r="K97" s="6"/>
      <c r="L97" s="6"/>
      <c r="M97" s="6"/>
      <c r="N97" s="327"/>
    </row>
    <row r="98" spans="1:14" s="3" customFormat="1" ht="16.5">
      <c r="A98" s="197"/>
      <c r="B98" s="146"/>
      <c r="C98" s="199" t="s">
        <v>37</v>
      </c>
      <c r="D98" s="28" t="s">
        <v>33</v>
      </c>
      <c r="E98" s="42">
        <v>2.2799999999999998</v>
      </c>
      <c r="F98" s="8">
        <f>E98*F90</f>
        <v>1.5959999999999999</v>
      </c>
      <c r="G98" s="9"/>
      <c r="H98" s="9"/>
      <c r="I98" s="9"/>
      <c r="J98" s="9"/>
      <c r="K98" s="9"/>
      <c r="L98" s="9"/>
      <c r="M98" s="9"/>
      <c r="N98" s="327"/>
    </row>
    <row r="99" spans="1:14" s="3" customFormat="1" ht="16.5">
      <c r="A99" s="96"/>
      <c r="B99" s="254" t="s">
        <v>152</v>
      </c>
      <c r="C99" s="164" t="s">
        <v>119</v>
      </c>
      <c r="D99" s="137" t="s">
        <v>34</v>
      </c>
      <c r="E99" s="18">
        <v>2.4</v>
      </c>
      <c r="F99" s="50">
        <f>E99*F93</f>
        <v>1.7051999999999998</v>
      </c>
      <c r="G99" s="138"/>
      <c r="H99" s="137"/>
      <c r="I99" s="18"/>
      <c r="J99" s="138"/>
      <c r="K99" s="18"/>
      <c r="L99" s="137"/>
      <c r="M99" s="18"/>
      <c r="N99" s="327"/>
    </row>
    <row r="100" spans="1:14" s="3" customFormat="1" ht="16.5">
      <c r="A100" s="36"/>
      <c r="B100" s="48" t="s">
        <v>152</v>
      </c>
      <c r="C100" s="164" t="s">
        <v>178</v>
      </c>
      <c r="D100" s="137" t="s">
        <v>34</v>
      </c>
      <c r="E100" s="18"/>
      <c r="F100" s="50">
        <f>F94</f>
        <v>2.845E-2</v>
      </c>
      <c r="G100" s="138"/>
      <c r="H100" s="137"/>
      <c r="I100" s="18"/>
      <c r="J100" s="138"/>
      <c r="K100" s="18"/>
      <c r="L100" s="137"/>
      <c r="M100" s="18"/>
      <c r="N100" s="327"/>
    </row>
    <row r="101" spans="1:14" s="3" customFormat="1" ht="48.75" customHeight="1">
      <c r="A101" s="429" t="s">
        <v>260</v>
      </c>
      <c r="B101" s="430"/>
      <c r="C101" s="431"/>
      <c r="D101" s="30"/>
      <c r="E101" s="30"/>
      <c r="F101" s="30"/>
      <c r="G101" s="30"/>
      <c r="H101" s="30"/>
      <c r="I101" s="30"/>
      <c r="J101" s="30"/>
      <c r="K101" s="31"/>
      <c r="L101" s="174"/>
      <c r="M101" s="30"/>
      <c r="N101" s="327"/>
    </row>
    <row r="102" spans="1:14" s="3" customFormat="1" ht="16.5">
      <c r="A102" s="189">
        <v>15</v>
      </c>
      <c r="B102" s="151" t="s">
        <v>109</v>
      </c>
      <c r="C102" s="171" t="s">
        <v>110</v>
      </c>
      <c r="D102" s="143" t="s">
        <v>34</v>
      </c>
      <c r="E102" s="190"/>
      <c r="F102" s="213">
        <v>0.21199999999999999</v>
      </c>
      <c r="G102" s="67"/>
      <c r="H102" s="67"/>
      <c r="I102" s="67"/>
      <c r="J102" s="67"/>
      <c r="K102" s="67"/>
      <c r="L102" s="68"/>
      <c r="M102" s="191"/>
      <c r="N102" s="327"/>
    </row>
    <row r="103" spans="1:14" s="3" customFormat="1" ht="16.5">
      <c r="A103" s="4"/>
      <c r="B103" s="4"/>
      <c r="C103" s="26" t="s">
        <v>29</v>
      </c>
      <c r="D103" s="6" t="s">
        <v>30</v>
      </c>
      <c r="E103" s="6">
        <v>34.9</v>
      </c>
      <c r="F103" s="141">
        <f>E103*F102</f>
        <v>7.3987999999999996</v>
      </c>
      <c r="G103" s="35"/>
      <c r="H103" s="13"/>
      <c r="I103" s="6"/>
      <c r="J103" s="35"/>
      <c r="K103" s="5"/>
      <c r="L103" s="13"/>
      <c r="M103" s="6"/>
      <c r="N103" s="327"/>
    </row>
    <row r="104" spans="1:14" s="3" customFormat="1" ht="16.5">
      <c r="A104" s="4"/>
      <c r="B104" s="4"/>
      <c r="C104" s="192" t="s">
        <v>70</v>
      </c>
      <c r="D104" s="13" t="s">
        <v>33</v>
      </c>
      <c r="E104" s="6">
        <v>4.07</v>
      </c>
      <c r="F104" s="141">
        <f>E104*F102</f>
        <v>0.86284000000000005</v>
      </c>
      <c r="G104" s="35"/>
      <c r="H104" s="13"/>
      <c r="I104" s="6"/>
      <c r="J104" s="35"/>
      <c r="K104" s="6"/>
      <c r="L104" s="13"/>
      <c r="M104" s="6"/>
      <c r="N104" s="327"/>
    </row>
    <row r="105" spans="1:14" s="3" customFormat="1" ht="16.5">
      <c r="A105" s="4"/>
      <c r="B105" s="25" t="s">
        <v>155</v>
      </c>
      <c r="C105" s="192" t="s">
        <v>111</v>
      </c>
      <c r="D105" s="13" t="s">
        <v>34</v>
      </c>
      <c r="E105" s="216" t="s">
        <v>102</v>
      </c>
      <c r="F105" s="217">
        <f>F102</f>
        <v>0.21199999999999999</v>
      </c>
      <c r="G105" s="35"/>
      <c r="H105" s="13"/>
      <c r="I105" s="6"/>
      <c r="J105" s="6"/>
      <c r="K105" s="5"/>
      <c r="L105" s="13"/>
      <c r="M105" s="6"/>
      <c r="N105" s="327"/>
    </row>
    <row r="106" spans="1:14" s="3" customFormat="1" ht="16.5">
      <c r="A106" s="4"/>
      <c r="B106" s="25" t="s">
        <v>156</v>
      </c>
      <c r="C106" s="192" t="s">
        <v>91</v>
      </c>
      <c r="D106" s="13" t="s">
        <v>89</v>
      </c>
      <c r="E106" s="6">
        <v>3.3</v>
      </c>
      <c r="F106" s="141">
        <f>E106*F102</f>
        <v>0.69959999999999989</v>
      </c>
      <c r="G106" s="35"/>
      <c r="H106" s="13"/>
      <c r="I106" s="6"/>
      <c r="J106" s="6"/>
      <c r="K106" s="5"/>
      <c r="L106" s="13"/>
      <c r="M106" s="6"/>
      <c r="N106" s="327"/>
    </row>
    <row r="107" spans="1:14" s="3" customFormat="1" ht="16.5">
      <c r="A107" s="4"/>
      <c r="B107" s="4" t="s">
        <v>157</v>
      </c>
      <c r="C107" s="192" t="s">
        <v>92</v>
      </c>
      <c r="D107" s="13" t="s">
        <v>89</v>
      </c>
      <c r="E107" s="6">
        <v>15.2</v>
      </c>
      <c r="F107" s="141">
        <f>E107*F102</f>
        <v>3.2223999999999999</v>
      </c>
      <c r="G107" s="35"/>
      <c r="H107" s="13"/>
      <c r="I107" s="6"/>
      <c r="J107" s="6"/>
      <c r="K107" s="5"/>
      <c r="L107" s="13"/>
      <c r="M107" s="6"/>
      <c r="N107" s="327"/>
    </row>
    <row r="108" spans="1:14" s="3" customFormat="1" ht="16.5">
      <c r="A108" s="146"/>
      <c r="B108" s="146"/>
      <c r="C108" s="193" t="s">
        <v>56</v>
      </c>
      <c r="D108" s="8" t="s">
        <v>33</v>
      </c>
      <c r="E108" s="8">
        <v>2.78</v>
      </c>
      <c r="F108" s="139">
        <f>E108*F102</f>
        <v>0.58935999999999999</v>
      </c>
      <c r="G108" s="140"/>
      <c r="H108" s="37"/>
      <c r="I108" s="8"/>
      <c r="J108" s="8"/>
      <c r="K108" s="167"/>
      <c r="L108" s="37"/>
      <c r="M108" s="8"/>
      <c r="N108" s="327"/>
    </row>
    <row r="109" spans="1:14" s="258" customFormat="1" ht="20.25">
      <c r="A109" s="22">
        <v>16</v>
      </c>
      <c r="B109" s="38" t="s">
        <v>93</v>
      </c>
      <c r="C109" s="160" t="s">
        <v>112</v>
      </c>
      <c r="D109" s="87" t="s">
        <v>104</v>
      </c>
      <c r="E109" s="23"/>
      <c r="F109" s="210">
        <v>10.25</v>
      </c>
      <c r="G109" s="17"/>
      <c r="H109" s="15"/>
      <c r="I109" s="16"/>
      <c r="J109" s="17"/>
      <c r="K109" s="16"/>
      <c r="L109" s="15"/>
      <c r="M109" s="183"/>
      <c r="N109" s="338"/>
    </row>
    <row r="110" spans="1:14" s="258" customFormat="1" ht="16.5">
      <c r="A110" s="27"/>
      <c r="B110" s="161"/>
      <c r="C110" s="14" t="s">
        <v>29</v>
      </c>
      <c r="D110" s="6" t="s">
        <v>30</v>
      </c>
      <c r="E110" s="16">
        <v>0.68</v>
      </c>
      <c r="F110" s="214">
        <f>E110*F109</f>
        <v>6.9700000000000006</v>
      </c>
      <c r="G110" s="17"/>
      <c r="H110" s="15"/>
      <c r="I110" s="16"/>
      <c r="J110" s="17"/>
      <c r="K110" s="16"/>
      <c r="L110" s="15"/>
      <c r="M110" s="16"/>
      <c r="N110" s="338"/>
    </row>
    <row r="111" spans="1:14" s="258" customFormat="1" ht="16.5">
      <c r="A111" s="27"/>
      <c r="B111" s="161"/>
      <c r="C111" s="162" t="s">
        <v>36</v>
      </c>
      <c r="D111" s="13" t="s">
        <v>33</v>
      </c>
      <c r="E111" s="175">
        <v>2.9999999999999997E-4</v>
      </c>
      <c r="F111" s="214">
        <f>E111*F109</f>
        <v>3.0749999999999996E-3</v>
      </c>
      <c r="G111" s="17"/>
      <c r="H111" s="15"/>
      <c r="I111" s="16"/>
      <c r="J111" s="17"/>
      <c r="K111" s="16"/>
      <c r="L111" s="194"/>
      <c r="M111" s="16"/>
      <c r="N111" s="338"/>
    </row>
    <row r="112" spans="1:14" s="258" customFormat="1" ht="16.5">
      <c r="A112" s="27"/>
      <c r="B112" s="161" t="s">
        <v>224</v>
      </c>
      <c r="C112" s="162" t="s">
        <v>94</v>
      </c>
      <c r="D112" s="15" t="s">
        <v>89</v>
      </c>
      <c r="E112" s="176">
        <v>0.251</v>
      </c>
      <c r="F112" s="214">
        <f>E112*F109</f>
        <v>2.5727500000000001</v>
      </c>
      <c r="G112" s="17"/>
      <c r="H112" s="15"/>
      <c r="I112" s="16"/>
      <c r="J112" s="17"/>
      <c r="K112" s="16"/>
      <c r="L112" s="15"/>
      <c r="M112" s="16"/>
      <c r="N112" s="338"/>
    </row>
    <row r="113" spans="1:14" s="258" customFormat="1" ht="16.5">
      <c r="A113" s="27"/>
      <c r="B113" s="161" t="s">
        <v>223</v>
      </c>
      <c r="C113" s="162" t="s">
        <v>95</v>
      </c>
      <c r="D113" s="15" t="s">
        <v>89</v>
      </c>
      <c r="E113" s="176">
        <v>2E-3</v>
      </c>
      <c r="F113" s="214">
        <f>E113*F109</f>
        <v>2.0500000000000001E-2</v>
      </c>
      <c r="G113" s="17"/>
      <c r="H113" s="15"/>
      <c r="I113" s="16"/>
      <c r="J113" s="17"/>
      <c r="K113" s="16"/>
      <c r="L113" s="15"/>
      <c r="M113" s="16"/>
      <c r="N113" s="338"/>
    </row>
    <row r="114" spans="1:14" s="258" customFormat="1" ht="16.5">
      <c r="A114" s="27"/>
      <c r="B114" s="161" t="s">
        <v>158</v>
      </c>
      <c r="C114" s="162" t="s">
        <v>96</v>
      </c>
      <c r="D114" s="15" t="s">
        <v>89</v>
      </c>
      <c r="E114" s="176">
        <v>2.7E-2</v>
      </c>
      <c r="F114" s="214">
        <f>E114*F109</f>
        <v>0.27675</v>
      </c>
      <c r="G114" s="17"/>
      <c r="H114" s="15"/>
      <c r="I114" s="16"/>
      <c r="J114" s="17"/>
      <c r="K114" s="16"/>
      <c r="L114" s="15"/>
      <c r="M114" s="16"/>
      <c r="N114" s="338"/>
    </row>
    <row r="115" spans="1:14" s="258" customFormat="1" ht="16.5">
      <c r="A115" s="36"/>
      <c r="B115" s="163"/>
      <c r="C115" s="164" t="s">
        <v>37</v>
      </c>
      <c r="D115" s="137" t="s">
        <v>33</v>
      </c>
      <c r="E115" s="195">
        <v>1.9E-3</v>
      </c>
      <c r="F115" s="206">
        <f>E115*F109</f>
        <v>1.9474999999999999E-2</v>
      </c>
      <c r="G115" s="138"/>
      <c r="H115" s="137"/>
      <c r="I115" s="18"/>
      <c r="J115" s="138"/>
      <c r="K115" s="18"/>
      <c r="L115" s="137"/>
      <c r="M115" s="18"/>
      <c r="N115" s="338"/>
    </row>
    <row r="116" spans="1:14" s="3" customFormat="1" ht="48" customHeight="1">
      <c r="A116" s="426" t="s">
        <v>261</v>
      </c>
      <c r="B116" s="427"/>
      <c r="C116" s="427"/>
      <c r="D116" s="427"/>
      <c r="E116" s="427"/>
      <c r="F116" s="428"/>
      <c r="G116" s="207"/>
      <c r="H116" s="207"/>
      <c r="I116" s="207"/>
      <c r="J116" s="207"/>
      <c r="K116" s="207"/>
      <c r="L116" s="207"/>
      <c r="M116" s="207"/>
      <c r="N116" s="327"/>
    </row>
    <row r="117" spans="1:14" s="257" customFormat="1" ht="82.5">
      <c r="A117" s="255">
        <v>17</v>
      </c>
      <c r="B117" s="40" t="s">
        <v>262</v>
      </c>
      <c r="C117" s="262" t="s">
        <v>300</v>
      </c>
      <c r="D117" s="10" t="s">
        <v>97</v>
      </c>
      <c r="E117" s="283"/>
      <c r="F117" s="263">
        <v>5</v>
      </c>
      <c r="G117" s="242"/>
      <c r="H117" s="241"/>
      <c r="I117" s="183"/>
      <c r="J117" s="242"/>
      <c r="K117" s="183"/>
      <c r="L117" s="241"/>
      <c r="M117" s="183"/>
      <c r="N117" s="338"/>
    </row>
    <row r="118" spans="1:14" s="257" customFormat="1" ht="16.5">
      <c r="A118" s="27"/>
      <c r="B118" s="161"/>
      <c r="C118" s="284" t="s">
        <v>29</v>
      </c>
      <c r="D118" s="6" t="s">
        <v>30</v>
      </c>
      <c r="E118" s="285">
        <v>5.3</v>
      </c>
      <c r="F118" s="214">
        <f>E118*F117</f>
        <v>26.5</v>
      </c>
      <c r="G118" s="17"/>
      <c r="H118" s="15"/>
      <c r="I118" s="16"/>
      <c r="J118" s="17"/>
      <c r="K118" s="16"/>
      <c r="L118" s="15"/>
      <c r="M118" s="16"/>
      <c r="N118" s="338"/>
    </row>
    <row r="119" spans="1:14" s="257" customFormat="1" ht="16.5">
      <c r="A119" s="27"/>
      <c r="B119" s="146" t="s">
        <v>234</v>
      </c>
      <c r="C119" s="302" t="s">
        <v>263</v>
      </c>
      <c r="D119" s="286" t="s">
        <v>264</v>
      </c>
      <c r="E119" s="285">
        <f>E118</f>
        <v>5.3</v>
      </c>
      <c r="F119" s="214">
        <f>E119*F117</f>
        <v>26.5</v>
      </c>
      <c r="G119" s="17"/>
      <c r="H119" s="15"/>
      <c r="I119" s="16"/>
      <c r="J119" s="17"/>
      <c r="K119" s="6"/>
      <c r="L119" s="15"/>
      <c r="M119" s="16"/>
      <c r="N119" s="338"/>
    </row>
    <row r="120" spans="1:14" s="257" customFormat="1" ht="49.5">
      <c r="A120" s="184">
        <v>18</v>
      </c>
      <c r="B120" s="287" t="s">
        <v>265</v>
      </c>
      <c r="C120" s="223" t="s">
        <v>266</v>
      </c>
      <c r="D120" s="10" t="s">
        <v>97</v>
      </c>
      <c r="E120" s="283"/>
      <c r="F120" s="224">
        <f>F117</f>
        <v>5</v>
      </c>
      <c r="G120" s="183"/>
      <c r="H120" s="183"/>
      <c r="I120" s="183"/>
      <c r="J120" s="183"/>
      <c r="K120" s="183"/>
      <c r="L120" s="183"/>
      <c r="M120" s="183"/>
      <c r="N120" s="338"/>
    </row>
    <row r="121" spans="1:14" s="257" customFormat="1" ht="16.5">
      <c r="A121" s="24"/>
      <c r="B121" s="161"/>
      <c r="C121" s="14" t="s">
        <v>29</v>
      </c>
      <c r="D121" s="6" t="s">
        <v>30</v>
      </c>
      <c r="E121" s="285">
        <f>43/1000</f>
        <v>4.2999999999999997E-2</v>
      </c>
      <c r="F121" s="16">
        <f>E121*F120</f>
        <v>0.21499999999999997</v>
      </c>
      <c r="G121" s="16"/>
      <c r="H121" s="16"/>
      <c r="I121" s="16"/>
      <c r="J121" s="16"/>
      <c r="K121" s="16"/>
      <c r="L121" s="16"/>
      <c r="M121" s="16"/>
      <c r="N121" s="338"/>
    </row>
    <row r="122" spans="1:14" s="257" customFormat="1" ht="16.5">
      <c r="A122" s="24"/>
      <c r="B122" s="4" t="s">
        <v>143</v>
      </c>
      <c r="C122" s="14" t="s">
        <v>66</v>
      </c>
      <c r="D122" s="6" t="s">
        <v>264</v>
      </c>
      <c r="E122" s="285">
        <f>93.6/1000</f>
        <v>9.3599999999999989E-2</v>
      </c>
      <c r="F122" s="16">
        <f>E122*F120</f>
        <v>0.46799999999999997</v>
      </c>
      <c r="G122" s="16"/>
      <c r="H122" s="16"/>
      <c r="I122" s="16"/>
      <c r="J122" s="16"/>
      <c r="K122" s="6"/>
      <c r="L122" s="16"/>
      <c r="M122" s="16"/>
      <c r="N122" s="338"/>
    </row>
    <row r="123" spans="1:14" s="257" customFormat="1" ht="16.5">
      <c r="A123" s="24"/>
      <c r="B123" s="161"/>
      <c r="C123" s="14" t="s">
        <v>267</v>
      </c>
      <c r="D123" s="6" t="s">
        <v>33</v>
      </c>
      <c r="E123" s="285">
        <f>4.35/1000</f>
        <v>4.3499999999999997E-3</v>
      </c>
      <c r="F123" s="16">
        <f>E123*F120</f>
        <v>2.1749999999999999E-2</v>
      </c>
      <c r="G123" s="16"/>
      <c r="H123" s="16"/>
      <c r="I123" s="16"/>
      <c r="J123" s="16"/>
      <c r="K123" s="16"/>
      <c r="L123" s="16"/>
      <c r="M123" s="16"/>
      <c r="N123" s="338"/>
    </row>
    <row r="124" spans="1:14" s="257" customFormat="1" ht="16.5">
      <c r="A124" s="28"/>
      <c r="B124" s="146" t="s">
        <v>236</v>
      </c>
      <c r="C124" s="147" t="s">
        <v>268</v>
      </c>
      <c r="D124" s="8" t="s">
        <v>34</v>
      </c>
      <c r="E124" s="288"/>
      <c r="F124" s="289">
        <f>F117*2.4</f>
        <v>12</v>
      </c>
      <c r="G124" s="8"/>
      <c r="H124" s="8"/>
      <c r="I124" s="8"/>
      <c r="J124" s="8"/>
      <c r="K124" s="18"/>
      <c r="L124" s="8"/>
      <c r="M124" s="8"/>
      <c r="N124" s="338"/>
    </row>
    <row r="125" spans="1:14" s="3" customFormat="1" ht="33">
      <c r="A125" s="22">
        <v>19</v>
      </c>
      <c r="B125" s="142" t="s">
        <v>88</v>
      </c>
      <c r="C125" s="160" t="s">
        <v>132</v>
      </c>
      <c r="D125" s="87" t="s">
        <v>97</v>
      </c>
      <c r="E125" s="23"/>
      <c r="F125" s="210">
        <v>92.32</v>
      </c>
      <c r="G125" s="17"/>
      <c r="H125" s="15"/>
      <c r="I125" s="16"/>
      <c r="J125" s="17"/>
      <c r="K125" s="16"/>
      <c r="L125" s="15"/>
      <c r="M125" s="155"/>
      <c r="N125" s="327"/>
    </row>
    <row r="126" spans="1:14" s="3" customFormat="1" ht="16.5">
      <c r="A126" s="4"/>
      <c r="B126" s="4"/>
      <c r="C126" s="26" t="s">
        <v>29</v>
      </c>
      <c r="D126" s="6" t="s">
        <v>30</v>
      </c>
      <c r="E126" s="145">
        <f>20/1000</f>
        <v>0.02</v>
      </c>
      <c r="F126" s="6">
        <f>E126*F125</f>
        <v>1.8463999999999998</v>
      </c>
      <c r="G126" s="6"/>
      <c r="H126" s="6"/>
      <c r="I126" s="16"/>
      <c r="J126" s="16"/>
      <c r="K126" s="16"/>
      <c r="L126" s="15"/>
      <c r="M126" s="16"/>
      <c r="N126" s="327"/>
    </row>
    <row r="127" spans="1:14" s="3" customFormat="1" ht="16.5">
      <c r="A127" s="4"/>
      <c r="B127" s="4" t="s">
        <v>143</v>
      </c>
      <c r="C127" s="26" t="s">
        <v>66</v>
      </c>
      <c r="D127" s="6" t="s">
        <v>31</v>
      </c>
      <c r="E127" s="145">
        <f>44.8/1000</f>
        <v>4.48E-2</v>
      </c>
      <c r="F127" s="6">
        <f>E127*F125</f>
        <v>4.1359360000000001</v>
      </c>
      <c r="G127" s="6"/>
      <c r="H127" s="6"/>
      <c r="I127" s="16"/>
      <c r="J127" s="17"/>
      <c r="K127" s="6"/>
      <c r="L127" s="15"/>
      <c r="M127" s="16"/>
      <c r="N127" s="327"/>
    </row>
    <row r="128" spans="1:14" s="3" customFormat="1" ht="16.5">
      <c r="A128" s="4"/>
      <c r="B128" s="4"/>
      <c r="C128" s="26" t="s">
        <v>36</v>
      </c>
      <c r="D128" s="6" t="s">
        <v>33</v>
      </c>
      <c r="E128" s="145">
        <f>2.1/1000</f>
        <v>2.1000000000000003E-3</v>
      </c>
      <c r="F128" s="13">
        <f>E128*F125</f>
        <v>0.19387200000000002</v>
      </c>
      <c r="G128" s="6"/>
      <c r="H128" s="6"/>
      <c r="I128" s="6"/>
      <c r="J128" s="6"/>
      <c r="K128" s="6"/>
      <c r="L128" s="13"/>
      <c r="M128" s="6"/>
      <c r="N128" s="327"/>
    </row>
    <row r="129" spans="1:14" s="3" customFormat="1" ht="16.5">
      <c r="A129" s="36"/>
      <c r="B129" s="163" t="s">
        <v>144</v>
      </c>
      <c r="C129" s="164" t="s">
        <v>133</v>
      </c>
      <c r="D129" s="137" t="s">
        <v>34</v>
      </c>
      <c r="E129" s="18"/>
      <c r="F129" s="206">
        <f>F125*1.8</f>
        <v>166.17599999999999</v>
      </c>
      <c r="G129" s="138"/>
      <c r="H129" s="137"/>
      <c r="I129" s="18"/>
      <c r="J129" s="138"/>
      <c r="K129" s="18"/>
      <c r="L129" s="137"/>
      <c r="M129" s="18"/>
      <c r="N129" s="327"/>
    </row>
    <row r="130" spans="1:14" s="3" customFormat="1" ht="33">
      <c r="A130" s="22">
        <v>20</v>
      </c>
      <c r="B130" s="181" t="s">
        <v>177</v>
      </c>
      <c r="C130" s="160" t="s">
        <v>134</v>
      </c>
      <c r="D130" s="87" t="s">
        <v>97</v>
      </c>
      <c r="E130" s="23"/>
      <c r="F130" s="210">
        <v>10.26</v>
      </c>
      <c r="G130" s="17"/>
      <c r="H130" s="15"/>
      <c r="I130" s="16"/>
      <c r="J130" s="17"/>
      <c r="K130" s="16"/>
      <c r="L130" s="15"/>
      <c r="M130" s="155"/>
      <c r="N130" s="327"/>
    </row>
    <row r="131" spans="1:14" s="3" customFormat="1" ht="16.5">
      <c r="A131" s="4"/>
      <c r="B131" s="4"/>
      <c r="C131" s="26" t="s">
        <v>29</v>
      </c>
      <c r="D131" s="6" t="s">
        <v>30</v>
      </c>
      <c r="E131" s="6">
        <f>2.06+0.87</f>
        <v>2.93</v>
      </c>
      <c r="F131" s="6">
        <f>E131*F130</f>
        <v>30.061800000000002</v>
      </c>
      <c r="G131" s="6"/>
      <c r="H131" s="6"/>
      <c r="I131" s="16"/>
      <c r="J131" s="16"/>
      <c r="K131" s="16"/>
      <c r="L131" s="15"/>
      <c r="M131" s="16"/>
      <c r="N131" s="327"/>
    </row>
    <row r="132" spans="1:14" s="3" customFormat="1" ht="16.5">
      <c r="A132" s="36"/>
      <c r="B132" s="163" t="s">
        <v>144</v>
      </c>
      <c r="C132" s="164" t="s">
        <v>133</v>
      </c>
      <c r="D132" s="137" t="s">
        <v>34</v>
      </c>
      <c r="E132" s="18"/>
      <c r="F132" s="206">
        <f>F130*1.8</f>
        <v>18.468</v>
      </c>
      <c r="G132" s="138"/>
      <c r="H132" s="137"/>
      <c r="I132" s="18"/>
      <c r="J132" s="138"/>
      <c r="K132" s="18"/>
      <c r="L132" s="137"/>
      <c r="M132" s="18"/>
      <c r="N132" s="327"/>
    </row>
    <row r="133" spans="1:14" s="3" customFormat="1" ht="20.25">
      <c r="A133" s="22">
        <v>21</v>
      </c>
      <c r="B133" s="142" t="s">
        <v>67</v>
      </c>
      <c r="C133" s="40" t="s">
        <v>75</v>
      </c>
      <c r="D133" s="10" t="s">
        <v>97</v>
      </c>
      <c r="E133" s="152"/>
      <c r="F133" s="209">
        <f>F130+F125</f>
        <v>102.58</v>
      </c>
      <c r="G133" s="153"/>
      <c r="H133" s="153"/>
      <c r="I133" s="153"/>
      <c r="J133" s="153"/>
      <c r="K133" s="153"/>
      <c r="L133" s="154"/>
      <c r="M133" s="155"/>
      <c r="N133" s="327"/>
    </row>
    <row r="134" spans="1:14" s="3" customFormat="1" ht="16.5">
      <c r="A134" s="12"/>
      <c r="B134" s="245"/>
      <c r="C134" s="26" t="s">
        <v>29</v>
      </c>
      <c r="D134" s="6" t="s">
        <v>30</v>
      </c>
      <c r="E134" s="145">
        <f>3.23/1000</f>
        <v>3.2299999999999998E-3</v>
      </c>
      <c r="F134" s="6">
        <f>E134*F133</f>
        <v>0.3313334</v>
      </c>
      <c r="G134" s="7"/>
      <c r="H134" s="7"/>
      <c r="I134" s="41"/>
      <c r="J134" s="41"/>
      <c r="K134" s="41"/>
      <c r="L134" s="156"/>
      <c r="M134" s="7"/>
      <c r="N134" s="327"/>
    </row>
    <row r="135" spans="1:14" s="3" customFormat="1" ht="16.5">
      <c r="A135" s="4"/>
      <c r="B135" s="4" t="s">
        <v>145</v>
      </c>
      <c r="C135" s="26" t="s">
        <v>57</v>
      </c>
      <c r="D135" s="6" t="s">
        <v>31</v>
      </c>
      <c r="E135" s="29">
        <f>3.62/1000</f>
        <v>3.62E-3</v>
      </c>
      <c r="F135" s="6">
        <f>E135*F133</f>
        <v>0.37133959999999999</v>
      </c>
      <c r="G135" s="6"/>
      <c r="H135" s="6"/>
      <c r="I135" s="6"/>
      <c r="J135" s="6"/>
      <c r="K135" s="6"/>
      <c r="L135" s="13"/>
      <c r="M135" s="6"/>
      <c r="N135" s="327"/>
    </row>
    <row r="136" spans="1:14" s="3" customFormat="1" ht="16.5">
      <c r="A136" s="86"/>
      <c r="B136" s="86"/>
      <c r="C136" s="42" t="s">
        <v>36</v>
      </c>
      <c r="D136" s="86" t="s">
        <v>33</v>
      </c>
      <c r="E136" s="157">
        <f>0.18/1000</f>
        <v>1.7999999999999998E-4</v>
      </c>
      <c r="F136" s="8">
        <f>E136*F133</f>
        <v>1.8464399999999999E-2</v>
      </c>
      <c r="G136" s="86"/>
      <c r="H136" s="86"/>
      <c r="I136" s="86"/>
      <c r="J136" s="86"/>
      <c r="K136" s="9"/>
      <c r="L136" s="37"/>
      <c r="M136" s="8"/>
      <c r="N136" s="327"/>
    </row>
    <row r="137" spans="1:14" s="257" customFormat="1" ht="20.25">
      <c r="A137" s="165">
        <v>22</v>
      </c>
      <c r="B137" s="171" t="s">
        <v>269</v>
      </c>
      <c r="C137" s="290" t="s">
        <v>270</v>
      </c>
      <c r="D137" s="10" t="s">
        <v>104</v>
      </c>
      <c r="E137" s="190"/>
      <c r="F137" s="291">
        <v>30.7</v>
      </c>
      <c r="G137" s="11"/>
      <c r="H137" s="221"/>
      <c r="I137" s="12"/>
      <c r="J137" s="11"/>
      <c r="K137" s="272"/>
      <c r="L137" s="54"/>
      <c r="M137" s="54"/>
      <c r="N137" s="338"/>
    </row>
    <row r="138" spans="1:14" s="257" customFormat="1" ht="16.5">
      <c r="A138" s="4"/>
      <c r="B138" s="14"/>
      <c r="C138" s="26" t="s">
        <v>29</v>
      </c>
      <c r="D138" s="6" t="s">
        <v>30</v>
      </c>
      <c r="E138" s="145">
        <v>0.27200000000000002</v>
      </c>
      <c r="F138" s="6">
        <f>E138*F137</f>
        <v>8.3504000000000005</v>
      </c>
      <c r="G138" s="7"/>
      <c r="H138" s="15"/>
      <c r="I138" s="16"/>
      <c r="J138" s="17"/>
      <c r="K138" s="16"/>
      <c r="L138" s="16"/>
      <c r="M138" s="16"/>
      <c r="N138" s="338"/>
    </row>
    <row r="139" spans="1:14" s="257" customFormat="1" ht="16.5">
      <c r="A139" s="4"/>
      <c r="B139" s="14"/>
      <c r="C139" s="26" t="s">
        <v>70</v>
      </c>
      <c r="D139" s="6" t="s">
        <v>33</v>
      </c>
      <c r="E139" s="145">
        <f>5.16/100</f>
        <v>5.16E-2</v>
      </c>
      <c r="F139" s="6">
        <f>E139*F137</f>
        <v>1.58412</v>
      </c>
      <c r="G139" s="6"/>
      <c r="H139" s="15"/>
      <c r="I139" s="16"/>
      <c r="J139" s="17"/>
      <c r="K139" s="16"/>
      <c r="L139" s="16"/>
      <c r="M139" s="16"/>
      <c r="N139" s="338"/>
    </row>
    <row r="140" spans="1:14" s="257" customFormat="1" ht="20.25">
      <c r="A140" s="4"/>
      <c r="B140" s="14" t="s">
        <v>303</v>
      </c>
      <c r="C140" s="26" t="s">
        <v>271</v>
      </c>
      <c r="D140" s="6" t="s">
        <v>98</v>
      </c>
      <c r="E140" s="145">
        <f>0.43/100</f>
        <v>4.3E-3</v>
      </c>
      <c r="F140" s="6">
        <f>E140*F137</f>
        <v>0.13200999999999999</v>
      </c>
      <c r="G140" s="6"/>
      <c r="H140" s="15"/>
      <c r="I140" s="16"/>
      <c r="J140" s="15"/>
      <c r="K140" s="6"/>
      <c r="L140" s="6"/>
      <c r="M140" s="6"/>
      <c r="N140" s="338"/>
    </row>
    <row r="141" spans="1:14" s="257" customFormat="1" ht="20.25">
      <c r="A141" s="4"/>
      <c r="B141" s="14" t="s">
        <v>150</v>
      </c>
      <c r="C141" s="26" t="s">
        <v>272</v>
      </c>
      <c r="D141" s="6" t="s">
        <v>98</v>
      </c>
      <c r="E141" s="145">
        <f>0.95/100</f>
        <v>9.4999999999999998E-3</v>
      </c>
      <c r="F141" s="6">
        <f>E141*F137</f>
        <v>0.29164999999999996</v>
      </c>
      <c r="G141" s="6"/>
      <c r="H141" s="15"/>
      <c r="I141" s="16"/>
      <c r="J141" s="17"/>
      <c r="K141" s="6"/>
      <c r="L141" s="6"/>
      <c r="M141" s="6"/>
      <c r="N141" s="338"/>
    </row>
    <row r="142" spans="1:14" s="257" customFormat="1" ht="16.5">
      <c r="A142" s="146"/>
      <c r="B142" s="147"/>
      <c r="C142" s="196" t="s">
        <v>37</v>
      </c>
      <c r="D142" s="8" t="s">
        <v>33</v>
      </c>
      <c r="E142" s="185">
        <f>0.49/100</f>
        <v>4.8999999999999998E-3</v>
      </c>
      <c r="F142" s="8">
        <f>E142*F137</f>
        <v>0.15042999999999998</v>
      </c>
      <c r="G142" s="8"/>
      <c r="H142" s="137"/>
      <c r="I142" s="18"/>
      <c r="J142" s="138"/>
      <c r="K142" s="18"/>
      <c r="L142" s="18"/>
      <c r="M142" s="18"/>
      <c r="N142" s="338"/>
    </row>
    <row r="143" spans="1:14" s="257" customFormat="1" ht="33">
      <c r="A143" s="184">
        <v>23</v>
      </c>
      <c r="B143" s="142" t="s">
        <v>71</v>
      </c>
      <c r="C143" s="223" t="s">
        <v>273</v>
      </c>
      <c r="D143" s="255" t="s">
        <v>97</v>
      </c>
      <c r="E143" s="283"/>
      <c r="F143" s="263">
        <v>6.17</v>
      </c>
      <c r="G143" s="242"/>
      <c r="H143" s="241"/>
      <c r="I143" s="183"/>
      <c r="J143" s="242"/>
      <c r="K143" s="16"/>
      <c r="L143" s="15"/>
      <c r="M143" s="16"/>
      <c r="N143" s="338"/>
    </row>
    <row r="144" spans="1:14" s="257" customFormat="1" ht="16.5">
      <c r="A144" s="24"/>
      <c r="B144" s="25"/>
      <c r="C144" s="26" t="s">
        <v>29</v>
      </c>
      <c r="D144" s="6" t="s">
        <v>30</v>
      </c>
      <c r="E144" s="145">
        <f>16.5/1000</f>
        <v>1.6500000000000001E-2</v>
      </c>
      <c r="F144" s="6">
        <f>E144*F143</f>
        <v>0.10180500000000001</v>
      </c>
      <c r="G144" s="7"/>
      <c r="H144" s="6"/>
      <c r="I144" s="16"/>
      <c r="J144" s="16"/>
      <c r="K144" s="16"/>
      <c r="L144" s="16"/>
      <c r="M144" s="16"/>
      <c r="N144" s="338"/>
    </row>
    <row r="145" spans="1:14" s="257" customFormat="1" ht="16.5">
      <c r="A145" s="27"/>
      <c r="B145" s="4" t="s">
        <v>143</v>
      </c>
      <c r="C145" s="26" t="s">
        <v>66</v>
      </c>
      <c r="D145" s="6" t="s">
        <v>31</v>
      </c>
      <c r="E145" s="145">
        <f>37/1000</f>
        <v>3.6999999999999998E-2</v>
      </c>
      <c r="F145" s="6">
        <f>E145*F143</f>
        <v>0.22828999999999999</v>
      </c>
      <c r="G145" s="6"/>
      <c r="H145" s="6"/>
      <c r="I145" s="16"/>
      <c r="J145" s="17"/>
      <c r="K145" s="6"/>
      <c r="L145" s="15"/>
      <c r="M145" s="16"/>
      <c r="N145" s="338"/>
    </row>
    <row r="146" spans="1:14" s="257" customFormat="1" ht="20.25">
      <c r="A146" s="28"/>
      <c r="B146" s="260"/>
      <c r="C146" s="147" t="s">
        <v>274</v>
      </c>
      <c r="D146" s="28" t="s">
        <v>98</v>
      </c>
      <c r="E146" s="185">
        <v>1.1000000000000001</v>
      </c>
      <c r="F146" s="8">
        <f>E146*F143</f>
        <v>6.7870000000000008</v>
      </c>
      <c r="G146" s="8"/>
      <c r="H146" s="8"/>
      <c r="I146" s="18"/>
      <c r="J146" s="18"/>
      <c r="K146" s="8"/>
      <c r="L146" s="8"/>
      <c r="M146" s="8"/>
      <c r="N146" s="338"/>
    </row>
    <row r="147" spans="1:14" s="3" customFormat="1" ht="16.5">
      <c r="A147" s="36"/>
      <c r="B147" s="48" t="s">
        <v>146</v>
      </c>
      <c r="C147" s="164" t="s">
        <v>301</v>
      </c>
      <c r="D147" s="137" t="s">
        <v>34</v>
      </c>
      <c r="E147" s="18">
        <v>1.6</v>
      </c>
      <c r="F147" s="50">
        <f>E147*F146</f>
        <v>10.859200000000001</v>
      </c>
      <c r="G147" s="138"/>
      <c r="H147" s="137"/>
      <c r="I147" s="18"/>
      <c r="J147" s="138"/>
      <c r="K147" s="18"/>
      <c r="L147" s="137"/>
      <c r="M147" s="18"/>
      <c r="N147" s="327"/>
    </row>
    <row r="148" spans="1:14" s="258" customFormat="1" ht="49.5">
      <c r="A148" s="142" t="s">
        <v>385</v>
      </c>
      <c r="B148" s="181" t="s">
        <v>76</v>
      </c>
      <c r="C148" s="136" t="s">
        <v>124</v>
      </c>
      <c r="D148" s="184" t="s">
        <v>97</v>
      </c>
      <c r="E148" s="10"/>
      <c r="F148" s="209">
        <f>F143</f>
        <v>6.17</v>
      </c>
      <c r="G148" s="54"/>
      <c r="H148" s="54"/>
      <c r="I148" s="54"/>
      <c r="J148" s="54"/>
      <c r="K148" s="166"/>
      <c r="L148" s="279"/>
      <c r="M148" s="54"/>
      <c r="N148" s="338"/>
    </row>
    <row r="149" spans="1:14" s="258" customFormat="1" ht="16.5">
      <c r="A149" s="4"/>
      <c r="B149" s="4" t="s">
        <v>153</v>
      </c>
      <c r="C149" s="26" t="s">
        <v>72</v>
      </c>
      <c r="D149" s="6" t="s">
        <v>31</v>
      </c>
      <c r="E149" s="29">
        <f>(1.85 + 0.21*2)*6/1000</f>
        <v>1.362E-2</v>
      </c>
      <c r="F149" s="6">
        <f>E149*F148</f>
        <v>8.4035399999999996E-2</v>
      </c>
      <c r="G149" s="6"/>
      <c r="H149" s="6"/>
      <c r="I149" s="6"/>
      <c r="J149" s="6"/>
      <c r="K149" s="13"/>
      <c r="L149" s="13"/>
      <c r="M149" s="6"/>
      <c r="N149" s="338"/>
    </row>
    <row r="150" spans="1:14" s="258" customFormat="1" ht="16.5">
      <c r="A150" s="4"/>
      <c r="B150" s="4" t="s">
        <v>145</v>
      </c>
      <c r="C150" s="26" t="s">
        <v>69</v>
      </c>
      <c r="D150" s="6" t="s">
        <v>31</v>
      </c>
      <c r="E150" s="29">
        <f>(10.5+1.02*2)/1000</f>
        <v>1.2539999999999999E-2</v>
      </c>
      <c r="F150" s="6">
        <f>E150*F148</f>
        <v>7.7371799999999991E-2</v>
      </c>
      <c r="G150" s="6"/>
      <c r="H150" s="6"/>
      <c r="I150" s="6"/>
      <c r="J150" s="6"/>
      <c r="K150" s="13"/>
      <c r="L150" s="13"/>
      <c r="M150" s="6"/>
      <c r="N150" s="338"/>
    </row>
    <row r="151" spans="1:14" s="258" customFormat="1" ht="16.5">
      <c r="A151" s="146"/>
      <c r="B151" s="163" t="s">
        <v>154</v>
      </c>
      <c r="C151" s="196" t="s">
        <v>73</v>
      </c>
      <c r="D151" s="8" t="s">
        <v>31</v>
      </c>
      <c r="E151" s="256">
        <f>(1.85+0.21*2)*6/1000</f>
        <v>1.362E-2</v>
      </c>
      <c r="F151" s="8">
        <f>E151*F148</f>
        <v>8.4035399999999996E-2</v>
      </c>
      <c r="G151" s="8"/>
      <c r="H151" s="8"/>
      <c r="I151" s="8"/>
      <c r="J151" s="8"/>
      <c r="K151" s="37"/>
      <c r="L151" s="37"/>
      <c r="M151" s="8"/>
      <c r="N151" s="338"/>
    </row>
    <row r="152" spans="1:14" s="257" customFormat="1" ht="20.25">
      <c r="A152" s="165">
        <v>25</v>
      </c>
      <c r="B152" s="38" t="s">
        <v>275</v>
      </c>
      <c r="C152" s="290" t="s">
        <v>276</v>
      </c>
      <c r="D152" s="143" t="s">
        <v>97</v>
      </c>
      <c r="E152" s="190"/>
      <c r="F152" s="291">
        <v>2.17</v>
      </c>
      <c r="G152" s="11"/>
      <c r="H152" s="221"/>
      <c r="I152" s="12"/>
      <c r="J152" s="12"/>
      <c r="K152" s="12"/>
      <c r="L152" s="12"/>
      <c r="M152" s="12"/>
      <c r="N152" s="338"/>
    </row>
    <row r="153" spans="1:14" s="257" customFormat="1" ht="16.5">
      <c r="A153" s="4"/>
      <c r="B153" s="14"/>
      <c r="C153" s="26" t="s">
        <v>29</v>
      </c>
      <c r="D153" s="6" t="s">
        <v>30</v>
      </c>
      <c r="E153" s="145">
        <v>1.37</v>
      </c>
      <c r="F153" s="6">
        <f>E153*F152</f>
        <v>2.9729000000000001</v>
      </c>
      <c r="G153" s="7"/>
      <c r="H153" s="6"/>
      <c r="I153" s="6"/>
      <c r="J153" s="6"/>
      <c r="K153" s="6"/>
      <c r="L153" s="6"/>
      <c r="M153" s="6"/>
      <c r="N153" s="338"/>
    </row>
    <row r="154" spans="1:14" s="257" customFormat="1" ht="16.5">
      <c r="A154" s="5"/>
      <c r="B154" s="14"/>
      <c r="C154" s="26" t="s">
        <v>70</v>
      </c>
      <c r="D154" s="6" t="s">
        <v>33</v>
      </c>
      <c r="E154" s="145">
        <v>0.28299999999999997</v>
      </c>
      <c r="F154" s="6">
        <f>E154*F152</f>
        <v>0.61410999999999993</v>
      </c>
      <c r="G154" s="6"/>
      <c r="H154" s="6"/>
      <c r="I154" s="6"/>
      <c r="J154" s="6"/>
      <c r="K154" s="6"/>
      <c r="L154" s="6"/>
      <c r="M154" s="6"/>
      <c r="N154" s="338"/>
    </row>
    <row r="155" spans="1:14" s="257" customFormat="1" ht="20.25">
      <c r="A155" s="5"/>
      <c r="B155" s="14" t="s">
        <v>218</v>
      </c>
      <c r="C155" s="41" t="s">
        <v>295</v>
      </c>
      <c r="D155" s="6" t="s">
        <v>98</v>
      </c>
      <c r="E155" s="273">
        <v>1.02</v>
      </c>
      <c r="F155" s="7">
        <f>E155*F152</f>
        <v>2.2134</v>
      </c>
      <c r="G155" s="7"/>
      <c r="H155" s="7"/>
      <c r="I155" s="7"/>
      <c r="J155" s="7"/>
      <c r="K155" s="7"/>
      <c r="L155" s="7"/>
      <c r="M155" s="7"/>
      <c r="N155" s="338"/>
    </row>
    <row r="156" spans="1:14" s="257" customFormat="1" ht="16.5">
      <c r="A156" s="146"/>
      <c r="B156" s="147"/>
      <c r="C156" s="196" t="s">
        <v>56</v>
      </c>
      <c r="D156" s="8" t="s">
        <v>33</v>
      </c>
      <c r="E156" s="185">
        <v>0.62</v>
      </c>
      <c r="F156" s="8">
        <f>E156*F152</f>
        <v>1.3453999999999999</v>
      </c>
      <c r="G156" s="8"/>
      <c r="H156" s="8"/>
      <c r="I156" s="8"/>
      <c r="J156" s="8"/>
      <c r="K156" s="8"/>
      <c r="L156" s="8"/>
      <c r="M156" s="8"/>
      <c r="N156" s="338"/>
    </row>
    <row r="157" spans="1:14" s="3" customFormat="1" ht="16.5">
      <c r="A157" s="96"/>
      <c r="B157" s="48" t="s">
        <v>152</v>
      </c>
      <c r="C157" s="164" t="s">
        <v>119</v>
      </c>
      <c r="D157" s="137" t="s">
        <v>34</v>
      </c>
      <c r="E157" s="18">
        <v>2.4</v>
      </c>
      <c r="F157" s="50">
        <f>E157*F155</f>
        <v>5.3121599999999995</v>
      </c>
      <c r="G157" s="138"/>
      <c r="H157" s="137"/>
      <c r="I157" s="18"/>
      <c r="J157" s="138"/>
      <c r="K157" s="18"/>
      <c r="L157" s="137"/>
      <c r="M157" s="18"/>
      <c r="N157" s="327"/>
    </row>
    <row r="158" spans="1:14" s="257" customFormat="1" ht="33">
      <c r="A158" s="165">
        <v>26</v>
      </c>
      <c r="B158" s="171" t="s">
        <v>277</v>
      </c>
      <c r="C158" s="290" t="s">
        <v>296</v>
      </c>
      <c r="D158" s="143" t="s">
        <v>97</v>
      </c>
      <c r="E158" s="190"/>
      <c r="F158" s="291">
        <v>29.48</v>
      </c>
      <c r="G158" s="11"/>
      <c r="H158" s="221"/>
      <c r="I158" s="12"/>
      <c r="J158" s="11"/>
      <c r="K158" s="7"/>
      <c r="L158" s="13"/>
      <c r="M158" s="6"/>
      <c r="N158" s="338"/>
    </row>
    <row r="159" spans="1:14" s="257" customFormat="1" ht="16.5">
      <c r="A159" s="5"/>
      <c r="B159" s="14"/>
      <c r="C159" s="20" t="s">
        <v>29</v>
      </c>
      <c r="D159" s="6" t="s">
        <v>30</v>
      </c>
      <c r="E159" s="285">
        <v>5.99</v>
      </c>
      <c r="F159" s="16">
        <f>E159*F158</f>
        <v>176.58520000000001</v>
      </c>
      <c r="G159" s="7"/>
      <c r="H159" s="2"/>
      <c r="I159" s="2"/>
      <c r="J159" s="2"/>
      <c r="K159" s="2"/>
      <c r="L159" s="2"/>
      <c r="M159" s="2"/>
      <c r="N159" s="338"/>
    </row>
    <row r="160" spans="1:14" s="257" customFormat="1" ht="16.5">
      <c r="A160" s="5"/>
      <c r="B160" s="14"/>
      <c r="C160" s="41" t="s">
        <v>70</v>
      </c>
      <c r="D160" s="5" t="s">
        <v>33</v>
      </c>
      <c r="E160" s="273">
        <v>1.0900000000000001</v>
      </c>
      <c r="F160" s="6">
        <f>E160*F158</f>
        <v>32.133200000000002</v>
      </c>
      <c r="G160" s="7"/>
      <c r="H160" s="7"/>
      <c r="I160" s="7"/>
      <c r="J160" s="7"/>
      <c r="K160" s="7"/>
      <c r="L160" s="7"/>
      <c r="M160" s="7"/>
      <c r="N160" s="338"/>
    </row>
    <row r="161" spans="1:14" s="257" customFormat="1" ht="33">
      <c r="A161" s="5"/>
      <c r="B161" s="161" t="s">
        <v>221</v>
      </c>
      <c r="C161" s="5" t="s">
        <v>297</v>
      </c>
      <c r="D161" s="24" t="s">
        <v>98</v>
      </c>
      <c r="E161" s="273">
        <v>1.0149999999999999</v>
      </c>
      <c r="F161" s="6">
        <f>E161*F158</f>
        <v>29.922199999999997</v>
      </c>
      <c r="G161" s="7"/>
      <c r="H161" s="7"/>
      <c r="I161" s="16"/>
      <c r="J161" s="6"/>
      <c r="K161" s="6"/>
      <c r="L161" s="6"/>
      <c r="M161" s="6"/>
      <c r="N161" s="338"/>
    </row>
    <row r="162" spans="1:14" s="257" customFormat="1" ht="16.5">
      <c r="A162" s="5"/>
      <c r="B162" s="4" t="s">
        <v>232</v>
      </c>
      <c r="C162" s="41" t="s">
        <v>298</v>
      </c>
      <c r="D162" s="24" t="s">
        <v>34</v>
      </c>
      <c r="E162" s="273" t="s">
        <v>127</v>
      </c>
      <c r="F162" s="6">
        <v>0.86399999999999999</v>
      </c>
      <c r="G162" s="7"/>
      <c r="H162" s="7"/>
      <c r="I162" s="2"/>
      <c r="J162" s="7"/>
      <c r="K162" s="6"/>
      <c r="L162" s="6"/>
      <c r="M162" s="6"/>
      <c r="N162" s="338"/>
    </row>
    <row r="163" spans="1:14" s="257" customFormat="1" ht="16.5">
      <c r="A163" s="5"/>
      <c r="B163" s="4" t="s">
        <v>148</v>
      </c>
      <c r="C163" s="41" t="s">
        <v>299</v>
      </c>
      <c r="D163" s="24" t="s">
        <v>34</v>
      </c>
      <c r="E163" s="273" t="s">
        <v>127</v>
      </c>
      <c r="F163" s="6">
        <v>0.129</v>
      </c>
      <c r="G163" s="7"/>
      <c r="H163" s="7"/>
      <c r="I163" s="16"/>
      <c r="J163" s="7"/>
      <c r="K163" s="6"/>
      <c r="L163" s="6"/>
      <c r="M163" s="6"/>
      <c r="N163" s="338"/>
    </row>
    <row r="164" spans="1:14" s="257" customFormat="1" ht="20.25">
      <c r="A164" s="5"/>
      <c r="B164" s="25" t="s">
        <v>228</v>
      </c>
      <c r="C164" s="172" t="s">
        <v>195</v>
      </c>
      <c r="D164" s="24" t="s">
        <v>171</v>
      </c>
      <c r="E164" s="273">
        <v>1.18</v>
      </c>
      <c r="F164" s="6">
        <f>E164*F158</f>
        <v>34.7864</v>
      </c>
      <c r="G164" s="7"/>
      <c r="H164" s="7"/>
      <c r="I164" s="16"/>
      <c r="J164" s="7"/>
      <c r="K164" s="6"/>
      <c r="L164" s="6"/>
      <c r="M164" s="6"/>
      <c r="N164" s="338"/>
    </row>
    <row r="165" spans="1:14" s="257" customFormat="1" ht="20.25">
      <c r="A165" s="5"/>
      <c r="B165" s="25" t="s">
        <v>149</v>
      </c>
      <c r="C165" s="259" t="s">
        <v>90</v>
      </c>
      <c r="D165" s="24" t="s">
        <v>98</v>
      </c>
      <c r="E165" s="273">
        <f>0.21/100</f>
        <v>2.0999999999999999E-3</v>
      </c>
      <c r="F165" s="6">
        <f>E165*F158</f>
        <v>6.1907999999999998E-2</v>
      </c>
      <c r="G165" s="7"/>
      <c r="H165" s="7"/>
      <c r="I165" s="16"/>
      <c r="J165" s="7"/>
      <c r="K165" s="6"/>
      <c r="L165" s="6"/>
      <c r="M165" s="6"/>
      <c r="N165" s="338"/>
    </row>
    <row r="166" spans="1:14" s="257" customFormat="1" ht="20.25">
      <c r="A166" s="5"/>
      <c r="B166" s="25" t="s">
        <v>150</v>
      </c>
      <c r="C166" s="172" t="s">
        <v>278</v>
      </c>
      <c r="D166" s="24" t="s">
        <v>98</v>
      </c>
      <c r="E166" s="145">
        <f>2.78/100</f>
        <v>2.7799999999999998E-2</v>
      </c>
      <c r="F166" s="6">
        <f>E166*F158</f>
        <v>0.81954399999999994</v>
      </c>
      <c r="G166" s="7"/>
      <c r="H166" s="7"/>
      <c r="I166" s="16"/>
      <c r="J166" s="6"/>
      <c r="K166" s="6"/>
      <c r="L166" s="6"/>
      <c r="M166" s="6"/>
      <c r="N166" s="338"/>
    </row>
    <row r="167" spans="1:14" s="257" customFormat="1" ht="16.5">
      <c r="A167" s="5"/>
      <c r="B167" s="161"/>
      <c r="C167" s="259" t="s">
        <v>91</v>
      </c>
      <c r="D167" s="24" t="s">
        <v>34</v>
      </c>
      <c r="E167" s="273">
        <f>0.14/100</f>
        <v>1.4000000000000002E-3</v>
      </c>
      <c r="F167" s="6">
        <f>E167*F158</f>
        <v>4.1272000000000003E-2</v>
      </c>
      <c r="G167" s="7"/>
      <c r="H167" s="7"/>
      <c r="I167" s="16"/>
      <c r="J167" s="7"/>
      <c r="K167" s="6"/>
      <c r="L167" s="6"/>
      <c r="M167" s="6"/>
      <c r="N167" s="338"/>
    </row>
    <row r="168" spans="1:14" s="257" customFormat="1" ht="16.5">
      <c r="A168" s="5"/>
      <c r="B168" s="161"/>
      <c r="C168" s="259" t="s">
        <v>92</v>
      </c>
      <c r="D168" s="24" t="s">
        <v>34</v>
      </c>
      <c r="E168" s="273">
        <f>0.11/100</f>
        <v>1.1000000000000001E-3</v>
      </c>
      <c r="F168" s="6">
        <f>E168*F158</f>
        <v>3.2428000000000005E-2</v>
      </c>
      <c r="G168" s="7"/>
      <c r="H168" s="7"/>
      <c r="I168" s="7"/>
      <c r="J168" s="7"/>
      <c r="K168" s="6"/>
      <c r="L168" s="6"/>
      <c r="M168" s="6"/>
      <c r="N168" s="338"/>
    </row>
    <row r="169" spans="1:14" s="257" customFormat="1" ht="16.5">
      <c r="A169" s="167"/>
      <c r="B169" s="147"/>
      <c r="C169" s="199" t="s">
        <v>37</v>
      </c>
      <c r="D169" s="28" t="s">
        <v>33</v>
      </c>
      <c r="E169" s="292">
        <v>0.32</v>
      </c>
      <c r="F169" s="8">
        <f>E169*F158</f>
        <v>9.4336000000000002</v>
      </c>
      <c r="G169" s="9"/>
      <c r="H169" s="9"/>
      <c r="I169" s="9"/>
      <c r="J169" s="9"/>
      <c r="K169" s="9"/>
      <c r="L169" s="9"/>
      <c r="M169" s="9"/>
      <c r="N169" s="338"/>
    </row>
    <row r="170" spans="1:14" s="3" customFormat="1" ht="16.5">
      <c r="A170" s="96"/>
      <c r="B170" s="254" t="s">
        <v>152</v>
      </c>
      <c r="C170" s="164" t="s">
        <v>119</v>
      </c>
      <c r="D170" s="137" t="s">
        <v>34</v>
      </c>
      <c r="E170" s="18">
        <v>2.4</v>
      </c>
      <c r="F170" s="50">
        <f>E170*F161</f>
        <v>71.813279999999992</v>
      </c>
      <c r="G170" s="138"/>
      <c r="H170" s="137"/>
      <c r="I170" s="18"/>
      <c r="J170" s="138"/>
      <c r="K170" s="18"/>
      <c r="L170" s="137"/>
      <c r="M170" s="18"/>
      <c r="N170" s="327"/>
    </row>
    <row r="171" spans="1:14" s="3" customFormat="1" ht="16.5">
      <c r="A171" s="27"/>
      <c r="B171" s="254" t="s">
        <v>152</v>
      </c>
      <c r="C171" s="162" t="s">
        <v>178</v>
      </c>
      <c r="D171" s="15" t="s">
        <v>34</v>
      </c>
      <c r="E171" s="16"/>
      <c r="F171" s="183">
        <f>F162+F163</f>
        <v>0.99299999999999999</v>
      </c>
      <c r="G171" s="17"/>
      <c r="H171" s="15"/>
      <c r="I171" s="16"/>
      <c r="J171" s="17"/>
      <c r="K171" s="16"/>
      <c r="L171" s="15"/>
      <c r="M171" s="16"/>
      <c r="N171" s="327"/>
    </row>
    <row r="172" spans="1:14" s="257" customFormat="1" ht="33">
      <c r="A172" s="39">
        <v>27</v>
      </c>
      <c r="B172" s="181" t="s">
        <v>279</v>
      </c>
      <c r="C172" s="40" t="s">
        <v>302</v>
      </c>
      <c r="D172" s="39" t="s">
        <v>35</v>
      </c>
      <c r="E172" s="39"/>
      <c r="F172" s="39">
        <v>6.8</v>
      </c>
      <c r="G172" s="39"/>
      <c r="H172" s="39"/>
      <c r="I172" s="39"/>
      <c r="J172" s="39"/>
      <c r="K172" s="39"/>
      <c r="L172" s="39"/>
      <c r="M172" s="39"/>
      <c r="N172" s="338"/>
    </row>
    <row r="173" spans="1:14" s="257" customFormat="1" ht="16.5">
      <c r="A173" s="4"/>
      <c r="B173" s="14"/>
      <c r="C173" s="26" t="s">
        <v>29</v>
      </c>
      <c r="D173" s="6" t="s">
        <v>30</v>
      </c>
      <c r="E173" s="6">
        <v>0.11899999999999999</v>
      </c>
      <c r="F173" s="6">
        <f>E173*F172</f>
        <v>0.80919999999999992</v>
      </c>
      <c r="G173" s="6"/>
      <c r="H173" s="6"/>
      <c r="I173" s="6"/>
      <c r="J173" s="6"/>
      <c r="K173" s="6"/>
      <c r="L173" s="6"/>
      <c r="M173" s="6"/>
      <c r="N173" s="338"/>
    </row>
    <row r="174" spans="1:14" s="257" customFormat="1" ht="16.5">
      <c r="A174" s="5"/>
      <c r="B174" s="14"/>
      <c r="C174" s="5" t="s">
        <v>70</v>
      </c>
      <c r="D174" s="5" t="s">
        <v>33</v>
      </c>
      <c r="E174" s="5">
        <f>67.5/1000</f>
        <v>6.7500000000000004E-2</v>
      </c>
      <c r="F174" s="5">
        <f>E174*F172</f>
        <v>0.45900000000000002</v>
      </c>
      <c r="G174" s="6"/>
      <c r="H174" s="6"/>
      <c r="I174" s="6"/>
      <c r="J174" s="6"/>
      <c r="K174" s="6"/>
      <c r="L174" s="6"/>
      <c r="M174" s="6"/>
      <c r="N174" s="338"/>
    </row>
    <row r="175" spans="1:14" s="257" customFormat="1" ht="16.5">
      <c r="A175" s="5"/>
      <c r="B175" s="14" t="s">
        <v>304</v>
      </c>
      <c r="C175" s="5" t="s">
        <v>191</v>
      </c>
      <c r="D175" s="5" t="s">
        <v>35</v>
      </c>
      <c r="E175" s="5">
        <v>1.01</v>
      </c>
      <c r="F175" s="5">
        <f>E175*F172</f>
        <v>6.8679999999999994</v>
      </c>
      <c r="G175" s="6"/>
      <c r="H175" s="6"/>
      <c r="I175" s="6"/>
      <c r="J175" s="6"/>
      <c r="K175" s="6"/>
      <c r="L175" s="6"/>
      <c r="M175" s="6"/>
      <c r="N175" s="338"/>
    </row>
    <row r="176" spans="1:14" s="257" customFormat="1" ht="16.5">
      <c r="A176" s="167"/>
      <c r="B176" s="147"/>
      <c r="C176" s="42" t="s">
        <v>56</v>
      </c>
      <c r="D176" s="42" t="s">
        <v>33</v>
      </c>
      <c r="E176" s="42">
        <f>2.16/1000</f>
        <v>2.16E-3</v>
      </c>
      <c r="F176" s="42">
        <f>E176*F172</f>
        <v>1.4688E-2</v>
      </c>
      <c r="G176" s="9"/>
      <c r="H176" s="9"/>
      <c r="I176" s="9"/>
      <c r="J176" s="9"/>
      <c r="K176" s="9"/>
      <c r="L176" s="9"/>
      <c r="M176" s="9"/>
      <c r="N176" s="338"/>
    </row>
    <row r="177" spans="1:14" s="293" customFormat="1" ht="76.5" customHeight="1">
      <c r="A177" s="39">
        <v>28</v>
      </c>
      <c r="B177" s="39" t="s">
        <v>280</v>
      </c>
      <c r="C177" s="39" t="s">
        <v>281</v>
      </c>
      <c r="D177" s="39" t="s">
        <v>97</v>
      </c>
      <c r="E177" s="39"/>
      <c r="F177" s="39">
        <f>6.01*0.02</f>
        <v>0.1202</v>
      </c>
      <c r="G177" s="54"/>
      <c r="H177" s="54"/>
      <c r="I177" s="54"/>
      <c r="J177" s="54"/>
      <c r="K177" s="54"/>
      <c r="L177" s="54"/>
      <c r="M177" s="54"/>
      <c r="N177" s="339"/>
    </row>
    <row r="178" spans="1:14" s="294" customFormat="1" ht="18.75" customHeight="1">
      <c r="A178" s="90"/>
      <c r="B178" s="90"/>
      <c r="C178" s="90" t="s">
        <v>282</v>
      </c>
      <c r="D178" s="90" t="s">
        <v>30</v>
      </c>
      <c r="E178" s="90">
        <v>19.5</v>
      </c>
      <c r="F178" s="90">
        <f>F177*E178</f>
        <v>2.3439000000000001</v>
      </c>
      <c r="G178" s="6"/>
      <c r="H178" s="6"/>
      <c r="I178" s="6"/>
      <c r="J178" s="6"/>
      <c r="K178" s="6"/>
      <c r="L178" s="6"/>
      <c r="M178" s="6"/>
      <c r="N178" s="335"/>
    </row>
    <row r="179" spans="1:14" s="294" customFormat="1" ht="18.75" customHeight="1">
      <c r="A179" s="4"/>
      <c r="B179" s="4"/>
      <c r="C179" s="4" t="s">
        <v>36</v>
      </c>
      <c r="D179" s="4" t="s">
        <v>33</v>
      </c>
      <c r="E179" s="4">
        <v>0.61</v>
      </c>
      <c r="F179" s="4">
        <f>F177*E179</f>
        <v>7.3321999999999998E-2</v>
      </c>
      <c r="G179" s="6"/>
      <c r="H179" s="6"/>
      <c r="I179" s="6"/>
      <c r="J179" s="6"/>
      <c r="K179" s="6"/>
      <c r="L179" s="6"/>
      <c r="M179" s="6"/>
      <c r="N179" s="335"/>
    </row>
    <row r="180" spans="1:14" s="294" customFormat="1" ht="18.75" customHeight="1">
      <c r="A180" s="146"/>
      <c r="B180" s="146"/>
      <c r="C180" s="146" t="s">
        <v>283</v>
      </c>
      <c r="D180" s="146" t="s">
        <v>98</v>
      </c>
      <c r="E180" s="146">
        <v>1.02</v>
      </c>
      <c r="F180" s="146">
        <f>F177*E180</f>
        <v>0.122604</v>
      </c>
      <c r="G180" s="8"/>
      <c r="H180" s="8"/>
      <c r="I180" s="8"/>
      <c r="J180" s="8"/>
      <c r="K180" s="8"/>
      <c r="L180" s="8"/>
      <c r="M180" s="8"/>
      <c r="N180" s="335"/>
    </row>
    <row r="181" spans="1:14" s="293" customFormat="1" ht="85.5" customHeight="1">
      <c r="A181" s="39">
        <v>29</v>
      </c>
      <c r="B181" s="243" t="s">
        <v>284</v>
      </c>
      <c r="C181" s="40" t="s">
        <v>285</v>
      </c>
      <c r="D181" s="40" t="s">
        <v>131</v>
      </c>
      <c r="E181" s="40"/>
      <c r="F181" s="40">
        <v>30.4</v>
      </c>
      <c r="G181" s="40"/>
      <c r="H181" s="40"/>
      <c r="I181" s="40"/>
      <c r="J181" s="40"/>
      <c r="K181" s="40"/>
      <c r="L181" s="40"/>
      <c r="M181" s="40"/>
      <c r="N181" s="339"/>
    </row>
    <row r="182" spans="1:14" s="294" customFormat="1" ht="18.75" customHeight="1">
      <c r="A182" s="90"/>
      <c r="B182" s="278"/>
      <c r="C182" s="90" t="s">
        <v>282</v>
      </c>
      <c r="D182" s="90" t="s">
        <v>30</v>
      </c>
      <c r="E182" s="90">
        <v>0.65480000000000005</v>
      </c>
      <c r="F182" s="90">
        <f>F181*E182</f>
        <v>19.905920000000002</v>
      </c>
      <c r="G182" s="6"/>
      <c r="H182" s="6"/>
      <c r="I182" s="6"/>
      <c r="J182" s="6"/>
      <c r="K182" s="6"/>
      <c r="L182" s="6"/>
      <c r="M182" s="6"/>
      <c r="N182" s="335"/>
    </row>
    <row r="183" spans="1:14" s="294" customFormat="1" ht="18.75" customHeight="1">
      <c r="A183" s="4"/>
      <c r="B183" s="281"/>
      <c r="C183" s="4" t="s">
        <v>286</v>
      </c>
      <c r="D183" s="4" t="s">
        <v>31</v>
      </c>
      <c r="E183" s="4">
        <f>3.7/1000</f>
        <v>3.7000000000000002E-3</v>
      </c>
      <c r="F183" s="4">
        <f>F181*E183</f>
        <v>0.11248</v>
      </c>
      <c r="G183" s="6"/>
      <c r="H183" s="6"/>
      <c r="I183" s="6"/>
      <c r="J183" s="6"/>
      <c r="K183" s="6"/>
      <c r="L183" s="6"/>
      <c r="M183" s="6"/>
      <c r="N183" s="335"/>
    </row>
    <row r="184" spans="1:14" s="294" customFormat="1" ht="18.75" customHeight="1">
      <c r="A184" s="4"/>
      <c r="B184" s="281"/>
      <c r="C184" s="4" t="s">
        <v>36</v>
      </c>
      <c r="D184" s="4" t="s">
        <v>33</v>
      </c>
      <c r="E184" s="4">
        <v>3.8999999999999998E-3</v>
      </c>
      <c r="F184" s="4">
        <f>F181*E184</f>
        <v>0.11855999999999998</v>
      </c>
      <c r="G184" s="6"/>
      <c r="H184" s="6"/>
      <c r="I184" s="6"/>
      <c r="J184" s="6"/>
      <c r="K184" s="6"/>
      <c r="L184" s="6"/>
      <c r="M184" s="6"/>
      <c r="N184" s="335"/>
    </row>
    <row r="185" spans="1:14" s="294" customFormat="1" ht="18.75" customHeight="1">
      <c r="A185" s="146"/>
      <c r="B185" s="295" t="s">
        <v>247</v>
      </c>
      <c r="C185" s="146" t="s">
        <v>248</v>
      </c>
      <c r="D185" s="146" t="s">
        <v>34</v>
      </c>
      <c r="E185" s="146">
        <v>3.0999999999999999E-3</v>
      </c>
      <c r="F185" s="146">
        <f>F181*E185</f>
        <v>9.423999999999999E-2</v>
      </c>
      <c r="G185" s="8"/>
      <c r="H185" s="8"/>
      <c r="I185" s="8"/>
      <c r="J185" s="8"/>
      <c r="K185" s="8"/>
      <c r="L185" s="8"/>
      <c r="M185" s="8"/>
      <c r="N185" s="335"/>
    </row>
    <row r="186" spans="1:14" s="257" customFormat="1" ht="20.25">
      <c r="A186" s="39">
        <v>30</v>
      </c>
      <c r="B186" s="181" t="s">
        <v>198</v>
      </c>
      <c r="C186" s="223" t="s">
        <v>287</v>
      </c>
      <c r="D186" s="155" t="s">
        <v>104</v>
      </c>
      <c r="E186" s="186"/>
      <c r="F186" s="209">
        <v>96.48</v>
      </c>
      <c r="G186" s="209"/>
      <c r="H186" s="209"/>
      <c r="I186" s="209"/>
      <c r="J186" s="209"/>
      <c r="K186" s="209"/>
      <c r="L186" s="209"/>
      <c r="M186" s="209"/>
      <c r="N186" s="338"/>
    </row>
    <row r="187" spans="1:14" s="257" customFormat="1" ht="16.5">
      <c r="A187" s="4"/>
      <c r="B187" s="14"/>
      <c r="C187" s="26" t="s">
        <v>29</v>
      </c>
      <c r="D187" s="6" t="s">
        <v>30</v>
      </c>
      <c r="E187" s="145">
        <v>0.56399999999999995</v>
      </c>
      <c r="F187" s="6">
        <f>E187*F186</f>
        <v>54.414719999999996</v>
      </c>
      <c r="G187" s="6"/>
      <c r="H187" s="6"/>
      <c r="I187" s="6"/>
      <c r="J187" s="6"/>
      <c r="K187" s="6"/>
      <c r="L187" s="6"/>
      <c r="M187" s="6"/>
      <c r="N187" s="338"/>
    </row>
    <row r="188" spans="1:14" s="257" customFormat="1" ht="16.5">
      <c r="A188" s="5"/>
      <c r="B188" s="14"/>
      <c r="C188" s="26" t="s">
        <v>70</v>
      </c>
      <c r="D188" s="6" t="s">
        <v>33</v>
      </c>
      <c r="E188" s="145">
        <f>4.09/100</f>
        <v>4.0899999999999999E-2</v>
      </c>
      <c r="F188" s="6">
        <f>E188*F186</f>
        <v>3.9460320000000002</v>
      </c>
      <c r="G188" s="6"/>
      <c r="H188" s="6"/>
      <c r="I188" s="6"/>
      <c r="J188" s="6"/>
      <c r="K188" s="6"/>
      <c r="L188" s="6"/>
      <c r="M188" s="6"/>
      <c r="N188" s="338"/>
    </row>
    <row r="189" spans="1:14" s="257" customFormat="1" ht="16.5">
      <c r="A189" s="5"/>
      <c r="B189" s="14" t="s">
        <v>160</v>
      </c>
      <c r="C189" s="26" t="s">
        <v>199</v>
      </c>
      <c r="D189" s="6" t="s">
        <v>34</v>
      </c>
      <c r="E189" s="145">
        <f>0.45/100</f>
        <v>4.5000000000000005E-3</v>
      </c>
      <c r="F189" s="6">
        <f>E189*F186</f>
        <v>0.43416000000000005</v>
      </c>
      <c r="G189" s="6"/>
      <c r="H189" s="6"/>
      <c r="I189" s="6"/>
      <c r="J189" s="6"/>
      <c r="K189" s="6"/>
      <c r="L189" s="6"/>
      <c r="M189" s="6"/>
      <c r="N189" s="338"/>
    </row>
    <row r="190" spans="1:14" s="257" customFormat="1" ht="20.25">
      <c r="A190" s="5"/>
      <c r="B190" s="161"/>
      <c r="C190" s="26" t="s">
        <v>200</v>
      </c>
      <c r="D190" s="6" t="s">
        <v>98</v>
      </c>
      <c r="E190" s="145">
        <f>0.75/100</f>
        <v>7.4999999999999997E-3</v>
      </c>
      <c r="F190" s="6">
        <f>E190*F186</f>
        <v>0.72360000000000002</v>
      </c>
      <c r="G190" s="6"/>
      <c r="H190" s="6"/>
      <c r="I190" s="6"/>
      <c r="J190" s="6"/>
      <c r="K190" s="6"/>
      <c r="L190" s="6"/>
      <c r="M190" s="6"/>
      <c r="N190" s="338"/>
    </row>
    <row r="191" spans="1:14" s="257" customFormat="1" ht="16.5">
      <c r="A191" s="167"/>
      <c r="B191" s="147"/>
      <c r="C191" s="196" t="s">
        <v>37</v>
      </c>
      <c r="D191" s="8" t="s">
        <v>33</v>
      </c>
      <c r="E191" s="185">
        <f>26.5/100</f>
        <v>0.26500000000000001</v>
      </c>
      <c r="F191" s="8">
        <f>E191*F186</f>
        <v>25.567200000000003</v>
      </c>
      <c r="G191" s="8"/>
      <c r="H191" s="8"/>
      <c r="I191" s="8"/>
      <c r="J191" s="8"/>
      <c r="K191" s="8"/>
      <c r="L191" s="8"/>
      <c r="M191" s="8"/>
      <c r="N191" s="338"/>
    </row>
    <row r="192" spans="1:14" s="296" customFormat="1" ht="33">
      <c r="A192" s="39">
        <v>31</v>
      </c>
      <c r="B192" s="181" t="s">
        <v>201</v>
      </c>
      <c r="C192" s="40" t="s">
        <v>288</v>
      </c>
      <c r="D192" s="39" t="s">
        <v>104</v>
      </c>
      <c r="E192" s="186"/>
      <c r="F192" s="10">
        <v>15.9</v>
      </c>
      <c r="G192" s="39"/>
      <c r="H192" s="39"/>
      <c r="I192" s="39"/>
      <c r="J192" s="39"/>
      <c r="K192" s="39"/>
      <c r="L192" s="39"/>
      <c r="M192" s="39"/>
      <c r="N192" s="340"/>
    </row>
    <row r="193" spans="1:14" s="296" customFormat="1" ht="16.5">
      <c r="A193" s="4"/>
      <c r="B193" s="14"/>
      <c r="C193" s="5" t="s">
        <v>202</v>
      </c>
      <c r="D193" s="5" t="s">
        <v>30</v>
      </c>
      <c r="E193" s="145">
        <v>0.47799999999999998</v>
      </c>
      <c r="F193" s="6">
        <f>F192*E193</f>
        <v>7.6002000000000001</v>
      </c>
      <c r="G193" s="6"/>
      <c r="H193" s="6"/>
      <c r="I193" s="6"/>
      <c r="J193" s="6"/>
      <c r="K193" s="6"/>
      <c r="L193" s="6"/>
      <c r="M193" s="6"/>
      <c r="N193" s="340"/>
    </row>
    <row r="194" spans="1:14" s="296" customFormat="1" ht="16.5">
      <c r="A194" s="5"/>
      <c r="B194" s="14"/>
      <c r="C194" s="5" t="s">
        <v>70</v>
      </c>
      <c r="D194" s="5" t="s">
        <v>33</v>
      </c>
      <c r="E194" s="145">
        <v>3.3300000000000003E-2</v>
      </c>
      <c r="F194" s="6">
        <f>F192*E194</f>
        <v>0.52947000000000011</v>
      </c>
      <c r="G194" s="6"/>
      <c r="H194" s="6"/>
      <c r="I194" s="6"/>
      <c r="J194" s="6"/>
      <c r="K194" s="6"/>
      <c r="L194" s="6"/>
      <c r="M194" s="6"/>
      <c r="N194" s="340"/>
    </row>
    <row r="195" spans="1:14" s="296" customFormat="1" ht="20.25">
      <c r="A195" s="5"/>
      <c r="B195" s="14" t="s">
        <v>231</v>
      </c>
      <c r="C195" s="5" t="s">
        <v>203</v>
      </c>
      <c r="D195" s="5" t="s">
        <v>171</v>
      </c>
      <c r="E195" s="145">
        <v>2.2999999999999998</v>
      </c>
      <c r="F195" s="6">
        <f>F192*E195</f>
        <v>36.57</v>
      </c>
      <c r="G195" s="6"/>
      <c r="H195" s="6"/>
      <c r="I195" s="6"/>
      <c r="J195" s="6"/>
      <c r="K195" s="6"/>
      <c r="L195" s="6"/>
      <c r="M195" s="6"/>
      <c r="N195" s="340"/>
    </row>
    <row r="196" spans="1:14" s="296" customFormat="1" ht="16.5">
      <c r="A196" s="5"/>
      <c r="B196" s="161" t="s">
        <v>305</v>
      </c>
      <c r="C196" s="5" t="s">
        <v>289</v>
      </c>
      <c r="D196" s="5" t="s">
        <v>204</v>
      </c>
      <c r="E196" s="145">
        <v>4.4000000000000003E-3</v>
      </c>
      <c r="F196" s="6">
        <f>F192*E196</f>
        <v>6.9960000000000008E-2</v>
      </c>
      <c r="G196" s="6"/>
      <c r="H196" s="6"/>
      <c r="I196" s="6"/>
      <c r="J196" s="6"/>
      <c r="K196" s="6"/>
      <c r="L196" s="6"/>
      <c r="M196" s="6"/>
      <c r="N196" s="340"/>
    </row>
    <row r="197" spans="1:14" s="296" customFormat="1" ht="16.5">
      <c r="A197" s="167"/>
      <c r="B197" s="147"/>
      <c r="C197" s="167" t="s">
        <v>37</v>
      </c>
      <c r="D197" s="167" t="s">
        <v>33</v>
      </c>
      <c r="E197" s="185">
        <v>7.6799999999999993E-2</v>
      </c>
      <c r="F197" s="8">
        <f>F192*E197</f>
        <v>1.22112</v>
      </c>
      <c r="G197" s="8"/>
      <c r="H197" s="8"/>
      <c r="I197" s="8"/>
      <c r="J197" s="8"/>
      <c r="K197" s="8"/>
      <c r="L197" s="8"/>
      <c r="M197" s="8"/>
      <c r="N197" s="340"/>
    </row>
    <row r="198" spans="1:14" s="257" customFormat="1" ht="33">
      <c r="A198" s="39">
        <v>32</v>
      </c>
      <c r="B198" s="39" t="s">
        <v>290</v>
      </c>
      <c r="C198" s="40" t="s">
        <v>291</v>
      </c>
      <c r="D198" s="39" t="s">
        <v>97</v>
      </c>
      <c r="E198" s="297"/>
      <c r="F198" s="209">
        <v>7.5</v>
      </c>
      <c r="G198" s="272"/>
      <c r="H198" s="272"/>
      <c r="I198" s="272"/>
      <c r="J198" s="272"/>
      <c r="K198" s="272"/>
      <c r="L198" s="272"/>
      <c r="M198" s="272"/>
      <c r="N198" s="338"/>
    </row>
    <row r="199" spans="1:14" s="257" customFormat="1" ht="16.5">
      <c r="A199" s="4"/>
      <c r="B199" s="4"/>
      <c r="C199" s="4" t="s">
        <v>29</v>
      </c>
      <c r="D199" s="4" t="s">
        <v>30</v>
      </c>
      <c r="E199" s="176">
        <v>6.5</v>
      </c>
      <c r="F199" s="16">
        <f>E199*F198</f>
        <v>48.75</v>
      </c>
      <c r="G199" s="16"/>
      <c r="H199" s="16"/>
      <c r="I199" s="16"/>
      <c r="J199" s="16"/>
      <c r="K199" s="16"/>
      <c r="L199" s="16"/>
      <c r="M199" s="16"/>
      <c r="N199" s="338"/>
    </row>
    <row r="200" spans="1:14" s="257" customFormat="1" ht="16.5">
      <c r="A200" s="5"/>
      <c r="B200" s="5"/>
      <c r="C200" s="5" t="s">
        <v>70</v>
      </c>
      <c r="D200" s="5" t="s">
        <v>33</v>
      </c>
      <c r="E200" s="145">
        <v>2.16</v>
      </c>
      <c r="F200" s="6">
        <f>E200*F198</f>
        <v>16.200000000000003</v>
      </c>
      <c r="G200" s="6"/>
      <c r="H200" s="6"/>
      <c r="I200" s="6"/>
      <c r="J200" s="6"/>
      <c r="K200" s="6"/>
      <c r="L200" s="6"/>
      <c r="M200" s="6"/>
      <c r="N200" s="338"/>
    </row>
    <row r="201" spans="1:14" s="257" customFormat="1" ht="20.25">
      <c r="A201" s="5"/>
      <c r="B201" s="5" t="s">
        <v>306</v>
      </c>
      <c r="C201" s="5" t="s">
        <v>292</v>
      </c>
      <c r="D201" s="5" t="s">
        <v>98</v>
      </c>
      <c r="E201" s="273">
        <v>1.1499999999999999</v>
      </c>
      <c r="F201" s="7">
        <f>E201*F198</f>
        <v>8.625</v>
      </c>
      <c r="G201" s="7"/>
      <c r="H201" s="7"/>
      <c r="I201" s="7"/>
      <c r="J201" s="7"/>
      <c r="K201" s="7"/>
      <c r="L201" s="7"/>
      <c r="M201" s="7"/>
      <c r="N201" s="338"/>
    </row>
    <row r="202" spans="1:14" s="257" customFormat="1" ht="16.5">
      <c r="A202" s="167"/>
      <c r="B202" s="167"/>
      <c r="C202" s="167" t="s">
        <v>56</v>
      </c>
      <c r="D202" s="167" t="s">
        <v>33</v>
      </c>
      <c r="E202" s="292">
        <v>0.02</v>
      </c>
      <c r="F202" s="9">
        <f>E202*F198</f>
        <v>0.15</v>
      </c>
      <c r="G202" s="9"/>
      <c r="H202" s="9"/>
      <c r="I202" s="9"/>
      <c r="J202" s="9"/>
      <c r="K202" s="9"/>
      <c r="L202" s="9"/>
      <c r="M202" s="9"/>
      <c r="N202" s="338"/>
    </row>
    <row r="203" spans="1:14" s="257" customFormat="1" ht="33">
      <c r="A203" s="184">
        <v>33</v>
      </c>
      <c r="B203" s="184" t="s">
        <v>206</v>
      </c>
      <c r="C203" s="223" t="s">
        <v>293</v>
      </c>
      <c r="D203" s="184" t="s">
        <v>97</v>
      </c>
      <c r="E203" s="184"/>
      <c r="F203" s="209">
        <v>12.11</v>
      </c>
      <c r="G203" s="209"/>
      <c r="H203" s="209"/>
      <c r="I203" s="209"/>
      <c r="J203" s="209"/>
      <c r="K203" s="209"/>
      <c r="L203" s="209"/>
      <c r="M203" s="209"/>
      <c r="N203" s="338"/>
    </row>
    <row r="204" spans="1:14" s="257" customFormat="1" ht="16.5">
      <c r="A204" s="12"/>
      <c r="B204" s="5"/>
      <c r="C204" s="5" t="s">
        <v>29</v>
      </c>
      <c r="D204" s="5" t="s">
        <v>30</v>
      </c>
      <c r="E204" s="5">
        <v>2.78</v>
      </c>
      <c r="F204" s="7">
        <f>E204*F203</f>
        <v>33.665799999999997</v>
      </c>
      <c r="G204" s="7"/>
      <c r="H204" s="7"/>
      <c r="I204" s="7"/>
      <c r="J204" s="7"/>
      <c r="K204" s="7"/>
      <c r="L204" s="7"/>
      <c r="M204" s="7"/>
      <c r="N204" s="338"/>
    </row>
    <row r="205" spans="1:14" s="257" customFormat="1" ht="16.5">
      <c r="A205" s="12"/>
      <c r="B205" s="5"/>
      <c r="C205" s="5" t="s">
        <v>70</v>
      </c>
      <c r="D205" s="5" t="s">
        <v>33</v>
      </c>
      <c r="E205" s="5">
        <f>0.26/100</f>
        <v>2.5999999999999999E-3</v>
      </c>
      <c r="F205" s="7">
        <f>E205*F203</f>
        <v>3.1486E-2</v>
      </c>
      <c r="G205" s="7"/>
      <c r="H205" s="7"/>
      <c r="I205" s="7"/>
      <c r="J205" s="7"/>
      <c r="K205" s="7"/>
      <c r="L205" s="7"/>
      <c r="M205" s="7"/>
      <c r="N205" s="338"/>
    </row>
    <row r="206" spans="1:14" s="257" customFormat="1" ht="20.25">
      <c r="A206" s="86"/>
      <c r="B206" s="167" t="s">
        <v>233</v>
      </c>
      <c r="C206" s="167" t="s">
        <v>294</v>
      </c>
      <c r="D206" s="167" t="s">
        <v>98</v>
      </c>
      <c r="E206" s="167">
        <v>1.01</v>
      </c>
      <c r="F206" s="9">
        <f>E206*F203</f>
        <v>12.2311</v>
      </c>
      <c r="G206" s="9"/>
      <c r="H206" s="9"/>
      <c r="I206" s="9"/>
      <c r="J206" s="9"/>
      <c r="K206" s="9"/>
      <c r="L206" s="9"/>
      <c r="M206" s="9"/>
      <c r="N206" s="338"/>
    </row>
    <row r="207" spans="1:14" s="3" customFormat="1" ht="16.5">
      <c r="A207" s="36"/>
      <c r="B207" s="48" t="s">
        <v>146</v>
      </c>
      <c r="C207" s="164" t="s">
        <v>207</v>
      </c>
      <c r="D207" s="137" t="s">
        <v>34</v>
      </c>
      <c r="E207" s="18">
        <v>1.7</v>
      </c>
      <c r="F207" s="50">
        <f>E207*F206</f>
        <v>20.792869999999997</v>
      </c>
      <c r="G207" s="138"/>
      <c r="H207" s="137"/>
      <c r="I207" s="18"/>
      <c r="J207" s="138"/>
      <c r="K207" s="18"/>
      <c r="L207" s="137"/>
      <c r="M207" s="18"/>
      <c r="N207" s="327"/>
    </row>
    <row r="208" spans="1:14" s="257" customFormat="1" ht="33">
      <c r="A208" s="184">
        <v>34</v>
      </c>
      <c r="B208" s="184" t="s">
        <v>71</v>
      </c>
      <c r="C208" s="223" t="s">
        <v>311</v>
      </c>
      <c r="D208" s="184" t="s">
        <v>97</v>
      </c>
      <c r="E208" s="283"/>
      <c r="F208" s="224">
        <v>45.07</v>
      </c>
      <c r="G208" s="224"/>
      <c r="H208" s="224"/>
      <c r="I208" s="224"/>
      <c r="J208" s="224"/>
      <c r="K208" s="282"/>
      <c r="L208" s="224"/>
      <c r="M208" s="224"/>
      <c r="N208" s="338"/>
    </row>
    <row r="209" spans="1:14" s="257" customFormat="1" ht="16.5">
      <c r="A209" s="24"/>
      <c r="B209" s="24"/>
      <c r="C209" s="24" t="s">
        <v>29</v>
      </c>
      <c r="D209" s="24" t="s">
        <v>30</v>
      </c>
      <c r="E209" s="145">
        <f>16.5/1000</f>
        <v>1.6500000000000001E-2</v>
      </c>
      <c r="F209" s="6">
        <f>E209*F208</f>
        <v>0.74365500000000007</v>
      </c>
      <c r="G209" s="6"/>
      <c r="H209" s="6"/>
      <c r="I209" s="6"/>
      <c r="J209" s="6"/>
      <c r="K209" s="35"/>
      <c r="L209" s="6"/>
      <c r="M209" s="6"/>
      <c r="N209" s="338"/>
    </row>
    <row r="210" spans="1:14" s="257" customFormat="1" ht="16.5">
      <c r="A210" s="24"/>
      <c r="B210" s="24" t="s">
        <v>143</v>
      </c>
      <c r="C210" s="24" t="s">
        <v>66</v>
      </c>
      <c r="D210" s="24" t="s">
        <v>31</v>
      </c>
      <c r="E210" s="145">
        <f>37/1000</f>
        <v>3.6999999999999998E-2</v>
      </c>
      <c r="F210" s="6">
        <f>E210*F208</f>
        <v>1.6675899999999999</v>
      </c>
      <c r="G210" s="6"/>
      <c r="H210" s="6"/>
      <c r="I210" s="6"/>
      <c r="J210" s="6"/>
      <c r="K210" s="35"/>
      <c r="L210" s="6"/>
      <c r="M210" s="6"/>
      <c r="N210" s="338"/>
    </row>
    <row r="211" spans="1:14" s="3" customFormat="1" ht="20.25">
      <c r="A211" s="146"/>
      <c r="B211" s="146" t="s">
        <v>222</v>
      </c>
      <c r="C211" s="196" t="s">
        <v>108</v>
      </c>
      <c r="D211" s="28" t="s">
        <v>98</v>
      </c>
      <c r="E211" s="8">
        <v>1.1000000000000001</v>
      </c>
      <c r="F211" s="8">
        <f>E211*F208</f>
        <v>49.577000000000005</v>
      </c>
      <c r="G211" s="8"/>
      <c r="H211" s="8"/>
      <c r="I211" s="18"/>
      <c r="J211" s="8"/>
      <c r="K211" s="82"/>
      <c r="L211" s="8"/>
      <c r="M211" s="8"/>
      <c r="N211" s="327"/>
    </row>
    <row r="212" spans="1:14" s="3" customFormat="1" ht="16.5">
      <c r="A212" s="36"/>
      <c r="B212" s="163" t="s">
        <v>146</v>
      </c>
      <c r="C212" s="164" t="s">
        <v>118</v>
      </c>
      <c r="D212" s="137" t="s">
        <v>34</v>
      </c>
      <c r="E212" s="18">
        <v>1.6</v>
      </c>
      <c r="F212" s="18">
        <f>E212*F211</f>
        <v>79.323200000000014</v>
      </c>
      <c r="G212" s="138"/>
      <c r="H212" s="137"/>
      <c r="I212" s="18"/>
      <c r="J212" s="138"/>
      <c r="K212" s="18"/>
      <c r="L212" s="137"/>
      <c r="M212" s="18"/>
      <c r="N212" s="327"/>
    </row>
    <row r="213" spans="1:14" s="257" customFormat="1" ht="49.5">
      <c r="A213" s="142" t="s">
        <v>386</v>
      </c>
      <c r="B213" s="181" t="s">
        <v>76</v>
      </c>
      <c r="C213" s="136" t="s">
        <v>124</v>
      </c>
      <c r="D213" s="184" t="s">
        <v>97</v>
      </c>
      <c r="E213" s="10"/>
      <c r="F213" s="209">
        <f>F208</f>
        <v>45.07</v>
      </c>
      <c r="G213" s="54"/>
      <c r="H213" s="54"/>
      <c r="I213" s="54"/>
      <c r="J213" s="54"/>
      <c r="K213" s="54"/>
      <c r="L213" s="54"/>
      <c r="M213" s="54"/>
      <c r="N213" s="338"/>
    </row>
    <row r="214" spans="1:14" s="257" customFormat="1" ht="16.5">
      <c r="A214" s="4"/>
      <c r="B214" s="4" t="s">
        <v>153</v>
      </c>
      <c r="C214" s="26" t="s">
        <v>72</v>
      </c>
      <c r="D214" s="6" t="s">
        <v>31</v>
      </c>
      <c r="E214" s="29">
        <f>(1.85 + 0.21*2)*6/1000</f>
        <v>1.362E-2</v>
      </c>
      <c r="F214" s="6">
        <f>E214*F213</f>
        <v>0.61385339999999999</v>
      </c>
      <c r="G214" s="6"/>
      <c r="H214" s="6"/>
      <c r="I214" s="6"/>
      <c r="J214" s="6"/>
      <c r="K214" s="6"/>
      <c r="L214" s="6"/>
      <c r="M214" s="6"/>
      <c r="N214" s="338"/>
    </row>
    <row r="215" spans="1:14" s="257" customFormat="1" ht="16.5">
      <c r="A215" s="4"/>
      <c r="B215" s="4" t="s">
        <v>145</v>
      </c>
      <c r="C215" s="26" t="s">
        <v>69</v>
      </c>
      <c r="D215" s="6" t="s">
        <v>31</v>
      </c>
      <c r="E215" s="29">
        <f>(10.5+1.02*2)/1000</f>
        <v>1.2539999999999999E-2</v>
      </c>
      <c r="F215" s="6">
        <f>E215*F213</f>
        <v>0.56517779999999995</v>
      </c>
      <c r="G215" s="6"/>
      <c r="H215" s="6"/>
      <c r="I215" s="6"/>
      <c r="J215" s="6"/>
      <c r="K215" s="6"/>
      <c r="L215" s="6"/>
      <c r="M215" s="6"/>
      <c r="N215" s="338"/>
    </row>
    <row r="216" spans="1:14" s="257" customFormat="1" ht="16.5">
      <c r="A216" s="146"/>
      <c r="B216" s="163" t="s">
        <v>154</v>
      </c>
      <c r="C216" s="196" t="s">
        <v>73</v>
      </c>
      <c r="D216" s="8" t="s">
        <v>31</v>
      </c>
      <c r="E216" s="256">
        <f>(1.85+0.21*2)*6/1000</f>
        <v>1.362E-2</v>
      </c>
      <c r="F216" s="8">
        <f>E216*F213</f>
        <v>0.61385339999999999</v>
      </c>
      <c r="G216" s="8"/>
      <c r="H216" s="8"/>
      <c r="I216" s="8"/>
      <c r="J216" s="8"/>
      <c r="K216" s="8"/>
      <c r="L216" s="8"/>
      <c r="M216" s="8"/>
      <c r="N216" s="338"/>
    </row>
    <row r="217" spans="1:14" s="3" customFormat="1" ht="48" customHeight="1">
      <c r="A217" s="422" t="s">
        <v>308</v>
      </c>
      <c r="B217" s="423"/>
      <c r="C217" s="423"/>
      <c r="D217" s="423"/>
      <c r="E217" s="423"/>
      <c r="F217" s="424"/>
      <c r="G217" s="280"/>
      <c r="H217" s="280"/>
      <c r="I217" s="280"/>
      <c r="J217" s="280"/>
      <c r="K217" s="280"/>
      <c r="L217" s="280"/>
      <c r="M217" s="280"/>
      <c r="N217" s="327"/>
    </row>
    <row r="218" spans="1:14" s="3" customFormat="1" ht="33">
      <c r="A218" s="22">
        <v>36</v>
      </c>
      <c r="B218" s="142" t="s">
        <v>88</v>
      </c>
      <c r="C218" s="160" t="s">
        <v>132</v>
      </c>
      <c r="D218" s="87" t="s">
        <v>97</v>
      </c>
      <c r="E218" s="23"/>
      <c r="F218" s="210">
        <v>6</v>
      </c>
      <c r="G218" s="17"/>
      <c r="H218" s="15"/>
      <c r="I218" s="16"/>
      <c r="J218" s="17"/>
      <c r="K218" s="16"/>
      <c r="L218" s="15"/>
      <c r="M218" s="155"/>
      <c r="N218" s="327"/>
    </row>
    <row r="219" spans="1:14" s="3" customFormat="1" ht="16.5">
      <c r="A219" s="4"/>
      <c r="B219" s="4"/>
      <c r="C219" s="26" t="s">
        <v>29</v>
      </c>
      <c r="D219" s="6" t="s">
        <v>30</v>
      </c>
      <c r="E219" s="145">
        <f>20/1000</f>
        <v>0.02</v>
      </c>
      <c r="F219" s="6">
        <f>E219*F218</f>
        <v>0.12</v>
      </c>
      <c r="G219" s="6"/>
      <c r="H219" s="6"/>
      <c r="I219" s="16"/>
      <c r="J219" s="16"/>
      <c r="K219" s="16"/>
      <c r="L219" s="15"/>
      <c r="M219" s="16"/>
      <c r="N219" s="327"/>
    </row>
    <row r="220" spans="1:14" s="3" customFormat="1" ht="16.5">
      <c r="A220" s="4"/>
      <c r="B220" s="4" t="s">
        <v>143</v>
      </c>
      <c r="C220" s="26" t="s">
        <v>66</v>
      </c>
      <c r="D220" s="6" t="s">
        <v>31</v>
      </c>
      <c r="E220" s="145">
        <f>44.8/1000</f>
        <v>4.48E-2</v>
      </c>
      <c r="F220" s="6">
        <f>E220*F218</f>
        <v>0.26879999999999998</v>
      </c>
      <c r="G220" s="6"/>
      <c r="H220" s="6"/>
      <c r="I220" s="16"/>
      <c r="J220" s="17"/>
      <c r="K220" s="6"/>
      <c r="L220" s="15"/>
      <c r="M220" s="16"/>
      <c r="N220" s="327"/>
    </row>
    <row r="221" spans="1:14" s="3" customFormat="1" ht="16.5">
      <c r="A221" s="4"/>
      <c r="B221" s="4"/>
      <c r="C221" s="26" t="s">
        <v>36</v>
      </c>
      <c r="D221" s="6" t="s">
        <v>33</v>
      </c>
      <c r="E221" s="145">
        <f>2.1/1000</f>
        <v>2.1000000000000003E-3</v>
      </c>
      <c r="F221" s="13">
        <f>E221*F218</f>
        <v>1.2600000000000002E-2</v>
      </c>
      <c r="G221" s="6"/>
      <c r="H221" s="6"/>
      <c r="I221" s="6"/>
      <c r="J221" s="6"/>
      <c r="K221" s="6"/>
      <c r="L221" s="13"/>
      <c r="M221" s="6"/>
      <c r="N221" s="327"/>
    </row>
    <row r="222" spans="1:14" s="3" customFormat="1" ht="16.5">
      <c r="A222" s="36"/>
      <c r="B222" s="163" t="s">
        <v>144</v>
      </c>
      <c r="C222" s="164" t="s">
        <v>133</v>
      </c>
      <c r="D222" s="137" t="s">
        <v>34</v>
      </c>
      <c r="E222" s="18"/>
      <c r="F222" s="206">
        <f>F218*1.8</f>
        <v>10.8</v>
      </c>
      <c r="G222" s="138"/>
      <c r="H222" s="137"/>
      <c r="I222" s="18"/>
      <c r="J222" s="138"/>
      <c r="K222" s="18"/>
      <c r="L222" s="137"/>
      <c r="M222" s="18"/>
      <c r="N222" s="327"/>
    </row>
    <row r="223" spans="1:14" s="3" customFormat="1" ht="33">
      <c r="A223" s="22">
        <v>37</v>
      </c>
      <c r="B223" s="181" t="s">
        <v>177</v>
      </c>
      <c r="C223" s="160" t="s">
        <v>134</v>
      </c>
      <c r="D223" s="87" t="s">
        <v>97</v>
      </c>
      <c r="E223" s="23"/>
      <c r="F223" s="210">
        <v>1</v>
      </c>
      <c r="G223" s="17"/>
      <c r="H223" s="15"/>
      <c r="I223" s="16"/>
      <c r="J223" s="17"/>
      <c r="K223" s="16"/>
      <c r="L223" s="15"/>
      <c r="M223" s="155"/>
      <c r="N223" s="327"/>
    </row>
    <row r="224" spans="1:14" s="3" customFormat="1" ht="16.5">
      <c r="A224" s="4"/>
      <c r="B224" s="4"/>
      <c r="C224" s="26" t="s">
        <v>29</v>
      </c>
      <c r="D224" s="6" t="s">
        <v>30</v>
      </c>
      <c r="E224" s="6">
        <f>2.06+0.87</f>
        <v>2.93</v>
      </c>
      <c r="F224" s="6">
        <f>E224*F223</f>
        <v>2.93</v>
      </c>
      <c r="G224" s="6"/>
      <c r="H224" s="6"/>
      <c r="I224" s="16"/>
      <c r="J224" s="16"/>
      <c r="K224" s="16"/>
      <c r="L224" s="15"/>
      <c r="M224" s="16"/>
      <c r="N224" s="327"/>
    </row>
    <row r="225" spans="1:14" s="3" customFormat="1" ht="16.5">
      <c r="A225" s="36"/>
      <c r="B225" s="163" t="s">
        <v>144</v>
      </c>
      <c r="C225" s="164" t="s">
        <v>133</v>
      </c>
      <c r="D225" s="137" t="s">
        <v>34</v>
      </c>
      <c r="E225" s="18"/>
      <c r="F225" s="206">
        <f>F223*1.8</f>
        <v>1.8</v>
      </c>
      <c r="G225" s="138"/>
      <c r="H225" s="137"/>
      <c r="I225" s="18"/>
      <c r="J225" s="138"/>
      <c r="K225" s="18"/>
      <c r="L225" s="137"/>
      <c r="M225" s="18"/>
      <c r="N225" s="327"/>
    </row>
    <row r="226" spans="1:14" s="3" customFormat="1" ht="20.25">
      <c r="A226" s="22">
        <v>38</v>
      </c>
      <c r="B226" s="142" t="s">
        <v>67</v>
      </c>
      <c r="C226" s="40" t="s">
        <v>75</v>
      </c>
      <c r="D226" s="10" t="s">
        <v>97</v>
      </c>
      <c r="E226" s="152"/>
      <c r="F226" s="209">
        <f>F223+F218</f>
        <v>7</v>
      </c>
      <c r="G226" s="153"/>
      <c r="H226" s="153"/>
      <c r="I226" s="153"/>
      <c r="J226" s="153"/>
      <c r="K226" s="153"/>
      <c r="L226" s="154"/>
      <c r="M226" s="155"/>
      <c r="N226" s="327"/>
    </row>
    <row r="227" spans="1:14" s="3" customFormat="1" ht="16.5">
      <c r="A227" s="12"/>
      <c r="B227" s="245"/>
      <c r="C227" s="26" t="s">
        <v>29</v>
      </c>
      <c r="D227" s="6" t="s">
        <v>30</v>
      </c>
      <c r="E227" s="145">
        <f>3.23/1000</f>
        <v>3.2299999999999998E-3</v>
      </c>
      <c r="F227" s="6">
        <f>E227*F226</f>
        <v>2.2609999999999998E-2</v>
      </c>
      <c r="G227" s="7"/>
      <c r="H227" s="7"/>
      <c r="I227" s="41"/>
      <c r="J227" s="41"/>
      <c r="K227" s="41"/>
      <c r="L227" s="156"/>
      <c r="M227" s="7"/>
      <c r="N227" s="327"/>
    </row>
    <row r="228" spans="1:14" s="3" customFormat="1" ht="16.5">
      <c r="A228" s="4"/>
      <c r="B228" s="4" t="s">
        <v>145</v>
      </c>
      <c r="C228" s="26" t="s">
        <v>57</v>
      </c>
      <c r="D228" s="6" t="s">
        <v>31</v>
      </c>
      <c r="E228" s="29">
        <f>3.62/1000</f>
        <v>3.62E-3</v>
      </c>
      <c r="F228" s="6">
        <f>E228*F226</f>
        <v>2.5340000000000001E-2</v>
      </c>
      <c r="G228" s="6"/>
      <c r="H228" s="6"/>
      <c r="I228" s="6"/>
      <c r="J228" s="6"/>
      <c r="K228" s="6"/>
      <c r="L228" s="13"/>
      <c r="M228" s="6"/>
      <c r="N228" s="327"/>
    </row>
    <row r="229" spans="1:14" s="3" customFormat="1" ht="16.5">
      <c r="A229" s="86"/>
      <c r="B229" s="86"/>
      <c r="C229" s="42" t="s">
        <v>36</v>
      </c>
      <c r="D229" s="86" t="s">
        <v>33</v>
      </c>
      <c r="E229" s="157">
        <f>0.18/1000</f>
        <v>1.7999999999999998E-4</v>
      </c>
      <c r="F229" s="8">
        <f>E229*F226</f>
        <v>1.2599999999999998E-3</v>
      </c>
      <c r="G229" s="86"/>
      <c r="H229" s="86"/>
      <c r="I229" s="86"/>
      <c r="J229" s="86"/>
      <c r="K229" s="9"/>
      <c r="L229" s="37"/>
      <c r="M229" s="8"/>
      <c r="N229" s="327"/>
    </row>
    <row r="230" spans="1:14" s="257" customFormat="1" ht="20.25">
      <c r="A230" s="184">
        <v>39</v>
      </c>
      <c r="B230" s="142" t="s">
        <v>71</v>
      </c>
      <c r="C230" s="223" t="s">
        <v>309</v>
      </c>
      <c r="D230" s="255" t="s">
        <v>97</v>
      </c>
      <c r="E230" s="283"/>
      <c r="F230" s="263">
        <v>1.2</v>
      </c>
      <c r="G230" s="242"/>
      <c r="H230" s="241"/>
      <c r="I230" s="183"/>
      <c r="J230" s="242"/>
      <c r="K230" s="16"/>
      <c r="L230" s="15"/>
      <c r="M230" s="16"/>
      <c r="N230" s="338"/>
    </row>
    <row r="231" spans="1:14" s="257" customFormat="1" ht="16.5">
      <c r="A231" s="24"/>
      <c r="B231" s="25"/>
      <c r="C231" s="26" t="s">
        <v>29</v>
      </c>
      <c r="D231" s="6" t="s">
        <v>30</v>
      </c>
      <c r="E231" s="145">
        <f>16.5/1000</f>
        <v>1.6500000000000001E-2</v>
      </c>
      <c r="F231" s="6">
        <f>E231*F230</f>
        <v>1.9800000000000002E-2</v>
      </c>
      <c r="G231" s="7"/>
      <c r="H231" s="6"/>
      <c r="I231" s="16"/>
      <c r="J231" s="16"/>
      <c r="K231" s="16"/>
      <c r="L231" s="16"/>
      <c r="M231" s="16"/>
      <c r="N231" s="338"/>
    </row>
    <row r="232" spans="1:14" s="257" customFormat="1" ht="16.5">
      <c r="A232" s="27"/>
      <c r="B232" s="4" t="s">
        <v>143</v>
      </c>
      <c r="C232" s="26" t="s">
        <v>66</v>
      </c>
      <c r="D232" s="6" t="s">
        <v>31</v>
      </c>
      <c r="E232" s="145">
        <f>37/1000</f>
        <v>3.6999999999999998E-2</v>
      </c>
      <c r="F232" s="6">
        <f>E232*F230</f>
        <v>4.4399999999999995E-2</v>
      </c>
      <c r="G232" s="6"/>
      <c r="H232" s="6"/>
      <c r="I232" s="16"/>
      <c r="J232" s="17"/>
      <c r="K232" s="6"/>
      <c r="L232" s="15"/>
      <c r="M232" s="16"/>
      <c r="N232" s="338"/>
    </row>
    <row r="233" spans="1:14" s="257" customFormat="1" ht="20.25">
      <c r="A233" s="28"/>
      <c r="B233" s="260"/>
      <c r="C233" s="147" t="s">
        <v>274</v>
      </c>
      <c r="D233" s="28" t="s">
        <v>98</v>
      </c>
      <c r="E233" s="185">
        <v>1.1000000000000001</v>
      </c>
      <c r="F233" s="8">
        <f>E233*F230</f>
        <v>1.32</v>
      </c>
      <c r="G233" s="8"/>
      <c r="H233" s="8"/>
      <c r="I233" s="18"/>
      <c r="J233" s="18"/>
      <c r="K233" s="8"/>
      <c r="L233" s="8"/>
      <c r="M233" s="8"/>
      <c r="N233" s="338"/>
    </row>
    <row r="234" spans="1:14" s="3" customFormat="1" ht="16.5">
      <c r="A234" s="36"/>
      <c r="B234" s="48" t="s">
        <v>146</v>
      </c>
      <c r="C234" s="164" t="s">
        <v>301</v>
      </c>
      <c r="D234" s="137" t="s">
        <v>34</v>
      </c>
      <c r="E234" s="18">
        <v>1.6</v>
      </c>
      <c r="F234" s="50">
        <f>E234*F233</f>
        <v>2.1120000000000001</v>
      </c>
      <c r="G234" s="138"/>
      <c r="H234" s="137"/>
      <c r="I234" s="18"/>
      <c r="J234" s="138"/>
      <c r="K234" s="18"/>
      <c r="L234" s="137"/>
      <c r="M234" s="18"/>
      <c r="N234" s="327"/>
    </row>
    <row r="235" spans="1:14" s="258" customFormat="1" ht="49.5">
      <c r="A235" s="142" t="s">
        <v>387</v>
      </c>
      <c r="B235" s="181" t="s">
        <v>76</v>
      </c>
      <c r="C235" s="136" t="s">
        <v>124</v>
      </c>
      <c r="D235" s="184" t="s">
        <v>97</v>
      </c>
      <c r="E235" s="10"/>
      <c r="F235" s="209">
        <f>F230</f>
        <v>1.2</v>
      </c>
      <c r="G235" s="54"/>
      <c r="H235" s="54"/>
      <c r="I235" s="54"/>
      <c r="J235" s="54"/>
      <c r="K235" s="166"/>
      <c r="L235" s="279"/>
      <c r="M235" s="54"/>
      <c r="N235" s="338"/>
    </row>
    <row r="236" spans="1:14" s="258" customFormat="1" ht="16.5">
      <c r="A236" s="4"/>
      <c r="B236" s="4" t="s">
        <v>153</v>
      </c>
      <c r="C236" s="26" t="s">
        <v>72</v>
      </c>
      <c r="D236" s="6" t="s">
        <v>31</v>
      </c>
      <c r="E236" s="29">
        <f>(1.85 + 0.21*2)*6/1000</f>
        <v>1.362E-2</v>
      </c>
      <c r="F236" s="6">
        <f>E236*F235</f>
        <v>1.6344000000000001E-2</v>
      </c>
      <c r="G236" s="6"/>
      <c r="H236" s="6"/>
      <c r="I236" s="6"/>
      <c r="J236" s="6"/>
      <c r="K236" s="13"/>
      <c r="L236" s="13"/>
      <c r="M236" s="6"/>
      <c r="N236" s="338"/>
    </row>
    <row r="237" spans="1:14" s="258" customFormat="1" ht="16.5">
      <c r="A237" s="4"/>
      <c r="B237" s="4" t="s">
        <v>145</v>
      </c>
      <c r="C237" s="26" t="s">
        <v>69</v>
      </c>
      <c r="D237" s="6" t="s">
        <v>31</v>
      </c>
      <c r="E237" s="29">
        <f>(10.5+1.02*2)/1000</f>
        <v>1.2539999999999999E-2</v>
      </c>
      <c r="F237" s="6">
        <f>E237*F235</f>
        <v>1.5047999999999999E-2</v>
      </c>
      <c r="G237" s="6"/>
      <c r="H237" s="6"/>
      <c r="I237" s="6"/>
      <c r="J237" s="6"/>
      <c r="K237" s="13"/>
      <c r="L237" s="13"/>
      <c r="M237" s="6"/>
      <c r="N237" s="338"/>
    </row>
    <row r="238" spans="1:14" s="258" customFormat="1" ht="16.5">
      <c r="A238" s="146"/>
      <c r="B238" s="163" t="s">
        <v>154</v>
      </c>
      <c r="C238" s="196" t="s">
        <v>73</v>
      </c>
      <c r="D238" s="8" t="s">
        <v>31</v>
      </c>
      <c r="E238" s="256">
        <f>(1.85+0.21*2)*6/1000</f>
        <v>1.362E-2</v>
      </c>
      <c r="F238" s="8">
        <f>E238*F235</f>
        <v>1.6344000000000001E-2</v>
      </c>
      <c r="G238" s="8"/>
      <c r="H238" s="8"/>
      <c r="I238" s="8"/>
      <c r="J238" s="8"/>
      <c r="K238" s="37"/>
      <c r="L238" s="37"/>
      <c r="M238" s="8"/>
      <c r="N238" s="338"/>
    </row>
    <row r="239" spans="1:14" s="257" customFormat="1" ht="33">
      <c r="A239" s="165">
        <v>41</v>
      </c>
      <c r="B239" s="171" t="s">
        <v>277</v>
      </c>
      <c r="C239" s="290" t="s">
        <v>310</v>
      </c>
      <c r="D239" s="143" t="s">
        <v>97</v>
      </c>
      <c r="E239" s="190"/>
      <c r="F239" s="291">
        <f>2.03+1.23</f>
        <v>3.26</v>
      </c>
      <c r="G239" s="11"/>
      <c r="H239" s="221"/>
      <c r="I239" s="12"/>
      <c r="J239" s="11"/>
      <c r="K239" s="7"/>
      <c r="L239" s="13"/>
      <c r="M239" s="6"/>
      <c r="N239" s="338"/>
    </row>
    <row r="240" spans="1:14" s="257" customFormat="1" ht="16.5">
      <c r="A240" s="5"/>
      <c r="B240" s="14"/>
      <c r="C240" s="20" t="s">
        <v>29</v>
      </c>
      <c r="D240" s="6" t="s">
        <v>30</v>
      </c>
      <c r="E240" s="285">
        <v>5.99</v>
      </c>
      <c r="F240" s="16">
        <f>E240*F239</f>
        <v>19.5274</v>
      </c>
      <c r="G240" s="7"/>
      <c r="H240" s="2"/>
      <c r="I240" s="2"/>
      <c r="J240" s="2"/>
      <c r="K240" s="2"/>
      <c r="L240" s="2"/>
      <c r="M240" s="2"/>
      <c r="N240" s="338"/>
    </row>
    <row r="241" spans="1:14" s="257" customFormat="1" ht="16.5">
      <c r="A241" s="5"/>
      <c r="B241" s="14"/>
      <c r="C241" s="41" t="s">
        <v>70</v>
      </c>
      <c r="D241" s="5" t="s">
        <v>33</v>
      </c>
      <c r="E241" s="273">
        <v>1.0900000000000001</v>
      </c>
      <c r="F241" s="6">
        <f>E241*F239</f>
        <v>3.5533999999999999</v>
      </c>
      <c r="G241" s="7"/>
      <c r="H241" s="7"/>
      <c r="I241" s="7"/>
      <c r="J241" s="7"/>
      <c r="K241" s="7"/>
      <c r="L241" s="7"/>
      <c r="M241" s="7"/>
      <c r="N241" s="338"/>
    </row>
    <row r="242" spans="1:14" s="257" customFormat="1" ht="33">
      <c r="A242" s="5"/>
      <c r="B242" s="161" t="s">
        <v>221</v>
      </c>
      <c r="C242" s="5" t="s">
        <v>297</v>
      </c>
      <c r="D242" s="24" t="s">
        <v>98</v>
      </c>
      <c r="E242" s="273">
        <v>1.0149999999999999</v>
      </c>
      <c r="F242" s="6">
        <f>E242*F239</f>
        <v>3.3088999999999995</v>
      </c>
      <c r="G242" s="7"/>
      <c r="H242" s="7"/>
      <c r="I242" s="16"/>
      <c r="J242" s="6"/>
      <c r="K242" s="6"/>
      <c r="L242" s="6"/>
      <c r="M242" s="6"/>
      <c r="N242" s="338"/>
    </row>
    <row r="243" spans="1:14" s="257" customFormat="1" ht="16.5">
      <c r="A243" s="5"/>
      <c r="B243" s="4" t="s">
        <v>232</v>
      </c>
      <c r="C243" s="41" t="s">
        <v>298</v>
      </c>
      <c r="D243" s="24" t="s">
        <v>34</v>
      </c>
      <c r="E243" s="273" t="s">
        <v>127</v>
      </c>
      <c r="F243" s="6">
        <v>0.19084000000000001</v>
      </c>
      <c r="G243" s="7"/>
      <c r="H243" s="7"/>
      <c r="I243" s="2"/>
      <c r="J243" s="7"/>
      <c r="K243" s="6"/>
      <c r="L243" s="6"/>
      <c r="M243" s="6"/>
      <c r="N243" s="338"/>
    </row>
    <row r="244" spans="1:14" s="257" customFormat="1" ht="20.25">
      <c r="A244" s="5"/>
      <c r="B244" s="25" t="s">
        <v>228</v>
      </c>
      <c r="C244" s="172" t="s">
        <v>195</v>
      </c>
      <c r="D244" s="24" t="s">
        <v>171</v>
      </c>
      <c r="E244" s="273">
        <v>1.18</v>
      </c>
      <c r="F244" s="6">
        <f>E244*F239</f>
        <v>3.8467999999999996</v>
      </c>
      <c r="G244" s="7"/>
      <c r="H244" s="7"/>
      <c r="I244" s="16"/>
      <c r="J244" s="7"/>
      <c r="K244" s="6"/>
      <c r="L244" s="6"/>
      <c r="M244" s="6"/>
      <c r="N244" s="338"/>
    </row>
    <row r="245" spans="1:14" s="257" customFormat="1" ht="20.25">
      <c r="A245" s="5"/>
      <c r="B245" s="25" t="s">
        <v>149</v>
      </c>
      <c r="C245" s="259" t="s">
        <v>90</v>
      </c>
      <c r="D245" s="24" t="s">
        <v>98</v>
      </c>
      <c r="E245" s="273">
        <f>0.21/100</f>
        <v>2.0999999999999999E-3</v>
      </c>
      <c r="F245" s="6">
        <f>E245*F239</f>
        <v>6.8459999999999988E-3</v>
      </c>
      <c r="G245" s="7"/>
      <c r="H245" s="7"/>
      <c r="I245" s="16"/>
      <c r="J245" s="7"/>
      <c r="K245" s="6"/>
      <c r="L245" s="6"/>
      <c r="M245" s="6"/>
      <c r="N245" s="338"/>
    </row>
    <row r="246" spans="1:14" s="257" customFormat="1" ht="20.25">
      <c r="A246" s="5"/>
      <c r="B246" s="25" t="s">
        <v>150</v>
      </c>
      <c r="C246" s="172" t="s">
        <v>278</v>
      </c>
      <c r="D246" s="24" t="s">
        <v>98</v>
      </c>
      <c r="E246" s="145">
        <f>2.78/100</f>
        <v>2.7799999999999998E-2</v>
      </c>
      <c r="F246" s="6">
        <f>E246*F239</f>
        <v>9.0627999999999986E-2</v>
      </c>
      <c r="G246" s="7"/>
      <c r="H246" s="7"/>
      <c r="I246" s="16"/>
      <c r="J246" s="6"/>
      <c r="K246" s="6"/>
      <c r="L246" s="6"/>
      <c r="M246" s="6"/>
      <c r="N246" s="338"/>
    </row>
    <row r="247" spans="1:14" s="257" customFormat="1" ht="16.5">
      <c r="A247" s="5"/>
      <c r="B247" s="161"/>
      <c r="C247" s="259" t="s">
        <v>91</v>
      </c>
      <c r="D247" s="24" t="s">
        <v>34</v>
      </c>
      <c r="E247" s="273">
        <f>0.14/100</f>
        <v>1.4000000000000002E-3</v>
      </c>
      <c r="F247" s="6">
        <f>E247*F239</f>
        <v>4.5640000000000003E-3</v>
      </c>
      <c r="G247" s="7"/>
      <c r="H247" s="7"/>
      <c r="I247" s="16"/>
      <c r="J247" s="7"/>
      <c r="K247" s="6"/>
      <c r="L247" s="6"/>
      <c r="M247" s="6"/>
      <c r="N247" s="338"/>
    </row>
    <row r="248" spans="1:14" s="257" customFormat="1" ht="16.5">
      <c r="A248" s="5"/>
      <c r="B248" s="161"/>
      <c r="C248" s="259" t="s">
        <v>92</v>
      </c>
      <c r="D248" s="24" t="s">
        <v>34</v>
      </c>
      <c r="E248" s="273">
        <f>0.11/100</f>
        <v>1.1000000000000001E-3</v>
      </c>
      <c r="F248" s="6">
        <f>E248*F239</f>
        <v>3.5859999999999998E-3</v>
      </c>
      <c r="G248" s="7"/>
      <c r="H248" s="7"/>
      <c r="I248" s="7"/>
      <c r="J248" s="7"/>
      <c r="K248" s="6"/>
      <c r="L248" s="6"/>
      <c r="M248" s="6"/>
      <c r="N248" s="338"/>
    </row>
    <row r="249" spans="1:14" s="257" customFormat="1" ht="16.5">
      <c r="A249" s="167"/>
      <c r="B249" s="147"/>
      <c r="C249" s="199" t="s">
        <v>37</v>
      </c>
      <c r="D249" s="28" t="s">
        <v>33</v>
      </c>
      <c r="E249" s="292">
        <v>0.32</v>
      </c>
      <c r="F249" s="8">
        <f>E249*F239</f>
        <v>1.0431999999999999</v>
      </c>
      <c r="G249" s="9"/>
      <c r="H249" s="9"/>
      <c r="I249" s="9"/>
      <c r="J249" s="9"/>
      <c r="K249" s="9"/>
      <c r="L249" s="9"/>
      <c r="M249" s="9"/>
      <c r="N249" s="338"/>
    </row>
    <row r="250" spans="1:14" s="3" customFormat="1" ht="16.5">
      <c r="A250" s="96"/>
      <c r="B250" s="254" t="s">
        <v>152</v>
      </c>
      <c r="C250" s="164" t="s">
        <v>119</v>
      </c>
      <c r="D250" s="137" t="s">
        <v>34</v>
      </c>
      <c r="E250" s="18">
        <v>2.4</v>
      </c>
      <c r="F250" s="50">
        <f>E250*F242</f>
        <v>7.9413599999999986</v>
      </c>
      <c r="G250" s="138"/>
      <c r="H250" s="137"/>
      <c r="I250" s="18"/>
      <c r="J250" s="138"/>
      <c r="K250" s="18"/>
      <c r="L250" s="137"/>
      <c r="M250" s="18"/>
      <c r="N250" s="327"/>
    </row>
    <row r="251" spans="1:14" s="3" customFormat="1" ht="16.5">
      <c r="A251" s="27"/>
      <c r="B251" s="254" t="s">
        <v>152</v>
      </c>
      <c r="C251" s="162" t="s">
        <v>178</v>
      </c>
      <c r="D251" s="15" t="s">
        <v>34</v>
      </c>
      <c r="E251" s="16"/>
      <c r="F251" s="183">
        <f>F243</f>
        <v>0.19084000000000001</v>
      </c>
      <c r="G251" s="17"/>
      <c r="H251" s="15"/>
      <c r="I251" s="16"/>
      <c r="J251" s="17"/>
      <c r="K251" s="16"/>
      <c r="L251" s="15"/>
      <c r="M251" s="16"/>
      <c r="N251" s="327"/>
    </row>
    <row r="252" spans="1:14" s="257" customFormat="1" ht="20.25">
      <c r="A252" s="39">
        <v>42</v>
      </c>
      <c r="B252" s="181" t="s">
        <v>198</v>
      </c>
      <c r="C252" s="223" t="s">
        <v>287</v>
      </c>
      <c r="D252" s="155" t="s">
        <v>104</v>
      </c>
      <c r="E252" s="186"/>
      <c r="F252" s="209">
        <v>7</v>
      </c>
      <c r="G252" s="209"/>
      <c r="H252" s="209"/>
      <c r="I252" s="209"/>
      <c r="J252" s="209"/>
      <c r="K252" s="209"/>
      <c r="L252" s="209"/>
      <c r="M252" s="209"/>
      <c r="N252" s="338"/>
    </row>
    <row r="253" spans="1:14" s="257" customFormat="1" ht="16.5">
      <c r="A253" s="4"/>
      <c r="B253" s="14"/>
      <c r="C253" s="26" t="s">
        <v>29</v>
      </c>
      <c r="D253" s="6" t="s">
        <v>30</v>
      </c>
      <c r="E253" s="145">
        <v>0.56399999999999995</v>
      </c>
      <c r="F253" s="6">
        <f>E253*F252</f>
        <v>3.9479999999999995</v>
      </c>
      <c r="G253" s="6"/>
      <c r="H253" s="6"/>
      <c r="I253" s="6"/>
      <c r="J253" s="6"/>
      <c r="K253" s="6"/>
      <c r="L253" s="6"/>
      <c r="M253" s="6"/>
      <c r="N253" s="338"/>
    </row>
    <row r="254" spans="1:14" s="257" customFormat="1" ht="16.5">
      <c r="A254" s="5"/>
      <c r="B254" s="14"/>
      <c r="C254" s="26" t="s">
        <v>70</v>
      </c>
      <c r="D254" s="6" t="s">
        <v>33</v>
      </c>
      <c r="E254" s="145">
        <f>4.09/100</f>
        <v>4.0899999999999999E-2</v>
      </c>
      <c r="F254" s="6">
        <f>E254*F252</f>
        <v>0.2863</v>
      </c>
      <c r="G254" s="6"/>
      <c r="H254" s="6"/>
      <c r="I254" s="6"/>
      <c r="J254" s="6"/>
      <c r="K254" s="6"/>
      <c r="L254" s="6"/>
      <c r="M254" s="6"/>
      <c r="N254" s="338"/>
    </row>
    <row r="255" spans="1:14" s="257" customFormat="1" ht="16.5">
      <c r="A255" s="5"/>
      <c r="B255" s="14" t="s">
        <v>160</v>
      </c>
      <c r="C255" s="26" t="s">
        <v>199</v>
      </c>
      <c r="D255" s="6" t="s">
        <v>34</v>
      </c>
      <c r="E255" s="145">
        <f>0.45/100</f>
        <v>4.5000000000000005E-3</v>
      </c>
      <c r="F255" s="6">
        <f>E255*F252</f>
        <v>3.15E-2</v>
      </c>
      <c r="G255" s="6"/>
      <c r="H255" s="6"/>
      <c r="I255" s="6"/>
      <c r="J255" s="6"/>
      <c r="K255" s="6"/>
      <c r="L255" s="6"/>
      <c r="M255" s="6"/>
      <c r="N255" s="338"/>
    </row>
    <row r="256" spans="1:14" s="257" customFormat="1" ht="20.25">
      <c r="A256" s="5"/>
      <c r="B256" s="161"/>
      <c r="C256" s="26" t="s">
        <v>200</v>
      </c>
      <c r="D256" s="6" t="s">
        <v>98</v>
      </c>
      <c r="E256" s="145">
        <f>0.75/100</f>
        <v>7.4999999999999997E-3</v>
      </c>
      <c r="F256" s="6">
        <f>E256*F252</f>
        <v>5.2499999999999998E-2</v>
      </c>
      <c r="G256" s="6"/>
      <c r="H256" s="6"/>
      <c r="I256" s="6"/>
      <c r="J256" s="6"/>
      <c r="K256" s="6"/>
      <c r="L256" s="6"/>
      <c r="M256" s="6"/>
      <c r="N256" s="338"/>
    </row>
    <row r="257" spans="1:14" s="257" customFormat="1" ht="16.5">
      <c r="A257" s="167"/>
      <c r="B257" s="147"/>
      <c r="C257" s="196" t="s">
        <v>37</v>
      </c>
      <c r="D257" s="8" t="s">
        <v>33</v>
      </c>
      <c r="E257" s="185">
        <f>26.5/100</f>
        <v>0.26500000000000001</v>
      </c>
      <c r="F257" s="8">
        <f>E257*F252</f>
        <v>1.855</v>
      </c>
      <c r="G257" s="8"/>
      <c r="H257" s="8"/>
      <c r="I257" s="8"/>
      <c r="J257" s="8"/>
      <c r="K257" s="8"/>
      <c r="L257" s="8"/>
      <c r="M257" s="8"/>
      <c r="N257" s="338"/>
    </row>
    <row r="258" spans="1:14" s="257" customFormat="1" ht="20.25">
      <c r="A258" s="184">
        <v>43</v>
      </c>
      <c r="B258" s="184" t="s">
        <v>71</v>
      </c>
      <c r="C258" s="223" t="s">
        <v>312</v>
      </c>
      <c r="D258" s="184" t="s">
        <v>97</v>
      </c>
      <c r="E258" s="283"/>
      <c r="F258" s="224">
        <v>1.5</v>
      </c>
      <c r="G258" s="224"/>
      <c r="H258" s="224"/>
      <c r="I258" s="224"/>
      <c r="J258" s="224"/>
      <c r="K258" s="224"/>
      <c r="L258" s="224"/>
      <c r="M258" s="224"/>
      <c r="N258" s="338"/>
    </row>
    <row r="259" spans="1:14" s="257" customFormat="1" ht="16.5">
      <c r="A259" s="24"/>
      <c r="B259" s="24"/>
      <c r="C259" s="24" t="s">
        <v>29</v>
      </c>
      <c r="D259" s="24" t="s">
        <v>30</v>
      </c>
      <c r="E259" s="145">
        <f>16.5/1000</f>
        <v>1.6500000000000001E-2</v>
      </c>
      <c r="F259" s="6">
        <f>E259*F258</f>
        <v>2.4750000000000001E-2</v>
      </c>
      <c r="G259" s="6"/>
      <c r="H259" s="6"/>
      <c r="I259" s="6"/>
      <c r="J259" s="6"/>
      <c r="K259" s="6"/>
      <c r="L259" s="6"/>
      <c r="M259" s="6"/>
      <c r="N259" s="338"/>
    </row>
    <row r="260" spans="1:14" s="257" customFormat="1" ht="16.5">
      <c r="A260" s="24"/>
      <c r="B260" s="24" t="s">
        <v>143</v>
      </c>
      <c r="C260" s="24" t="s">
        <v>66</v>
      </c>
      <c r="D260" s="24" t="s">
        <v>31</v>
      </c>
      <c r="E260" s="145">
        <f>37/1000</f>
        <v>3.6999999999999998E-2</v>
      </c>
      <c r="F260" s="6">
        <f>E260*F258</f>
        <v>5.5499999999999994E-2</v>
      </c>
      <c r="G260" s="6"/>
      <c r="H260" s="6"/>
      <c r="I260" s="6"/>
      <c r="J260" s="6"/>
      <c r="K260" s="6"/>
      <c r="L260" s="6"/>
      <c r="M260" s="6"/>
      <c r="N260" s="338"/>
    </row>
    <row r="261" spans="1:14" s="3" customFormat="1" ht="20.25">
      <c r="A261" s="146"/>
      <c r="B261" s="146" t="s">
        <v>222</v>
      </c>
      <c r="C261" s="196" t="s">
        <v>108</v>
      </c>
      <c r="D261" s="28" t="s">
        <v>98</v>
      </c>
      <c r="E261" s="8">
        <v>1.1000000000000001</v>
      </c>
      <c r="F261" s="8">
        <f>E261*F258</f>
        <v>1.6500000000000001</v>
      </c>
      <c r="G261" s="8"/>
      <c r="H261" s="8"/>
      <c r="I261" s="18"/>
      <c r="J261" s="8"/>
      <c r="K261" s="167"/>
      <c r="L261" s="8"/>
      <c r="M261" s="8"/>
      <c r="N261" s="327"/>
    </row>
    <row r="262" spans="1:14" s="3" customFormat="1" ht="16.5">
      <c r="A262" s="36"/>
      <c r="B262" s="163" t="s">
        <v>146</v>
      </c>
      <c r="C262" s="164" t="s">
        <v>118</v>
      </c>
      <c r="D262" s="137" t="s">
        <v>34</v>
      </c>
      <c r="E262" s="18">
        <v>1.6</v>
      </c>
      <c r="F262" s="18">
        <f>E262*F261</f>
        <v>2.6400000000000006</v>
      </c>
      <c r="G262" s="138"/>
      <c r="H262" s="137"/>
      <c r="I262" s="18"/>
      <c r="J262" s="138"/>
      <c r="K262" s="18"/>
      <c r="L262" s="137"/>
      <c r="M262" s="18"/>
      <c r="N262" s="327"/>
    </row>
    <row r="263" spans="1:14" s="257" customFormat="1" ht="49.5">
      <c r="A263" s="142" t="s">
        <v>388</v>
      </c>
      <c r="B263" s="181" t="s">
        <v>76</v>
      </c>
      <c r="C263" s="136" t="s">
        <v>124</v>
      </c>
      <c r="D263" s="184" t="s">
        <v>97</v>
      </c>
      <c r="E263" s="10"/>
      <c r="F263" s="209">
        <f>F258</f>
        <v>1.5</v>
      </c>
      <c r="G263" s="54"/>
      <c r="H263" s="54"/>
      <c r="I263" s="54"/>
      <c r="J263" s="54"/>
      <c r="K263" s="54"/>
      <c r="L263" s="54"/>
      <c r="M263" s="54"/>
      <c r="N263" s="338"/>
    </row>
    <row r="264" spans="1:14" s="257" customFormat="1" ht="16.5">
      <c r="A264" s="4"/>
      <c r="B264" s="4" t="s">
        <v>153</v>
      </c>
      <c r="C264" s="26" t="s">
        <v>72</v>
      </c>
      <c r="D264" s="6" t="s">
        <v>31</v>
      </c>
      <c r="E264" s="29">
        <f>(1.85 + 0.21*2)*6/1000</f>
        <v>1.362E-2</v>
      </c>
      <c r="F264" s="6">
        <f>E264*F263</f>
        <v>2.043E-2</v>
      </c>
      <c r="G264" s="6"/>
      <c r="H264" s="6"/>
      <c r="I264" s="6"/>
      <c r="J264" s="6"/>
      <c r="K264" s="6"/>
      <c r="L264" s="6"/>
      <c r="M264" s="6"/>
      <c r="N264" s="338"/>
    </row>
    <row r="265" spans="1:14" s="257" customFormat="1" ht="16.5">
      <c r="A265" s="4"/>
      <c r="B265" s="4" t="s">
        <v>145</v>
      </c>
      <c r="C265" s="26" t="s">
        <v>69</v>
      </c>
      <c r="D265" s="6" t="s">
        <v>31</v>
      </c>
      <c r="E265" s="29">
        <f>(10.5+1.02*2)/1000</f>
        <v>1.2539999999999999E-2</v>
      </c>
      <c r="F265" s="6">
        <f>E265*F263</f>
        <v>1.881E-2</v>
      </c>
      <c r="G265" s="6"/>
      <c r="H265" s="6"/>
      <c r="I265" s="6"/>
      <c r="J265" s="6"/>
      <c r="K265" s="6"/>
      <c r="L265" s="6"/>
      <c r="M265" s="6"/>
      <c r="N265" s="338"/>
    </row>
    <row r="266" spans="1:14" s="257" customFormat="1" ht="16.5">
      <c r="A266" s="4"/>
      <c r="B266" s="161" t="s">
        <v>154</v>
      </c>
      <c r="C266" s="26" t="s">
        <v>73</v>
      </c>
      <c r="D266" s="6" t="s">
        <v>31</v>
      </c>
      <c r="E266" s="29">
        <f>(1.85+0.21*2)*6/1000</f>
        <v>1.362E-2</v>
      </c>
      <c r="F266" s="6">
        <f>E266*F263</f>
        <v>2.043E-2</v>
      </c>
      <c r="G266" s="6"/>
      <c r="H266" s="6"/>
      <c r="I266" s="6"/>
      <c r="J266" s="6"/>
      <c r="K266" s="6"/>
      <c r="L266" s="6"/>
      <c r="M266" s="6"/>
      <c r="N266" s="338"/>
    </row>
    <row r="267" spans="1:14" s="98" customFormat="1" ht="33">
      <c r="A267" s="298">
        <v>45</v>
      </c>
      <c r="B267" s="40" t="s">
        <v>313</v>
      </c>
      <c r="C267" s="40" t="s">
        <v>314</v>
      </c>
      <c r="D267" s="40" t="s">
        <v>315</v>
      </c>
      <c r="E267" s="40"/>
      <c r="F267" s="136">
        <v>13</v>
      </c>
      <c r="G267" s="220"/>
      <c r="H267" s="220"/>
      <c r="I267" s="220"/>
      <c r="J267" s="220"/>
      <c r="K267" s="220"/>
      <c r="L267" s="220"/>
      <c r="M267" s="220"/>
      <c r="N267" s="327"/>
    </row>
    <row r="268" spans="1:14" s="98" customFormat="1" ht="16.5">
      <c r="A268" s="5"/>
      <c r="B268" s="20"/>
      <c r="C268" s="20" t="s">
        <v>316</v>
      </c>
      <c r="D268" s="20" t="s">
        <v>317</v>
      </c>
      <c r="E268" s="26">
        <v>2.4900000000000002</v>
      </c>
      <c r="F268" s="145">
        <f>E268*F267</f>
        <v>32.370000000000005</v>
      </c>
      <c r="G268" s="26"/>
      <c r="H268" s="26"/>
      <c r="I268" s="26"/>
      <c r="J268" s="26"/>
      <c r="K268" s="26"/>
      <c r="L268" s="26"/>
      <c r="M268" s="26"/>
      <c r="N268" s="327"/>
    </row>
    <row r="269" spans="1:14" s="98" customFormat="1" ht="16.5">
      <c r="A269" s="5"/>
      <c r="B269" s="20"/>
      <c r="C269" s="20" t="s">
        <v>70</v>
      </c>
      <c r="D269" s="20" t="s">
        <v>318</v>
      </c>
      <c r="E269" s="26">
        <f>18.1/100</f>
        <v>0.18100000000000002</v>
      </c>
      <c r="F269" s="145">
        <f>E269*F267</f>
        <v>2.3530000000000002</v>
      </c>
      <c r="G269" s="26"/>
      <c r="H269" s="26"/>
      <c r="I269" s="26"/>
      <c r="J269" s="26"/>
      <c r="K269" s="26"/>
      <c r="L269" s="26"/>
      <c r="M269" s="26"/>
      <c r="N269" s="327"/>
    </row>
    <row r="270" spans="1:14" s="98" customFormat="1" ht="16.5">
      <c r="A270" s="5"/>
      <c r="B270" s="20"/>
      <c r="C270" s="20" t="s">
        <v>322</v>
      </c>
      <c r="D270" s="20" t="s">
        <v>246</v>
      </c>
      <c r="E270" s="26" t="s">
        <v>319</v>
      </c>
      <c r="F270" s="26">
        <v>9.64</v>
      </c>
      <c r="G270" s="26"/>
      <c r="H270" s="26"/>
      <c r="I270" s="26"/>
      <c r="J270" s="26"/>
      <c r="K270" s="26"/>
      <c r="L270" s="26"/>
      <c r="M270" s="26"/>
      <c r="N270" s="327"/>
    </row>
    <row r="271" spans="1:14" s="98" customFormat="1" ht="16.5">
      <c r="A271" s="5"/>
      <c r="B271" s="20"/>
      <c r="C271" s="20" t="s">
        <v>323</v>
      </c>
      <c r="D271" s="20" t="s">
        <v>246</v>
      </c>
      <c r="E271" s="26" t="s">
        <v>319</v>
      </c>
      <c r="F271" s="26">
        <v>38</v>
      </c>
      <c r="G271" s="26"/>
      <c r="H271" s="26"/>
      <c r="I271" s="26"/>
      <c r="J271" s="26"/>
      <c r="K271" s="26"/>
      <c r="L271" s="26"/>
      <c r="M271" s="26"/>
      <c r="N271" s="327"/>
    </row>
    <row r="272" spans="1:14" s="98" customFormat="1" ht="16.5">
      <c r="A272" s="5"/>
      <c r="B272" s="20"/>
      <c r="C272" s="20" t="s">
        <v>324</v>
      </c>
      <c r="D272" s="20" t="s">
        <v>246</v>
      </c>
      <c r="E272" s="26" t="s">
        <v>319</v>
      </c>
      <c r="F272" s="26">
        <v>46.36</v>
      </c>
      <c r="G272" s="26"/>
      <c r="H272" s="26"/>
      <c r="I272" s="26"/>
      <c r="J272" s="26"/>
      <c r="K272" s="26"/>
      <c r="L272" s="26"/>
      <c r="M272" s="26"/>
      <c r="N272" s="327"/>
    </row>
    <row r="273" spans="1:14" s="130" customFormat="1" ht="27" customHeight="1">
      <c r="A273" s="184">
        <v>46</v>
      </c>
      <c r="B273" s="208" t="s">
        <v>320</v>
      </c>
      <c r="C273" s="208" t="s">
        <v>337</v>
      </c>
      <c r="D273" s="208" t="s">
        <v>104</v>
      </c>
      <c r="E273" s="155"/>
      <c r="F273" s="155">
        <v>9.81</v>
      </c>
      <c r="G273" s="155"/>
      <c r="H273" s="155"/>
      <c r="I273" s="155"/>
      <c r="J273" s="155"/>
      <c r="K273" s="155"/>
      <c r="L273" s="155"/>
      <c r="M273" s="155"/>
      <c r="N273" s="336"/>
    </row>
    <row r="274" spans="1:14" s="130" customFormat="1" ht="16.5">
      <c r="A274" s="24"/>
      <c r="B274" s="161"/>
      <c r="C274" s="161" t="s">
        <v>29</v>
      </c>
      <c r="D274" s="161" t="s">
        <v>30</v>
      </c>
      <c r="E274" s="16">
        <f>68/100</f>
        <v>0.68</v>
      </c>
      <c r="F274" s="16">
        <f>E274*F273</f>
        <v>6.6708000000000007</v>
      </c>
      <c r="G274" s="16"/>
      <c r="H274" s="16"/>
      <c r="I274" s="16"/>
      <c r="J274" s="16"/>
      <c r="K274" s="16"/>
      <c r="L274" s="16"/>
      <c r="M274" s="16"/>
      <c r="N274" s="336"/>
    </row>
    <row r="275" spans="1:14" s="130" customFormat="1" ht="16.5">
      <c r="A275" s="24"/>
      <c r="B275" s="161"/>
      <c r="C275" s="161" t="s">
        <v>36</v>
      </c>
      <c r="D275" s="161" t="s">
        <v>33</v>
      </c>
      <c r="E275" s="175">
        <f>0.03/100</f>
        <v>2.9999999999999997E-4</v>
      </c>
      <c r="F275" s="176">
        <f>E275*F273</f>
        <v>2.9429999999999999E-3</v>
      </c>
      <c r="G275" s="16"/>
      <c r="H275" s="16"/>
      <c r="I275" s="16"/>
      <c r="J275" s="16"/>
      <c r="K275" s="16"/>
      <c r="L275" s="16"/>
      <c r="M275" s="16"/>
      <c r="N275" s="336"/>
    </row>
    <row r="276" spans="1:14" s="130" customFormat="1" ht="16.5">
      <c r="A276" s="24"/>
      <c r="B276" s="161"/>
      <c r="C276" s="161" t="s">
        <v>321</v>
      </c>
      <c r="D276" s="161" t="s">
        <v>89</v>
      </c>
      <c r="E276" s="176">
        <v>0.28000000000000003</v>
      </c>
      <c r="F276" s="16">
        <f>E276*F273</f>
        <v>2.7468000000000004</v>
      </c>
      <c r="G276" s="16"/>
      <c r="H276" s="16"/>
      <c r="I276" s="16"/>
      <c r="J276" s="16"/>
      <c r="K276" s="16"/>
      <c r="L276" s="16"/>
      <c r="M276" s="16"/>
      <c r="N276" s="336"/>
    </row>
    <row r="277" spans="1:14" s="130" customFormat="1" ht="16.5">
      <c r="A277" s="28"/>
      <c r="B277" s="163"/>
      <c r="C277" s="163" t="s">
        <v>37</v>
      </c>
      <c r="D277" s="163" t="s">
        <v>33</v>
      </c>
      <c r="E277" s="299">
        <v>1.9E-3</v>
      </c>
      <c r="F277" s="18">
        <f>E277*F273</f>
        <v>1.8638999999999999E-2</v>
      </c>
      <c r="G277" s="18"/>
      <c r="H277" s="18"/>
      <c r="I277" s="18"/>
      <c r="J277" s="18"/>
      <c r="K277" s="18"/>
      <c r="L277" s="18"/>
      <c r="M277" s="18"/>
      <c r="N277" s="336"/>
    </row>
    <row r="278" spans="1:14" s="3" customFormat="1" ht="48" customHeight="1">
      <c r="A278" s="422" t="s">
        <v>325</v>
      </c>
      <c r="B278" s="423"/>
      <c r="C278" s="423"/>
      <c r="D278" s="423"/>
      <c r="E278" s="423"/>
      <c r="F278" s="424"/>
      <c r="G278" s="280"/>
      <c r="H278" s="280"/>
      <c r="I278" s="280"/>
      <c r="J278" s="280"/>
      <c r="K278" s="280"/>
      <c r="L278" s="280"/>
      <c r="M278" s="280"/>
      <c r="N278" s="327"/>
    </row>
    <row r="279" spans="1:14" s="3" customFormat="1" ht="33">
      <c r="A279" s="22">
        <v>47</v>
      </c>
      <c r="B279" s="142" t="s">
        <v>88</v>
      </c>
      <c r="C279" s="160" t="s">
        <v>132</v>
      </c>
      <c r="D279" s="87" t="s">
        <v>97</v>
      </c>
      <c r="E279" s="23"/>
      <c r="F279" s="210">
        <v>3.2</v>
      </c>
      <c r="G279" s="17"/>
      <c r="H279" s="15"/>
      <c r="I279" s="16"/>
      <c r="J279" s="17"/>
      <c r="K279" s="16"/>
      <c r="L279" s="15"/>
      <c r="M279" s="155"/>
      <c r="N279" s="327"/>
    </row>
    <row r="280" spans="1:14" s="3" customFormat="1" ht="16.5">
      <c r="A280" s="4"/>
      <c r="B280" s="4"/>
      <c r="C280" s="26" t="s">
        <v>29</v>
      </c>
      <c r="D280" s="6" t="s">
        <v>30</v>
      </c>
      <c r="E280" s="145">
        <f>20/1000</f>
        <v>0.02</v>
      </c>
      <c r="F280" s="6">
        <f>E280*F279</f>
        <v>6.4000000000000001E-2</v>
      </c>
      <c r="G280" s="6"/>
      <c r="H280" s="6"/>
      <c r="I280" s="16"/>
      <c r="J280" s="16"/>
      <c r="K280" s="16"/>
      <c r="L280" s="15"/>
      <c r="M280" s="16"/>
      <c r="N280" s="327"/>
    </row>
    <row r="281" spans="1:14" s="3" customFormat="1" ht="16.5">
      <c r="A281" s="4"/>
      <c r="B281" s="4" t="s">
        <v>143</v>
      </c>
      <c r="C281" s="26" t="s">
        <v>66</v>
      </c>
      <c r="D281" s="6" t="s">
        <v>31</v>
      </c>
      <c r="E281" s="145">
        <f>44.8/1000</f>
        <v>4.48E-2</v>
      </c>
      <c r="F281" s="6">
        <f>E281*F279</f>
        <v>0.14336000000000002</v>
      </c>
      <c r="G281" s="6"/>
      <c r="H281" s="6"/>
      <c r="I281" s="16"/>
      <c r="J281" s="17"/>
      <c r="K281" s="6"/>
      <c r="L281" s="15"/>
      <c r="M281" s="16"/>
      <c r="N281" s="327"/>
    </row>
    <row r="282" spans="1:14" s="3" customFormat="1" ht="16.5">
      <c r="A282" s="4"/>
      <c r="B282" s="4"/>
      <c r="C282" s="26" t="s">
        <v>36</v>
      </c>
      <c r="D282" s="6" t="s">
        <v>33</v>
      </c>
      <c r="E282" s="145">
        <f>2.1/1000</f>
        <v>2.1000000000000003E-3</v>
      </c>
      <c r="F282" s="13">
        <f>E282*F279</f>
        <v>6.7200000000000011E-3</v>
      </c>
      <c r="G282" s="6"/>
      <c r="H282" s="6"/>
      <c r="I282" s="6"/>
      <c r="J282" s="6"/>
      <c r="K282" s="6"/>
      <c r="L282" s="13"/>
      <c r="M282" s="6"/>
      <c r="N282" s="327"/>
    </row>
    <row r="283" spans="1:14" s="3" customFormat="1" ht="16.5">
      <c r="A283" s="36"/>
      <c r="B283" s="163" t="s">
        <v>144</v>
      </c>
      <c r="C283" s="164" t="s">
        <v>133</v>
      </c>
      <c r="D283" s="137" t="s">
        <v>34</v>
      </c>
      <c r="E283" s="18"/>
      <c r="F283" s="206">
        <f>F279*1.8</f>
        <v>5.7600000000000007</v>
      </c>
      <c r="G283" s="138"/>
      <c r="H283" s="137"/>
      <c r="I283" s="18"/>
      <c r="J283" s="138"/>
      <c r="K283" s="18"/>
      <c r="L283" s="137"/>
      <c r="M283" s="18"/>
      <c r="N283" s="327"/>
    </row>
    <row r="284" spans="1:14" s="3" customFormat="1" ht="33">
      <c r="A284" s="22">
        <v>48</v>
      </c>
      <c r="B284" s="181" t="s">
        <v>177</v>
      </c>
      <c r="C284" s="160" t="s">
        <v>134</v>
      </c>
      <c r="D284" s="87" t="s">
        <v>97</v>
      </c>
      <c r="E284" s="23"/>
      <c r="F284" s="210">
        <v>0.4</v>
      </c>
      <c r="G284" s="17"/>
      <c r="H284" s="15"/>
      <c r="I284" s="16"/>
      <c r="J284" s="17"/>
      <c r="K284" s="16"/>
      <c r="L284" s="15"/>
      <c r="M284" s="155"/>
      <c r="N284" s="327"/>
    </row>
    <row r="285" spans="1:14" s="3" customFormat="1" ht="16.5">
      <c r="A285" s="4"/>
      <c r="B285" s="4"/>
      <c r="C285" s="26" t="s">
        <v>29</v>
      </c>
      <c r="D285" s="6" t="s">
        <v>30</v>
      </c>
      <c r="E285" s="6">
        <f>2.06+0.87</f>
        <v>2.93</v>
      </c>
      <c r="F285" s="6">
        <f>E285*F284</f>
        <v>1.1720000000000002</v>
      </c>
      <c r="G285" s="6"/>
      <c r="H285" s="6"/>
      <c r="I285" s="16"/>
      <c r="J285" s="16"/>
      <c r="K285" s="16"/>
      <c r="L285" s="15"/>
      <c r="M285" s="16"/>
      <c r="N285" s="327"/>
    </row>
    <row r="286" spans="1:14" s="3" customFormat="1" ht="16.5">
      <c r="A286" s="36"/>
      <c r="B286" s="163" t="s">
        <v>144</v>
      </c>
      <c r="C286" s="164" t="s">
        <v>133</v>
      </c>
      <c r="D286" s="137" t="s">
        <v>34</v>
      </c>
      <c r="E286" s="18"/>
      <c r="F286" s="206">
        <f>F284*1.8</f>
        <v>0.72000000000000008</v>
      </c>
      <c r="G286" s="138"/>
      <c r="H286" s="137"/>
      <c r="I286" s="18"/>
      <c r="J286" s="138"/>
      <c r="K286" s="18"/>
      <c r="L286" s="137"/>
      <c r="M286" s="18"/>
      <c r="N286" s="327"/>
    </row>
    <row r="287" spans="1:14" s="3" customFormat="1" ht="20.25">
      <c r="A287" s="22">
        <v>49</v>
      </c>
      <c r="B287" s="142" t="s">
        <v>67</v>
      </c>
      <c r="C287" s="40" t="s">
        <v>75</v>
      </c>
      <c r="D287" s="10" t="s">
        <v>97</v>
      </c>
      <c r="E287" s="152"/>
      <c r="F287" s="209">
        <f>F284+F279</f>
        <v>3.6</v>
      </c>
      <c r="G287" s="153"/>
      <c r="H287" s="153"/>
      <c r="I287" s="153"/>
      <c r="J287" s="153"/>
      <c r="K287" s="153"/>
      <c r="L287" s="154"/>
      <c r="M287" s="155"/>
      <c r="N287" s="327"/>
    </row>
    <row r="288" spans="1:14" s="3" customFormat="1" ht="16.5">
      <c r="A288" s="12"/>
      <c r="B288" s="245"/>
      <c r="C288" s="26" t="s">
        <v>29</v>
      </c>
      <c r="D288" s="6" t="s">
        <v>30</v>
      </c>
      <c r="E288" s="145">
        <f>3.23/1000</f>
        <v>3.2299999999999998E-3</v>
      </c>
      <c r="F288" s="6">
        <f>E288*F287</f>
        <v>1.1627999999999999E-2</v>
      </c>
      <c r="G288" s="7"/>
      <c r="H288" s="7"/>
      <c r="I288" s="41"/>
      <c r="J288" s="41"/>
      <c r="K288" s="41"/>
      <c r="L288" s="156"/>
      <c r="M288" s="7"/>
      <c r="N288" s="327"/>
    </row>
    <row r="289" spans="1:14" s="3" customFormat="1" ht="16.5">
      <c r="A289" s="4"/>
      <c r="B289" s="4" t="s">
        <v>145</v>
      </c>
      <c r="C289" s="26" t="s">
        <v>57</v>
      </c>
      <c r="D289" s="6" t="s">
        <v>31</v>
      </c>
      <c r="E289" s="29">
        <f>3.62/1000</f>
        <v>3.62E-3</v>
      </c>
      <c r="F289" s="6">
        <f>E289*F287</f>
        <v>1.3032E-2</v>
      </c>
      <c r="G289" s="6"/>
      <c r="H289" s="6"/>
      <c r="I289" s="6"/>
      <c r="J289" s="6"/>
      <c r="K289" s="6"/>
      <c r="L289" s="13"/>
      <c r="M289" s="6"/>
      <c r="N289" s="327"/>
    </row>
    <row r="290" spans="1:14" s="3" customFormat="1" ht="16.5">
      <c r="A290" s="86"/>
      <c r="B290" s="86"/>
      <c r="C290" s="42" t="s">
        <v>36</v>
      </c>
      <c r="D290" s="86" t="s">
        <v>33</v>
      </c>
      <c r="E290" s="157">
        <f>0.18/1000</f>
        <v>1.7999999999999998E-4</v>
      </c>
      <c r="F290" s="185">
        <f>E290*F287</f>
        <v>6.4799999999999992E-4</v>
      </c>
      <c r="G290" s="86"/>
      <c r="H290" s="86"/>
      <c r="I290" s="86"/>
      <c r="J290" s="86"/>
      <c r="K290" s="9"/>
      <c r="L290" s="37"/>
      <c r="M290" s="8"/>
      <c r="N290" s="327"/>
    </row>
    <row r="291" spans="1:14" s="98" customFormat="1" ht="49.5">
      <c r="A291" s="184">
        <v>50</v>
      </c>
      <c r="B291" s="181" t="s">
        <v>326</v>
      </c>
      <c r="C291" s="262" t="s">
        <v>328</v>
      </c>
      <c r="D291" s="155" t="s">
        <v>97</v>
      </c>
      <c r="E291" s="155"/>
      <c r="F291" s="224">
        <v>7.2</v>
      </c>
      <c r="G291" s="183"/>
      <c r="H291" s="183"/>
      <c r="I291" s="183"/>
      <c r="J291" s="183"/>
      <c r="K291" s="183"/>
      <c r="L291" s="241"/>
      <c r="M291" s="183"/>
      <c r="N291" s="327"/>
    </row>
    <row r="292" spans="1:14" s="98" customFormat="1" ht="16.5">
      <c r="A292" s="4"/>
      <c r="B292" s="4"/>
      <c r="C292" s="192" t="s">
        <v>29</v>
      </c>
      <c r="D292" s="6" t="s">
        <v>30</v>
      </c>
      <c r="E292" s="6">
        <v>25.4</v>
      </c>
      <c r="F292" s="6">
        <f>E292*F291</f>
        <v>182.88</v>
      </c>
      <c r="G292" s="6"/>
      <c r="H292" s="6"/>
      <c r="I292" s="6"/>
      <c r="J292" s="6"/>
      <c r="K292" s="6"/>
      <c r="L292" s="13"/>
      <c r="M292" s="6"/>
      <c r="N292" s="327"/>
    </row>
    <row r="293" spans="1:14" s="98" customFormat="1" ht="16.5">
      <c r="A293" s="4"/>
      <c r="B293" s="4"/>
      <c r="C293" s="270" t="s">
        <v>70</v>
      </c>
      <c r="D293" s="5" t="s">
        <v>33</v>
      </c>
      <c r="E293" s="41">
        <v>20.65</v>
      </c>
      <c r="F293" s="6">
        <f>E293*F291</f>
        <v>148.68</v>
      </c>
      <c r="G293" s="7"/>
      <c r="H293" s="7"/>
      <c r="I293" s="7"/>
      <c r="J293" s="7"/>
      <c r="K293" s="7"/>
      <c r="L293" s="303"/>
      <c r="M293" s="7"/>
      <c r="N293" s="327"/>
    </row>
    <row r="294" spans="1:14" s="98" customFormat="1" ht="20.25">
      <c r="A294" s="187"/>
      <c r="B294" s="151" t="s">
        <v>211</v>
      </c>
      <c r="C294" s="160" t="s">
        <v>327</v>
      </c>
      <c r="D294" s="87" t="s">
        <v>97</v>
      </c>
      <c r="E294" s="23"/>
      <c r="F294" s="210">
        <f>F291</f>
        <v>7.2</v>
      </c>
      <c r="G294" s="17"/>
      <c r="H294" s="15"/>
      <c r="I294" s="16"/>
      <c r="J294" s="17"/>
      <c r="K294" s="16"/>
      <c r="L294" s="15"/>
      <c r="M294" s="23"/>
      <c r="N294" s="327"/>
    </row>
    <row r="295" spans="1:14" s="98" customFormat="1" ht="16.5">
      <c r="A295" s="4"/>
      <c r="B295" s="4"/>
      <c r="C295" s="192" t="s">
        <v>29</v>
      </c>
      <c r="D295" s="6" t="s">
        <v>30</v>
      </c>
      <c r="E295" s="145">
        <f>20/1000</f>
        <v>0.02</v>
      </c>
      <c r="F295" s="145">
        <f>E295*F294</f>
        <v>0.14400000000000002</v>
      </c>
      <c r="G295" s="6"/>
      <c r="H295" s="6"/>
      <c r="I295" s="16"/>
      <c r="J295" s="16"/>
      <c r="K295" s="16"/>
      <c r="L295" s="15"/>
      <c r="M295" s="16"/>
      <c r="N295" s="327"/>
    </row>
    <row r="296" spans="1:14" s="98" customFormat="1" ht="16.5">
      <c r="A296" s="4"/>
      <c r="B296" s="4" t="s">
        <v>143</v>
      </c>
      <c r="C296" s="192" t="s">
        <v>66</v>
      </c>
      <c r="D296" s="6" t="s">
        <v>31</v>
      </c>
      <c r="E296" s="145">
        <f>44.8/1000</f>
        <v>4.48E-2</v>
      </c>
      <c r="F296" s="6">
        <f>E296*F294</f>
        <v>0.32256000000000001</v>
      </c>
      <c r="G296" s="6"/>
      <c r="H296" s="6"/>
      <c r="I296" s="16"/>
      <c r="J296" s="17"/>
      <c r="K296" s="6"/>
      <c r="L296" s="15"/>
      <c r="M296" s="16"/>
      <c r="N296" s="327"/>
    </row>
    <row r="297" spans="1:14" s="98" customFormat="1" ht="16.5">
      <c r="A297" s="4"/>
      <c r="B297" s="4"/>
      <c r="C297" s="192" t="s">
        <v>36</v>
      </c>
      <c r="D297" s="6" t="s">
        <v>33</v>
      </c>
      <c r="E297" s="145">
        <f>2.1/1000</f>
        <v>2.1000000000000003E-3</v>
      </c>
      <c r="F297" s="304">
        <f>E297*F294</f>
        <v>1.5120000000000003E-2</v>
      </c>
      <c r="G297" s="6"/>
      <c r="H297" s="6"/>
      <c r="I297" s="6"/>
      <c r="J297" s="6"/>
      <c r="K297" s="6"/>
      <c r="L297" s="13"/>
      <c r="M297" s="6"/>
      <c r="N297" s="327"/>
    </row>
    <row r="298" spans="1:14" s="98" customFormat="1" ht="16.5">
      <c r="A298" s="28"/>
      <c r="B298" s="163" t="s">
        <v>144</v>
      </c>
      <c r="C298" s="164" t="s">
        <v>133</v>
      </c>
      <c r="D298" s="137" t="s">
        <v>34</v>
      </c>
      <c r="E298" s="18"/>
      <c r="F298" s="206">
        <f>F294*2.4</f>
        <v>17.28</v>
      </c>
      <c r="G298" s="138"/>
      <c r="H298" s="137"/>
      <c r="I298" s="18"/>
      <c r="J298" s="138"/>
      <c r="K298" s="18"/>
      <c r="L298" s="137"/>
      <c r="M298" s="18"/>
      <c r="N298" s="327"/>
    </row>
    <row r="299" spans="1:14" s="257" customFormat="1" ht="20.25">
      <c r="A299" s="184">
        <v>51</v>
      </c>
      <c r="B299" s="142" t="s">
        <v>71</v>
      </c>
      <c r="C299" s="223" t="s">
        <v>329</v>
      </c>
      <c r="D299" s="255" t="s">
        <v>97</v>
      </c>
      <c r="E299" s="283"/>
      <c r="F299" s="263">
        <v>1.66</v>
      </c>
      <c r="G299" s="242"/>
      <c r="H299" s="241"/>
      <c r="I299" s="183"/>
      <c r="J299" s="242"/>
      <c r="K299" s="16"/>
      <c r="L299" s="15"/>
      <c r="M299" s="16"/>
      <c r="N299" s="338"/>
    </row>
    <row r="300" spans="1:14" s="257" customFormat="1" ht="16.5">
      <c r="A300" s="24"/>
      <c r="B300" s="25"/>
      <c r="C300" s="26" t="s">
        <v>29</v>
      </c>
      <c r="D300" s="6" t="s">
        <v>30</v>
      </c>
      <c r="E300" s="145">
        <f>16.5/1000</f>
        <v>1.6500000000000001E-2</v>
      </c>
      <c r="F300" s="6">
        <f>E300*F299</f>
        <v>2.7390000000000001E-2</v>
      </c>
      <c r="G300" s="7"/>
      <c r="H300" s="6"/>
      <c r="I300" s="16"/>
      <c r="J300" s="16"/>
      <c r="K300" s="16"/>
      <c r="L300" s="16"/>
      <c r="M300" s="16"/>
      <c r="N300" s="338"/>
    </row>
    <row r="301" spans="1:14" s="257" customFormat="1" ht="16.5">
      <c r="A301" s="27"/>
      <c r="B301" s="4" t="s">
        <v>143</v>
      </c>
      <c r="C301" s="26" t="s">
        <v>66</v>
      </c>
      <c r="D301" s="6" t="s">
        <v>31</v>
      </c>
      <c r="E301" s="145">
        <f>37/1000</f>
        <v>3.6999999999999998E-2</v>
      </c>
      <c r="F301" s="6">
        <f>E301*F299</f>
        <v>6.1419999999999995E-2</v>
      </c>
      <c r="G301" s="6"/>
      <c r="H301" s="6"/>
      <c r="I301" s="16"/>
      <c r="J301" s="17"/>
      <c r="K301" s="6"/>
      <c r="L301" s="15"/>
      <c r="M301" s="16"/>
      <c r="N301" s="338"/>
    </row>
    <row r="302" spans="1:14" s="257" customFormat="1" ht="20.25">
      <c r="A302" s="28"/>
      <c r="B302" s="260"/>
      <c r="C302" s="147" t="s">
        <v>274</v>
      </c>
      <c r="D302" s="28" t="s">
        <v>98</v>
      </c>
      <c r="E302" s="185">
        <v>1.1000000000000001</v>
      </c>
      <c r="F302" s="8">
        <f>E302*F299</f>
        <v>1.8260000000000001</v>
      </c>
      <c r="G302" s="8"/>
      <c r="H302" s="8"/>
      <c r="I302" s="18"/>
      <c r="J302" s="18"/>
      <c r="K302" s="8"/>
      <c r="L302" s="8"/>
      <c r="M302" s="8"/>
      <c r="N302" s="338"/>
    </row>
    <row r="303" spans="1:14" s="3" customFormat="1" ht="16.5">
      <c r="A303" s="36"/>
      <c r="B303" s="48" t="s">
        <v>146</v>
      </c>
      <c r="C303" s="164" t="s">
        <v>301</v>
      </c>
      <c r="D303" s="137" t="s">
        <v>34</v>
      </c>
      <c r="E303" s="18">
        <v>1.6</v>
      </c>
      <c r="F303" s="50">
        <f>E303*F302</f>
        <v>2.9216000000000002</v>
      </c>
      <c r="G303" s="138"/>
      <c r="H303" s="137"/>
      <c r="I303" s="18"/>
      <c r="J303" s="138"/>
      <c r="K303" s="18"/>
      <c r="L303" s="137"/>
      <c r="M303" s="18"/>
      <c r="N303" s="327"/>
    </row>
    <row r="304" spans="1:14" s="258" customFormat="1" ht="49.5">
      <c r="A304" s="142" t="s">
        <v>389</v>
      </c>
      <c r="B304" s="181" t="s">
        <v>76</v>
      </c>
      <c r="C304" s="136" t="s">
        <v>124</v>
      </c>
      <c r="D304" s="184" t="s">
        <v>97</v>
      </c>
      <c r="E304" s="10"/>
      <c r="F304" s="209">
        <f>F299</f>
        <v>1.66</v>
      </c>
      <c r="G304" s="54"/>
      <c r="H304" s="54"/>
      <c r="I304" s="54"/>
      <c r="J304" s="54"/>
      <c r="K304" s="166"/>
      <c r="L304" s="279"/>
      <c r="M304" s="54"/>
      <c r="N304" s="338"/>
    </row>
    <row r="305" spans="1:14" s="258" customFormat="1" ht="16.5">
      <c r="A305" s="4"/>
      <c r="B305" s="4" t="s">
        <v>153</v>
      </c>
      <c r="C305" s="26" t="s">
        <v>72</v>
      </c>
      <c r="D305" s="6" t="s">
        <v>31</v>
      </c>
      <c r="E305" s="29">
        <f>(1.85 + 0.21*2)*6/1000</f>
        <v>1.362E-2</v>
      </c>
      <c r="F305" s="6">
        <f>E305*F304</f>
        <v>2.2609199999999999E-2</v>
      </c>
      <c r="G305" s="6"/>
      <c r="H305" s="6"/>
      <c r="I305" s="6"/>
      <c r="J305" s="6"/>
      <c r="K305" s="13"/>
      <c r="L305" s="13"/>
      <c r="M305" s="6"/>
      <c r="N305" s="338"/>
    </row>
    <row r="306" spans="1:14" s="258" customFormat="1" ht="16.5">
      <c r="A306" s="4"/>
      <c r="B306" s="4" t="s">
        <v>145</v>
      </c>
      <c r="C306" s="26" t="s">
        <v>69</v>
      </c>
      <c r="D306" s="6" t="s">
        <v>31</v>
      </c>
      <c r="E306" s="29">
        <f>(10.5+1.02*2)/1000</f>
        <v>1.2539999999999999E-2</v>
      </c>
      <c r="F306" s="6">
        <f>E306*F304</f>
        <v>2.0816399999999999E-2</v>
      </c>
      <c r="G306" s="6"/>
      <c r="H306" s="6"/>
      <c r="I306" s="6"/>
      <c r="J306" s="6"/>
      <c r="K306" s="13"/>
      <c r="L306" s="13"/>
      <c r="M306" s="6"/>
      <c r="N306" s="338"/>
    </row>
    <row r="307" spans="1:14" s="258" customFormat="1" ht="16.5">
      <c r="A307" s="146"/>
      <c r="B307" s="163" t="s">
        <v>154</v>
      </c>
      <c r="C307" s="196" t="s">
        <v>73</v>
      </c>
      <c r="D307" s="8" t="s">
        <v>31</v>
      </c>
      <c r="E307" s="256">
        <f>(1.85+0.21*2)*6/1000</f>
        <v>1.362E-2</v>
      </c>
      <c r="F307" s="8">
        <f>E307*F304</f>
        <v>2.2609199999999999E-2</v>
      </c>
      <c r="G307" s="8"/>
      <c r="H307" s="8"/>
      <c r="I307" s="8"/>
      <c r="J307" s="8"/>
      <c r="K307" s="37"/>
      <c r="L307" s="37"/>
      <c r="M307" s="8"/>
      <c r="N307" s="338"/>
    </row>
    <row r="308" spans="1:14" s="257" customFormat="1" ht="33">
      <c r="A308" s="165">
        <v>53</v>
      </c>
      <c r="B308" s="171" t="s">
        <v>277</v>
      </c>
      <c r="C308" s="290" t="s">
        <v>310</v>
      </c>
      <c r="D308" s="143" t="s">
        <v>97</v>
      </c>
      <c r="E308" s="190"/>
      <c r="F308" s="291">
        <v>5.5</v>
      </c>
      <c r="G308" s="11"/>
      <c r="H308" s="221"/>
      <c r="I308" s="12"/>
      <c r="J308" s="11"/>
      <c r="K308" s="7"/>
      <c r="L308" s="13"/>
      <c r="M308" s="6"/>
      <c r="N308" s="338"/>
    </row>
    <row r="309" spans="1:14" s="257" customFormat="1" ht="16.5">
      <c r="A309" s="5"/>
      <c r="B309" s="14"/>
      <c r="C309" s="20" t="s">
        <v>29</v>
      </c>
      <c r="D309" s="6" t="s">
        <v>30</v>
      </c>
      <c r="E309" s="285">
        <v>5.99</v>
      </c>
      <c r="F309" s="16">
        <f>E309*F308</f>
        <v>32.945</v>
      </c>
      <c r="G309" s="7"/>
      <c r="H309" s="2"/>
      <c r="I309" s="2"/>
      <c r="J309" s="2"/>
      <c r="K309" s="2"/>
      <c r="L309" s="2"/>
      <c r="M309" s="2"/>
      <c r="N309" s="338"/>
    </row>
    <row r="310" spans="1:14" s="257" customFormat="1" ht="16.5">
      <c r="A310" s="5"/>
      <c r="B310" s="14"/>
      <c r="C310" s="41" t="s">
        <v>70</v>
      </c>
      <c r="D310" s="5" t="s">
        <v>33</v>
      </c>
      <c r="E310" s="273">
        <v>1.0900000000000001</v>
      </c>
      <c r="F310" s="6">
        <f>E310*F308</f>
        <v>5.9950000000000001</v>
      </c>
      <c r="G310" s="7"/>
      <c r="H310" s="7"/>
      <c r="I310" s="7"/>
      <c r="J310" s="7"/>
      <c r="K310" s="7"/>
      <c r="L310" s="7"/>
      <c r="M310" s="7"/>
      <c r="N310" s="338"/>
    </row>
    <row r="311" spans="1:14" s="257" customFormat="1" ht="33">
      <c r="A311" s="5"/>
      <c r="B311" s="161" t="s">
        <v>221</v>
      </c>
      <c r="C311" s="5" t="s">
        <v>297</v>
      </c>
      <c r="D311" s="24" t="s">
        <v>98</v>
      </c>
      <c r="E311" s="273">
        <v>1.0149999999999999</v>
      </c>
      <c r="F311" s="6">
        <f>E311*F308</f>
        <v>5.5824999999999996</v>
      </c>
      <c r="G311" s="7"/>
      <c r="H311" s="7"/>
      <c r="I311" s="16"/>
      <c r="J311" s="6"/>
      <c r="K311" s="6"/>
      <c r="L311" s="6"/>
      <c r="M311" s="6"/>
      <c r="N311" s="338"/>
    </row>
    <row r="312" spans="1:14" s="257" customFormat="1" ht="16.5">
      <c r="A312" s="5"/>
      <c r="B312" s="4" t="s">
        <v>232</v>
      </c>
      <c r="C312" s="41" t="s">
        <v>330</v>
      </c>
      <c r="D312" s="24" t="s">
        <v>34</v>
      </c>
      <c r="E312" s="273" t="s">
        <v>127</v>
      </c>
      <c r="F312" s="6">
        <f>21/100</f>
        <v>0.21</v>
      </c>
      <c r="G312" s="7"/>
      <c r="H312" s="7"/>
      <c r="I312" s="2"/>
      <c r="J312" s="7"/>
      <c r="K312" s="6"/>
      <c r="L312" s="6"/>
      <c r="M312" s="6"/>
      <c r="N312" s="338"/>
    </row>
    <row r="313" spans="1:14" s="257" customFormat="1" ht="16.5">
      <c r="A313" s="5"/>
      <c r="B313" s="4" t="s">
        <v>232</v>
      </c>
      <c r="C313" s="41" t="s">
        <v>331</v>
      </c>
      <c r="D313" s="24" t="s">
        <v>34</v>
      </c>
      <c r="E313" s="273" t="s">
        <v>127</v>
      </c>
      <c r="F313" s="6">
        <v>0.25950000000000001</v>
      </c>
      <c r="G313" s="7"/>
      <c r="H313" s="7"/>
      <c r="I313" s="2"/>
      <c r="J313" s="7"/>
      <c r="K313" s="6"/>
      <c r="L313" s="6"/>
      <c r="M313" s="6"/>
      <c r="N313" s="338"/>
    </row>
    <row r="314" spans="1:14" s="257" customFormat="1" ht="16.5">
      <c r="A314" s="5"/>
      <c r="B314" s="4"/>
      <c r="C314" s="41" t="s">
        <v>332</v>
      </c>
      <c r="D314" s="24" t="s">
        <v>89</v>
      </c>
      <c r="E314" s="273" t="s">
        <v>127</v>
      </c>
      <c r="F314" s="6">
        <v>4.5</v>
      </c>
      <c r="G314" s="7"/>
      <c r="H314" s="7"/>
      <c r="I314" s="2"/>
      <c r="J314" s="7"/>
      <c r="K314" s="6"/>
      <c r="L314" s="6"/>
      <c r="M314" s="6"/>
      <c r="N314" s="338"/>
    </row>
    <row r="315" spans="1:14" s="257" customFormat="1" ht="20.25">
      <c r="A315" s="5"/>
      <c r="B315" s="25" t="s">
        <v>228</v>
      </c>
      <c r="C315" s="172" t="s">
        <v>195</v>
      </c>
      <c r="D315" s="24" t="s">
        <v>171</v>
      </c>
      <c r="E315" s="273">
        <v>1.18</v>
      </c>
      <c r="F315" s="6">
        <f>E315*F308</f>
        <v>6.4899999999999993</v>
      </c>
      <c r="G315" s="7"/>
      <c r="H315" s="7"/>
      <c r="I315" s="16"/>
      <c r="J315" s="7"/>
      <c r="K315" s="6"/>
      <c r="L315" s="6"/>
      <c r="M315" s="6"/>
      <c r="N315" s="338"/>
    </row>
    <row r="316" spans="1:14" s="257" customFormat="1" ht="20.25">
      <c r="A316" s="5"/>
      <c r="B316" s="25" t="s">
        <v>149</v>
      </c>
      <c r="C316" s="259" t="s">
        <v>90</v>
      </c>
      <c r="D316" s="24" t="s">
        <v>98</v>
      </c>
      <c r="E316" s="273">
        <f>0.21/100</f>
        <v>2.0999999999999999E-3</v>
      </c>
      <c r="F316" s="6">
        <f>E316*F308</f>
        <v>1.155E-2</v>
      </c>
      <c r="G316" s="7"/>
      <c r="H316" s="7"/>
      <c r="I316" s="16"/>
      <c r="J316" s="7"/>
      <c r="K316" s="6"/>
      <c r="L316" s="6"/>
      <c r="M316" s="6"/>
      <c r="N316" s="338"/>
    </row>
    <row r="317" spans="1:14" s="257" customFormat="1" ht="20.25">
      <c r="A317" s="5"/>
      <c r="B317" s="25" t="s">
        <v>150</v>
      </c>
      <c r="C317" s="172" t="s">
        <v>278</v>
      </c>
      <c r="D317" s="24" t="s">
        <v>98</v>
      </c>
      <c r="E317" s="145">
        <f>2.78/100</f>
        <v>2.7799999999999998E-2</v>
      </c>
      <c r="F317" s="6">
        <f>E317*F308</f>
        <v>0.15289999999999998</v>
      </c>
      <c r="G317" s="7"/>
      <c r="H317" s="7"/>
      <c r="I317" s="16"/>
      <c r="J317" s="6"/>
      <c r="K317" s="6"/>
      <c r="L317" s="6"/>
      <c r="M317" s="6"/>
      <c r="N317" s="338"/>
    </row>
    <row r="318" spans="1:14" s="257" customFormat="1" ht="16.5">
      <c r="A318" s="5"/>
      <c r="B318" s="161"/>
      <c r="C318" s="259" t="s">
        <v>91</v>
      </c>
      <c r="D318" s="24" t="s">
        <v>34</v>
      </c>
      <c r="E318" s="273">
        <f>0.14/100</f>
        <v>1.4000000000000002E-3</v>
      </c>
      <c r="F318" s="6">
        <f>E318*F308</f>
        <v>7.7000000000000011E-3</v>
      </c>
      <c r="G318" s="7"/>
      <c r="H318" s="7"/>
      <c r="I318" s="16"/>
      <c r="J318" s="7"/>
      <c r="K318" s="6"/>
      <c r="L318" s="6"/>
      <c r="M318" s="6"/>
      <c r="N318" s="338"/>
    </row>
    <row r="319" spans="1:14" s="257" customFormat="1" ht="16.5">
      <c r="A319" s="5"/>
      <c r="B319" s="161"/>
      <c r="C319" s="259" t="s">
        <v>92</v>
      </c>
      <c r="D319" s="24" t="s">
        <v>34</v>
      </c>
      <c r="E319" s="273">
        <f>0.11/100</f>
        <v>1.1000000000000001E-3</v>
      </c>
      <c r="F319" s="6">
        <f>E319*F308</f>
        <v>6.0500000000000007E-3</v>
      </c>
      <c r="G319" s="7"/>
      <c r="H319" s="7"/>
      <c r="I319" s="7"/>
      <c r="J319" s="7"/>
      <c r="K319" s="6"/>
      <c r="L319" s="6"/>
      <c r="M319" s="6"/>
      <c r="N319" s="338"/>
    </row>
    <row r="320" spans="1:14" s="257" customFormat="1" ht="16.5">
      <c r="A320" s="167"/>
      <c r="B320" s="147"/>
      <c r="C320" s="199" t="s">
        <v>37</v>
      </c>
      <c r="D320" s="28" t="s">
        <v>33</v>
      </c>
      <c r="E320" s="292">
        <v>0.32</v>
      </c>
      <c r="F320" s="8">
        <f>E320*F308</f>
        <v>1.76</v>
      </c>
      <c r="G320" s="9"/>
      <c r="H320" s="9"/>
      <c r="I320" s="9"/>
      <c r="J320" s="9"/>
      <c r="K320" s="9"/>
      <c r="L320" s="9"/>
      <c r="M320" s="9"/>
      <c r="N320" s="338"/>
    </row>
    <row r="321" spans="1:14" s="3" customFormat="1" ht="16.5">
      <c r="A321" s="96"/>
      <c r="B321" s="254" t="s">
        <v>152</v>
      </c>
      <c r="C321" s="164" t="s">
        <v>119</v>
      </c>
      <c r="D321" s="137" t="s">
        <v>34</v>
      </c>
      <c r="E321" s="18">
        <v>2.4</v>
      </c>
      <c r="F321" s="50">
        <f>E321*F311</f>
        <v>13.397999999999998</v>
      </c>
      <c r="G321" s="138"/>
      <c r="H321" s="137"/>
      <c r="I321" s="18"/>
      <c r="J321" s="138"/>
      <c r="K321" s="18"/>
      <c r="L321" s="137"/>
      <c r="M321" s="18"/>
      <c r="N321" s="327"/>
    </row>
    <row r="322" spans="1:14" s="3" customFormat="1" ht="16.5">
      <c r="A322" s="27"/>
      <c r="B322" s="254" t="s">
        <v>152</v>
      </c>
      <c r="C322" s="162" t="s">
        <v>178</v>
      </c>
      <c r="D322" s="15" t="s">
        <v>34</v>
      </c>
      <c r="E322" s="16"/>
      <c r="F322" s="183">
        <f>F313</f>
        <v>0.25950000000000001</v>
      </c>
      <c r="G322" s="17"/>
      <c r="H322" s="15"/>
      <c r="I322" s="16"/>
      <c r="J322" s="17"/>
      <c r="K322" s="16"/>
      <c r="L322" s="15"/>
      <c r="M322" s="16"/>
      <c r="N322" s="327"/>
    </row>
    <row r="323" spans="1:14" s="98" customFormat="1" ht="33">
      <c r="A323" s="298">
        <v>54</v>
      </c>
      <c r="B323" s="40" t="s">
        <v>313</v>
      </c>
      <c r="C323" s="40" t="s">
        <v>314</v>
      </c>
      <c r="D323" s="40" t="s">
        <v>315</v>
      </c>
      <c r="E323" s="40"/>
      <c r="F323" s="136">
        <v>15.3</v>
      </c>
      <c r="G323" s="220"/>
      <c r="H323" s="220"/>
      <c r="I323" s="220"/>
      <c r="J323" s="220"/>
      <c r="K323" s="220"/>
      <c r="L323" s="220"/>
      <c r="M323" s="220"/>
      <c r="N323" s="327"/>
    </row>
    <row r="324" spans="1:14" s="98" customFormat="1" ht="16.5">
      <c r="A324" s="5"/>
      <c r="B324" s="20"/>
      <c r="C324" s="20" t="s">
        <v>316</v>
      </c>
      <c r="D324" s="20" t="s">
        <v>317</v>
      </c>
      <c r="E324" s="26">
        <v>2.4900000000000002</v>
      </c>
      <c r="F324" s="145">
        <f>E324*F323</f>
        <v>38.097000000000008</v>
      </c>
      <c r="G324" s="26"/>
      <c r="H324" s="26"/>
      <c r="I324" s="26"/>
      <c r="J324" s="26"/>
      <c r="K324" s="26"/>
      <c r="L324" s="26"/>
      <c r="M324" s="26"/>
      <c r="N324" s="327"/>
    </row>
    <row r="325" spans="1:14" s="98" customFormat="1" ht="16.5">
      <c r="A325" s="5"/>
      <c r="B325" s="20"/>
      <c r="C325" s="20" t="s">
        <v>70</v>
      </c>
      <c r="D325" s="20" t="s">
        <v>318</v>
      </c>
      <c r="E325" s="26">
        <f>18.1/100</f>
        <v>0.18100000000000002</v>
      </c>
      <c r="F325" s="145">
        <f>E325*F323</f>
        <v>2.7693000000000003</v>
      </c>
      <c r="G325" s="26"/>
      <c r="H325" s="26"/>
      <c r="I325" s="26"/>
      <c r="J325" s="26"/>
      <c r="K325" s="26"/>
      <c r="L325" s="26"/>
      <c r="M325" s="26"/>
      <c r="N325" s="327"/>
    </row>
    <row r="326" spans="1:14" s="98" customFormat="1" ht="16.5">
      <c r="A326" s="5"/>
      <c r="B326" s="20"/>
      <c r="C326" s="20" t="s">
        <v>333</v>
      </c>
      <c r="D326" s="20" t="s">
        <v>89</v>
      </c>
      <c r="E326" s="26" t="s">
        <v>336</v>
      </c>
      <c r="F326" s="26">
        <v>57.8</v>
      </c>
      <c r="G326" s="26"/>
      <c r="H326" s="26"/>
      <c r="I326" s="26"/>
      <c r="J326" s="26"/>
      <c r="K326" s="26"/>
      <c r="L326" s="26"/>
      <c r="M326" s="26"/>
      <c r="N326" s="327"/>
    </row>
    <row r="327" spans="1:14" s="98" customFormat="1" ht="16.5">
      <c r="A327" s="5"/>
      <c r="B327" s="20"/>
      <c r="C327" s="20" t="s">
        <v>334</v>
      </c>
      <c r="D327" s="20" t="s">
        <v>89</v>
      </c>
      <c r="E327" s="26" t="s">
        <v>336</v>
      </c>
      <c r="F327" s="26">
        <v>76.3</v>
      </c>
      <c r="G327" s="26"/>
      <c r="H327" s="26"/>
      <c r="I327" s="26"/>
      <c r="J327" s="26"/>
      <c r="K327" s="26"/>
      <c r="L327" s="26"/>
      <c r="M327" s="26"/>
      <c r="N327" s="327"/>
    </row>
    <row r="328" spans="1:14" s="98" customFormat="1" ht="16.5">
      <c r="A328" s="5"/>
      <c r="B328" s="20"/>
      <c r="C328" s="20" t="s">
        <v>335</v>
      </c>
      <c r="D328" s="20" t="s">
        <v>89</v>
      </c>
      <c r="E328" s="26" t="s">
        <v>336</v>
      </c>
      <c r="F328" s="26">
        <v>97.2</v>
      </c>
      <c r="G328" s="26"/>
      <c r="H328" s="26"/>
      <c r="I328" s="26"/>
      <c r="J328" s="26"/>
      <c r="K328" s="26"/>
      <c r="L328" s="26"/>
      <c r="M328" s="26"/>
      <c r="N328" s="327"/>
    </row>
    <row r="329" spans="1:14" s="130" customFormat="1" ht="27" customHeight="1">
      <c r="A329" s="184">
        <v>55</v>
      </c>
      <c r="B329" s="208" t="s">
        <v>320</v>
      </c>
      <c r="C329" s="208" t="s">
        <v>337</v>
      </c>
      <c r="D329" s="208" t="s">
        <v>104</v>
      </c>
      <c r="E329" s="155"/>
      <c r="F329" s="155">
        <v>26.18</v>
      </c>
      <c r="G329" s="155"/>
      <c r="H329" s="155"/>
      <c r="I329" s="155"/>
      <c r="J329" s="155"/>
      <c r="K329" s="155"/>
      <c r="L329" s="155"/>
      <c r="M329" s="155"/>
      <c r="N329" s="336"/>
    </row>
    <row r="330" spans="1:14" s="130" customFormat="1" ht="16.5">
      <c r="A330" s="24"/>
      <c r="B330" s="161"/>
      <c r="C330" s="161" t="s">
        <v>29</v>
      </c>
      <c r="D330" s="161" t="s">
        <v>30</v>
      </c>
      <c r="E330" s="16">
        <f>68/100</f>
        <v>0.68</v>
      </c>
      <c r="F330" s="16">
        <f>E330*F329</f>
        <v>17.802400000000002</v>
      </c>
      <c r="G330" s="16"/>
      <c r="H330" s="16"/>
      <c r="I330" s="16"/>
      <c r="J330" s="16"/>
      <c r="K330" s="16"/>
      <c r="L330" s="16"/>
      <c r="M330" s="16"/>
      <c r="N330" s="336"/>
    </row>
    <row r="331" spans="1:14" s="130" customFormat="1" ht="16.5">
      <c r="A331" s="24"/>
      <c r="B331" s="161"/>
      <c r="C331" s="161" t="s">
        <v>36</v>
      </c>
      <c r="D331" s="161" t="s">
        <v>33</v>
      </c>
      <c r="E331" s="175">
        <f>0.03/100</f>
        <v>2.9999999999999997E-4</v>
      </c>
      <c r="F331" s="176">
        <f>E331*F329</f>
        <v>7.8539999999999999E-3</v>
      </c>
      <c r="G331" s="16"/>
      <c r="H331" s="16"/>
      <c r="I331" s="16"/>
      <c r="J331" s="16"/>
      <c r="K331" s="16"/>
      <c r="L331" s="16"/>
      <c r="M331" s="16"/>
      <c r="N331" s="336"/>
    </row>
    <row r="332" spans="1:14" s="130" customFormat="1" ht="16.5">
      <c r="A332" s="24"/>
      <c r="B332" s="161"/>
      <c r="C332" s="161" t="s">
        <v>321</v>
      </c>
      <c r="D332" s="161" t="s">
        <v>89</v>
      </c>
      <c r="E332" s="176">
        <v>0.28000000000000003</v>
      </c>
      <c r="F332" s="16">
        <f>E332*F329</f>
        <v>7.3304000000000009</v>
      </c>
      <c r="G332" s="16"/>
      <c r="H332" s="16"/>
      <c r="I332" s="16"/>
      <c r="J332" s="16"/>
      <c r="K332" s="16"/>
      <c r="L332" s="16"/>
      <c r="M332" s="16"/>
      <c r="N332" s="336"/>
    </row>
    <row r="333" spans="1:14" s="130" customFormat="1" ht="16.5">
      <c r="A333" s="28"/>
      <c r="B333" s="163"/>
      <c r="C333" s="163" t="s">
        <v>37</v>
      </c>
      <c r="D333" s="163" t="s">
        <v>33</v>
      </c>
      <c r="E333" s="299">
        <v>1.9E-3</v>
      </c>
      <c r="F333" s="18">
        <f>E333*F329</f>
        <v>4.9742000000000001E-2</v>
      </c>
      <c r="G333" s="18"/>
      <c r="H333" s="18"/>
      <c r="I333" s="18"/>
      <c r="J333" s="18"/>
      <c r="K333" s="18"/>
      <c r="L333" s="18"/>
      <c r="M333" s="18"/>
      <c r="N333" s="336"/>
    </row>
    <row r="334" spans="1:14" s="3" customFormat="1" ht="48" customHeight="1">
      <c r="A334" s="426" t="s">
        <v>338</v>
      </c>
      <c r="B334" s="427"/>
      <c r="C334" s="427"/>
      <c r="D334" s="427"/>
      <c r="E334" s="427"/>
      <c r="F334" s="428"/>
      <c r="G334" s="207"/>
      <c r="H334" s="207"/>
      <c r="I334" s="207"/>
      <c r="J334" s="207"/>
      <c r="K334" s="207"/>
      <c r="L334" s="207"/>
      <c r="M334" s="207"/>
      <c r="N334" s="327"/>
    </row>
    <row r="335" spans="1:14" s="257" customFormat="1" ht="66">
      <c r="A335" s="165">
        <v>56</v>
      </c>
      <c r="B335" s="171" t="s">
        <v>277</v>
      </c>
      <c r="C335" s="290" t="s">
        <v>348</v>
      </c>
      <c r="D335" s="143" t="s">
        <v>97</v>
      </c>
      <c r="E335" s="190"/>
      <c r="F335" s="291">
        <v>4.3500000000000005</v>
      </c>
      <c r="G335" s="11"/>
      <c r="H335" s="221"/>
      <c r="I335" s="12"/>
      <c r="J335" s="11"/>
      <c r="K335" s="7"/>
      <c r="L335" s="13"/>
      <c r="M335" s="6"/>
      <c r="N335" s="338"/>
    </row>
    <row r="336" spans="1:14" s="257" customFormat="1" ht="16.5">
      <c r="A336" s="5"/>
      <c r="B336" s="14"/>
      <c r="C336" s="20" t="s">
        <v>29</v>
      </c>
      <c r="D336" s="6" t="s">
        <v>30</v>
      </c>
      <c r="E336" s="285">
        <v>5.99</v>
      </c>
      <c r="F336" s="16">
        <f>E336*F335</f>
        <v>26.056500000000003</v>
      </c>
      <c r="G336" s="7"/>
      <c r="H336" s="2"/>
      <c r="I336" s="2"/>
      <c r="J336" s="2"/>
      <c r="K336" s="2"/>
      <c r="L336" s="2"/>
      <c r="M336" s="2"/>
      <c r="N336" s="338"/>
    </row>
    <row r="337" spans="1:14" s="257" customFormat="1" ht="16.5">
      <c r="A337" s="5"/>
      <c r="B337" s="14"/>
      <c r="C337" s="41" t="s">
        <v>70</v>
      </c>
      <c r="D337" s="5" t="s">
        <v>33</v>
      </c>
      <c r="E337" s="273">
        <v>1.0900000000000001</v>
      </c>
      <c r="F337" s="6">
        <f>E337*F335</f>
        <v>4.7415000000000012</v>
      </c>
      <c r="G337" s="7"/>
      <c r="H337" s="7"/>
      <c r="I337" s="7"/>
      <c r="J337" s="7"/>
      <c r="K337" s="7"/>
      <c r="L337" s="7"/>
      <c r="M337" s="7"/>
      <c r="N337" s="338"/>
    </row>
    <row r="338" spans="1:14" s="257" customFormat="1" ht="33">
      <c r="A338" s="5"/>
      <c r="B338" s="161" t="s">
        <v>221</v>
      </c>
      <c r="C338" s="5" t="s">
        <v>297</v>
      </c>
      <c r="D338" s="24" t="s">
        <v>98</v>
      </c>
      <c r="E338" s="273">
        <v>1.0149999999999999</v>
      </c>
      <c r="F338" s="6">
        <f>E338*F335</f>
        <v>4.4152500000000003</v>
      </c>
      <c r="G338" s="7"/>
      <c r="H338" s="7"/>
      <c r="I338" s="16"/>
      <c r="J338" s="6"/>
      <c r="K338" s="6"/>
      <c r="L338" s="6"/>
      <c r="M338" s="6"/>
      <c r="N338" s="338"/>
    </row>
    <row r="339" spans="1:14" s="257" customFormat="1" ht="20.25">
      <c r="A339" s="5"/>
      <c r="B339" s="4" t="s">
        <v>350</v>
      </c>
      <c r="C339" s="41" t="s">
        <v>349</v>
      </c>
      <c r="D339" s="24" t="s">
        <v>171</v>
      </c>
      <c r="E339" s="273" t="s">
        <v>127</v>
      </c>
      <c r="F339" s="6">
        <v>87</v>
      </c>
      <c r="G339" s="7"/>
      <c r="H339" s="7"/>
      <c r="I339" s="2"/>
      <c r="J339" s="7"/>
      <c r="K339" s="6"/>
      <c r="L339" s="6"/>
      <c r="M339" s="6"/>
      <c r="N339" s="338"/>
    </row>
    <row r="340" spans="1:14" s="257" customFormat="1" ht="20.25">
      <c r="A340" s="5"/>
      <c r="B340" s="25" t="s">
        <v>228</v>
      </c>
      <c r="C340" s="172" t="s">
        <v>195</v>
      </c>
      <c r="D340" s="24" t="s">
        <v>171</v>
      </c>
      <c r="E340" s="273">
        <v>1.18</v>
      </c>
      <c r="F340" s="6">
        <f>E340*F335</f>
        <v>5.133</v>
      </c>
      <c r="G340" s="7"/>
      <c r="H340" s="7"/>
      <c r="I340" s="16"/>
      <c r="J340" s="7"/>
      <c r="K340" s="6"/>
      <c r="L340" s="6"/>
      <c r="M340" s="6"/>
      <c r="N340" s="338"/>
    </row>
    <row r="341" spans="1:14" s="257" customFormat="1" ht="20.25">
      <c r="A341" s="5"/>
      <c r="B341" s="25" t="s">
        <v>149</v>
      </c>
      <c r="C341" s="259" t="s">
        <v>90</v>
      </c>
      <c r="D341" s="24" t="s">
        <v>98</v>
      </c>
      <c r="E341" s="273">
        <f>0.21/100</f>
        <v>2.0999999999999999E-3</v>
      </c>
      <c r="F341" s="6">
        <f>E341*F335</f>
        <v>9.1350000000000008E-3</v>
      </c>
      <c r="G341" s="7"/>
      <c r="H341" s="7"/>
      <c r="I341" s="16"/>
      <c r="J341" s="7"/>
      <c r="K341" s="6"/>
      <c r="L341" s="6"/>
      <c r="M341" s="6"/>
      <c r="N341" s="338"/>
    </row>
    <row r="342" spans="1:14" s="257" customFormat="1" ht="20.25">
      <c r="A342" s="5"/>
      <c r="B342" s="25" t="s">
        <v>150</v>
      </c>
      <c r="C342" s="172" t="s">
        <v>278</v>
      </c>
      <c r="D342" s="24" t="s">
        <v>98</v>
      </c>
      <c r="E342" s="145">
        <f>2.78/100</f>
        <v>2.7799999999999998E-2</v>
      </c>
      <c r="F342" s="6">
        <f>E342*F335</f>
        <v>0.12093000000000001</v>
      </c>
      <c r="G342" s="7"/>
      <c r="H342" s="7"/>
      <c r="I342" s="16"/>
      <c r="J342" s="6"/>
      <c r="K342" s="6"/>
      <c r="L342" s="6"/>
      <c r="M342" s="6"/>
      <c r="N342" s="338"/>
    </row>
    <row r="343" spans="1:14" s="257" customFormat="1" ht="16.5">
      <c r="A343" s="5"/>
      <c r="B343" s="161"/>
      <c r="C343" s="259" t="s">
        <v>91</v>
      </c>
      <c r="D343" s="24" t="s">
        <v>34</v>
      </c>
      <c r="E343" s="273">
        <f>0.14/100</f>
        <v>1.4000000000000002E-3</v>
      </c>
      <c r="F343" s="6">
        <f>E343*F335</f>
        <v>6.0900000000000017E-3</v>
      </c>
      <c r="G343" s="7"/>
      <c r="H343" s="7"/>
      <c r="I343" s="16"/>
      <c r="J343" s="7"/>
      <c r="K343" s="6"/>
      <c r="L343" s="6"/>
      <c r="M343" s="6"/>
      <c r="N343" s="338"/>
    </row>
    <row r="344" spans="1:14" s="257" customFormat="1" ht="16.5">
      <c r="A344" s="5"/>
      <c r="B344" s="161"/>
      <c r="C344" s="259" t="s">
        <v>92</v>
      </c>
      <c r="D344" s="24" t="s">
        <v>34</v>
      </c>
      <c r="E344" s="273">
        <f>0.11/100</f>
        <v>1.1000000000000001E-3</v>
      </c>
      <c r="F344" s="6">
        <f>E344*F335</f>
        <v>4.7850000000000011E-3</v>
      </c>
      <c r="G344" s="7"/>
      <c r="H344" s="7"/>
      <c r="I344" s="7"/>
      <c r="J344" s="7"/>
      <c r="K344" s="6"/>
      <c r="L344" s="6"/>
      <c r="M344" s="6"/>
      <c r="N344" s="338"/>
    </row>
    <row r="345" spans="1:14" s="257" customFormat="1" ht="16.5">
      <c r="A345" s="167"/>
      <c r="B345" s="147"/>
      <c r="C345" s="199" t="s">
        <v>37</v>
      </c>
      <c r="D345" s="28" t="s">
        <v>33</v>
      </c>
      <c r="E345" s="292">
        <v>0.32</v>
      </c>
      <c r="F345" s="8">
        <f>E345*F335</f>
        <v>1.3920000000000001</v>
      </c>
      <c r="G345" s="9"/>
      <c r="H345" s="9"/>
      <c r="I345" s="9"/>
      <c r="J345" s="9"/>
      <c r="K345" s="9"/>
      <c r="L345" s="9"/>
      <c r="M345" s="9"/>
      <c r="N345" s="338"/>
    </row>
    <row r="346" spans="1:14" s="3" customFormat="1" ht="16.5">
      <c r="A346" s="96"/>
      <c r="B346" s="254" t="s">
        <v>152</v>
      </c>
      <c r="C346" s="164" t="s">
        <v>119</v>
      </c>
      <c r="D346" s="137" t="s">
        <v>34</v>
      </c>
      <c r="E346" s="18">
        <v>2.4</v>
      </c>
      <c r="F346" s="50">
        <f>E346*F338</f>
        <v>10.5966</v>
      </c>
      <c r="G346" s="138"/>
      <c r="H346" s="137"/>
      <c r="I346" s="18"/>
      <c r="J346" s="138"/>
      <c r="K346" s="18"/>
      <c r="L346" s="137"/>
      <c r="M346" s="18"/>
      <c r="N346" s="327"/>
    </row>
    <row r="347" spans="1:14" s="98" customFormat="1" ht="42" customHeight="1">
      <c r="A347" s="142" t="s">
        <v>390</v>
      </c>
      <c r="B347" s="40" t="s">
        <v>351</v>
      </c>
      <c r="C347" s="40" t="s">
        <v>352</v>
      </c>
      <c r="D347" s="10" t="s">
        <v>104</v>
      </c>
      <c r="E347" s="305"/>
      <c r="F347" s="306">
        <v>87</v>
      </c>
      <c r="G347" s="191"/>
      <c r="H347" s="191"/>
      <c r="I347" s="191"/>
      <c r="J347" s="191"/>
      <c r="K347" s="191"/>
      <c r="L347" s="191"/>
      <c r="M347" s="191"/>
      <c r="N347" s="327"/>
    </row>
    <row r="348" spans="1:14" s="98" customFormat="1" ht="20.25" customHeight="1">
      <c r="A348" s="5"/>
      <c r="B348" s="5"/>
      <c r="C348" s="5" t="s">
        <v>202</v>
      </c>
      <c r="D348" s="6" t="s">
        <v>30</v>
      </c>
      <c r="E348" s="307">
        <v>0.19700000000000001</v>
      </c>
      <c r="F348" s="67">
        <f>F347*E348</f>
        <v>17.138999999999999</v>
      </c>
      <c r="G348" s="67"/>
      <c r="H348" s="67"/>
      <c r="I348" s="67"/>
      <c r="J348" s="67"/>
      <c r="K348" s="67"/>
      <c r="L348" s="67"/>
      <c r="M348" s="67"/>
      <c r="N348" s="327"/>
    </row>
    <row r="349" spans="1:14" s="98" customFormat="1" ht="20.25" customHeight="1">
      <c r="A349" s="5"/>
      <c r="B349" s="5"/>
      <c r="C349" s="5" t="s">
        <v>36</v>
      </c>
      <c r="D349" s="5" t="s">
        <v>33</v>
      </c>
      <c r="E349" s="307">
        <v>4.3700000000000003E-2</v>
      </c>
      <c r="F349" s="67">
        <f>F347*E349</f>
        <v>3.8019000000000003</v>
      </c>
      <c r="G349" s="67"/>
      <c r="H349" s="67"/>
      <c r="I349" s="67"/>
      <c r="J349" s="67"/>
      <c r="K349" s="67"/>
      <c r="L349" s="67"/>
      <c r="M349" s="67"/>
      <c r="N349" s="327"/>
    </row>
    <row r="350" spans="1:14" s="98" customFormat="1" ht="20.25" customHeight="1">
      <c r="A350" s="5"/>
      <c r="B350" s="5"/>
      <c r="C350" s="5" t="s">
        <v>353</v>
      </c>
      <c r="D350" s="5" t="s">
        <v>89</v>
      </c>
      <c r="E350" s="307">
        <v>0.4</v>
      </c>
      <c r="F350" s="67">
        <f>F347*E350</f>
        <v>34.800000000000004</v>
      </c>
      <c r="G350" s="67"/>
      <c r="H350" s="67"/>
      <c r="I350" s="67"/>
      <c r="J350" s="67"/>
      <c r="K350" s="67"/>
      <c r="L350" s="67"/>
      <c r="M350" s="67"/>
      <c r="N350" s="327"/>
    </row>
    <row r="351" spans="1:14" s="98" customFormat="1" ht="20.25" customHeight="1">
      <c r="A351" s="167"/>
      <c r="B351" s="167"/>
      <c r="C351" s="167" t="s">
        <v>37</v>
      </c>
      <c r="D351" s="167" t="s">
        <v>33</v>
      </c>
      <c r="E351" s="308">
        <v>7.1999999999999995E-2</v>
      </c>
      <c r="F351" s="92">
        <f>F347*E351</f>
        <v>6.2639999999999993</v>
      </c>
      <c r="G351" s="92"/>
      <c r="H351" s="92"/>
      <c r="I351" s="92"/>
      <c r="J351" s="92"/>
      <c r="K351" s="92"/>
      <c r="L351" s="92"/>
      <c r="M351" s="92"/>
      <c r="N351" s="327"/>
    </row>
    <row r="352" spans="1:14" s="130" customFormat="1" ht="42" customHeight="1">
      <c r="A352" s="184">
        <v>58</v>
      </c>
      <c r="B352" s="208" t="s">
        <v>320</v>
      </c>
      <c r="C352" s="208" t="s">
        <v>354</v>
      </c>
      <c r="D352" s="208" t="s">
        <v>104</v>
      </c>
      <c r="E352" s="155"/>
      <c r="F352" s="155">
        <v>4</v>
      </c>
      <c r="G352" s="155"/>
      <c r="H352" s="155"/>
      <c r="I352" s="155"/>
      <c r="J352" s="155"/>
      <c r="K352" s="155"/>
      <c r="L352" s="155"/>
      <c r="M352" s="155"/>
      <c r="N352" s="336"/>
    </row>
    <row r="353" spans="1:14" s="130" customFormat="1" ht="16.5">
      <c r="A353" s="24"/>
      <c r="B353" s="161"/>
      <c r="C353" s="161" t="s">
        <v>29</v>
      </c>
      <c r="D353" s="161" t="s">
        <v>30</v>
      </c>
      <c r="E353" s="16">
        <f>68/100</f>
        <v>0.68</v>
      </c>
      <c r="F353" s="16">
        <f>E353*F352</f>
        <v>2.72</v>
      </c>
      <c r="G353" s="16"/>
      <c r="H353" s="16"/>
      <c r="I353" s="16"/>
      <c r="J353" s="16"/>
      <c r="K353" s="16"/>
      <c r="L353" s="16"/>
      <c r="M353" s="16"/>
      <c r="N353" s="336"/>
    </row>
    <row r="354" spans="1:14" s="130" customFormat="1" ht="16.5">
      <c r="A354" s="24"/>
      <c r="B354" s="161"/>
      <c r="C354" s="161" t="s">
        <v>36</v>
      </c>
      <c r="D354" s="161" t="s">
        <v>33</v>
      </c>
      <c r="E354" s="175">
        <f>0.03/100</f>
        <v>2.9999999999999997E-4</v>
      </c>
      <c r="F354" s="176">
        <f>E354*F352</f>
        <v>1.1999999999999999E-3</v>
      </c>
      <c r="G354" s="16"/>
      <c r="H354" s="16"/>
      <c r="I354" s="16"/>
      <c r="J354" s="16"/>
      <c r="K354" s="16"/>
      <c r="L354" s="16"/>
      <c r="M354" s="16"/>
      <c r="N354" s="336"/>
    </row>
    <row r="355" spans="1:14" s="130" customFormat="1" ht="16.5">
      <c r="A355" s="24"/>
      <c r="B355" s="161"/>
      <c r="C355" s="161" t="s">
        <v>321</v>
      </c>
      <c r="D355" s="161" t="s">
        <v>89</v>
      </c>
      <c r="E355" s="176">
        <v>0.28000000000000003</v>
      </c>
      <c r="F355" s="16">
        <f>E355*F352</f>
        <v>1.1200000000000001</v>
      </c>
      <c r="G355" s="16"/>
      <c r="H355" s="16"/>
      <c r="I355" s="16"/>
      <c r="J355" s="16"/>
      <c r="K355" s="16"/>
      <c r="L355" s="16"/>
      <c r="M355" s="16"/>
      <c r="N355" s="336"/>
    </row>
    <row r="356" spans="1:14" s="130" customFormat="1" ht="16.5">
      <c r="A356" s="28"/>
      <c r="B356" s="163"/>
      <c r="C356" s="163" t="s">
        <v>37</v>
      </c>
      <c r="D356" s="163" t="s">
        <v>33</v>
      </c>
      <c r="E356" s="299">
        <v>1.9E-3</v>
      </c>
      <c r="F356" s="18">
        <f>E356*F352</f>
        <v>7.6E-3</v>
      </c>
      <c r="G356" s="18"/>
      <c r="H356" s="18"/>
      <c r="I356" s="18"/>
      <c r="J356" s="18"/>
      <c r="K356" s="18"/>
      <c r="L356" s="18"/>
      <c r="M356" s="18"/>
      <c r="N356" s="336"/>
    </row>
    <row r="357" spans="1:14" s="98" customFormat="1" ht="33">
      <c r="A357" s="184">
        <v>59</v>
      </c>
      <c r="B357" s="181" t="s">
        <v>326</v>
      </c>
      <c r="C357" s="262" t="s">
        <v>355</v>
      </c>
      <c r="D357" s="155" t="s">
        <v>97</v>
      </c>
      <c r="E357" s="155"/>
      <c r="F357" s="224">
        <f>10*0.15</f>
        <v>1.5</v>
      </c>
      <c r="G357" s="183"/>
      <c r="H357" s="183"/>
      <c r="I357" s="183"/>
      <c r="J357" s="183"/>
      <c r="K357" s="183"/>
      <c r="L357" s="241"/>
      <c r="M357" s="183"/>
      <c r="N357" s="327"/>
    </row>
    <row r="358" spans="1:14" s="98" customFormat="1" ht="16.5">
      <c r="A358" s="4"/>
      <c r="B358" s="4"/>
      <c r="C358" s="192" t="s">
        <v>29</v>
      </c>
      <c r="D358" s="6" t="s">
        <v>30</v>
      </c>
      <c r="E358" s="6">
        <v>25.4</v>
      </c>
      <c r="F358" s="6">
        <f>E358*F357</f>
        <v>38.099999999999994</v>
      </c>
      <c r="G358" s="6"/>
      <c r="H358" s="6"/>
      <c r="I358" s="6"/>
      <c r="J358" s="6"/>
      <c r="K358" s="6"/>
      <c r="L358" s="13"/>
      <c r="M358" s="6"/>
      <c r="N358" s="327"/>
    </row>
    <row r="359" spans="1:14" s="98" customFormat="1" ht="16.5">
      <c r="A359" s="4"/>
      <c r="B359" s="4"/>
      <c r="C359" s="270" t="s">
        <v>70</v>
      </c>
      <c r="D359" s="5" t="s">
        <v>33</v>
      </c>
      <c r="E359" s="41">
        <v>20.65</v>
      </c>
      <c r="F359" s="6">
        <f>E359*F357</f>
        <v>30.974999999999998</v>
      </c>
      <c r="G359" s="7"/>
      <c r="H359" s="7"/>
      <c r="I359" s="7"/>
      <c r="J359" s="7"/>
      <c r="K359" s="7"/>
      <c r="L359" s="303"/>
      <c r="M359" s="7"/>
      <c r="N359" s="327"/>
    </row>
    <row r="360" spans="1:14" s="98" customFormat="1" ht="20.25">
      <c r="A360" s="187"/>
      <c r="B360" s="151" t="s">
        <v>211</v>
      </c>
      <c r="C360" s="160" t="s">
        <v>327</v>
      </c>
      <c r="D360" s="87" t="s">
        <v>97</v>
      </c>
      <c r="E360" s="23"/>
      <c r="F360" s="210">
        <f>F357</f>
        <v>1.5</v>
      </c>
      <c r="G360" s="17"/>
      <c r="H360" s="15"/>
      <c r="I360" s="16"/>
      <c r="J360" s="17"/>
      <c r="K360" s="16"/>
      <c r="L360" s="15"/>
      <c r="M360" s="23"/>
      <c r="N360" s="327"/>
    </row>
    <row r="361" spans="1:14" s="98" customFormat="1" ht="16.5">
      <c r="A361" s="4"/>
      <c r="B361" s="4"/>
      <c r="C361" s="192" t="s">
        <v>29</v>
      </c>
      <c r="D361" s="6" t="s">
        <v>30</v>
      </c>
      <c r="E361" s="145">
        <f>20/1000</f>
        <v>0.02</v>
      </c>
      <c r="F361" s="145">
        <f>E361*F360</f>
        <v>0.03</v>
      </c>
      <c r="G361" s="6"/>
      <c r="H361" s="6"/>
      <c r="I361" s="16"/>
      <c r="J361" s="16"/>
      <c r="K361" s="16"/>
      <c r="L361" s="15"/>
      <c r="M361" s="16"/>
      <c r="N361" s="327"/>
    </row>
    <row r="362" spans="1:14" s="98" customFormat="1" ht="16.5">
      <c r="A362" s="4"/>
      <c r="B362" s="4" t="s">
        <v>143</v>
      </c>
      <c r="C362" s="192" t="s">
        <v>66</v>
      </c>
      <c r="D362" s="6" t="s">
        <v>31</v>
      </c>
      <c r="E362" s="145">
        <f>44.8/1000</f>
        <v>4.48E-2</v>
      </c>
      <c r="F362" s="6">
        <f>E362*F360</f>
        <v>6.7199999999999996E-2</v>
      </c>
      <c r="G362" s="6"/>
      <c r="H362" s="6"/>
      <c r="I362" s="16"/>
      <c r="J362" s="17"/>
      <c r="K362" s="6"/>
      <c r="L362" s="15"/>
      <c r="M362" s="16"/>
      <c r="N362" s="327"/>
    </row>
    <row r="363" spans="1:14" s="98" customFormat="1" ht="16.5">
      <c r="A363" s="4"/>
      <c r="B363" s="4"/>
      <c r="C363" s="192" t="s">
        <v>36</v>
      </c>
      <c r="D363" s="6" t="s">
        <v>33</v>
      </c>
      <c r="E363" s="145">
        <f>2.1/1000</f>
        <v>2.1000000000000003E-3</v>
      </c>
      <c r="F363" s="304">
        <f>E363*F360</f>
        <v>3.1500000000000005E-3</v>
      </c>
      <c r="G363" s="6"/>
      <c r="H363" s="6"/>
      <c r="I363" s="6"/>
      <c r="J363" s="6"/>
      <c r="K363" s="6"/>
      <c r="L363" s="13"/>
      <c r="M363" s="6"/>
      <c r="N363" s="327"/>
    </row>
    <row r="364" spans="1:14" s="98" customFormat="1" ht="33">
      <c r="A364" s="28"/>
      <c r="B364" s="163" t="s">
        <v>144</v>
      </c>
      <c r="C364" s="164" t="s">
        <v>356</v>
      </c>
      <c r="D364" s="137" t="s">
        <v>34</v>
      </c>
      <c r="E364" s="18"/>
      <c r="F364" s="206">
        <f>F360*2.4</f>
        <v>3.5999999999999996</v>
      </c>
      <c r="G364" s="138"/>
      <c r="H364" s="137"/>
      <c r="I364" s="18"/>
      <c r="J364" s="138"/>
      <c r="K364" s="18"/>
      <c r="L364" s="137"/>
      <c r="M364" s="18"/>
      <c r="N364" s="327"/>
    </row>
    <row r="365" spans="1:14" s="3" customFormat="1" ht="48" customHeight="1">
      <c r="A365" s="426" t="s">
        <v>357</v>
      </c>
      <c r="B365" s="427"/>
      <c r="C365" s="427"/>
      <c r="D365" s="427"/>
      <c r="E365" s="427"/>
      <c r="F365" s="428"/>
      <c r="G365" s="207"/>
      <c r="H365" s="207"/>
      <c r="I365" s="207"/>
      <c r="J365" s="207"/>
      <c r="K365" s="207"/>
      <c r="L365" s="207"/>
      <c r="M365" s="207"/>
      <c r="N365" s="327"/>
    </row>
    <row r="366" spans="1:14" s="314" customFormat="1" ht="33">
      <c r="A366" s="309" t="s">
        <v>391</v>
      </c>
      <c r="B366" s="310" t="s">
        <v>361</v>
      </c>
      <c r="C366" s="311" t="s">
        <v>358</v>
      </c>
      <c r="D366" s="312" t="s">
        <v>339</v>
      </c>
      <c r="E366" s="312"/>
      <c r="F366" s="313">
        <v>68</v>
      </c>
      <c r="G366" s="312"/>
      <c r="H366" s="312"/>
      <c r="I366" s="312"/>
      <c r="J366" s="312"/>
      <c r="K366" s="312"/>
      <c r="L366" s="312"/>
      <c r="M366" s="312"/>
      <c r="N366" s="341"/>
    </row>
    <row r="367" spans="1:14" s="314" customFormat="1" ht="18">
      <c r="A367" s="315"/>
      <c r="B367" s="316"/>
      <c r="C367" s="316" t="s">
        <v>340</v>
      </c>
      <c r="D367" s="316" t="s">
        <v>341</v>
      </c>
      <c r="E367" s="317">
        <v>0.74</v>
      </c>
      <c r="F367" s="317">
        <f>E367*F366</f>
        <v>50.32</v>
      </c>
      <c r="G367" s="317"/>
      <c r="H367" s="317"/>
      <c r="I367" s="317"/>
      <c r="J367" s="317"/>
      <c r="K367" s="317"/>
      <c r="L367" s="317"/>
      <c r="M367" s="317"/>
      <c r="N367" s="341"/>
    </row>
    <row r="368" spans="1:14" s="314" customFormat="1" ht="18">
      <c r="A368" s="315" t="s">
        <v>342</v>
      </c>
      <c r="B368" s="316"/>
      <c r="C368" s="316" t="s">
        <v>343</v>
      </c>
      <c r="D368" s="316" t="s">
        <v>344</v>
      </c>
      <c r="E368" s="317">
        <v>4.7199999999999999E-2</v>
      </c>
      <c r="F368" s="317">
        <f>F366*E368</f>
        <v>3.2096</v>
      </c>
      <c r="G368" s="317"/>
      <c r="H368" s="317"/>
      <c r="I368" s="317"/>
      <c r="J368" s="317"/>
      <c r="K368" s="317"/>
      <c r="L368" s="317"/>
      <c r="M368" s="317"/>
      <c r="N368" s="341"/>
    </row>
    <row r="369" spans="1:14" s="314" customFormat="1" ht="33">
      <c r="A369" s="315" t="s">
        <v>342</v>
      </c>
      <c r="B369" s="161" t="s">
        <v>221</v>
      </c>
      <c r="C369" s="316" t="s">
        <v>359</v>
      </c>
      <c r="D369" s="316" t="s">
        <v>345</v>
      </c>
      <c r="E369" s="317" t="s">
        <v>360</v>
      </c>
      <c r="F369" s="317">
        <v>3.4</v>
      </c>
      <c r="G369" s="317"/>
      <c r="H369" s="317"/>
      <c r="I369" s="317"/>
      <c r="J369" s="317"/>
      <c r="K369" s="317"/>
      <c r="L369" s="317"/>
      <c r="M369" s="317"/>
      <c r="N369" s="341"/>
    </row>
    <row r="370" spans="1:14" s="257" customFormat="1" ht="20.25">
      <c r="A370" s="5"/>
      <c r="B370" s="4" t="s">
        <v>363</v>
      </c>
      <c r="C370" s="5" t="s">
        <v>362</v>
      </c>
      <c r="D370" s="24" t="s">
        <v>171</v>
      </c>
      <c r="E370" s="145" t="s">
        <v>127</v>
      </c>
      <c r="F370" s="6">
        <v>87</v>
      </c>
      <c r="G370" s="6"/>
      <c r="H370" s="317"/>
      <c r="I370" s="317"/>
      <c r="J370" s="317"/>
      <c r="K370" s="317"/>
      <c r="L370" s="317"/>
      <c r="M370" s="317"/>
      <c r="N370" s="338"/>
    </row>
    <row r="371" spans="1:14" s="314" customFormat="1" ht="18">
      <c r="A371" s="318" t="s">
        <v>342</v>
      </c>
      <c r="B371" s="319"/>
      <c r="C371" s="319" t="s">
        <v>346</v>
      </c>
      <c r="D371" s="319" t="s">
        <v>347</v>
      </c>
      <c r="E371" s="320">
        <v>3.0000000000000001E-3</v>
      </c>
      <c r="F371" s="321">
        <f>F366*E371</f>
        <v>0.20400000000000001</v>
      </c>
      <c r="G371" s="321"/>
      <c r="H371" s="321"/>
      <c r="I371" s="321"/>
      <c r="J371" s="321"/>
      <c r="K371" s="321"/>
      <c r="L371" s="321"/>
      <c r="M371" s="321"/>
      <c r="N371" s="341"/>
    </row>
    <row r="372" spans="1:14" s="3" customFormat="1" ht="16.5">
      <c r="A372" s="96"/>
      <c r="B372" s="48" t="s">
        <v>152</v>
      </c>
      <c r="C372" s="164" t="s">
        <v>119</v>
      </c>
      <c r="D372" s="137" t="s">
        <v>34</v>
      </c>
      <c r="E372" s="18">
        <v>2.4</v>
      </c>
      <c r="F372" s="50">
        <f>E372*F369</f>
        <v>8.16</v>
      </c>
      <c r="G372" s="138"/>
      <c r="H372" s="137"/>
      <c r="I372" s="18"/>
      <c r="J372" s="138"/>
      <c r="K372" s="18"/>
      <c r="L372" s="137"/>
      <c r="M372" s="18"/>
      <c r="N372" s="327"/>
    </row>
    <row r="373" spans="1:14" s="314" customFormat="1" ht="33">
      <c r="A373" s="309" t="s">
        <v>392</v>
      </c>
      <c r="B373" s="310" t="s">
        <v>361</v>
      </c>
      <c r="C373" s="311" t="s">
        <v>364</v>
      </c>
      <c r="D373" s="312" t="s">
        <v>339</v>
      </c>
      <c r="E373" s="312"/>
      <c r="F373" s="313">
        <v>68</v>
      </c>
      <c r="G373" s="312"/>
      <c r="H373" s="312"/>
      <c r="I373" s="312"/>
      <c r="J373" s="312"/>
      <c r="K373" s="312"/>
      <c r="L373" s="312"/>
      <c r="M373" s="312"/>
      <c r="N373" s="341"/>
    </row>
    <row r="374" spans="1:14" s="314" customFormat="1" ht="18">
      <c r="A374" s="315"/>
      <c r="B374" s="316"/>
      <c r="C374" s="316" t="s">
        <v>340</v>
      </c>
      <c r="D374" s="316" t="s">
        <v>341</v>
      </c>
      <c r="E374" s="317">
        <v>0.74</v>
      </c>
      <c r="F374" s="317">
        <f>E374*F373</f>
        <v>50.32</v>
      </c>
      <c r="G374" s="317"/>
      <c r="H374" s="317"/>
      <c r="I374" s="317"/>
      <c r="J374" s="317"/>
      <c r="K374" s="317"/>
      <c r="L374" s="317"/>
      <c r="M374" s="317"/>
      <c r="N374" s="341"/>
    </row>
    <row r="375" spans="1:14" s="314" customFormat="1" ht="18">
      <c r="A375" s="315" t="s">
        <v>342</v>
      </c>
      <c r="B375" s="316"/>
      <c r="C375" s="316" t="s">
        <v>343</v>
      </c>
      <c r="D375" s="316" t="s">
        <v>344</v>
      </c>
      <c r="E375" s="317">
        <v>4.7199999999999999E-2</v>
      </c>
      <c r="F375" s="317">
        <f>F373*E375</f>
        <v>3.2096</v>
      </c>
      <c r="G375" s="317"/>
      <c r="H375" s="317"/>
      <c r="I375" s="317"/>
      <c r="J375" s="317"/>
      <c r="K375" s="317"/>
      <c r="L375" s="317"/>
      <c r="M375" s="317"/>
      <c r="N375" s="341"/>
    </row>
    <row r="376" spans="1:14" s="314" customFormat="1" ht="33">
      <c r="A376" s="315" t="s">
        <v>342</v>
      </c>
      <c r="B376" s="161" t="s">
        <v>221</v>
      </c>
      <c r="C376" s="316" t="s">
        <v>359</v>
      </c>
      <c r="D376" s="316" t="s">
        <v>345</v>
      </c>
      <c r="E376" s="317" t="s">
        <v>360</v>
      </c>
      <c r="F376" s="317">
        <v>3.4</v>
      </c>
      <c r="G376" s="317"/>
      <c r="H376" s="317"/>
      <c r="I376" s="317"/>
      <c r="J376" s="317"/>
      <c r="K376" s="317"/>
      <c r="L376" s="317"/>
      <c r="M376" s="317"/>
      <c r="N376" s="341"/>
    </row>
    <row r="377" spans="1:14" s="314" customFormat="1" ht="18">
      <c r="A377" s="318" t="s">
        <v>342</v>
      </c>
      <c r="B377" s="319"/>
      <c r="C377" s="319" t="s">
        <v>346</v>
      </c>
      <c r="D377" s="319" t="s">
        <v>347</v>
      </c>
      <c r="E377" s="320">
        <v>3.0000000000000001E-3</v>
      </c>
      <c r="F377" s="321">
        <f>F373*E377</f>
        <v>0.20400000000000001</v>
      </c>
      <c r="G377" s="321"/>
      <c r="H377" s="321"/>
      <c r="I377" s="321"/>
      <c r="J377" s="321"/>
      <c r="K377" s="321"/>
      <c r="L377" s="321"/>
      <c r="M377" s="321"/>
      <c r="N377" s="341"/>
    </row>
    <row r="378" spans="1:14" s="3" customFormat="1" ht="16.5">
      <c r="A378" s="96"/>
      <c r="B378" s="48" t="s">
        <v>152</v>
      </c>
      <c r="C378" s="164" t="s">
        <v>119</v>
      </c>
      <c r="D378" s="137" t="s">
        <v>34</v>
      </c>
      <c r="E378" s="18">
        <v>2.4</v>
      </c>
      <c r="F378" s="50">
        <f>E378*F376</f>
        <v>8.16</v>
      </c>
      <c r="G378" s="138"/>
      <c r="H378" s="137"/>
      <c r="I378" s="18"/>
      <c r="J378" s="138"/>
      <c r="K378" s="18"/>
      <c r="L378" s="137"/>
      <c r="M378" s="18"/>
      <c r="N378" s="327"/>
    </row>
    <row r="379" spans="1:14" s="3" customFormat="1" ht="16.5">
      <c r="A379" s="51"/>
      <c r="B379" s="52"/>
      <c r="C379" s="89" t="s">
        <v>12</v>
      </c>
      <c r="D379" s="52" t="s">
        <v>33</v>
      </c>
      <c r="E379" s="52"/>
      <c r="F379" s="52"/>
      <c r="G379" s="6"/>
      <c r="H379" s="6"/>
      <c r="I379" s="6"/>
      <c r="J379" s="6"/>
      <c r="K379" s="6"/>
      <c r="L379" s="6"/>
      <c r="M379" s="6"/>
      <c r="N379" s="327">
        <v>60448.9</v>
      </c>
    </row>
    <row r="380" spans="1:14" s="3" customFormat="1" ht="33">
      <c r="A380" s="55"/>
      <c r="B380" s="4"/>
      <c r="C380" s="56" t="s">
        <v>397</v>
      </c>
      <c r="D380" s="57" t="s">
        <v>33</v>
      </c>
      <c r="E380" s="6"/>
      <c r="F380" s="6"/>
      <c r="G380" s="6"/>
      <c r="H380" s="6"/>
      <c r="I380" s="6"/>
      <c r="J380" s="6"/>
      <c r="K380" s="5"/>
      <c r="L380" s="13"/>
      <c r="M380" s="6"/>
      <c r="N380" s="327"/>
    </row>
    <row r="381" spans="1:14" s="3" customFormat="1" ht="16.5">
      <c r="A381" s="55"/>
      <c r="B381" s="4"/>
      <c r="C381" s="90" t="s">
        <v>12</v>
      </c>
      <c r="D381" s="57" t="s">
        <v>33</v>
      </c>
      <c r="E381" s="6"/>
      <c r="F381" s="6"/>
      <c r="G381" s="6"/>
      <c r="H381" s="6"/>
      <c r="I381" s="6"/>
      <c r="J381" s="6"/>
      <c r="K381" s="5"/>
      <c r="L381" s="13"/>
      <c r="M381" s="6"/>
      <c r="N381" s="327"/>
    </row>
    <row r="382" spans="1:14" s="3" customFormat="1" ht="16.5">
      <c r="A382" s="59"/>
      <c r="B382" s="60"/>
      <c r="C382" s="56" t="s">
        <v>395</v>
      </c>
      <c r="D382" s="57" t="s">
        <v>33</v>
      </c>
      <c r="E382" s="62"/>
      <c r="F382" s="69"/>
      <c r="G382" s="62"/>
      <c r="H382" s="62"/>
      <c r="I382" s="62"/>
      <c r="J382" s="62"/>
      <c r="K382" s="62"/>
      <c r="L382" s="65"/>
      <c r="M382" s="62"/>
      <c r="N382" s="327"/>
    </row>
    <row r="383" spans="1:14" s="3" customFormat="1" ht="16.5">
      <c r="A383" s="66"/>
      <c r="B383" s="60"/>
      <c r="C383" s="90" t="s">
        <v>12</v>
      </c>
      <c r="D383" s="57" t="s">
        <v>33</v>
      </c>
      <c r="E383" s="67"/>
      <c r="F383" s="90"/>
      <c r="G383" s="90"/>
      <c r="H383" s="67"/>
      <c r="I383" s="67"/>
      <c r="J383" s="67"/>
      <c r="K383" s="67"/>
      <c r="L383" s="68"/>
      <c r="M383" s="67"/>
      <c r="N383" s="327"/>
    </row>
    <row r="384" spans="1:14" s="3" customFormat="1" ht="16.5">
      <c r="A384" s="59"/>
      <c r="B384" s="60"/>
      <c r="C384" s="56" t="s">
        <v>396</v>
      </c>
      <c r="D384" s="57" t="s">
        <v>33</v>
      </c>
      <c r="E384" s="62"/>
      <c r="F384" s="69"/>
      <c r="G384" s="62"/>
      <c r="H384" s="62"/>
      <c r="I384" s="62"/>
      <c r="J384" s="62"/>
      <c r="K384" s="62"/>
      <c r="L384" s="65"/>
      <c r="M384" s="62"/>
      <c r="N384" s="327"/>
    </row>
    <row r="385" spans="1:15" s="3" customFormat="1" ht="16.5">
      <c r="A385" s="70"/>
      <c r="B385" s="71"/>
      <c r="C385" s="91" t="s">
        <v>12</v>
      </c>
      <c r="D385" s="73" t="s">
        <v>33</v>
      </c>
      <c r="E385" s="91"/>
      <c r="F385" s="91"/>
      <c r="G385" s="91"/>
      <c r="H385" s="92"/>
      <c r="I385" s="92"/>
      <c r="J385" s="92"/>
      <c r="K385" s="92"/>
      <c r="L385" s="95"/>
      <c r="M385" s="93"/>
      <c r="N385" s="327">
        <v>72908.429999999993</v>
      </c>
    </row>
    <row r="387" spans="1:15" ht="15.75" customHeight="1">
      <c r="B387" s="438" t="s">
        <v>399</v>
      </c>
      <c r="C387" s="438"/>
      <c r="D387" s="439" t="s">
        <v>400</v>
      </c>
      <c r="E387" s="439"/>
      <c r="F387" s="439"/>
      <c r="G387" s="439"/>
      <c r="H387" s="439"/>
      <c r="I387" s="439"/>
      <c r="J387" s="439"/>
      <c r="K387" s="439"/>
      <c r="L387" s="439"/>
      <c r="M387" s="439"/>
      <c r="N387" s="439"/>
      <c r="O387" s="439"/>
    </row>
    <row r="388" spans="1:15" ht="34.5" customHeight="1">
      <c r="B388" s="438"/>
      <c r="C388" s="438"/>
      <c r="D388" s="439" t="s">
        <v>401</v>
      </c>
      <c r="E388" s="439"/>
      <c r="F388" s="439"/>
      <c r="G388" s="439"/>
      <c r="H388" s="439"/>
      <c r="I388" s="439"/>
      <c r="J388" s="439"/>
      <c r="K388" s="439"/>
      <c r="L388" s="439"/>
      <c r="M388" s="439"/>
      <c r="N388" s="439"/>
      <c r="O388" s="439"/>
    </row>
    <row r="389" spans="1:15" ht="15" customHeight="1">
      <c r="C389" s="80"/>
      <c r="D389" s="81"/>
      <c r="E389" s="81"/>
      <c r="F389" s="81"/>
      <c r="G389" s="81"/>
      <c r="H389" s="81"/>
      <c r="I389" s="81"/>
      <c r="J389" s="81"/>
      <c r="K389" s="81"/>
      <c r="L389" s="81"/>
    </row>
    <row r="390" spans="1:15" ht="15.75">
      <c r="C390" s="421"/>
      <c r="D390" s="421"/>
      <c r="E390" s="421"/>
      <c r="F390" s="421"/>
      <c r="G390" s="421"/>
      <c r="H390" s="421"/>
      <c r="I390" s="421"/>
      <c r="J390" s="421"/>
      <c r="K390" s="421"/>
      <c r="L390" s="421"/>
    </row>
    <row r="391" spans="1:15" ht="15.75">
      <c r="C391" s="80"/>
      <c r="D391" s="81"/>
      <c r="E391" s="81"/>
      <c r="F391" s="81"/>
      <c r="G391" s="81"/>
      <c r="H391" s="81"/>
      <c r="I391" s="81"/>
      <c r="J391" s="81"/>
      <c r="K391" s="81"/>
      <c r="L391" s="81"/>
    </row>
  </sheetData>
  <mergeCells count="38">
    <mergeCell ref="D387:O387"/>
    <mergeCell ref="N8:N11"/>
    <mergeCell ref="A334:F334"/>
    <mergeCell ref="A365:F365"/>
    <mergeCell ref="A13:F13"/>
    <mergeCell ref="A26:F26"/>
    <mergeCell ref="A52:C52"/>
    <mergeCell ref="A72:F72"/>
    <mergeCell ref="A101:C101"/>
    <mergeCell ref="A116:F116"/>
    <mergeCell ref="M8:M11"/>
    <mergeCell ref="L10:L11"/>
    <mergeCell ref="J10:J11"/>
    <mergeCell ref="A1:M1"/>
    <mergeCell ref="A2:M2"/>
    <mergeCell ref="A3:M3"/>
    <mergeCell ref="A4:M4"/>
    <mergeCell ref="K9:L9"/>
    <mergeCell ref="B5:D5"/>
    <mergeCell ref="F5:I5"/>
    <mergeCell ref="B8:B11"/>
    <mergeCell ref="A8:A11"/>
    <mergeCell ref="D10:D11"/>
    <mergeCell ref="F10:F11"/>
    <mergeCell ref="H10:H11"/>
    <mergeCell ref="B6:C6"/>
    <mergeCell ref="F6:I6"/>
    <mergeCell ref="C390:L390"/>
    <mergeCell ref="G8:H9"/>
    <mergeCell ref="I8:J9"/>
    <mergeCell ref="K8:L8"/>
    <mergeCell ref="E10:E11"/>
    <mergeCell ref="C8:C11"/>
    <mergeCell ref="D8:F9"/>
    <mergeCell ref="A217:F217"/>
    <mergeCell ref="A278:F278"/>
    <mergeCell ref="D388:O388"/>
    <mergeCell ref="B387:C388"/>
  </mergeCells>
  <phoneticPr fontId="4" type="noConversion"/>
  <conditionalFormatting sqref="B60:C71">
    <cfRule type="cellIs" dxfId="6" priority="22" operator="equal">
      <formula>0</formula>
    </cfRule>
  </conditionalFormatting>
  <conditionalFormatting sqref="B109:C115">
    <cfRule type="cellIs" dxfId="5" priority="21" operator="equal">
      <formula>0</formula>
    </cfRule>
  </conditionalFormatting>
  <conditionalFormatting sqref="B348:C351 C347">
    <cfRule type="cellIs" dxfId="4" priority="3" operator="equal">
      <formula>0</formula>
    </cfRule>
  </conditionalFormatting>
  <conditionalFormatting sqref="B347">
    <cfRule type="cellIs" dxfId="3" priority="2" operator="equal">
      <formula>0</formula>
    </cfRule>
  </conditionalFormatting>
  <conditionalFormatting sqref="D291:D298">
    <cfRule type="cellIs" dxfId="2" priority="4" stopIfTrue="1" operator="equal">
      <formula>8223.307275</formula>
    </cfRule>
  </conditionalFormatting>
  <conditionalFormatting sqref="D357:D364">
    <cfRule type="cellIs" dxfId="1" priority="1" stopIfTrue="1" operator="equal">
      <formula>8223.307275</formula>
    </cfRule>
  </conditionalFormatting>
  <printOptions horizontalCentered="1"/>
  <pageMargins left="0.51181102362204722" right="0.51181102362204722" top="0.39370078740157483" bottom="0.51181102362204722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24"/>
  <sheetViews>
    <sheetView topLeftCell="A89" zoomScale="85" zoomScaleNormal="85" zoomScaleSheetLayoutView="75" workbookViewId="0">
      <selection activeCell="K120" sqref="K120"/>
    </sheetView>
  </sheetViews>
  <sheetFormatPr defaultColWidth="9" defaultRowHeight="16.5"/>
  <cols>
    <col min="1" max="1" width="3.85546875" style="44" customWidth="1"/>
    <col min="2" max="2" width="9.7109375" style="45" customWidth="1"/>
    <col min="3" max="3" width="69.85546875" style="45" customWidth="1"/>
    <col min="4" max="4" width="10.5703125" style="35" customWidth="1"/>
    <col min="5" max="5" width="9.85546875" style="35" customWidth="1"/>
    <col min="6" max="6" width="13" style="35" customWidth="1"/>
    <col min="7" max="7" width="8.5703125" style="35" customWidth="1"/>
    <col min="8" max="8" width="11.140625" style="35" customWidth="1"/>
    <col min="9" max="9" width="8.85546875" style="35" customWidth="1"/>
    <col min="10" max="10" width="11.28515625" style="35" customWidth="1"/>
    <col min="11" max="11" width="8.85546875" style="35" customWidth="1"/>
    <col min="12" max="12" width="15.28515625" style="35" customWidth="1"/>
    <col min="13" max="13" width="16.42578125" style="35" customWidth="1"/>
    <col min="14" max="14" width="13.28515625" style="3" customWidth="1"/>
    <col min="15" max="16" width="9" style="3"/>
    <col min="17" max="17" width="6" style="3" customWidth="1"/>
    <col min="18" max="18" width="9" style="3"/>
    <col min="19" max="19" width="8.140625" style="3" customWidth="1"/>
    <col min="20" max="16384" width="9" style="3"/>
  </cols>
  <sheetData>
    <row r="1" spans="1:14" ht="59.25" customHeight="1">
      <c r="A1" s="354" t="s">
        <v>383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43"/>
    </row>
    <row r="2" spans="1:14" ht="21.75" customHeight="1">
      <c r="A2" s="403" t="s">
        <v>78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</row>
    <row r="3" spans="1:14">
      <c r="A3" s="404" t="s">
        <v>370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1:14" ht="25.5" customHeight="1">
      <c r="A4" s="4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</row>
    <row r="5" spans="1:14">
      <c r="A5" s="168"/>
      <c r="B5" s="393" t="s">
        <v>28</v>
      </c>
      <c r="C5" s="393"/>
      <c r="D5" s="425"/>
      <c r="E5" s="34"/>
      <c r="F5" s="394" t="s">
        <v>1</v>
      </c>
      <c r="G5" s="394"/>
      <c r="H5" s="394"/>
      <c r="I5" s="394"/>
      <c r="J5" s="47"/>
      <c r="K5" s="135" t="s">
        <v>0</v>
      </c>
      <c r="L5" s="34"/>
      <c r="M5" s="34"/>
    </row>
    <row r="6" spans="1:14" ht="15.75" customHeight="1">
      <c r="A6" s="168"/>
      <c r="B6" s="393" t="s">
        <v>217</v>
      </c>
      <c r="C6" s="393"/>
      <c r="D6" s="34"/>
      <c r="E6" s="34"/>
      <c r="F6" s="394"/>
      <c r="G6" s="394"/>
      <c r="H6" s="394"/>
      <c r="I6" s="394"/>
      <c r="J6" s="34"/>
      <c r="K6" s="34"/>
      <c r="L6" s="34"/>
      <c r="M6" s="34"/>
    </row>
    <row r="7" spans="1:14">
      <c r="A7" s="168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4">
      <c r="A8" s="435" t="s">
        <v>2</v>
      </c>
      <c r="B8" s="409" t="s">
        <v>3</v>
      </c>
      <c r="C8" s="347" t="s">
        <v>27</v>
      </c>
      <c r="D8" s="405" t="s">
        <v>4</v>
      </c>
      <c r="E8" s="406"/>
      <c r="F8" s="395"/>
      <c r="G8" s="405" t="s">
        <v>5</v>
      </c>
      <c r="H8" s="412"/>
      <c r="I8" s="405" t="s">
        <v>6</v>
      </c>
      <c r="J8" s="413"/>
      <c r="K8" s="405" t="s">
        <v>7</v>
      </c>
      <c r="L8" s="413"/>
      <c r="M8" s="401" t="s">
        <v>8</v>
      </c>
      <c r="N8" s="418" t="s">
        <v>393</v>
      </c>
    </row>
    <row r="9" spans="1:14">
      <c r="A9" s="436"/>
      <c r="B9" s="410"/>
      <c r="C9" s="348"/>
      <c r="D9" s="399"/>
      <c r="E9" s="407"/>
      <c r="F9" s="408"/>
      <c r="G9" s="414"/>
      <c r="H9" s="400"/>
      <c r="I9" s="414"/>
      <c r="J9" s="415"/>
      <c r="K9" s="399" t="s">
        <v>9</v>
      </c>
      <c r="L9" s="415"/>
      <c r="M9" s="397"/>
      <c r="N9" s="419"/>
    </row>
    <row r="10" spans="1:14">
      <c r="A10" s="436"/>
      <c r="B10" s="410"/>
      <c r="C10" s="348"/>
      <c r="D10" s="401" t="s">
        <v>10</v>
      </c>
      <c r="E10" s="401" t="s">
        <v>11</v>
      </c>
      <c r="F10" s="401" t="s">
        <v>12</v>
      </c>
      <c r="G10" s="16" t="s">
        <v>11</v>
      </c>
      <c r="H10" s="401" t="s">
        <v>12</v>
      </c>
      <c r="I10" s="16" t="s">
        <v>11</v>
      </c>
      <c r="J10" s="401" t="s">
        <v>12</v>
      </c>
      <c r="K10" s="16" t="s">
        <v>11</v>
      </c>
      <c r="L10" s="405" t="s">
        <v>12</v>
      </c>
      <c r="M10" s="397"/>
      <c r="N10" s="419"/>
    </row>
    <row r="11" spans="1:14" ht="21.75" customHeight="1">
      <c r="A11" s="437"/>
      <c r="B11" s="411"/>
      <c r="C11" s="349"/>
      <c r="D11" s="402"/>
      <c r="E11" s="402"/>
      <c r="F11" s="402"/>
      <c r="G11" s="18" t="s">
        <v>13</v>
      </c>
      <c r="H11" s="402"/>
      <c r="I11" s="18" t="s">
        <v>13</v>
      </c>
      <c r="J11" s="402"/>
      <c r="K11" s="18" t="s">
        <v>13</v>
      </c>
      <c r="L11" s="399"/>
      <c r="M11" s="398"/>
      <c r="N11" s="420"/>
    </row>
    <row r="12" spans="1:14">
      <c r="A12" s="182" t="s">
        <v>14</v>
      </c>
      <c r="B12" s="48" t="s">
        <v>15</v>
      </c>
      <c r="C12" s="97" t="s">
        <v>16</v>
      </c>
      <c r="D12" s="50" t="s">
        <v>17</v>
      </c>
      <c r="E12" s="50" t="s">
        <v>18</v>
      </c>
      <c r="F12" s="50" t="s">
        <v>19</v>
      </c>
      <c r="G12" s="50" t="s">
        <v>20</v>
      </c>
      <c r="H12" s="50" t="s">
        <v>21</v>
      </c>
      <c r="I12" s="50" t="s">
        <v>22</v>
      </c>
      <c r="J12" s="50" t="s">
        <v>23</v>
      </c>
      <c r="K12" s="50" t="s">
        <v>24</v>
      </c>
      <c r="L12" s="49" t="s">
        <v>25</v>
      </c>
      <c r="M12" s="50" t="s">
        <v>26</v>
      </c>
      <c r="N12" s="326">
        <v>14</v>
      </c>
    </row>
    <row r="13" spans="1:14" ht="46.5" customHeight="1">
      <c r="A13" s="432" t="s">
        <v>365</v>
      </c>
      <c r="B13" s="433"/>
      <c r="C13" s="433"/>
      <c r="D13" s="433"/>
      <c r="E13" s="433"/>
      <c r="F13" s="434"/>
      <c r="G13" s="300"/>
      <c r="H13" s="300"/>
      <c r="I13" s="300"/>
      <c r="J13" s="300"/>
      <c r="K13" s="300"/>
      <c r="L13" s="301"/>
      <c r="M13" s="300"/>
      <c r="N13" s="329"/>
    </row>
    <row r="14" spans="1:14">
      <c r="A14" s="169">
        <v>1</v>
      </c>
      <c r="B14" s="38" t="s">
        <v>121</v>
      </c>
      <c r="C14" s="150" t="s">
        <v>122</v>
      </c>
      <c r="D14" s="23" t="s">
        <v>35</v>
      </c>
      <c r="E14" s="143"/>
      <c r="F14" s="211">
        <v>25</v>
      </c>
      <c r="G14" s="6"/>
      <c r="H14" s="6"/>
      <c r="I14" s="6"/>
      <c r="J14" s="6"/>
      <c r="K14" s="6"/>
      <c r="L14" s="13"/>
      <c r="M14" s="143"/>
      <c r="N14" s="327"/>
    </row>
    <row r="15" spans="1:14">
      <c r="A15" s="151"/>
      <c r="B15" s="4"/>
      <c r="C15" s="14" t="s">
        <v>29</v>
      </c>
      <c r="D15" s="6" t="s">
        <v>30</v>
      </c>
      <c r="E15" s="145">
        <f>7.7/100</f>
        <v>7.6999999999999999E-2</v>
      </c>
      <c r="F15" s="6">
        <f>E15*F14</f>
        <v>1.925</v>
      </c>
      <c r="G15" s="6"/>
      <c r="H15" s="6"/>
      <c r="I15" s="5"/>
      <c r="J15" s="5"/>
      <c r="K15" s="5"/>
      <c r="L15" s="144"/>
      <c r="M15" s="6"/>
      <c r="N15" s="327"/>
    </row>
    <row r="16" spans="1:14">
      <c r="A16" s="203"/>
      <c r="B16" s="163"/>
      <c r="C16" s="158" t="s">
        <v>70</v>
      </c>
      <c r="D16" s="18" t="s">
        <v>33</v>
      </c>
      <c r="E16" s="195">
        <f>6.37/100</f>
        <v>6.3700000000000007E-2</v>
      </c>
      <c r="F16" s="18">
        <f>E16*F14</f>
        <v>1.5925000000000002</v>
      </c>
      <c r="G16" s="18"/>
      <c r="H16" s="18"/>
      <c r="I16" s="18"/>
      <c r="J16" s="18"/>
      <c r="K16" s="18"/>
      <c r="L16" s="137"/>
      <c r="M16" s="18"/>
      <c r="N16" s="327"/>
    </row>
    <row r="17" spans="1:14">
      <c r="A17" s="165">
        <v>2</v>
      </c>
      <c r="B17" s="151" t="s">
        <v>58</v>
      </c>
      <c r="C17" s="150" t="s">
        <v>123</v>
      </c>
      <c r="D17" s="143" t="s">
        <v>34</v>
      </c>
      <c r="E17" s="143"/>
      <c r="F17" s="213">
        <v>8.7500000000000008E-3</v>
      </c>
      <c r="G17" s="6"/>
      <c r="H17" s="6"/>
      <c r="I17" s="6"/>
      <c r="J17" s="6"/>
      <c r="K17" s="6"/>
      <c r="L17" s="13"/>
      <c r="M17" s="10"/>
      <c r="N17" s="327"/>
    </row>
    <row r="18" spans="1:14">
      <c r="A18" s="151"/>
      <c r="B18" s="4" t="s">
        <v>159</v>
      </c>
      <c r="C18" s="14" t="s">
        <v>59</v>
      </c>
      <c r="D18" s="6" t="s">
        <v>31</v>
      </c>
      <c r="E18" s="6">
        <v>0.3</v>
      </c>
      <c r="F18" s="6">
        <f>E18*F17</f>
        <v>2.6250000000000002E-3</v>
      </c>
      <c r="G18" s="6"/>
      <c r="H18" s="5"/>
      <c r="I18" s="5"/>
      <c r="J18" s="5"/>
      <c r="K18" s="13"/>
      <c r="L18" s="13"/>
      <c r="M18" s="6"/>
      <c r="N18" s="327"/>
    </row>
    <row r="19" spans="1:14">
      <c r="A19" s="204"/>
      <c r="B19" s="146" t="s">
        <v>160</v>
      </c>
      <c r="C19" s="147" t="s">
        <v>79</v>
      </c>
      <c r="D19" s="8" t="s">
        <v>34</v>
      </c>
      <c r="E19" s="8">
        <v>1.03</v>
      </c>
      <c r="F19" s="8">
        <f>E19*F17</f>
        <v>9.0125000000000014E-3</v>
      </c>
      <c r="G19" s="8"/>
      <c r="H19" s="167"/>
      <c r="I19" s="8"/>
      <c r="J19" s="8"/>
      <c r="K19" s="167"/>
      <c r="L19" s="37"/>
      <c r="M19" s="8"/>
      <c r="N19" s="327"/>
    </row>
    <row r="20" spans="1:14" ht="49.5">
      <c r="A20" s="22">
        <v>3</v>
      </c>
      <c r="B20" s="142" t="s">
        <v>88</v>
      </c>
      <c r="C20" s="160" t="s">
        <v>366</v>
      </c>
      <c r="D20" s="87" t="s">
        <v>97</v>
      </c>
      <c r="E20" s="23"/>
      <c r="F20" s="210">
        <v>677.7</v>
      </c>
      <c r="G20" s="17"/>
      <c r="H20" s="15"/>
      <c r="I20" s="16"/>
      <c r="J20" s="17"/>
      <c r="K20" s="16"/>
      <c r="L20" s="15"/>
      <c r="M20" s="155"/>
      <c r="N20" s="327"/>
    </row>
    <row r="21" spans="1:14">
      <c r="A21" s="4"/>
      <c r="B21" s="4"/>
      <c r="C21" s="26" t="s">
        <v>29</v>
      </c>
      <c r="D21" s="6" t="s">
        <v>30</v>
      </c>
      <c r="E21" s="145">
        <f>20/1000</f>
        <v>0.02</v>
      </c>
      <c r="F21" s="6">
        <f>E21*F20</f>
        <v>13.554000000000002</v>
      </c>
      <c r="G21" s="6"/>
      <c r="H21" s="6"/>
      <c r="I21" s="16"/>
      <c r="J21" s="16"/>
      <c r="K21" s="16"/>
      <c r="L21" s="15"/>
      <c r="M21" s="16"/>
      <c r="N21" s="327"/>
    </row>
    <row r="22" spans="1:14">
      <c r="A22" s="4"/>
      <c r="B22" s="4" t="s">
        <v>143</v>
      </c>
      <c r="C22" s="26" t="s">
        <v>66</v>
      </c>
      <c r="D22" s="6" t="s">
        <v>31</v>
      </c>
      <c r="E22" s="145">
        <f>44.8/1000</f>
        <v>4.48E-2</v>
      </c>
      <c r="F22" s="6">
        <f>E22*F20</f>
        <v>30.360960000000002</v>
      </c>
      <c r="G22" s="6"/>
      <c r="H22" s="6"/>
      <c r="I22" s="16"/>
      <c r="J22" s="17"/>
      <c r="K22" s="6"/>
      <c r="L22" s="15"/>
      <c r="M22" s="16"/>
      <c r="N22" s="327"/>
    </row>
    <row r="23" spans="1:14">
      <c r="A23" s="4"/>
      <c r="B23" s="4"/>
      <c r="C23" s="26" t="s">
        <v>36</v>
      </c>
      <c r="D23" s="6" t="s">
        <v>33</v>
      </c>
      <c r="E23" s="145">
        <f>2.1/1000</f>
        <v>2.1000000000000003E-3</v>
      </c>
      <c r="F23" s="13">
        <f>E23*F20</f>
        <v>1.4231700000000003</v>
      </c>
      <c r="G23" s="6"/>
      <c r="H23" s="6"/>
      <c r="I23" s="6"/>
      <c r="J23" s="6"/>
      <c r="K23" s="6"/>
      <c r="L23" s="13"/>
      <c r="M23" s="6"/>
      <c r="N23" s="327"/>
    </row>
    <row r="24" spans="1:14">
      <c r="A24" s="36"/>
      <c r="B24" s="163" t="s">
        <v>144</v>
      </c>
      <c r="C24" s="164" t="s">
        <v>133</v>
      </c>
      <c r="D24" s="137" t="s">
        <v>34</v>
      </c>
      <c r="E24" s="18"/>
      <c r="F24" s="206">
        <f>F20*1.8</f>
        <v>1219.8600000000001</v>
      </c>
      <c r="G24" s="138"/>
      <c r="H24" s="137"/>
      <c r="I24" s="18"/>
      <c r="J24" s="138"/>
      <c r="K24" s="18"/>
      <c r="L24" s="137"/>
      <c r="M24" s="18"/>
      <c r="N24" s="327"/>
    </row>
    <row r="25" spans="1:14" ht="49.5">
      <c r="A25" s="22">
        <v>4</v>
      </c>
      <c r="B25" s="181" t="s">
        <v>177</v>
      </c>
      <c r="C25" s="160" t="s">
        <v>367</v>
      </c>
      <c r="D25" s="87" t="s">
        <v>97</v>
      </c>
      <c r="E25" s="23"/>
      <c r="F25" s="210">
        <v>75.3</v>
      </c>
      <c r="G25" s="17"/>
      <c r="H25" s="15"/>
      <c r="I25" s="16"/>
      <c r="J25" s="17"/>
      <c r="K25" s="16"/>
      <c r="L25" s="15"/>
      <c r="M25" s="155"/>
      <c r="N25" s="327"/>
    </row>
    <row r="26" spans="1:14">
      <c r="A26" s="4"/>
      <c r="B26" s="4"/>
      <c r="C26" s="26" t="s">
        <v>29</v>
      </c>
      <c r="D26" s="6" t="s">
        <v>30</v>
      </c>
      <c r="E26" s="6">
        <f>2.06+0.87</f>
        <v>2.93</v>
      </c>
      <c r="F26" s="6">
        <f>E26*F25</f>
        <v>220.62899999999999</v>
      </c>
      <c r="G26" s="6"/>
      <c r="H26" s="6"/>
      <c r="I26" s="16"/>
      <c r="J26" s="16"/>
      <c r="K26" s="16"/>
      <c r="L26" s="15"/>
      <c r="M26" s="16"/>
      <c r="N26" s="327"/>
    </row>
    <row r="27" spans="1:14">
      <c r="A27" s="36"/>
      <c r="B27" s="163" t="s">
        <v>144</v>
      </c>
      <c r="C27" s="164" t="s">
        <v>133</v>
      </c>
      <c r="D27" s="137" t="s">
        <v>34</v>
      </c>
      <c r="E27" s="18"/>
      <c r="F27" s="206">
        <f>F25*1.8</f>
        <v>135.54</v>
      </c>
      <c r="G27" s="138"/>
      <c r="H27" s="137"/>
      <c r="I27" s="18"/>
      <c r="J27" s="138"/>
      <c r="K27" s="18"/>
      <c r="L27" s="137"/>
      <c r="M27" s="18"/>
      <c r="N27" s="327"/>
    </row>
    <row r="28" spans="1:14" ht="20.25">
      <c r="A28" s="22">
        <v>5</v>
      </c>
      <c r="B28" s="142" t="s">
        <v>67</v>
      </c>
      <c r="C28" s="40" t="s">
        <v>75</v>
      </c>
      <c r="D28" s="10" t="s">
        <v>97</v>
      </c>
      <c r="E28" s="152"/>
      <c r="F28" s="209">
        <f>F25+F20</f>
        <v>753</v>
      </c>
      <c r="G28" s="153"/>
      <c r="H28" s="153"/>
      <c r="I28" s="153"/>
      <c r="J28" s="153"/>
      <c r="K28" s="153"/>
      <c r="L28" s="154"/>
      <c r="M28" s="155"/>
      <c r="N28" s="327"/>
    </row>
    <row r="29" spans="1:14">
      <c r="A29" s="12"/>
      <c r="B29" s="245"/>
      <c r="C29" s="26" t="s">
        <v>29</v>
      </c>
      <c r="D29" s="6" t="s">
        <v>30</v>
      </c>
      <c r="E29" s="145">
        <f>3.23/1000</f>
        <v>3.2299999999999998E-3</v>
      </c>
      <c r="F29" s="6">
        <f>E29*F28</f>
        <v>2.4321899999999999</v>
      </c>
      <c r="G29" s="7"/>
      <c r="H29" s="7"/>
      <c r="I29" s="41"/>
      <c r="J29" s="41"/>
      <c r="K29" s="41"/>
      <c r="L29" s="156"/>
      <c r="M29" s="7"/>
      <c r="N29" s="327"/>
    </row>
    <row r="30" spans="1:14">
      <c r="A30" s="4"/>
      <c r="B30" s="4" t="s">
        <v>145</v>
      </c>
      <c r="C30" s="26" t="s">
        <v>57</v>
      </c>
      <c r="D30" s="6" t="s">
        <v>31</v>
      </c>
      <c r="E30" s="29">
        <f>3.62/1000</f>
        <v>3.62E-3</v>
      </c>
      <c r="F30" s="6">
        <f>E30*F28</f>
        <v>2.7258599999999999</v>
      </c>
      <c r="G30" s="6"/>
      <c r="H30" s="6"/>
      <c r="I30" s="6"/>
      <c r="J30" s="6"/>
      <c r="K30" s="6"/>
      <c r="L30" s="13"/>
      <c r="M30" s="6"/>
      <c r="N30" s="327"/>
    </row>
    <row r="31" spans="1:14">
      <c r="A31" s="86"/>
      <c r="B31" s="86"/>
      <c r="C31" s="42" t="s">
        <v>36</v>
      </c>
      <c r="D31" s="86" t="s">
        <v>33</v>
      </c>
      <c r="E31" s="157">
        <f>0.18/1000</f>
        <v>1.7999999999999998E-4</v>
      </c>
      <c r="F31" s="185">
        <f>E31*F28</f>
        <v>0.13553999999999999</v>
      </c>
      <c r="G31" s="86"/>
      <c r="H31" s="86"/>
      <c r="I31" s="86"/>
      <c r="J31" s="86"/>
      <c r="K31" s="9"/>
      <c r="L31" s="37"/>
      <c r="M31" s="8"/>
      <c r="N31" s="327"/>
    </row>
    <row r="32" spans="1:14" ht="54" customHeight="1">
      <c r="A32" s="39">
        <v>6</v>
      </c>
      <c r="B32" s="151" t="s">
        <v>100</v>
      </c>
      <c r="C32" s="150" t="s">
        <v>368</v>
      </c>
      <c r="D32" s="143" t="s">
        <v>97</v>
      </c>
      <c r="E32" s="143"/>
      <c r="F32" s="211">
        <v>376.5</v>
      </c>
      <c r="G32" s="6"/>
      <c r="H32" s="6"/>
      <c r="I32" s="6"/>
      <c r="J32" s="6"/>
      <c r="K32" s="6"/>
      <c r="L32" s="13"/>
      <c r="M32" s="10"/>
      <c r="N32" s="327"/>
    </row>
    <row r="33" spans="1:16">
      <c r="A33" s="169"/>
      <c r="B33" s="4"/>
      <c r="C33" s="14" t="s">
        <v>29</v>
      </c>
      <c r="D33" s="6" t="s">
        <v>30</v>
      </c>
      <c r="E33" s="6">
        <v>0.15</v>
      </c>
      <c r="F33" s="6">
        <f>E33*F32</f>
        <v>56.475000000000001</v>
      </c>
      <c r="G33" s="6"/>
      <c r="H33" s="6"/>
      <c r="I33" s="5"/>
      <c r="J33" s="5"/>
      <c r="K33" s="5"/>
      <c r="L33" s="144"/>
      <c r="M33" s="6"/>
      <c r="N33" s="327"/>
    </row>
    <row r="34" spans="1:16">
      <c r="A34" s="169"/>
      <c r="B34" s="4" t="s">
        <v>161</v>
      </c>
      <c r="C34" s="14" t="s">
        <v>74</v>
      </c>
      <c r="D34" s="6" t="s">
        <v>31</v>
      </c>
      <c r="E34" s="6">
        <f>2.16/100</f>
        <v>2.1600000000000001E-2</v>
      </c>
      <c r="F34" s="6">
        <f>E34*F32</f>
        <v>8.1324000000000005</v>
      </c>
      <c r="G34" s="6"/>
      <c r="H34" s="5"/>
      <c r="I34" s="5"/>
      <c r="J34" s="5"/>
      <c r="K34" s="13"/>
      <c r="L34" s="13"/>
      <c r="M34" s="6"/>
      <c r="N34" s="327"/>
    </row>
    <row r="35" spans="1:16">
      <c r="A35" s="169"/>
      <c r="B35" s="4" t="s">
        <v>162</v>
      </c>
      <c r="C35" s="14" t="s">
        <v>101</v>
      </c>
      <c r="D35" s="6" t="s">
        <v>31</v>
      </c>
      <c r="E35" s="6">
        <f>2.73/100</f>
        <v>2.7300000000000001E-2</v>
      </c>
      <c r="F35" s="6">
        <f>E35*F32</f>
        <v>10.278450000000001</v>
      </c>
      <c r="G35" s="6"/>
      <c r="H35" s="6"/>
      <c r="I35" s="5"/>
      <c r="J35" s="5"/>
      <c r="K35" s="13"/>
      <c r="L35" s="13"/>
      <c r="M35" s="6"/>
      <c r="N35" s="327"/>
    </row>
    <row r="36" spans="1:16">
      <c r="A36" s="169"/>
      <c r="B36" s="4" t="s">
        <v>163</v>
      </c>
      <c r="C36" s="14" t="s">
        <v>32</v>
      </c>
      <c r="D36" s="6" t="s">
        <v>31</v>
      </c>
      <c r="E36" s="6">
        <f>0.97/100</f>
        <v>9.7000000000000003E-3</v>
      </c>
      <c r="F36" s="6">
        <f>E36*F32</f>
        <v>3.65205</v>
      </c>
      <c r="G36" s="6"/>
      <c r="H36" s="6"/>
      <c r="I36" s="5"/>
      <c r="J36" s="5"/>
      <c r="K36" s="13"/>
      <c r="L36" s="13"/>
      <c r="M36" s="6"/>
      <c r="N36" s="327"/>
    </row>
    <row r="37" spans="1:16" ht="20.25">
      <c r="A37" s="169"/>
      <c r="B37" s="4" t="s">
        <v>226</v>
      </c>
      <c r="C37" s="14" t="s">
        <v>68</v>
      </c>
      <c r="D37" s="6" t="s">
        <v>98</v>
      </c>
      <c r="E37" s="6">
        <v>1.22</v>
      </c>
      <c r="F37" s="6">
        <f>E37*F32</f>
        <v>459.33</v>
      </c>
      <c r="G37" s="6"/>
      <c r="H37" s="6"/>
      <c r="I37" s="6"/>
      <c r="J37" s="6"/>
      <c r="K37" s="5"/>
      <c r="L37" s="13"/>
      <c r="M37" s="6"/>
      <c r="N37" s="327"/>
    </row>
    <row r="38" spans="1:16" ht="20.25">
      <c r="A38" s="170"/>
      <c r="B38" s="146" t="s">
        <v>164</v>
      </c>
      <c r="C38" s="147" t="s">
        <v>87</v>
      </c>
      <c r="D38" s="8" t="s">
        <v>98</v>
      </c>
      <c r="E38" s="8">
        <f>7/100</f>
        <v>7.0000000000000007E-2</v>
      </c>
      <c r="F38" s="6">
        <f>E38*F32</f>
        <v>26.355000000000004</v>
      </c>
      <c r="G38" s="8"/>
      <c r="H38" s="8"/>
      <c r="I38" s="8"/>
      <c r="J38" s="8"/>
      <c r="K38" s="167"/>
      <c r="L38" s="37"/>
      <c r="M38" s="8"/>
      <c r="N38" s="327"/>
    </row>
    <row r="39" spans="1:16">
      <c r="A39" s="27"/>
      <c r="B39" s="48" t="s">
        <v>146</v>
      </c>
      <c r="C39" s="244" t="s">
        <v>118</v>
      </c>
      <c r="D39" s="15" t="s">
        <v>34</v>
      </c>
      <c r="E39" s="16">
        <v>1.6</v>
      </c>
      <c r="F39" s="183">
        <f>E39*F37</f>
        <v>734.928</v>
      </c>
      <c r="G39" s="17"/>
      <c r="H39" s="15"/>
      <c r="I39" s="16"/>
      <c r="J39" s="17"/>
      <c r="K39" s="16"/>
      <c r="L39" s="15"/>
      <c r="M39" s="16"/>
      <c r="N39" s="327"/>
    </row>
    <row r="40" spans="1:16" ht="33">
      <c r="A40" s="39">
        <v>7</v>
      </c>
      <c r="B40" s="151" t="s">
        <v>179</v>
      </c>
      <c r="C40" s="246" t="s">
        <v>369</v>
      </c>
      <c r="D40" s="246" t="s">
        <v>180</v>
      </c>
      <c r="E40" s="247"/>
      <c r="F40" s="248">
        <f>2510/1000</f>
        <v>2.5099999999999998</v>
      </c>
      <c r="G40" s="39"/>
      <c r="H40" s="10"/>
      <c r="I40" s="39"/>
      <c r="J40" s="10"/>
      <c r="K40" s="39"/>
      <c r="L40" s="10"/>
      <c r="M40" s="54"/>
      <c r="N40" s="327"/>
    </row>
    <row r="41" spans="1:16">
      <c r="A41" s="169"/>
      <c r="B41" s="4"/>
      <c r="C41" s="249" t="s">
        <v>181</v>
      </c>
      <c r="D41" s="250" t="s">
        <v>82</v>
      </c>
      <c r="E41" s="249">
        <v>33</v>
      </c>
      <c r="F41" s="6">
        <f>F40*E41</f>
        <v>82.83</v>
      </c>
      <c r="G41" s="6"/>
      <c r="H41" s="6"/>
      <c r="I41" s="5"/>
      <c r="J41" s="6"/>
      <c r="K41" s="5"/>
      <c r="L41" s="6"/>
      <c r="M41" s="6"/>
      <c r="N41" s="327"/>
    </row>
    <row r="42" spans="1:16">
      <c r="A42" s="169"/>
      <c r="B42" s="4" t="s">
        <v>161</v>
      </c>
      <c r="C42" s="249" t="s">
        <v>182</v>
      </c>
      <c r="D42" s="250" t="s">
        <v>183</v>
      </c>
      <c r="E42" s="249">
        <v>0.42</v>
      </c>
      <c r="F42" s="6">
        <f>E42*F40</f>
        <v>1.0541999999999998</v>
      </c>
      <c r="G42" s="5"/>
      <c r="H42" s="6"/>
      <c r="I42" s="5"/>
      <c r="J42" s="6"/>
      <c r="K42" s="251"/>
      <c r="L42" s="6"/>
      <c r="M42" s="6"/>
      <c r="N42" s="327"/>
    </row>
    <row r="43" spans="1:16">
      <c r="A43" s="169"/>
      <c r="B43" s="4" t="s">
        <v>145</v>
      </c>
      <c r="C43" s="249" t="s">
        <v>184</v>
      </c>
      <c r="D43" s="250" t="s">
        <v>183</v>
      </c>
      <c r="E43" s="249">
        <v>2.58</v>
      </c>
      <c r="F43" s="6">
        <f>E43*F40</f>
        <v>6.4757999999999996</v>
      </c>
      <c r="G43" s="5"/>
      <c r="H43" s="6"/>
      <c r="I43" s="5"/>
      <c r="J43" s="6"/>
      <c r="K43" s="251"/>
      <c r="L43" s="6"/>
      <c r="M43" s="6"/>
      <c r="N43" s="327"/>
    </row>
    <row r="44" spans="1:16">
      <c r="A44" s="169"/>
      <c r="B44" s="4" t="s">
        <v>165</v>
      </c>
      <c r="C44" s="249" t="s">
        <v>185</v>
      </c>
      <c r="D44" s="250" t="s">
        <v>183</v>
      </c>
      <c r="E44" s="249">
        <v>11.2</v>
      </c>
      <c r="F44" s="6">
        <f>E44*F40</f>
        <v>28.111999999999995</v>
      </c>
      <c r="G44" s="5"/>
      <c r="H44" s="6"/>
      <c r="I44" s="5"/>
      <c r="J44" s="6"/>
      <c r="K44" s="251"/>
      <c r="L44" s="6"/>
      <c r="M44" s="6"/>
      <c r="N44" s="327"/>
    </row>
    <row r="45" spans="1:16">
      <c r="A45" s="169"/>
      <c r="B45" s="4" t="s">
        <v>166</v>
      </c>
      <c r="C45" s="249" t="s">
        <v>186</v>
      </c>
      <c r="D45" s="250" t="s">
        <v>183</v>
      </c>
      <c r="E45" s="249">
        <v>24.8</v>
      </c>
      <c r="F45" s="6">
        <f>F40*E45</f>
        <v>62.247999999999998</v>
      </c>
      <c r="G45" s="5"/>
      <c r="H45" s="6"/>
      <c r="I45" s="5"/>
      <c r="J45" s="6"/>
      <c r="K45" s="251"/>
      <c r="L45" s="6"/>
      <c r="M45" s="6"/>
      <c r="N45" s="327"/>
    </row>
    <row r="46" spans="1:16">
      <c r="A46" s="169"/>
      <c r="B46" s="4" t="s">
        <v>163</v>
      </c>
      <c r="C46" s="20" t="s">
        <v>187</v>
      </c>
      <c r="D46" s="250" t="s">
        <v>183</v>
      </c>
      <c r="E46" s="5">
        <v>4.1399999999999997</v>
      </c>
      <c r="F46" s="6">
        <f>E46*F40</f>
        <v>10.391399999999999</v>
      </c>
      <c r="G46" s="5"/>
      <c r="H46" s="6"/>
      <c r="I46" s="5"/>
      <c r="J46" s="6"/>
      <c r="K46" s="5"/>
      <c r="L46" s="6"/>
      <c r="M46" s="6"/>
      <c r="N46" s="327"/>
    </row>
    <row r="47" spans="1:16" ht="33">
      <c r="A47" s="169"/>
      <c r="B47" s="4" t="s">
        <v>225</v>
      </c>
      <c r="C47" s="20" t="s">
        <v>188</v>
      </c>
      <c r="D47" s="250" t="s">
        <v>183</v>
      </c>
      <c r="E47" s="5">
        <v>0.53</v>
      </c>
      <c r="F47" s="6">
        <f>F40*E47</f>
        <v>1.3303</v>
      </c>
      <c r="G47" s="5"/>
      <c r="H47" s="6"/>
      <c r="I47" s="5"/>
      <c r="J47" s="6"/>
      <c r="K47" s="5"/>
      <c r="L47" s="6"/>
      <c r="M47" s="6"/>
      <c r="N47" s="327"/>
    </row>
    <row r="48" spans="1:16" ht="20.25">
      <c r="A48" s="169"/>
      <c r="B48" s="4"/>
      <c r="C48" s="20" t="s">
        <v>189</v>
      </c>
      <c r="D48" s="252" t="s">
        <v>98</v>
      </c>
      <c r="E48" s="5">
        <v>189</v>
      </c>
      <c r="F48" s="6">
        <f>F40*E48</f>
        <v>474.39</v>
      </c>
      <c r="G48" s="5"/>
      <c r="H48" s="6"/>
      <c r="I48" s="5"/>
      <c r="J48" s="6"/>
      <c r="K48" s="5"/>
      <c r="L48" s="6"/>
      <c r="M48" s="6"/>
      <c r="N48" s="327"/>
      <c r="P48" s="159"/>
    </row>
    <row r="49" spans="1:14" ht="20.25">
      <c r="A49" s="170"/>
      <c r="B49" s="146" t="s">
        <v>164</v>
      </c>
      <c r="C49" s="21" t="s">
        <v>87</v>
      </c>
      <c r="D49" s="253" t="s">
        <v>98</v>
      </c>
      <c r="E49" s="167">
        <v>30</v>
      </c>
      <c r="F49" s="8">
        <f>F40*E49</f>
        <v>75.3</v>
      </c>
      <c r="G49" s="167"/>
      <c r="H49" s="8"/>
      <c r="I49" s="167"/>
      <c r="J49" s="8"/>
      <c r="K49" s="167"/>
      <c r="L49" s="8"/>
      <c r="M49" s="8"/>
      <c r="N49" s="327"/>
    </row>
    <row r="50" spans="1:14">
      <c r="A50" s="36"/>
      <c r="B50" s="48" t="s">
        <v>146</v>
      </c>
      <c r="C50" s="164" t="s">
        <v>103</v>
      </c>
      <c r="D50" s="137" t="s">
        <v>34</v>
      </c>
      <c r="E50" s="18">
        <v>1.6</v>
      </c>
      <c r="F50" s="18">
        <f>E50*F48</f>
        <v>759.024</v>
      </c>
      <c r="G50" s="138"/>
      <c r="H50" s="137"/>
      <c r="I50" s="18"/>
      <c r="J50" s="138"/>
      <c r="K50" s="18"/>
      <c r="L50" s="137"/>
      <c r="M50" s="18"/>
      <c r="N50" s="327"/>
    </row>
    <row r="51" spans="1:14" s="98" customFormat="1" ht="33">
      <c r="A51" s="165">
        <v>8</v>
      </c>
      <c r="B51" s="151" t="s">
        <v>58</v>
      </c>
      <c r="C51" s="150" t="s">
        <v>116</v>
      </c>
      <c r="D51" s="143" t="s">
        <v>34</v>
      </c>
      <c r="E51" s="143"/>
      <c r="F51" s="213">
        <v>1.7569999999999999</v>
      </c>
      <c r="G51" s="6"/>
      <c r="H51" s="6"/>
      <c r="I51" s="6"/>
      <c r="J51" s="6"/>
      <c r="K51" s="6"/>
      <c r="L51" s="6"/>
      <c r="M51" s="6"/>
      <c r="N51" s="327"/>
    </row>
    <row r="52" spans="1:14" s="98" customFormat="1">
      <c r="A52" s="4"/>
      <c r="B52" s="4" t="s">
        <v>159</v>
      </c>
      <c r="C52" s="14" t="s">
        <v>59</v>
      </c>
      <c r="D52" s="6" t="s">
        <v>31</v>
      </c>
      <c r="E52" s="6">
        <v>0.3</v>
      </c>
      <c r="F52" s="6">
        <f>E52*F51</f>
        <v>0.5270999999999999</v>
      </c>
      <c r="G52" s="6"/>
      <c r="H52" s="5"/>
      <c r="I52" s="5"/>
      <c r="J52" s="5"/>
      <c r="K52" s="13"/>
      <c r="L52" s="6"/>
      <c r="M52" s="6"/>
      <c r="N52" s="327"/>
    </row>
    <row r="53" spans="1:14" s="98" customFormat="1">
      <c r="A53" s="146"/>
      <c r="B53" s="146" t="s">
        <v>160</v>
      </c>
      <c r="C53" s="147" t="s">
        <v>79</v>
      </c>
      <c r="D53" s="8" t="s">
        <v>34</v>
      </c>
      <c r="E53" s="8">
        <v>1.03</v>
      </c>
      <c r="F53" s="8">
        <f>E53*F51</f>
        <v>1.8097099999999999</v>
      </c>
      <c r="G53" s="8"/>
      <c r="H53" s="167"/>
      <c r="I53" s="8"/>
      <c r="J53" s="8"/>
      <c r="K53" s="167"/>
      <c r="L53" s="8"/>
      <c r="M53" s="8"/>
      <c r="N53" s="327"/>
    </row>
    <row r="54" spans="1:14" s="257" customFormat="1" ht="33">
      <c r="A54" s="39">
        <v>9</v>
      </c>
      <c r="B54" s="171" t="s">
        <v>114</v>
      </c>
      <c r="C54" s="1" t="s">
        <v>142</v>
      </c>
      <c r="D54" s="143" t="s">
        <v>104</v>
      </c>
      <c r="E54" s="143"/>
      <c r="F54" s="211">
        <v>2510</v>
      </c>
      <c r="G54" s="188"/>
      <c r="H54" s="166"/>
      <c r="I54" s="166"/>
      <c r="J54" s="166"/>
      <c r="K54" s="166"/>
      <c r="L54" s="166"/>
      <c r="M54" s="166"/>
      <c r="N54" s="327"/>
    </row>
    <row r="55" spans="1:14" s="257" customFormat="1">
      <c r="A55" s="169"/>
      <c r="B55" s="4"/>
      <c r="C55" s="14" t="s">
        <v>29</v>
      </c>
      <c r="D55" s="6" t="s">
        <v>30</v>
      </c>
      <c r="E55" s="145">
        <f>3.75/100</f>
        <v>3.7499999999999999E-2</v>
      </c>
      <c r="F55" s="6">
        <f>E55*F54</f>
        <v>94.125</v>
      </c>
      <c r="G55" s="6"/>
      <c r="H55" s="6"/>
      <c r="I55" s="6"/>
      <c r="J55" s="6"/>
      <c r="K55" s="6"/>
      <c r="L55" s="6"/>
      <c r="M55" s="6"/>
      <c r="N55" s="327"/>
    </row>
    <row r="56" spans="1:14" s="257" customFormat="1">
      <c r="A56" s="169"/>
      <c r="B56" s="4" t="s">
        <v>167</v>
      </c>
      <c r="C56" s="14" t="s">
        <v>113</v>
      </c>
      <c r="D56" s="6" t="s">
        <v>31</v>
      </c>
      <c r="E56" s="145">
        <f>0.302/100</f>
        <v>3.0200000000000001E-3</v>
      </c>
      <c r="F56" s="6">
        <f>E56*F54</f>
        <v>7.5802000000000005</v>
      </c>
      <c r="G56" s="6"/>
      <c r="H56" s="6"/>
      <c r="I56" s="6"/>
      <c r="J56" s="6"/>
      <c r="K56" s="6"/>
      <c r="L56" s="6"/>
      <c r="M56" s="6"/>
      <c r="N56" s="327"/>
    </row>
    <row r="57" spans="1:14" s="257" customFormat="1">
      <c r="A57" s="169"/>
      <c r="B57" s="4" t="s">
        <v>165</v>
      </c>
      <c r="C57" s="14" t="s">
        <v>52</v>
      </c>
      <c r="D57" s="6" t="s">
        <v>31</v>
      </c>
      <c r="E57" s="145">
        <f>0.37/100</f>
        <v>3.7000000000000002E-3</v>
      </c>
      <c r="F57" s="6">
        <f>E57*F54</f>
        <v>9.2870000000000008</v>
      </c>
      <c r="G57" s="6"/>
      <c r="H57" s="6"/>
      <c r="I57" s="6"/>
      <c r="J57" s="6"/>
      <c r="K57" s="13"/>
      <c r="L57" s="6"/>
      <c r="M57" s="6"/>
      <c r="N57" s="327"/>
    </row>
    <row r="58" spans="1:14" s="257" customFormat="1">
      <c r="A58" s="169"/>
      <c r="B58" s="4" t="s">
        <v>166</v>
      </c>
      <c r="C58" s="14" t="s">
        <v>53</v>
      </c>
      <c r="D58" s="6" t="s">
        <v>31</v>
      </c>
      <c r="E58" s="145">
        <f>1.11/100</f>
        <v>1.11E-2</v>
      </c>
      <c r="F58" s="6">
        <f>E58*F54</f>
        <v>27.861000000000001</v>
      </c>
      <c r="G58" s="6"/>
      <c r="H58" s="6"/>
      <c r="I58" s="6"/>
      <c r="J58" s="6"/>
      <c r="K58" s="13"/>
      <c r="L58" s="6"/>
      <c r="M58" s="6"/>
      <c r="N58" s="327"/>
    </row>
    <row r="59" spans="1:14" s="257" customFormat="1">
      <c r="A59" s="169"/>
      <c r="B59" s="4"/>
      <c r="C59" s="14" t="s">
        <v>36</v>
      </c>
      <c r="D59" s="6" t="s">
        <v>33</v>
      </c>
      <c r="E59" s="145">
        <f>0.23/100</f>
        <v>2.3E-3</v>
      </c>
      <c r="F59" s="6">
        <f>E59*F54</f>
        <v>5.7729999999999997</v>
      </c>
      <c r="G59" s="6"/>
      <c r="H59" s="6"/>
      <c r="I59" s="6"/>
      <c r="J59" s="6"/>
      <c r="K59" s="6"/>
      <c r="L59" s="6"/>
      <c r="M59" s="6"/>
      <c r="N59" s="327"/>
    </row>
    <row r="60" spans="1:14" s="257" customFormat="1">
      <c r="A60" s="169"/>
      <c r="B60" s="14" t="s">
        <v>168</v>
      </c>
      <c r="C60" s="14" t="s">
        <v>115</v>
      </c>
      <c r="D60" s="6" t="s">
        <v>34</v>
      </c>
      <c r="E60" s="145">
        <v>0.1216</v>
      </c>
      <c r="F60" s="6">
        <f>E60*F54</f>
        <v>305.21600000000001</v>
      </c>
      <c r="G60" s="6"/>
      <c r="H60" s="6"/>
      <c r="I60" s="6"/>
      <c r="J60" s="6"/>
      <c r="K60" s="6"/>
      <c r="L60" s="6"/>
      <c r="M60" s="6"/>
      <c r="N60" s="327"/>
    </row>
    <row r="61" spans="1:14" s="257" customFormat="1">
      <c r="A61" s="170"/>
      <c r="B61" s="146"/>
      <c r="C61" s="147" t="s">
        <v>37</v>
      </c>
      <c r="D61" s="8" t="s">
        <v>33</v>
      </c>
      <c r="E61" s="185">
        <f>1.45/100</f>
        <v>1.4499999999999999E-2</v>
      </c>
      <c r="F61" s="8">
        <f>E61*F54</f>
        <v>36.394999999999996</v>
      </c>
      <c r="G61" s="8"/>
      <c r="H61" s="8"/>
      <c r="I61" s="8"/>
      <c r="J61" s="8"/>
      <c r="K61" s="8"/>
      <c r="L61" s="8"/>
      <c r="M61" s="8"/>
      <c r="N61" s="327"/>
    </row>
    <row r="62" spans="1:14">
      <c r="A62" s="36"/>
      <c r="B62" s="48" t="s">
        <v>152</v>
      </c>
      <c r="C62" s="164" t="s">
        <v>190</v>
      </c>
      <c r="D62" s="137" t="s">
        <v>34</v>
      </c>
      <c r="E62" s="18"/>
      <c r="F62" s="50">
        <f>F60</f>
        <v>305.21600000000001</v>
      </c>
      <c r="G62" s="138"/>
      <c r="H62" s="137"/>
      <c r="I62" s="18"/>
      <c r="J62" s="138"/>
      <c r="K62" s="18"/>
      <c r="L62" s="137"/>
      <c r="M62" s="18"/>
      <c r="N62" s="327"/>
    </row>
    <row r="63" spans="1:14" s="98" customFormat="1">
      <c r="A63" s="184">
        <v>10</v>
      </c>
      <c r="B63" s="184" t="s">
        <v>137</v>
      </c>
      <c r="C63" s="223" t="s">
        <v>197</v>
      </c>
      <c r="D63" s="155" t="s">
        <v>35</v>
      </c>
      <c r="E63" s="155"/>
      <c r="F63" s="224">
        <v>150</v>
      </c>
      <c r="G63" s="224"/>
      <c r="H63" s="224"/>
      <c r="I63" s="224"/>
      <c r="J63" s="224"/>
      <c r="K63" s="224"/>
      <c r="L63" s="224"/>
      <c r="M63" s="224"/>
      <c r="N63" s="327"/>
    </row>
    <row r="64" spans="1:14" s="98" customFormat="1">
      <c r="A64" s="4"/>
      <c r="B64" s="4"/>
      <c r="C64" s="4" t="s">
        <v>29</v>
      </c>
      <c r="D64" s="6" t="s">
        <v>30</v>
      </c>
      <c r="E64" s="145">
        <v>1.1100000000000001</v>
      </c>
      <c r="F64" s="6">
        <f>E64*F63</f>
        <v>166.50000000000003</v>
      </c>
      <c r="G64" s="6"/>
      <c r="H64" s="6"/>
      <c r="I64" s="6"/>
      <c r="J64" s="6"/>
      <c r="K64" s="6"/>
      <c r="L64" s="6"/>
      <c r="M64" s="6"/>
      <c r="N64" s="327"/>
    </row>
    <row r="65" spans="1:14" s="98" customFormat="1">
      <c r="A65" s="4"/>
      <c r="B65" s="4"/>
      <c r="C65" s="4" t="s">
        <v>70</v>
      </c>
      <c r="D65" s="6" t="s">
        <v>33</v>
      </c>
      <c r="E65" s="145">
        <f>0.71/100</f>
        <v>7.0999999999999995E-3</v>
      </c>
      <c r="F65" s="6">
        <f>E65*F63</f>
        <v>1.0649999999999999</v>
      </c>
      <c r="G65" s="6"/>
      <c r="H65" s="6"/>
      <c r="I65" s="6"/>
      <c r="J65" s="6"/>
      <c r="K65" s="6"/>
      <c r="L65" s="6"/>
      <c r="M65" s="6"/>
      <c r="N65" s="327"/>
    </row>
    <row r="66" spans="1:14" s="98" customFormat="1">
      <c r="A66" s="4"/>
      <c r="B66" s="4" t="s">
        <v>229</v>
      </c>
      <c r="C66" s="4" t="s">
        <v>138</v>
      </c>
      <c r="D66" s="6" t="s">
        <v>84</v>
      </c>
      <c r="E66" s="145">
        <v>1</v>
      </c>
      <c r="F66" s="6">
        <f>F63</f>
        <v>150</v>
      </c>
      <c r="G66" s="6"/>
      <c r="H66" s="6"/>
      <c r="I66" s="6"/>
      <c r="J66" s="6"/>
      <c r="K66" s="6"/>
      <c r="L66" s="6"/>
      <c r="M66" s="6"/>
      <c r="N66" s="327"/>
    </row>
    <row r="67" spans="1:14" s="98" customFormat="1" ht="20.25">
      <c r="A67" s="4"/>
      <c r="B67" s="25" t="s">
        <v>218</v>
      </c>
      <c r="C67" s="4" t="s">
        <v>139</v>
      </c>
      <c r="D67" s="6" t="s">
        <v>98</v>
      </c>
      <c r="E67" s="145" t="s">
        <v>127</v>
      </c>
      <c r="F67" s="6">
        <v>5.25</v>
      </c>
      <c r="G67" s="6"/>
      <c r="H67" s="6"/>
      <c r="I67" s="6"/>
      <c r="J67" s="6"/>
      <c r="K67" s="6"/>
      <c r="L67" s="6"/>
      <c r="M67" s="6"/>
      <c r="N67" s="327"/>
    </row>
    <row r="68" spans="1:14" s="98" customFormat="1" ht="20.25">
      <c r="A68" s="4"/>
      <c r="B68" s="4" t="s">
        <v>230</v>
      </c>
      <c r="C68" s="4" t="s">
        <v>140</v>
      </c>
      <c r="D68" s="6" t="s">
        <v>98</v>
      </c>
      <c r="E68" s="145">
        <f>0.06/100</f>
        <v>5.9999999999999995E-4</v>
      </c>
      <c r="F68" s="6">
        <f>E68*F63</f>
        <v>0.09</v>
      </c>
      <c r="G68" s="6"/>
      <c r="H68" s="6"/>
      <c r="I68" s="6"/>
      <c r="J68" s="6"/>
      <c r="K68" s="6"/>
      <c r="L68" s="6"/>
      <c r="M68" s="6"/>
      <c r="N68" s="327"/>
    </row>
    <row r="69" spans="1:14" s="98" customFormat="1">
      <c r="A69" s="4"/>
      <c r="B69" s="4"/>
      <c r="C69" s="4" t="s">
        <v>37</v>
      </c>
      <c r="D69" s="6" t="s">
        <v>33</v>
      </c>
      <c r="E69" s="145">
        <f>9.6/100</f>
        <v>9.6000000000000002E-2</v>
      </c>
      <c r="F69" s="6">
        <f>E69*F63</f>
        <v>14.4</v>
      </c>
      <c r="G69" s="6"/>
      <c r="H69" s="6"/>
      <c r="I69" s="6"/>
      <c r="J69" s="6"/>
      <c r="K69" s="6"/>
      <c r="L69" s="6"/>
      <c r="M69" s="6"/>
      <c r="N69" s="327"/>
    </row>
    <row r="70" spans="1:14" s="98" customFormat="1">
      <c r="A70" s="96"/>
      <c r="B70" s="48" t="s">
        <v>152</v>
      </c>
      <c r="C70" s="97" t="s">
        <v>196</v>
      </c>
      <c r="D70" s="50" t="s">
        <v>34</v>
      </c>
      <c r="E70" s="50"/>
      <c r="F70" s="50">
        <f>F66*0.3*0.15*2.4</f>
        <v>16.2</v>
      </c>
      <c r="G70" s="50"/>
      <c r="H70" s="50"/>
      <c r="I70" s="50"/>
      <c r="J70" s="50"/>
      <c r="K70" s="50"/>
      <c r="L70" s="50"/>
      <c r="M70" s="50"/>
      <c r="N70" s="327"/>
    </row>
    <row r="71" spans="1:14" s="98" customFormat="1">
      <c r="A71" s="96"/>
      <c r="B71" s="48" t="s">
        <v>152</v>
      </c>
      <c r="C71" s="164" t="s">
        <v>119</v>
      </c>
      <c r="D71" s="137" t="s">
        <v>34</v>
      </c>
      <c r="E71" s="18">
        <v>2.4</v>
      </c>
      <c r="F71" s="50">
        <f>E71*F67</f>
        <v>12.6</v>
      </c>
      <c r="G71" s="138"/>
      <c r="H71" s="137"/>
      <c r="I71" s="18"/>
      <c r="J71" s="138"/>
      <c r="K71" s="18"/>
      <c r="L71" s="137"/>
      <c r="M71" s="18"/>
      <c r="N71" s="327"/>
    </row>
    <row r="72" spans="1:14" ht="46.5" customHeight="1">
      <c r="A72" s="432" t="s">
        <v>371</v>
      </c>
      <c r="B72" s="433"/>
      <c r="C72" s="433"/>
      <c r="D72" s="433"/>
      <c r="E72" s="433"/>
      <c r="F72" s="434"/>
      <c r="G72" s="300"/>
      <c r="H72" s="300"/>
      <c r="I72" s="300"/>
      <c r="J72" s="300"/>
      <c r="K72" s="300"/>
      <c r="L72" s="301"/>
      <c r="M72" s="300"/>
      <c r="N72" s="327"/>
    </row>
    <row r="73" spans="1:14" ht="49.5">
      <c r="A73" s="22">
        <v>11</v>
      </c>
      <c r="B73" s="142" t="s">
        <v>88</v>
      </c>
      <c r="C73" s="160" t="s">
        <v>366</v>
      </c>
      <c r="D73" s="87" t="s">
        <v>97</v>
      </c>
      <c r="E73" s="23"/>
      <c r="F73" s="210">
        <v>12.96</v>
      </c>
      <c r="G73" s="17"/>
      <c r="H73" s="15"/>
      <c r="I73" s="16"/>
      <c r="J73" s="17"/>
      <c r="K73" s="16"/>
      <c r="L73" s="15"/>
      <c r="M73" s="155"/>
      <c r="N73" s="327"/>
    </row>
    <row r="74" spans="1:14">
      <c r="A74" s="4"/>
      <c r="B74" s="4"/>
      <c r="C74" s="26" t="s">
        <v>29</v>
      </c>
      <c r="D74" s="6" t="s">
        <v>30</v>
      </c>
      <c r="E74" s="145">
        <f>20/1000</f>
        <v>0.02</v>
      </c>
      <c r="F74" s="6">
        <f>E74*F73</f>
        <v>0.25920000000000004</v>
      </c>
      <c r="G74" s="6"/>
      <c r="H74" s="6"/>
      <c r="I74" s="16"/>
      <c r="J74" s="16"/>
      <c r="K74" s="16"/>
      <c r="L74" s="15"/>
      <c r="M74" s="16"/>
      <c r="N74" s="327"/>
    </row>
    <row r="75" spans="1:14">
      <c r="A75" s="4"/>
      <c r="B75" s="4" t="s">
        <v>143</v>
      </c>
      <c r="C75" s="26" t="s">
        <v>66</v>
      </c>
      <c r="D75" s="6" t="s">
        <v>31</v>
      </c>
      <c r="E75" s="145">
        <f>44.8/1000</f>
        <v>4.48E-2</v>
      </c>
      <c r="F75" s="6">
        <f>E75*F73</f>
        <v>0.58060800000000001</v>
      </c>
      <c r="G75" s="6"/>
      <c r="H75" s="6"/>
      <c r="I75" s="16"/>
      <c r="J75" s="17"/>
      <c r="K75" s="6"/>
      <c r="L75" s="15"/>
      <c r="M75" s="16"/>
      <c r="N75" s="327"/>
    </row>
    <row r="76" spans="1:14">
      <c r="A76" s="4"/>
      <c r="B76" s="4"/>
      <c r="C76" s="26" t="s">
        <v>36</v>
      </c>
      <c r="D76" s="6" t="s">
        <v>33</v>
      </c>
      <c r="E76" s="145">
        <f>2.1/1000</f>
        <v>2.1000000000000003E-3</v>
      </c>
      <c r="F76" s="13">
        <f>E76*F73</f>
        <v>2.7216000000000004E-2</v>
      </c>
      <c r="G76" s="6"/>
      <c r="H76" s="6"/>
      <c r="I76" s="6"/>
      <c r="J76" s="6"/>
      <c r="K76" s="6"/>
      <c r="L76" s="13"/>
      <c r="M76" s="6"/>
      <c r="N76" s="327"/>
    </row>
    <row r="77" spans="1:14">
      <c r="A77" s="36"/>
      <c r="B77" s="163" t="s">
        <v>144</v>
      </c>
      <c r="C77" s="164" t="s">
        <v>133</v>
      </c>
      <c r="D77" s="137" t="s">
        <v>34</v>
      </c>
      <c r="E77" s="18"/>
      <c r="F77" s="206">
        <f>F73*1.8</f>
        <v>23.328000000000003</v>
      </c>
      <c r="G77" s="138"/>
      <c r="H77" s="137"/>
      <c r="I77" s="18"/>
      <c r="J77" s="138"/>
      <c r="K77" s="18"/>
      <c r="L77" s="137"/>
      <c r="M77" s="18"/>
      <c r="N77" s="327"/>
    </row>
    <row r="78" spans="1:14" ht="49.5">
      <c r="A78" s="22">
        <v>12</v>
      </c>
      <c r="B78" s="181" t="s">
        <v>177</v>
      </c>
      <c r="C78" s="160" t="s">
        <v>367</v>
      </c>
      <c r="D78" s="87" t="s">
        <v>97</v>
      </c>
      <c r="E78" s="23"/>
      <c r="F78" s="210">
        <v>1.44</v>
      </c>
      <c r="G78" s="17"/>
      <c r="H78" s="15"/>
      <c r="I78" s="16"/>
      <c r="J78" s="17"/>
      <c r="K78" s="16"/>
      <c r="L78" s="15"/>
      <c r="M78" s="155"/>
      <c r="N78" s="327"/>
    </row>
    <row r="79" spans="1:14">
      <c r="A79" s="4"/>
      <c r="B79" s="4"/>
      <c r="C79" s="26" t="s">
        <v>29</v>
      </c>
      <c r="D79" s="6" t="s">
        <v>30</v>
      </c>
      <c r="E79" s="6">
        <f>2.06+0.87</f>
        <v>2.93</v>
      </c>
      <c r="F79" s="6">
        <f>E79*F78</f>
        <v>4.2191999999999998</v>
      </c>
      <c r="G79" s="6"/>
      <c r="H79" s="6"/>
      <c r="I79" s="16"/>
      <c r="J79" s="16"/>
      <c r="K79" s="16"/>
      <c r="L79" s="15"/>
      <c r="M79" s="16"/>
      <c r="N79" s="327"/>
    </row>
    <row r="80" spans="1:14">
      <c r="A80" s="36"/>
      <c r="B80" s="163" t="s">
        <v>144</v>
      </c>
      <c r="C80" s="164" t="s">
        <v>133</v>
      </c>
      <c r="D80" s="137" t="s">
        <v>34</v>
      </c>
      <c r="E80" s="18"/>
      <c r="F80" s="206">
        <f>F78*1.8</f>
        <v>2.5920000000000001</v>
      </c>
      <c r="G80" s="138"/>
      <c r="H80" s="137"/>
      <c r="I80" s="18"/>
      <c r="J80" s="138"/>
      <c r="K80" s="18"/>
      <c r="L80" s="137"/>
      <c r="M80" s="18"/>
      <c r="N80" s="327"/>
    </row>
    <row r="81" spans="1:16" ht="20.25">
      <c r="A81" s="22">
        <v>13</v>
      </c>
      <c r="B81" s="142" t="s">
        <v>67</v>
      </c>
      <c r="C81" s="40" t="s">
        <v>75</v>
      </c>
      <c r="D81" s="10" t="s">
        <v>97</v>
      </c>
      <c r="E81" s="152"/>
      <c r="F81" s="209">
        <f>F78+F73</f>
        <v>14.4</v>
      </c>
      <c r="G81" s="153"/>
      <c r="H81" s="153"/>
      <c r="I81" s="153"/>
      <c r="J81" s="153"/>
      <c r="K81" s="153"/>
      <c r="L81" s="154"/>
      <c r="M81" s="155"/>
      <c r="N81" s="327"/>
    </row>
    <row r="82" spans="1:16">
      <c r="A82" s="12"/>
      <c r="B82" s="245"/>
      <c r="C82" s="26" t="s">
        <v>29</v>
      </c>
      <c r="D82" s="6" t="s">
        <v>30</v>
      </c>
      <c r="E82" s="145">
        <f>3.23/1000</f>
        <v>3.2299999999999998E-3</v>
      </c>
      <c r="F82" s="6">
        <f>E82*F81</f>
        <v>4.6511999999999998E-2</v>
      </c>
      <c r="G82" s="7"/>
      <c r="H82" s="7"/>
      <c r="I82" s="41"/>
      <c r="J82" s="41"/>
      <c r="K82" s="41"/>
      <c r="L82" s="156"/>
      <c r="M82" s="7"/>
      <c r="N82" s="327"/>
    </row>
    <row r="83" spans="1:16">
      <c r="A83" s="4"/>
      <c r="B83" s="4" t="s">
        <v>145</v>
      </c>
      <c r="C83" s="26" t="s">
        <v>57</v>
      </c>
      <c r="D83" s="6" t="s">
        <v>31</v>
      </c>
      <c r="E83" s="29">
        <f>3.62/1000</f>
        <v>3.62E-3</v>
      </c>
      <c r="F83" s="6">
        <f>E83*F81</f>
        <v>5.2128000000000001E-2</v>
      </c>
      <c r="G83" s="6"/>
      <c r="H83" s="6"/>
      <c r="I83" s="6"/>
      <c r="J83" s="6"/>
      <c r="K83" s="6"/>
      <c r="L83" s="13"/>
      <c r="M83" s="6"/>
      <c r="N83" s="327"/>
    </row>
    <row r="84" spans="1:16">
      <c r="A84" s="86"/>
      <c r="B84" s="86"/>
      <c r="C84" s="42" t="s">
        <v>36</v>
      </c>
      <c r="D84" s="86" t="s">
        <v>33</v>
      </c>
      <c r="E84" s="157">
        <f>0.18/1000</f>
        <v>1.7999999999999998E-4</v>
      </c>
      <c r="F84" s="185">
        <f>E84*F81</f>
        <v>2.5919999999999997E-3</v>
      </c>
      <c r="G84" s="86"/>
      <c r="H84" s="86"/>
      <c r="I84" s="86"/>
      <c r="J84" s="86"/>
      <c r="K84" s="9"/>
      <c r="L84" s="37"/>
      <c r="M84" s="8"/>
      <c r="N84" s="327"/>
    </row>
    <row r="85" spans="1:16" ht="33">
      <c r="A85" s="39">
        <v>14</v>
      </c>
      <c r="B85" s="151" t="s">
        <v>179</v>
      </c>
      <c r="C85" s="246" t="s">
        <v>372</v>
      </c>
      <c r="D85" s="246" t="s">
        <v>180</v>
      </c>
      <c r="E85" s="247"/>
      <c r="F85" s="248">
        <f>48/1000</f>
        <v>4.8000000000000001E-2</v>
      </c>
      <c r="G85" s="39"/>
      <c r="H85" s="10"/>
      <c r="I85" s="39"/>
      <c r="J85" s="10"/>
      <c r="K85" s="39"/>
      <c r="L85" s="10"/>
      <c r="M85" s="54"/>
      <c r="N85" s="327"/>
    </row>
    <row r="86" spans="1:16">
      <c r="A86" s="169"/>
      <c r="B86" s="4"/>
      <c r="C86" s="249" t="s">
        <v>181</v>
      </c>
      <c r="D86" s="250" t="s">
        <v>82</v>
      </c>
      <c r="E86" s="249">
        <v>33</v>
      </c>
      <c r="F86" s="6">
        <f>F85*E86</f>
        <v>1.5840000000000001</v>
      </c>
      <c r="G86" s="6"/>
      <c r="H86" s="6"/>
      <c r="I86" s="5"/>
      <c r="J86" s="6"/>
      <c r="K86" s="5"/>
      <c r="L86" s="6"/>
      <c r="M86" s="6"/>
      <c r="N86" s="327"/>
    </row>
    <row r="87" spans="1:16">
      <c r="A87" s="169"/>
      <c r="B87" s="4" t="s">
        <v>161</v>
      </c>
      <c r="C87" s="249" t="s">
        <v>182</v>
      </c>
      <c r="D87" s="250" t="s">
        <v>183</v>
      </c>
      <c r="E87" s="249">
        <v>0.42</v>
      </c>
      <c r="F87" s="6">
        <f>E87*F85</f>
        <v>2.0160000000000001E-2</v>
      </c>
      <c r="G87" s="5"/>
      <c r="H87" s="6"/>
      <c r="I87" s="5"/>
      <c r="J87" s="6"/>
      <c r="K87" s="251"/>
      <c r="L87" s="6"/>
      <c r="M87" s="6"/>
      <c r="N87" s="327"/>
    </row>
    <row r="88" spans="1:16">
      <c r="A88" s="169"/>
      <c r="B88" s="4" t="s">
        <v>145</v>
      </c>
      <c r="C88" s="249" t="s">
        <v>184</v>
      </c>
      <c r="D88" s="250" t="s">
        <v>183</v>
      </c>
      <c r="E88" s="249">
        <v>2.58</v>
      </c>
      <c r="F88" s="6">
        <f>E88*F85</f>
        <v>0.12384000000000001</v>
      </c>
      <c r="G88" s="5"/>
      <c r="H88" s="6"/>
      <c r="I88" s="5"/>
      <c r="J88" s="6"/>
      <c r="K88" s="251"/>
      <c r="L88" s="6"/>
      <c r="M88" s="6"/>
      <c r="N88" s="327"/>
    </row>
    <row r="89" spans="1:16">
      <c r="A89" s="169"/>
      <c r="B89" s="4" t="s">
        <v>165</v>
      </c>
      <c r="C89" s="249" t="s">
        <v>185</v>
      </c>
      <c r="D89" s="250" t="s">
        <v>183</v>
      </c>
      <c r="E89" s="249">
        <v>11.2</v>
      </c>
      <c r="F89" s="6">
        <f>E89*F85</f>
        <v>0.53759999999999997</v>
      </c>
      <c r="G89" s="5"/>
      <c r="H89" s="6"/>
      <c r="I89" s="5"/>
      <c r="J89" s="6"/>
      <c r="K89" s="251"/>
      <c r="L89" s="6"/>
      <c r="M89" s="6"/>
      <c r="N89" s="327"/>
    </row>
    <row r="90" spans="1:16">
      <c r="A90" s="169"/>
      <c r="B90" s="4" t="s">
        <v>166</v>
      </c>
      <c r="C90" s="249" t="s">
        <v>186</v>
      </c>
      <c r="D90" s="250" t="s">
        <v>183</v>
      </c>
      <c r="E90" s="249">
        <v>24.8</v>
      </c>
      <c r="F90" s="6">
        <f>F85*E90</f>
        <v>1.1904000000000001</v>
      </c>
      <c r="G90" s="5"/>
      <c r="H90" s="6"/>
      <c r="I90" s="5"/>
      <c r="J90" s="6"/>
      <c r="K90" s="251"/>
      <c r="L90" s="6"/>
      <c r="M90" s="6"/>
      <c r="N90" s="327"/>
    </row>
    <row r="91" spans="1:16">
      <c r="A91" s="169"/>
      <c r="B91" s="4" t="s">
        <v>163</v>
      </c>
      <c r="C91" s="20" t="s">
        <v>187</v>
      </c>
      <c r="D91" s="250" t="s">
        <v>183</v>
      </c>
      <c r="E91" s="5">
        <v>4.1399999999999997</v>
      </c>
      <c r="F91" s="6">
        <f>E91*F85</f>
        <v>0.19871999999999998</v>
      </c>
      <c r="G91" s="5"/>
      <c r="H91" s="6"/>
      <c r="I91" s="5"/>
      <c r="J91" s="6"/>
      <c r="K91" s="5"/>
      <c r="L91" s="6"/>
      <c r="M91" s="6"/>
      <c r="N91" s="327"/>
    </row>
    <row r="92" spans="1:16" ht="33">
      <c r="A92" s="169"/>
      <c r="B92" s="4" t="s">
        <v>225</v>
      </c>
      <c r="C92" s="20" t="s">
        <v>188</v>
      </c>
      <c r="D92" s="250" t="s">
        <v>183</v>
      </c>
      <c r="E92" s="5">
        <v>0.53</v>
      </c>
      <c r="F92" s="6">
        <f>F85*E92</f>
        <v>2.5440000000000001E-2</v>
      </c>
      <c r="G92" s="5"/>
      <c r="H92" s="6"/>
      <c r="I92" s="5"/>
      <c r="J92" s="6"/>
      <c r="K92" s="5"/>
      <c r="L92" s="6"/>
      <c r="M92" s="6"/>
      <c r="N92" s="327"/>
    </row>
    <row r="93" spans="1:16" ht="20.25">
      <c r="A93" s="169"/>
      <c r="B93" s="4"/>
      <c r="C93" s="20" t="s">
        <v>189</v>
      </c>
      <c r="D93" s="252" t="s">
        <v>98</v>
      </c>
      <c r="E93" s="5">
        <v>189</v>
      </c>
      <c r="F93" s="6">
        <f>F85*E93</f>
        <v>9.072000000000001</v>
      </c>
      <c r="G93" s="5"/>
      <c r="H93" s="6"/>
      <c r="I93" s="5"/>
      <c r="J93" s="6"/>
      <c r="K93" s="5"/>
      <c r="L93" s="6"/>
      <c r="M93" s="6"/>
      <c r="N93" s="327"/>
      <c r="P93" s="159"/>
    </row>
    <row r="94" spans="1:16" ht="20.25">
      <c r="A94" s="170"/>
      <c r="B94" s="146" t="s">
        <v>164</v>
      </c>
      <c r="C94" s="21" t="s">
        <v>87</v>
      </c>
      <c r="D94" s="253" t="s">
        <v>98</v>
      </c>
      <c r="E94" s="167">
        <v>30</v>
      </c>
      <c r="F94" s="8">
        <f>F85*E94</f>
        <v>1.44</v>
      </c>
      <c r="G94" s="167"/>
      <c r="H94" s="8"/>
      <c r="I94" s="167"/>
      <c r="J94" s="8"/>
      <c r="K94" s="167"/>
      <c r="L94" s="8"/>
      <c r="M94" s="8"/>
      <c r="N94" s="327"/>
    </row>
    <row r="95" spans="1:16">
      <c r="A95" s="27"/>
      <c r="B95" s="254" t="s">
        <v>146</v>
      </c>
      <c r="C95" s="162" t="s">
        <v>103</v>
      </c>
      <c r="D95" s="15" t="s">
        <v>34</v>
      </c>
      <c r="E95" s="16">
        <v>1.6</v>
      </c>
      <c r="F95" s="16">
        <f>E95*F93</f>
        <v>14.515200000000002</v>
      </c>
      <c r="G95" s="17"/>
      <c r="H95" s="15"/>
      <c r="I95" s="16"/>
      <c r="J95" s="17"/>
      <c r="K95" s="16"/>
      <c r="L95" s="15"/>
      <c r="M95" s="16"/>
      <c r="N95" s="327"/>
    </row>
    <row r="96" spans="1:16" s="323" customFormat="1" ht="33">
      <c r="A96" s="39">
        <v>15</v>
      </c>
      <c r="B96" s="322" t="s">
        <v>373</v>
      </c>
      <c r="C96" s="136" t="s">
        <v>378</v>
      </c>
      <c r="D96" s="10" t="s">
        <v>104</v>
      </c>
      <c r="E96" s="10"/>
      <c r="F96" s="209">
        <v>48</v>
      </c>
      <c r="G96" s="54"/>
      <c r="H96" s="54"/>
      <c r="I96" s="54"/>
      <c r="J96" s="54"/>
      <c r="K96" s="54"/>
      <c r="L96" s="54"/>
      <c r="M96" s="54"/>
      <c r="N96" s="327"/>
    </row>
    <row r="97" spans="1:14" s="323" customFormat="1">
      <c r="A97" s="4"/>
      <c r="B97" s="324"/>
      <c r="C97" s="20" t="s">
        <v>374</v>
      </c>
      <c r="D97" s="20" t="s">
        <v>317</v>
      </c>
      <c r="E97" s="20">
        <f>(405-4.64*10)/1000</f>
        <v>0.35860000000000003</v>
      </c>
      <c r="F97" s="67">
        <f>E97*F96</f>
        <v>17.212800000000001</v>
      </c>
      <c r="G97" s="67"/>
      <c r="H97" s="67"/>
      <c r="I97" s="67"/>
      <c r="J97" s="67"/>
      <c r="K97" s="67"/>
      <c r="L97" s="67"/>
      <c r="M97" s="67"/>
      <c r="N97" s="327"/>
    </row>
    <row r="98" spans="1:14" s="323" customFormat="1">
      <c r="A98" s="4"/>
      <c r="B98" s="41"/>
      <c r="C98" s="14" t="s">
        <v>32</v>
      </c>
      <c r="D98" s="6" t="s">
        <v>31</v>
      </c>
      <c r="E98" s="29">
        <f>22.6/1000</f>
        <v>2.2600000000000002E-2</v>
      </c>
      <c r="F98" s="6">
        <f>F96*E98</f>
        <v>1.0848</v>
      </c>
      <c r="G98" s="6"/>
      <c r="H98" s="6"/>
      <c r="I98" s="6"/>
      <c r="J98" s="6"/>
      <c r="K98" s="6"/>
      <c r="L98" s="6"/>
      <c r="M98" s="6"/>
      <c r="N98" s="327"/>
    </row>
    <row r="99" spans="1:14" s="323" customFormat="1">
      <c r="A99" s="4"/>
      <c r="B99" s="20"/>
      <c r="C99" s="20" t="s">
        <v>375</v>
      </c>
      <c r="D99" s="20" t="s">
        <v>347</v>
      </c>
      <c r="E99" s="20">
        <f>13.5/1000</f>
        <v>1.35E-2</v>
      </c>
      <c r="F99" s="67">
        <f>E99*F96</f>
        <v>0.64800000000000002</v>
      </c>
      <c r="G99" s="67"/>
      <c r="H99" s="67"/>
      <c r="I99" s="67"/>
      <c r="J99" s="67"/>
      <c r="K99" s="67"/>
      <c r="L99" s="67"/>
      <c r="M99" s="67"/>
      <c r="N99" s="327"/>
    </row>
    <row r="100" spans="1:14" s="323" customFormat="1" ht="33">
      <c r="A100" s="4"/>
      <c r="B100" s="161" t="s">
        <v>221</v>
      </c>
      <c r="C100" s="20" t="s">
        <v>379</v>
      </c>
      <c r="D100" s="20" t="s">
        <v>345</v>
      </c>
      <c r="E100" s="20" t="s">
        <v>127</v>
      </c>
      <c r="F100" s="67">
        <v>5.76</v>
      </c>
      <c r="G100" s="67"/>
      <c r="H100" s="67"/>
      <c r="I100" s="67"/>
      <c r="J100" s="67"/>
      <c r="K100" s="67"/>
      <c r="L100" s="67"/>
      <c r="M100" s="67"/>
      <c r="N100" s="327"/>
    </row>
    <row r="101" spans="1:14" s="257" customFormat="1" ht="20.25">
      <c r="A101" s="5"/>
      <c r="B101" s="4" t="s">
        <v>381</v>
      </c>
      <c r="C101" s="5" t="s">
        <v>380</v>
      </c>
      <c r="D101" s="24" t="s">
        <v>171</v>
      </c>
      <c r="E101" s="273" t="s">
        <v>127</v>
      </c>
      <c r="F101" s="6">
        <v>48</v>
      </c>
      <c r="G101" s="7"/>
      <c r="H101" s="7"/>
      <c r="I101" s="2"/>
      <c r="J101" s="7"/>
      <c r="K101" s="6"/>
      <c r="L101" s="6"/>
      <c r="M101" s="6"/>
      <c r="N101" s="327"/>
    </row>
    <row r="102" spans="1:14" s="323" customFormat="1">
      <c r="A102" s="4"/>
      <c r="B102" s="41"/>
      <c r="C102" s="41" t="s">
        <v>376</v>
      </c>
      <c r="D102" s="41" t="s">
        <v>89</v>
      </c>
      <c r="E102" s="41">
        <f>(230-10*10)/1000</f>
        <v>0.13</v>
      </c>
      <c r="F102" s="41">
        <f>F96*E102</f>
        <v>6.24</v>
      </c>
      <c r="G102" s="12"/>
      <c r="H102" s="12"/>
      <c r="I102" s="5"/>
      <c r="J102" s="6"/>
      <c r="K102" s="6"/>
      <c r="L102" s="6"/>
      <c r="M102" s="6"/>
      <c r="N102" s="327"/>
    </row>
    <row r="103" spans="1:14" s="323" customFormat="1">
      <c r="A103" s="4"/>
      <c r="B103" s="41"/>
      <c r="C103" s="41" t="s">
        <v>192</v>
      </c>
      <c r="D103" s="20" t="s">
        <v>345</v>
      </c>
      <c r="E103" s="20">
        <f>40/1000</f>
        <v>0.04</v>
      </c>
      <c r="F103" s="67">
        <f>F96*E103</f>
        <v>1.92</v>
      </c>
      <c r="G103" s="67"/>
      <c r="H103" s="67"/>
      <c r="I103" s="67"/>
      <c r="J103" s="67"/>
      <c r="K103" s="67"/>
      <c r="L103" s="67"/>
      <c r="M103" s="67"/>
      <c r="N103" s="327"/>
    </row>
    <row r="104" spans="1:14" s="323" customFormat="1">
      <c r="A104" s="4"/>
      <c r="B104" s="324"/>
      <c r="C104" s="20" t="s">
        <v>377</v>
      </c>
      <c r="D104" s="20" t="s">
        <v>339</v>
      </c>
      <c r="E104" s="20">
        <f>(11.7-0.59*10)/1000</f>
        <v>5.7999999999999996E-3</v>
      </c>
      <c r="F104" s="67">
        <f>E104*F96</f>
        <v>0.27839999999999998</v>
      </c>
      <c r="G104" s="67"/>
      <c r="H104" s="67"/>
      <c r="I104" s="67"/>
      <c r="J104" s="67"/>
      <c r="K104" s="67"/>
      <c r="L104" s="67"/>
      <c r="M104" s="67"/>
      <c r="N104" s="327"/>
    </row>
    <row r="105" spans="1:14" s="323" customFormat="1">
      <c r="A105" s="4"/>
      <c r="B105" s="324"/>
      <c r="C105" s="20" t="s">
        <v>87</v>
      </c>
      <c r="D105" s="20" t="s">
        <v>345</v>
      </c>
      <c r="E105" s="20">
        <v>0.17799999999999999</v>
      </c>
      <c r="F105" s="67">
        <f>F96*E105</f>
        <v>8.5440000000000005</v>
      </c>
      <c r="G105" s="67"/>
      <c r="H105" s="67"/>
      <c r="I105" s="67"/>
      <c r="J105" s="67"/>
      <c r="K105" s="67"/>
      <c r="L105" s="67"/>
      <c r="M105" s="67"/>
      <c r="N105" s="327"/>
    </row>
    <row r="106" spans="1:14" s="323" customFormat="1">
      <c r="A106" s="146"/>
      <c r="B106" s="325"/>
      <c r="C106" s="21" t="s">
        <v>346</v>
      </c>
      <c r="D106" s="21" t="s">
        <v>347</v>
      </c>
      <c r="E106" s="21">
        <f>(6.4-0.19*10)/1000</f>
        <v>4.4999999999999997E-3</v>
      </c>
      <c r="F106" s="92">
        <f>E106*F96</f>
        <v>0.21599999999999997</v>
      </c>
      <c r="G106" s="92"/>
      <c r="H106" s="92"/>
      <c r="I106" s="92"/>
      <c r="J106" s="92"/>
      <c r="K106" s="92"/>
      <c r="L106" s="92"/>
      <c r="M106" s="92"/>
      <c r="N106" s="327"/>
    </row>
    <row r="107" spans="1:14">
      <c r="A107" s="36"/>
      <c r="B107" s="48" t="s">
        <v>152</v>
      </c>
      <c r="C107" s="164" t="s">
        <v>119</v>
      </c>
      <c r="D107" s="137" t="s">
        <v>34</v>
      </c>
      <c r="E107" s="18">
        <v>2.4</v>
      </c>
      <c r="F107" s="50">
        <f>E107*F100</f>
        <v>13.824</v>
      </c>
      <c r="G107" s="138"/>
      <c r="H107" s="137"/>
      <c r="I107" s="18"/>
      <c r="J107" s="138"/>
      <c r="K107" s="18"/>
      <c r="L107" s="137"/>
      <c r="M107" s="18"/>
      <c r="N107" s="327"/>
    </row>
    <row r="108" spans="1:14" ht="27" customHeight="1">
      <c r="A108" s="149"/>
      <c r="B108" s="52"/>
      <c r="C108" s="53" t="s">
        <v>12</v>
      </c>
      <c r="D108" s="52" t="s">
        <v>33</v>
      </c>
      <c r="E108" s="52"/>
      <c r="F108" s="52"/>
      <c r="G108" s="52"/>
      <c r="H108" s="54"/>
      <c r="I108" s="54"/>
      <c r="J108" s="54"/>
      <c r="K108" s="54"/>
      <c r="L108" s="54"/>
      <c r="M108" s="54"/>
      <c r="N108" s="336">
        <v>123181.22</v>
      </c>
    </row>
    <row r="109" spans="1:14" ht="33">
      <c r="A109" s="177"/>
      <c r="B109" s="4"/>
      <c r="C109" s="56" t="s">
        <v>398</v>
      </c>
      <c r="D109" s="57" t="s">
        <v>33</v>
      </c>
      <c r="E109" s="6"/>
      <c r="F109" s="6"/>
      <c r="G109" s="6"/>
      <c r="H109" s="6"/>
      <c r="I109" s="6"/>
      <c r="J109" s="6"/>
      <c r="K109" s="5"/>
      <c r="L109" s="13"/>
      <c r="M109" s="6"/>
      <c r="N109" s="327"/>
    </row>
    <row r="110" spans="1:14">
      <c r="A110" s="177"/>
      <c r="B110" s="4"/>
      <c r="C110" s="58" t="s">
        <v>12</v>
      </c>
      <c r="D110" s="57" t="s">
        <v>33</v>
      </c>
      <c r="E110" s="6"/>
      <c r="F110" s="6"/>
      <c r="G110" s="6"/>
      <c r="H110" s="6"/>
      <c r="I110" s="6"/>
      <c r="J110" s="6"/>
      <c r="K110" s="5"/>
      <c r="L110" s="13"/>
      <c r="M110" s="6"/>
      <c r="N110" s="327"/>
    </row>
    <row r="111" spans="1:14">
      <c r="A111" s="178"/>
      <c r="B111" s="60"/>
      <c r="C111" s="61" t="s">
        <v>395</v>
      </c>
      <c r="D111" s="57" t="s">
        <v>33</v>
      </c>
      <c r="E111" s="62"/>
      <c r="F111" s="63"/>
      <c r="G111" s="64"/>
      <c r="H111" s="62"/>
      <c r="I111" s="62"/>
      <c r="J111" s="62"/>
      <c r="K111" s="62"/>
      <c r="L111" s="65"/>
      <c r="M111" s="62"/>
      <c r="N111" s="327"/>
    </row>
    <row r="112" spans="1:14">
      <c r="A112" s="179"/>
      <c r="B112" s="60"/>
      <c r="C112" s="58" t="s">
        <v>12</v>
      </c>
      <c r="D112" s="57" t="s">
        <v>33</v>
      </c>
      <c r="E112" s="67"/>
      <c r="F112" s="58"/>
      <c r="G112" s="58"/>
      <c r="H112" s="67"/>
      <c r="I112" s="67"/>
      <c r="J112" s="67"/>
      <c r="K112" s="67"/>
      <c r="L112" s="68"/>
      <c r="M112" s="67"/>
      <c r="N112" s="327"/>
    </row>
    <row r="113" spans="1:14">
      <c r="A113" s="178"/>
      <c r="B113" s="60"/>
      <c r="C113" s="56" t="s">
        <v>396</v>
      </c>
      <c r="D113" s="57" t="s">
        <v>33</v>
      </c>
      <c r="E113" s="62"/>
      <c r="F113" s="69"/>
      <c r="G113" s="62"/>
      <c r="H113" s="62"/>
      <c r="I113" s="62"/>
      <c r="J113" s="62"/>
      <c r="K113" s="62"/>
      <c r="L113" s="65"/>
      <c r="M113" s="62"/>
      <c r="N113" s="327"/>
    </row>
    <row r="114" spans="1:14">
      <c r="A114" s="180"/>
      <c r="B114" s="71"/>
      <c r="C114" s="72" t="s">
        <v>12</v>
      </c>
      <c r="D114" s="73" t="s">
        <v>33</v>
      </c>
      <c r="E114" s="72"/>
      <c r="F114" s="72"/>
      <c r="G114" s="72"/>
      <c r="H114" s="74"/>
      <c r="I114" s="74"/>
      <c r="J114" s="74"/>
      <c r="K114" s="74"/>
      <c r="L114" s="75"/>
      <c r="M114" s="76"/>
      <c r="N114" s="327">
        <v>146537.62</v>
      </c>
    </row>
    <row r="116" spans="1:14">
      <c r="A116" s="438" t="s">
        <v>399</v>
      </c>
      <c r="B116" s="438"/>
      <c r="C116" s="439" t="s">
        <v>400</v>
      </c>
      <c r="D116" s="439"/>
      <c r="E116" s="439"/>
      <c r="F116" s="439"/>
      <c r="G116" s="439"/>
      <c r="H116" s="439"/>
      <c r="I116" s="439"/>
      <c r="J116" s="439"/>
      <c r="K116" s="439"/>
      <c r="L116" s="439"/>
      <c r="M116" s="439"/>
      <c r="N116" s="439"/>
    </row>
    <row r="117" spans="1:14" ht="32.25" customHeight="1">
      <c r="A117" s="438"/>
      <c r="B117" s="438"/>
      <c r="C117" s="439" t="s">
        <v>401</v>
      </c>
      <c r="D117" s="439"/>
      <c r="E117" s="439"/>
      <c r="F117" s="439"/>
      <c r="G117" s="439"/>
      <c r="H117" s="439"/>
      <c r="I117" s="439"/>
      <c r="J117" s="439"/>
      <c r="K117" s="439"/>
      <c r="L117" s="439"/>
      <c r="M117" s="439"/>
      <c r="N117" s="439"/>
    </row>
    <row r="119" spans="1:14">
      <c r="C119" s="392"/>
      <c r="D119" s="392"/>
      <c r="E119" s="392"/>
      <c r="F119" s="392"/>
      <c r="G119" s="392"/>
      <c r="H119" s="392"/>
      <c r="I119" s="392"/>
      <c r="J119" s="392"/>
      <c r="K119" s="392"/>
      <c r="L119" s="392"/>
    </row>
    <row r="120" spans="1:14">
      <c r="C120" s="16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1:14">
      <c r="C121" s="16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1:14">
      <c r="C122" s="16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1:14">
      <c r="C123" s="392"/>
      <c r="D123" s="392"/>
      <c r="E123" s="392"/>
      <c r="F123" s="392"/>
      <c r="G123" s="392"/>
      <c r="H123" s="392"/>
      <c r="I123" s="392"/>
      <c r="J123" s="392"/>
      <c r="K123" s="392"/>
      <c r="L123" s="392"/>
    </row>
    <row r="124" spans="1:14">
      <c r="C124" s="168"/>
      <c r="D124" s="88"/>
      <c r="E124" s="88"/>
      <c r="F124" s="88"/>
      <c r="G124" s="88"/>
      <c r="H124" s="88"/>
      <c r="I124" s="88"/>
      <c r="J124" s="88"/>
      <c r="K124" s="88"/>
      <c r="L124" s="88"/>
    </row>
  </sheetData>
  <mergeCells count="31">
    <mergeCell ref="A116:B117"/>
    <mergeCell ref="C116:N116"/>
    <mergeCell ref="C117:N117"/>
    <mergeCell ref="N8:N11"/>
    <mergeCell ref="A13:F13"/>
    <mergeCell ref="A72:F72"/>
    <mergeCell ref="C119:L119"/>
    <mergeCell ref="C123:L123"/>
    <mergeCell ref="A8:A11"/>
    <mergeCell ref="B8:B11"/>
    <mergeCell ref="C8:C11"/>
    <mergeCell ref="D8:F9"/>
    <mergeCell ref="D10:D11"/>
    <mergeCell ref="E10:E11"/>
    <mergeCell ref="F10:F11"/>
    <mergeCell ref="G8:H9"/>
    <mergeCell ref="I8:J9"/>
    <mergeCell ref="K8:L8"/>
    <mergeCell ref="M8:M11"/>
    <mergeCell ref="A1:M1"/>
    <mergeCell ref="A2:M2"/>
    <mergeCell ref="A3:M3"/>
    <mergeCell ref="A4:M4"/>
    <mergeCell ref="B5:D5"/>
    <mergeCell ref="F5:I5"/>
    <mergeCell ref="K9:L9"/>
    <mergeCell ref="H10:H11"/>
    <mergeCell ref="J10:J11"/>
    <mergeCell ref="L10:L11"/>
    <mergeCell ref="B6:C6"/>
    <mergeCell ref="F6:I6"/>
  </mergeCells>
  <phoneticPr fontId="4" type="noConversion"/>
  <conditionalFormatting sqref="B96:C96">
    <cfRule type="cellIs" dxfId="0" priority="1" operator="equal">
      <formula>0</formula>
    </cfRule>
  </conditionalFormatting>
  <printOptions horizontalCentered="1"/>
  <pageMargins left="0.51181102362204722" right="0.31496062992125984" top="0.39370078740157483" bottom="0.31496062992125984" header="0.51181102362204722" footer="0.51181102362204722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nakrebi lari</vt:lpstr>
      <vt:lpstr>x.a.1</vt:lpstr>
      <vt:lpstr>x.a.2</vt:lpstr>
      <vt:lpstr>x.a.3</vt:lpstr>
      <vt:lpstr>'nakrebi lari'!Print_Area</vt:lpstr>
      <vt:lpstr>x.a.1!Print_Area</vt:lpstr>
      <vt:lpstr>x.a.2!Print_Area</vt:lpstr>
      <vt:lpstr>x.a.3!Print_Area</vt:lpstr>
      <vt:lpstr>'nakrebi lari'!Print_Titles</vt:lpstr>
      <vt:lpstr>x.a.2!Print_Titles</vt:lpstr>
      <vt:lpstr>x.a.3!Print_Titles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roini</cp:lastModifiedBy>
  <cp:lastPrinted>2023-10-04T09:38:39Z</cp:lastPrinted>
  <dcterms:created xsi:type="dcterms:W3CDTF">1996-10-08T23:32:33Z</dcterms:created>
  <dcterms:modified xsi:type="dcterms:W3CDTF">2024-02-13T08:42:20Z</dcterms:modified>
</cp:coreProperties>
</file>