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826" activeTab="1"/>
  </bookViews>
  <sheets>
    <sheet name="tavfurceli" sheetId="1" r:id="rId1"/>
    <sheet name="nakrebi lari" sheetId="2" r:id="rId2"/>
    <sheet name="tr. agdgena" sheetId="3" r:id="rId3"/>
    <sheet name="x.a.1" sheetId="4" r:id="rId4"/>
    <sheet name="x.a.2" sheetId="5" r:id="rId5"/>
    <sheet name="x.a.3" sheetId="6" r:id="rId6"/>
    <sheet name="x.a.4" sheetId="7" r:id="rId7"/>
    <sheet name="x.a.5" sheetId="8" r:id="rId8"/>
  </sheets>
  <definedNames>
    <definedName name="_xlnm.Print_Area" localSheetId="1">'nakrebi lari'!$A$1:$O$44</definedName>
    <definedName name="_xlnm.Print_Area" localSheetId="2">'tr. agdgena'!$A$1:$N$13</definedName>
    <definedName name="_xlnm.Print_Area" localSheetId="3">'x.a.1'!$A$1:$N$44</definedName>
    <definedName name="_xlnm.Print_Area" localSheetId="4">'x.a.2'!$A$1:$N$155</definedName>
    <definedName name="_xlnm.Print_Area" localSheetId="5">'x.a.3'!$A$1:$N$169</definedName>
    <definedName name="_xlnm.Print_Area" localSheetId="6">'x.a.4'!$A$1:$N$43</definedName>
    <definedName name="_xlnm.Print_Area" localSheetId="7">'x.a.5'!$A$1:$N$29</definedName>
    <definedName name="_xlnm.Print_Titles" localSheetId="1">'nakrebi lari'!$15:$15</definedName>
    <definedName name="_xlnm.Print_Titles" localSheetId="3">'x.a.1'!$12:$12</definedName>
    <definedName name="_xlnm.Print_Titles" localSheetId="4">'x.a.2'!$12:$12</definedName>
  </definedNames>
  <calcPr fullCalcOnLoad="1"/>
</workbook>
</file>

<file path=xl/sharedStrings.xml><?xml version="1.0" encoding="utf-8"?>
<sst xmlns="http://schemas.openxmlformats.org/spreadsheetml/2006/main" count="1083" uniqueCount="219">
  <si>
    <t>aT.lari</t>
  </si>
  <si>
    <t>saxarjTaRricxvo Rirebuleba</t>
  </si>
  <si>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</si>
  <si>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</si>
  <si>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</si>
  <si>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</si>
  <si>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</si>
  <si>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</si>
  <si>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</si>
  <si>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</si>
  <si>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</si>
  <si>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</si>
  <si>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</si>
  <si>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</si>
  <si>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</si>
  <si>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</si>
  <si>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</si>
  <si>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</si>
  <si>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</si>
  <si>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</si>
  <si>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</si>
  <si>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</si>
  <si>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</si>
  <si>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</si>
  <si>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</si>
  <si>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</si>
  <si>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</si>
  <si>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samuSaoebis, resursebis   dasaxeleba</t>
  </si>
  <si>
    <t>safuZveli: samuSaoTa moculobebis uwyisi</t>
  </si>
  <si>
    <t>normatiuli Sromatevadoba</t>
  </si>
  <si>
    <t>kac/sT</t>
  </si>
  <si>
    <t>manq/sT</t>
  </si>
  <si>
    <t>meqanizmebze momsaxure personalis xelfasi</t>
  </si>
  <si>
    <t>mosarwyav-mosarecxi manqana 6000l</t>
  </si>
  <si>
    <t>lari</t>
  </si>
  <si>
    <t>t</t>
  </si>
  <si>
    <t>g.m.</t>
  </si>
  <si>
    <t>sxva manqanebi</t>
  </si>
  <si>
    <t>sxva masalebi</t>
  </si>
  <si>
    <t xml:space="preserve">mSeneblobis Rirebulebis </t>
  </si>
  <si>
    <t xml:space="preserve">nakrebi saxarjTaRricxvo angariSi </t>
  </si>
  <si>
    <t>##</t>
  </si>
  <si>
    <t>xarjTa-Rricx-vebis angari-Sebis ##</t>
  </si>
  <si>
    <t>Tavebis, obieqtebis, samuSaoebis da danaxarjebis dasaxeleba</t>
  </si>
  <si>
    <t>samSeneblo samuSaoe-bis</t>
  </si>
  <si>
    <t>samontaJo samu-Saoebis</t>
  </si>
  <si>
    <t>mowyobilo-bebis, inven-taris</t>
  </si>
  <si>
    <t>sxva dana-xarjebis</t>
  </si>
  <si>
    <t>x.a.#1</t>
  </si>
  <si>
    <t>x.a.#2</t>
  </si>
  <si>
    <t>gauTvaliswinebeli xarjebi 3%</t>
  </si>
  <si>
    <t>dRg 18%</t>
  </si>
  <si>
    <t>sul mSeneblobis Rirebulebis nakrebi saxarjTaRrivxvo angariSiT</t>
  </si>
  <si>
    <t>satkepni sagzao TviTmavali gluvi 5t</t>
  </si>
  <si>
    <t>igive, 10t</t>
  </si>
  <si>
    <t>x.a.#3</t>
  </si>
  <si>
    <t xml:space="preserve"> lokaluri  xarjTaRricxva # 1</t>
  </si>
  <si>
    <t>sxva masala</t>
  </si>
  <si>
    <t>buldozeri 79 kvt</t>
  </si>
  <si>
    <t>27-63-1</t>
  </si>
  <si>
    <t>avtogudronatori 3500 l</t>
  </si>
  <si>
    <t>2</t>
  </si>
  <si>
    <t>Tavi I</t>
  </si>
  <si>
    <t>mSeneblobis teritoriis momzadeba</t>
  </si>
  <si>
    <t>sagzao samosi</t>
  </si>
  <si>
    <t>sul Tavi III</t>
  </si>
  <si>
    <t>Tavi III</t>
  </si>
  <si>
    <t>eqskavatori</t>
  </si>
  <si>
    <t>1-25-2</t>
  </si>
  <si>
    <t>qviSa-xreSovani narevi</t>
  </si>
  <si>
    <t>buldozeri 79kvt</t>
  </si>
  <si>
    <t>manqanebi</t>
  </si>
  <si>
    <t>x.a.#4</t>
  </si>
  <si>
    <t>x.a.#5</t>
  </si>
  <si>
    <t>avtogreideri saSualo tipis 79kvt</t>
  </si>
  <si>
    <t xml:space="preserve">nayarSi muSaoba </t>
  </si>
  <si>
    <t>27-7-4</t>
  </si>
  <si>
    <t>satkepni sagzao TviTmavali pnevmosvlaze 18t</t>
  </si>
  <si>
    <t xml:space="preserve"> lokaluri  xarjTaRricxva # 2</t>
  </si>
  <si>
    <t xml:space="preserve"> lokaluri  xarjTaRricxva # 3</t>
  </si>
  <si>
    <t>gzis kuTvnileba da mowyobiloba</t>
  </si>
  <si>
    <t xml:space="preserve">  Txevadi bitumi </t>
  </si>
  <si>
    <t>kreb. saZiebo sam. gv.557 cx.17</t>
  </si>
  <si>
    <t>trasis aRdgena da damagreba</t>
  </si>
  <si>
    <t>Tavi II</t>
  </si>
  <si>
    <t>miwis vakisi</t>
  </si>
  <si>
    <t>sul Tavi II</t>
  </si>
  <si>
    <t>saxarjTaRricxvo  dokumentacia</t>
  </si>
  <si>
    <t xml:space="preserve">     direqtori:                          </t>
  </si>
  <si>
    <t>+</t>
  </si>
  <si>
    <t xml:space="preserve"> lokaluri  xarjTaRricxva # 5</t>
  </si>
  <si>
    <t>km</t>
  </si>
  <si>
    <t xml:space="preserve">SromiTi danaxarji </t>
  </si>
  <si>
    <t>k/sT</t>
  </si>
  <si>
    <t>saerTo   saxajTaR-ricxvo   Rirebuleba,   lari</t>
  </si>
  <si>
    <t>sul Tavi I</t>
  </si>
  <si>
    <t xml:space="preserve"> lokaluri  xarjTaRricxva # 4</t>
  </si>
  <si>
    <t>wyali</t>
  </si>
  <si>
    <t xml:space="preserve">RorRi 0-40 mm  </t>
  </si>
  <si>
    <t>1-22-14</t>
  </si>
  <si>
    <t>1-80-2  r1-2</t>
  </si>
  <si>
    <t>kg</t>
  </si>
  <si>
    <t>S.p.s. ”m-proeqti”</t>
  </si>
  <si>
    <t>z. SiSinaSvili</t>
  </si>
  <si>
    <t>Tbilisi 2022 w.</t>
  </si>
  <si>
    <r>
      <t>m</t>
    </r>
    <r>
      <rPr>
        <b/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</si>
  <si>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3</t>
    </r>
  </si>
  <si>
    <t>saxarjTaRricxvo Rirebuleba, lari</t>
  </si>
  <si>
    <t>27-7-2</t>
  </si>
  <si>
    <t>satkepni sagzao TviTmavali pnevmosvlaze 18 t</t>
  </si>
  <si>
    <t>fraqciuli RorRis transportireba 45 km manZilidan</t>
  </si>
  <si>
    <r>
      <t>m</t>
    </r>
    <r>
      <rPr>
        <b/>
        <vertAlign val="superscript"/>
        <sz val="12"/>
        <rFont val="AcadNusx"/>
        <family val="0"/>
      </rPr>
      <t>2</t>
    </r>
  </si>
  <si>
    <t>betoni</t>
  </si>
  <si>
    <t>4</t>
  </si>
  <si>
    <t>27-39-1,2                 27-40-1,2</t>
  </si>
  <si>
    <t>safaris qveda fenis mowyoba msxvilmarcvlovani a/betoniT sisqiT 6 sm</t>
  </si>
  <si>
    <t>asfaltobetonis damgebi</t>
  </si>
  <si>
    <t>msxvilmarcvlovani asfaltobetoni</t>
  </si>
  <si>
    <t>Txevadi bitumis mosxma safaris qveda fenaze 0,35 l/m2-ze</t>
  </si>
  <si>
    <t>27-39-1                    27-40-1</t>
  </si>
  <si>
    <t>safaris zeda fenis mowyoba wvrilmarcvlovani a/betoniT sisqiT 4 sm</t>
  </si>
  <si>
    <t>wvrilmarcvlovani asfaltobetoni</t>
  </si>
  <si>
    <t>Txevadi bitumis mosxma safuZvlis zeda fenaze 0,7 l/m2-ze</t>
  </si>
  <si>
    <t>asfaltbetonis transportireba 45 km manZilidan</t>
  </si>
  <si>
    <t>III kategoriis gruntis moxsna meqanizmebiT datvirTva a/TviTmclelebze da zidva nayarSi 20 km-mde</t>
  </si>
  <si>
    <t>III kategoriis gruntis moxsna xeliT datvirTva a/TviTmclelebze da zidva nayarSi 20 km-mde</t>
  </si>
  <si>
    <t>qviSa-xreSovani narevis transportireba 45 km manZilidan</t>
  </si>
  <si>
    <t>safuZvlis zeda fenis mowyoba fraqciuli RorRiT 0-40 mm, sisqiT 15 sm.</t>
  </si>
  <si>
    <t>transportireba nayarSi 20 km manZilze</t>
  </si>
  <si>
    <t>betonis transportireba 45 km manZilidan</t>
  </si>
  <si>
    <r>
      <t>betoni</t>
    </r>
    <r>
      <rPr>
        <sz val="12"/>
        <rFont val="Calibri"/>
        <family val="2"/>
      </rPr>
      <t xml:space="preserve"> B15</t>
    </r>
  </si>
  <si>
    <t>Sedgenilia 2022 wlis IV kv. fasebSi</t>
  </si>
  <si>
    <t>Sedgenilia 2022 wlis IV კვ. fasebSi</t>
  </si>
  <si>
    <t>proeqtiT</t>
  </si>
  <si>
    <t xml:space="preserve">safuZvlis qveda fenis mowyoba qviSa-xreSovani nareviT 0-70mm, sisqiT 15sm </t>
  </si>
  <si>
    <t>c</t>
  </si>
  <si>
    <t>27-46-3</t>
  </si>
  <si>
    <t xml:space="preserve">  sagzao niSnebis dayeneba liTonis dgarebze sigrZiT  3,50 m  dabetonebiT, miwis samuSaoebisa da dgarebis SeRebvis gaTvaliswinebiT</t>
  </si>
  <si>
    <t xml:space="preserve">avtoamwe saburRi mowyobilobiT </t>
  </si>
  <si>
    <t>amwe saavtomobilo svlaze  3 t</t>
  </si>
  <si>
    <r>
      <t>betoni</t>
    </r>
    <r>
      <rPr>
        <sz val="12"/>
        <rFont val="Calibri"/>
        <family val="2"/>
      </rPr>
      <t xml:space="preserve"> B22,5 F200  W6  </t>
    </r>
  </si>
  <si>
    <t>liTonis dgari sigrZiT 3,50 m  Ǿ76 mm</t>
  </si>
  <si>
    <t>prioritetis niSani mravalkuTxa</t>
  </si>
  <si>
    <t>sul Tavi I_III</t>
  </si>
  <si>
    <t>miwis samuSaoebis mowyoba</t>
  </si>
  <si>
    <t>27-9-1      1-22-16</t>
  </si>
  <si>
    <t>traqtori muxluxa svlaze 59kvt</t>
  </si>
  <si>
    <t xml:space="preserve">demontaJebuli  riyis qvis transportireba 20 km-mde  da dasawyobeba damkveTis mier miTiTebul adgilas </t>
  </si>
  <si>
    <t>arsebuli riyis qvis qvafenilis moxsna meqanizmebiT, datvirTva a/TviTmclelebze da zidva damkveTis mier miTiTebul adgilas 20-km-mde</t>
  </si>
  <si>
    <t>asfaltbetonis da armirebuli cementbetonis safaris mowyoba saval nawilze</t>
  </si>
  <si>
    <t>asfaltbetonis safaris mowyoba</t>
  </si>
  <si>
    <t>27-28-1</t>
  </si>
  <si>
    <t>nawiburebis CaWra xerxiT</t>
  </si>
  <si>
    <t>Txevadi bitumis mosxma nawiburebze 0,35 l/g.m.</t>
  </si>
  <si>
    <t>safuZvlis qveda fenis mowyoba qviSa-xreSovani nareviT 0-70 mm, sisqiT 20 sm</t>
  </si>
  <si>
    <t>armirebuli cementbetonis safaris mowyoba</t>
  </si>
  <si>
    <t>27-24-3</t>
  </si>
  <si>
    <t>armierეbuli cementbetonis safaris mowyoba, sisqiT 16sm</t>
  </si>
  <si>
    <t>cementbetonis manawilebeli</t>
  </si>
  <si>
    <t>manqanebi cementbetonis safaris mosapirqeblad</t>
  </si>
  <si>
    <t>amwe saavtomobilo svlaze 6,3 t</t>
  </si>
  <si>
    <t>traqtori muxluxa svlaze 59 kvt</t>
  </si>
  <si>
    <r>
      <t>betoni</t>
    </r>
    <r>
      <rPr>
        <sz val="12"/>
        <rFont val="Calibri"/>
        <family val="2"/>
      </rPr>
      <t xml:space="preserve"> B30 F200 W6</t>
    </r>
  </si>
  <si>
    <r>
      <t xml:space="preserve">armaturis bade </t>
    </r>
    <r>
      <rPr>
        <sz val="12"/>
        <rFont val="Calibri"/>
        <family val="2"/>
      </rPr>
      <t xml:space="preserve">A-III Ǿ-8 </t>
    </r>
    <r>
      <rPr>
        <sz val="12"/>
        <rFont val="AcadNusx"/>
        <family val="0"/>
      </rPr>
      <t>mm</t>
    </r>
  </si>
  <si>
    <t>relsi-forma</t>
  </si>
  <si>
    <t>bitumis emulsia</t>
  </si>
  <si>
    <t>6</t>
  </si>
  <si>
    <t>27-28-2</t>
  </si>
  <si>
    <t>saval nawilze ganivi temperaturuli nakerebis mowyoba yovel 4,5 metrSi</t>
  </si>
  <si>
    <t xml:space="preserve">  axal dagebul  cementobetonSi nakerebis daWra</t>
  </si>
  <si>
    <t>izolis lenta</t>
  </si>
  <si>
    <t>7</t>
  </si>
  <si>
    <t>8-4-3 მიყ.</t>
  </si>
  <si>
    <t>zedapiris damuSaveba Txevadi parafiniT (2-jer mosxmiT)</t>
  </si>
  <si>
    <t>Sromis danaxarji</t>
  </si>
  <si>
    <t>Txevadi parafini</t>
  </si>
  <si>
    <t>asfaltbetonis da armirebuli cementbetonis safaris mowyoba mierTebebze</t>
  </si>
  <si>
    <t>III kat. Ggruntis moxsna meqanizmebiT, farTis 90%-ze, saS. sisqiT 25 sm-ze datvirTva a/TviTmclelebze da zidva nayarSi 20 km-mde</t>
  </si>
  <si>
    <t>III kat. Ggruntis moxsna xeliT, farTis 10%-ze, saS. sisqiT 25 sm-ze datvirTva a/TviTmclelebze da zidva nayarSi 20 km-mde</t>
  </si>
  <si>
    <t>III kat. Ggruntis moxsna meqanizmebiT, farTis 90%-ze, saS. sisqiT 45 sm-ze datvirTva a/TviTmclelebze da zidva nayarSi 20 km-mde</t>
  </si>
  <si>
    <t>III kat. Ggruntis moxsna xeliT, farTis 10%-ze, saS. sisqiT 45 sm-ze datvirTva a/TviTmclelebze da zidva nayarSi 20 km-mde</t>
  </si>
  <si>
    <t xml:space="preserve">saval nawilze ganivi temperaturuli nakerebis mowyoba </t>
  </si>
  <si>
    <t>arsebuli sakomunikacio Webis da xidis moajirebis reabilitacia</t>
  </si>
  <si>
    <t>6-11-1</t>
  </si>
  <si>
    <t>fari ficris yalibis</t>
  </si>
  <si>
    <r>
      <t>m</t>
    </r>
    <r>
      <rPr>
        <vertAlign val="superscript"/>
        <sz val="12"/>
        <rFont val="AcadNusx"/>
        <family val="0"/>
      </rPr>
      <t>2</t>
    </r>
  </si>
  <si>
    <t>Zeli</t>
  </si>
  <si>
    <r>
      <t>m</t>
    </r>
    <r>
      <rPr>
        <vertAlign val="superscript"/>
        <sz val="12"/>
        <rFont val="AcadNusx"/>
        <family val="0"/>
      </rPr>
      <t>3</t>
    </r>
  </si>
  <si>
    <t>ficari Camoganuli III xarisxis, 40 mm</t>
  </si>
  <si>
    <t>samSeneblo WanWiki</t>
  </si>
  <si>
    <t>gzaze liTonis cxauriani betonis kiuvetebis moyvana gzis niSnulze betonis safuZvelze, spec. betoniT, romlis Semkvrivebis dro iqneba araumetes 3 saaTi</t>
  </si>
  <si>
    <t>15-164-7</t>
  </si>
  <si>
    <t xml:space="preserve">koleri </t>
  </si>
  <si>
    <t>pigmenti</t>
  </si>
  <si>
    <t>olifa</t>
  </si>
  <si>
    <t>arsebuli xidis moajiris SeRebva</t>
  </si>
  <si>
    <t>sabazro</t>
  </si>
  <si>
    <t>მ3</t>
  </si>
  <si>
    <t>arsebuli xidis moajiris dgarebis gamagreba betoniT b-25</t>
  </si>
  <si>
    <t>grZ.m</t>
  </si>
  <si>
    <t>ars. betonis bordiuris CaWra 1 m sigrZeze wylis gadasayvanad</t>
  </si>
  <si>
    <t>sagzao niSnebis mowyoba</t>
  </si>
  <si>
    <t xml:space="preserve">siRnaRis municipalitetSi, q. siRnaRSi evdoSvilis II Sesaxvevis,  kvernaZis quCis bolo monakveTis, erekle II-s II Cixis, rusTavelis Cixis da “ormila”-s wyarosTan misasvleli  gzebis sareabilitacio samuSaoebi </t>
  </si>
  <si>
    <t>13</t>
  </si>
  <si>
    <t>14</t>
  </si>
  <si>
    <t>15</t>
  </si>
  <si>
    <t>16</t>
  </si>
  <si>
    <t>17</t>
  </si>
  <si>
    <t>3</t>
  </si>
  <si>
    <t>armaturis transportireba 45 km manZilidan</t>
  </si>
  <si>
    <t>ზღვრული ფასი</t>
  </si>
  <si>
    <t>ჯამი:</t>
  </si>
  <si>
    <t>sul თავების ჯამი</t>
  </si>
  <si>
    <t xml:space="preserve">zednadebi xarjebi </t>
  </si>
  <si>
    <t xml:space="preserve">gegmiuri mogeba </t>
  </si>
  <si>
    <t xml:space="preserve">zednadebi xarjebi  </t>
  </si>
  <si>
    <t xml:space="preserve">satransporto xarjebi masalebze % </t>
  </si>
  <si>
    <t>satransporto xarjebi masalebze % (xreSis, RorRis, asfaltbetonis, betonis da armaturis garda)</t>
  </si>
  <si>
    <t>satransporto xarjebi masalebze % (betonis garda)</t>
  </si>
</sst>
</file>

<file path=xl/styles.xml><?xml version="1.0" encoding="utf-8"?>
<styleSheet xmlns="http://schemas.openxmlformats.org/spreadsheetml/2006/main">
  <numFmts count="5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-;\-* #,##0_-;_-* &quot;-&quot;_-;_-@_-"/>
    <numFmt numFmtId="183" formatCode="_-* #,##0.00_-;\-* #,##0.00_-;_-* &quot;-&quot;??_-;_-@_-"/>
    <numFmt numFmtId="184" formatCode="#,##0\ &quot;Lari&quot;;\-#,##0\ &quot;Lari&quot;"/>
    <numFmt numFmtId="185" formatCode="#,##0\ &quot;Lari&quot;;[Red]\-#,##0\ &quot;Lari&quot;"/>
    <numFmt numFmtId="186" formatCode="#,##0.00\ &quot;Lari&quot;;\-#,##0.00\ &quot;Lari&quot;"/>
    <numFmt numFmtId="187" formatCode="#,##0.00\ &quot;Lari&quot;;[Red]\-#,##0.00\ &quot;Lari&quot;"/>
    <numFmt numFmtId="188" formatCode="_-* #,##0\ &quot;Lari&quot;_-;\-* #,##0\ &quot;Lari&quot;_-;_-* &quot;-&quot;\ &quot;Lari&quot;_-;_-@_-"/>
    <numFmt numFmtId="189" formatCode="_-* #,##0\ _L_a_r_i_-;\-* #,##0\ _L_a_r_i_-;_-* &quot;-&quot;\ _L_a_r_i_-;_-@_-"/>
    <numFmt numFmtId="190" formatCode="_-* #,##0.00\ &quot;Lari&quot;_-;\-* #,##0.00\ &quot;Lari&quot;_-;_-* &quot;-&quot;??\ &quot;Lari&quot;_-;_-@_-"/>
    <numFmt numFmtId="191" formatCode="_-* #,##0.00\ _L_a_r_i_-;\-* #,##0.00\ _L_a_r_i_-;_-* &quot;-&quot;??\ _L_a_r_i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%"/>
    <numFmt numFmtId="214" formatCode="_(* #,##0.0000_);_(* \(#,##0.0000\);_(* &quot;-&quot;??_);_(@_)"/>
  </numFmts>
  <fonts count="7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cadNusx"/>
      <family val="0"/>
    </font>
    <font>
      <sz val="10"/>
      <name val="AcadNusx"/>
      <family val="0"/>
    </font>
    <font>
      <b/>
      <u val="single"/>
      <sz val="16"/>
      <name val="AcadMtavr"/>
      <family val="0"/>
    </font>
    <font>
      <b/>
      <sz val="14"/>
      <name val="AcadNusx"/>
      <family val="0"/>
    </font>
    <font>
      <b/>
      <sz val="8"/>
      <name val="AcadNusx"/>
      <family val="0"/>
    </font>
    <font>
      <sz val="12"/>
      <name val="AcadNusx"/>
      <family val="0"/>
    </font>
    <font>
      <sz val="13"/>
      <name val="AcadNusx"/>
      <family val="0"/>
    </font>
    <font>
      <b/>
      <sz val="18"/>
      <name val="AcadNusx"/>
      <family val="0"/>
    </font>
    <font>
      <b/>
      <u val="single"/>
      <sz val="14"/>
      <name val="AcadMtavr"/>
      <family val="0"/>
    </font>
    <font>
      <sz val="12"/>
      <name val="Sylfaen"/>
      <family val="1"/>
    </font>
    <font>
      <b/>
      <vertAlign val="superscript"/>
      <sz val="12"/>
      <name val="AcadNusx"/>
      <family val="0"/>
    </font>
    <font>
      <b/>
      <u val="single"/>
      <sz val="12"/>
      <name val="AcadNusx"/>
      <family val="0"/>
    </font>
    <font>
      <u val="single"/>
      <sz val="12"/>
      <name val="AcadNusx"/>
      <family val="0"/>
    </font>
    <font>
      <vertAlign val="superscript"/>
      <sz val="12"/>
      <name val="AcadNusx"/>
      <family val="0"/>
    </font>
    <font>
      <sz val="12"/>
      <name val="Arachveulebrivi Thin"/>
      <family val="2"/>
    </font>
    <font>
      <sz val="12"/>
      <name val="Calibri"/>
      <family val="2"/>
    </font>
    <font>
      <b/>
      <sz val="12"/>
      <name val="Arachveulebrivi Thin"/>
      <family val="2"/>
    </font>
    <font>
      <sz val="11"/>
      <name val="AcadNusx"/>
      <family val="0"/>
    </font>
    <font>
      <b/>
      <i/>
      <u val="single"/>
      <sz val="12"/>
      <name val="AcadNusx"/>
      <family val="0"/>
    </font>
    <font>
      <b/>
      <sz val="11"/>
      <name val="AcadNusx"/>
      <family val="0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u val="single"/>
      <sz val="10"/>
      <color indexed="20"/>
      <name val="Arial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u val="single"/>
      <sz val="10"/>
      <color indexed="12"/>
      <name val="Arial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Cambria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b/>
      <sz val="13"/>
      <color indexed="8"/>
      <name val="AcadMtavr"/>
      <family val="0"/>
    </font>
    <font>
      <b/>
      <sz val="12"/>
      <color indexed="8"/>
      <name val="AcadNusx"/>
      <family val="0"/>
    </font>
    <font>
      <sz val="12"/>
      <color indexed="10"/>
      <name val="AcadNusx"/>
      <family val="0"/>
    </font>
    <font>
      <b/>
      <sz val="12"/>
      <color indexed="10"/>
      <name val="AcadNusx"/>
      <family val="0"/>
    </font>
    <font>
      <sz val="12"/>
      <color indexed="10"/>
      <name val="Arachveulebrivi Thi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cadNusx"/>
      <family val="0"/>
    </font>
    <font>
      <b/>
      <sz val="12"/>
      <color rgb="FFFF0000"/>
      <name val="AcadNusx"/>
      <family val="0"/>
    </font>
    <font>
      <sz val="12"/>
      <color rgb="FFFF0000"/>
      <name val="Arachveulebrivi Thin"/>
      <family val="2"/>
    </font>
    <font>
      <b/>
      <sz val="13"/>
      <color theme="1"/>
      <name val="AcadMtavr"/>
      <family val="0"/>
    </font>
    <font>
      <b/>
      <sz val="12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9" fillId="0" borderId="10" xfId="75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9" fillId="0" borderId="1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3" xfId="75" applyNumberFormat="1" applyFont="1" applyFill="1" applyBorder="1" applyAlignment="1">
      <alignment horizontal="center" vertical="center"/>
      <protection/>
    </xf>
    <xf numFmtId="2" fontId="9" fillId="0" borderId="10" xfId="75" applyNumberFormat="1" applyFont="1" applyFill="1" applyBorder="1" applyAlignment="1">
      <alignment horizontal="center" vertical="center"/>
      <protection/>
    </xf>
    <xf numFmtId="2" fontId="9" fillId="0" borderId="0" xfId="75" applyNumberFormat="1" applyFont="1" applyFill="1" applyBorder="1" applyAlignment="1">
      <alignment horizontal="center" vertical="center"/>
      <protection/>
    </xf>
    <xf numFmtId="2" fontId="9" fillId="0" borderId="11" xfId="75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3" xfId="75" applyFont="1" applyFill="1" applyBorder="1" applyAlignment="1">
      <alignment horizontal="center" vertical="center"/>
      <protection/>
    </xf>
    <xf numFmtId="2" fontId="4" fillId="0" borderId="10" xfId="75" applyNumberFormat="1" applyFont="1" applyFill="1" applyBorder="1" applyAlignment="1">
      <alignment horizontal="center" vertical="center"/>
      <protection/>
    </xf>
    <xf numFmtId="0" fontId="9" fillId="0" borderId="10" xfId="75" applyFont="1" applyFill="1" applyBorder="1" applyAlignment="1">
      <alignment horizontal="center" vertical="center"/>
      <protection/>
    </xf>
    <xf numFmtId="49" fontId="9" fillId="0" borderId="10" xfId="75" applyNumberFormat="1" applyFont="1" applyFill="1" applyBorder="1" applyAlignment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3" xfId="75" applyFont="1" applyFill="1" applyBorder="1" applyAlignment="1">
      <alignment horizontal="center" vertical="center"/>
      <protection/>
    </xf>
    <xf numFmtId="0" fontId="9" fillId="0" borderId="11" xfId="75" applyFont="1" applyFill="1" applyBorder="1" applyAlignment="1">
      <alignment horizontal="center" vertical="center"/>
      <protection/>
    </xf>
    <xf numFmtId="49" fontId="9" fillId="0" borderId="11" xfId="75" applyNumberFormat="1" applyFont="1" applyFill="1" applyBorder="1" applyAlignment="1">
      <alignment horizontal="center" vertical="center"/>
      <protection/>
    </xf>
    <xf numFmtId="200" fontId="9" fillId="0" borderId="10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15" xfId="75" applyFont="1" applyFill="1" applyBorder="1" applyAlignment="1">
      <alignment horizontal="center" vertical="center"/>
      <protection/>
    </xf>
    <xf numFmtId="2" fontId="9" fillId="0" borderId="15" xfId="0" applyNumberFormat="1" applyFont="1" applyFill="1" applyBorder="1" applyAlignment="1">
      <alignment horizontal="center" vertical="center"/>
    </xf>
    <xf numFmtId="49" fontId="4" fillId="0" borderId="10" xfId="75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9" fillId="0" borderId="16" xfId="75" applyFont="1" applyFill="1" applyBorder="1" applyAlignment="1">
      <alignment horizontal="center" vertical="center"/>
      <protection/>
    </xf>
    <xf numFmtId="49" fontId="9" fillId="0" borderId="14" xfId="75" applyNumberFormat="1" applyFont="1" applyFill="1" applyBorder="1" applyAlignment="1">
      <alignment horizontal="center" vertical="center" wrapText="1"/>
      <protection/>
    </xf>
    <xf numFmtId="0" fontId="9" fillId="0" borderId="17" xfId="75" applyFont="1" applyFill="1" applyBorder="1" applyAlignment="1">
      <alignment horizontal="center" vertical="center" wrapText="1"/>
      <protection/>
    </xf>
    <xf numFmtId="2" fontId="9" fillId="0" borderId="16" xfId="75" applyNumberFormat="1" applyFont="1" applyFill="1" applyBorder="1" applyAlignment="1">
      <alignment horizontal="center" vertical="center"/>
      <protection/>
    </xf>
    <xf numFmtId="2" fontId="9" fillId="0" borderId="14" xfId="75" applyNumberFormat="1" applyFont="1" applyFill="1" applyBorder="1" applyAlignment="1">
      <alignment horizontal="center" vertical="center"/>
      <protection/>
    </xf>
    <xf numFmtId="2" fontId="9" fillId="0" borderId="17" xfId="75" applyNumberFormat="1" applyFont="1" applyFill="1" applyBorder="1" applyAlignment="1">
      <alignment horizontal="center" vertical="center"/>
      <protection/>
    </xf>
    <xf numFmtId="2" fontId="9" fillId="0" borderId="18" xfId="75" applyNumberFormat="1" applyFont="1" applyFill="1" applyBorder="1" applyAlignment="1">
      <alignment horizontal="center" vertical="center"/>
      <protection/>
    </xf>
    <xf numFmtId="2" fontId="9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57" applyFont="1" applyFill="1" applyBorder="1" applyAlignment="1">
      <alignment horizontal="center" vertical="center" wrapText="1"/>
      <protection/>
    </xf>
    <xf numFmtId="9" fontId="9" fillId="0" borderId="10" xfId="79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/>
      <protection/>
    </xf>
    <xf numFmtId="49" fontId="9" fillId="0" borderId="10" xfId="57" applyNumberFormat="1" applyFont="1" applyFill="1" applyBorder="1" applyAlignment="1">
      <alignment horizontal="center" wrapText="1"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wrapText="1"/>
      <protection/>
    </xf>
    <xf numFmtId="2" fontId="9" fillId="0" borderId="10" xfId="57" applyNumberFormat="1" applyFont="1" applyFill="1" applyBorder="1" applyAlignment="1">
      <alignment horizontal="center" vertical="center" wrapText="1"/>
      <protection/>
    </xf>
    <xf numFmtId="199" fontId="9" fillId="0" borderId="10" xfId="57" applyNumberFormat="1" applyFont="1" applyFill="1" applyBorder="1" applyAlignment="1">
      <alignment horizontal="center" wrapText="1"/>
      <protection/>
    </xf>
    <xf numFmtId="2" fontId="9" fillId="0" borderId="10" xfId="57" applyNumberFormat="1" applyFont="1" applyFill="1" applyBorder="1" applyAlignment="1">
      <alignment horizontal="center" wrapText="1"/>
      <protection/>
    </xf>
    <xf numFmtId="2" fontId="9" fillId="0" borderId="13" xfId="57" applyNumberFormat="1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horizontal="center"/>
      <protection/>
    </xf>
    <xf numFmtId="2" fontId="9" fillId="0" borderId="10" xfId="57" applyNumberFormat="1" applyFont="1" applyFill="1" applyBorder="1" applyAlignment="1">
      <alignment horizontal="center" vertical="center"/>
      <protection/>
    </xf>
    <xf numFmtId="2" fontId="9" fillId="0" borderId="13" xfId="57" applyNumberFormat="1" applyFont="1" applyFill="1" applyBorder="1" applyAlignment="1">
      <alignment horizontal="center" vertical="center"/>
      <protection/>
    </xf>
    <xf numFmtId="199" fontId="9" fillId="0" borderId="10" xfId="57" applyNumberFormat="1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75" applyNumberFormat="1" applyFont="1" applyFill="1" applyBorder="1" applyAlignment="1">
      <alignment horizontal="center" vertical="center"/>
      <protection/>
    </xf>
    <xf numFmtId="1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2" fontId="4" fillId="0" borderId="13" xfId="75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>
      <alignment horizontal="center" vertical="center"/>
      <protection/>
    </xf>
    <xf numFmtId="2" fontId="9" fillId="0" borderId="11" xfId="57" applyNumberFormat="1" applyFont="1" applyFill="1" applyBorder="1" applyAlignment="1">
      <alignment horizontal="center" vertical="center"/>
      <protection/>
    </xf>
    <xf numFmtId="1" fontId="9" fillId="0" borderId="16" xfId="75" applyNumberFormat="1" applyFont="1" applyFill="1" applyBorder="1" applyAlignment="1">
      <alignment horizontal="center" vertical="center"/>
      <protection/>
    </xf>
    <xf numFmtId="0" fontId="9" fillId="0" borderId="14" xfId="75" applyFont="1" applyFill="1" applyBorder="1" applyAlignment="1">
      <alignment horizontal="center" vertical="center"/>
      <protection/>
    </xf>
    <xf numFmtId="0" fontId="9" fillId="0" borderId="14" xfId="75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9" fillId="0" borderId="15" xfId="75" applyNumberFormat="1" applyFont="1" applyFill="1" applyBorder="1" applyAlignment="1">
      <alignment horizontal="center" vertical="center"/>
      <protection/>
    </xf>
    <xf numFmtId="2" fontId="9" fillId="0" borderId="19" xfId="75" applyNumberFormat="1" applyFont="1" applyFill="1" applyBorder="1" applyAlignment="1">
      <alignment horizontal="center" vertical="center"/>
      <protection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9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99" fontId="9" fillId="0" borderId="15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left" vertical="center"/>
    </xf>
    <xf numFmtId="2" fontId="16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2" fontId="4" fillId="0" borderId="12" xfId="75" applyNumberFormat="1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center"/>
    </xf>
    <xf numFmtId="201" fontId="9" fillId="0" borderId="1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/>
    </xf>
    <xf numFmtId="0" fontId="4" fillId="0" borderId="21" xfId="75" applyFont="1" applyFill="1" applyBorder="1" applyAlignment="1">
      <alignment horizontal="center" vertical="center" wrapText="1"/>
      <protection/>
    </xf>
    <xf numFmtId="0" fontId="9" fillId="0" borderId="21" xfId="75" applyFont="1" applyFill="1" applyBorder="1" applyAlignment="1">
      <alignment horizontal="center" vertical="center" wrapText="1"/>
      <protection/>
    </xf>
    <xf numFmtId="49" fontId="9" fillId="0" borderId="11" xfId="75" applyNumberFormat="1" applyFont="1" applyFill="1" applyBorder="1" applyAlignment="1">
      <alignment horizontal="center" vertical="center" wrapText="1"/>
      <protection/>
    </xf>
    <xf numFmtId="0" fontId="9" fillId="0" borderId="20" xfId="75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200" fontId="9" fillId="0" borderId="10" xfId="75" applyNumberFormat="1" applyFont="1" applyFill="1" applyBorder="1" applyAlignment="1">
      <alignment horizontal="center" vertical="center"/>
      <protection/>
    </xf>
    <xf numFmtId="199" fontId="9" fillId="0" borderId="10" xfId="75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/>
    </xf>
    <xf numFmtId="49" fontId="4" fillId="0" borderId="10" xfId="57" applyNumberFormat="1" applyFont="1" applyFill="1" applyBorder="1" applyAlignment="1">
      <alignment horizontal="center" wrapText="1"/>
      <protection/>
    </xf>
    <xf numFmtId="49" fontId="4" fillId="0" borderId="10" xfId="57" applyNumberFormat="1" applyFont="1" applyFill="1" applyBorder="1" applyAlignment="1">
      <alignment horizontal="center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75" applyFont="1" applyFill="1" applyBorder="1" applyAlignment="1">
      <alignment horizontal="center" vertical="center"/>
      <protection/>
    </xf>
    <xf numFmtId="2" fontId="9" fillId="0" borderId="12" xfId="75" applyNumberFormat="1" applyFont="1" applyFill="1" applyBorder="1" applyAlignment="1">
      <alignment horizontal="center" vertical="center"/>
      <protection/>
    </xf>
    <xf numFmtId="199" fontId="9" fillId="0" borderId="11" xfId="0" applyNumberFormat="1" applyFont="1" applyFill="1" applyBorder="1" applyAlignment="1">
      <alignment horizontal="center" vertical="center"/>
    </xf>
    <xf numFmtId="0" fontId="4" fillId="0" borderId="10" xfId="75" applyFont="1" applyFill="1" applyBorder="1" applyAlignment="1">
      <alignment horizontal="center" vertical="center"/>
      <protection/>
    </xf>
    <xf numFmtId="199" fontId="15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199" fontId="4" fillId="0" borderId="10" xfId="0" applyNumberFormat="1" applyFont="1" applyFill="1" applyBorder="1" applyAlignment="1">
      <alignment horizontal="center" vertical="center"/>
    </xf>
    <xf numFmtId="2" fontId="9" fillId="0" borderId="12" xfId="57" applyNumberFormat="1" applyFont="1" applyFill="1" applyBorder="1" applyAlignment="1">
      <alignment horizontal="center" vertical="center"/>
      <protection/>
    </xf>
    <xf numFmtId="2" fontId="9" fillId="0" borderId="20" xfId="75" applyNumberFormat="1" applyFont="1" applyFill="1" applyBorder="1" applyAlignment="1">
      <alignment horizontal="center" vertical="center"/>
      <protection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9" fillId="0" borderId="21" xfId="75" applyNumberFormat="1" applyFont="1" applyFill="1" applyBorder="1" applyAlignment="1">
      <alignment horizontal="center" vertical="center"/>
      <protection/>
    </xf>
    <xf numFmtId="199" fontId="4" fillId="0" borderId="12" xfId="0" applyNumberFormat="1" applyFont="1" applyFill="1" applyBorder="1" applyAlignment="1">
      <alignment horizontal="center" vertical="center"/>
    </xf>
    <xf numFmtId="2" fontId="15" fillId="0" borderId="21" xfId="75" applyNumberFormat="1" applyFont="1" applyFill="1" applyBorder="1" applyAlignment="1">
      <alignment horizontal="center" vertical="center"/>
      <protection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00" fontId="9" fillId="0" borderId="1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" fontId="4" fillId="0" borderId="21" xfId="75" applyNumberFormat="1" applyFont="1" applyFill="1" applyBorder="1" applyAlignment="1">
      <alignment horizontal="center" vertical="center"/>
      <protection/>
    </xf>
    <xf numFmtId="2" fontId="9" fillId="0" borderId="23" xfId="0" applyNumberFormat="1" applyFont="1" applyFill="1" applyBorder="1" applyAlignment="1">
      <alignment horizontal="center" vertical="center"/>
    </xf>
    <xf numFmtId="0" fontId="4" fillId="0" borderId="0" xfId="75" applyFont="1" applyFill="1" applyAlignment="1">
      <alignment horizontal="center" vertical="center" wrapText="1"/>
      <protection/>
    </xf>
    <xf numFmtId="2" fontId="9" fillId="0" borderId="0" xfId="75" applyNumberFormat="1" applyFont="1" applyFill="1" applyAlignment="1">
      <alignment horizontal="center" vertical="center"/>
      <protection/>
    </xf>
    <xf numFmtId="0" fontId="4" fillId="0" borderId="16" xfId="75" applyFont="1" applyFill="1" applyBorder="1" applyAlignment="1">
      <alignment horizontal="center" vertical="center"/>
      <protection/>
    </xf>
    <xf numFmtId="49" fontId="4" fillId="0" borderId="14" xfId="75" applyNumberFormat="1" applyFont="1" applyFill="1" applyBorder="1" applyAlignment="1">
      <alignment horizontal="center" vertical="center" wrapText="1"/>
      <protection/>
    </xf>
    <xf numFmtId="0" fontId="4" fillId="0" borderId="18" xfId="75" applyFont="1" applyFill="1" applyBorder="1" applyAlignment="1">
      <alignment horizontal="center" vertical="center" wrapText="1"/>
      <protection/>
    </xf>
    <xf numFmtId="2" fontId="4" fillId="0" borderId="16" xfId="75" applyNumberFormat="1" applyFont="1" applyFill="1" applyBorder="1" applyAlignment="1">
      <alignment horizontal="center" vertical="center"/>
      <protection/>
    </xf>
    <xf numFmtId="2" fontId="4" fillId="0" borderId="14" xfId="75" applyNumberFormat="1" applyFont="1" applyFill="1" applyBorder="1" applyAlignment="1">
      <alignment horizontal="center" vertical="center"/>
      <protection/>
    </xf>
    <xf numFmtId="2" fontId="15" fillId="0" borderId="17" xfId="75" applyNumberFormat="1" applyFont="1" applyFill="1" applyBorder="1" applyAlignment="1">
      <alignment horizontal="center" vertical="center"/>
      <protection/>
    </xf>
    <xf numFmtId="49" fontId="9" fillId="0" borderId="10" xfId="75" applyNumberFormat="1" applyFont="1" applyFill="1" applyBorder="1" applyAlignment="1">
      <alignment horizontal="center" vertical="center" wrapText="1"/>
      <protection/>
    </xf>
    <xf numFmtId="2" fontId="9" fillId="32" borderId="14" xfId="75" applyNumberFormat="1" applyFont="1" applyFill="1" applyBorder="1" applyAlignment="1">
      <alignment horizontal="center" vertical="center"/>
      <protection/>
    </xf>
    <xf numFmtId="0" fontId="4" fillId="0" borderId="11" xfId="75" applyFont="1" applyFill="1" applyBorder="1" applyAlignment="1">
      <alignment horizontal="center" vertical="center"/>
      <protection/>
    </xf>
    <xf numFmtId="0" fontId="9" fillId="0" borderId="11" xfId="75" applyFont="1" applyFill="1" applyBorder="1" applyAlignment="1">
      <alignment horizontal="center" vertical="center" wrapText="1"/>
      <protection/>
    </xf>
    <xf numFmtId="199" fontId="9" fillId="0" borderId="11" xfId="75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57" applyNumberFormat="1" applyFont="1" applyFill="1" applyBorder="1" applyAlignment="1">
      <alignment horizontal="center" vertical="center"/>
      <protection/>
    </xf>
    <xf numFmtId="49" fontId="9" fillId="0" borderId="10" xfId="57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wrapText="1"/>
    </xf>
    <xf numFmtId="199" fontId="9" fillId="0" borderId="10" xfId="57" applyNumberFormat="1" applyFont="1" applyFill="1" applyBorder="1" applyAlignment="1">
      <alignment horizontal="center"/>
      <protection/>
    </xf>
    <xf numFmtId="200" fontId="9" fillId="0" borderId="10" xfId="57" applyNumberFormat="1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/>
      <protection/>
    </xf>
    <xf numFmtId="199" fontId="9" fillId="0" borderId="10" xfId="57" applyNumberFormat="1" applyFont="1" applyFill="1" applyBorder="1" applyAlignment="1">
      <alignment horizontal="center" vertical="center"/>
      <protection/>
    </xf>
    <xf numFmtId="49" fontId="9" fillId="0" borderId="11" xfId="57" applyNumberFormat="1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49" fontId="4" fillId="0" borderId="12" xfId="57" applyNumberFormat="1" applyFont="1" applyFill="1" applyBorder="1" applyAlignment="1">
      <alignment horizontal="center" vertical="center"/>
      <protection/>
    </xf>
    <xf numFmtId="199" fontId="4" fillId="0" borderId="12" xfId="57" applyNumberFormat="1" applyFont="1" applyFill="1" applyBorder="1" applyAlignment="1">
      <alignment horizontal="center" vertical="center"/>
      <protection/>
    </xf>
    <xf numFmtId="2" fontId="4" fillId="0" borderId="12" xfId="57" applyNumberFormat="1" applyFont="1" applyFill="1" applyBorder="1" applyAlignment="1">
      <alignment horizontal="center" vertical="center"/>
      <protection/>
    </xf>
    <xf numFmtId="199" fontId="9" fillId="0" borderId="11" xfId="57" applyNumberFormat="1" applyFont="1" applyFill="1" applyBorder="1" applyAlignment="1">
      <alignment horizontal="center" vertical="center"/>
      <protection/>
    </xf>
    <xf numFmtId="49" fontId="4" fillId="0" borderId="10" xfId="75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0" xfId="74" applyNumberFormat="1" applyFont="1" applyFill="1" applyBorder="1" applyAlignment="1">
      <alignment horizontal="center" vertical="center"/>
      <protection/>
    </xf>
    <xf numFmtId="0" fontId="9" fillId="0" borderId="0" xfId="75" applyFont="1" applyFill="1" applyBorder="1" applyAlignment="1">
      <alignment horizontal="center" vertical="center" wrapText="1"/>
      <protection/>
    </xf>
    <xf numFmtId="199" fontId="9" fillId="0" borderId="13" xfId="75" applyNumberFormat="1" applyFont="1" applyFill="1" applyBorder="1" applyAlignment="1">
      <alignment horizontal="center" vertical="center"/>
      <protection/>
    </xf>
    <xf numFmtId="2" fontId="9" fillId="0" borderId="2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2" fontId="67" fillId="0" borderId="14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49" fontId="9" fillId="0" borderId="19" xfId="75" applyNumberFormat="1" applyFont="1" applyFill="1" applyBorder="1" applyAlignment="1">
      <alignment horizontal="center" vertical="center" wrapText="1"/>
      <protection/>
    </xf>
    <xf numFmtId="0" fontId="67" fillId="0" borderId="0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 wrapText="1"/>
    </xf>
    <xf numFmtId="0" fontId="67" fillId="0" borderId="12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2" fontId="67" fillId="0" borderId="14" xfId="0" applyNumberFormat="1" applyFont="1" applyFill="1" applyBorder="1" applyAlignment="1">
      <alignment horizontal="center"/>
    </xf>
    <xf numFmtId="0" fontId="67" fillId="0" borderId="0" xfId="0" applyFont="1" applyFill="1" applyAlignment="1">
      <alignment horizontal="center" vertical="center"/>
    </xf>
    <xf numFmtId="2" fontId="67" fillId="0" borderId="14" xfId="0" applyNumberFormat="1" applyFont="1" applyFill="1" applyBorder="1" applyAlignment="1">
      <alignment horizontal="center" vertical="center"/>
    </xf>
    <xf numFmtId="2" fontId="67" fillId="0" borderId="0" xfId="0" applyNumberFormat="1" applyFont="1" applyFill="1" applyAlignment="1">
      <alignment horizontal="center" vertical="center"/>
    </xf>
    <xf numFmtId="49" fontId="9" fillId="0" borderId="14" xfId="57" applyNumberFormat="1" applyFont="1" applyFill="1" applyBorder="1" applyAlignment="1">
      <alignment horizontal="center"/>
      <protection/>
    </xf>
    <xf numFmtId="49" fontId="9" fillId="0" borderId="14" xfId="57" applyNumberFormat="1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/>
      <protection/>
    </xf>
    <xf numFmtId="9" fontId="9" fillId="0" borderId="14" xfId="79" applyFont="1" applyFill="1" applyBorder="1" applyAlignment="1">
      <alignment horizontal="center" vertical="center"/>
    </xf>
    <xf numFmtId="2" fontId="9" fillId="0" borderId="14" xfId="57" applyNumberFormat="1" applyFont="1" applyFill="1" applyBorder="1" applyAlignment="1">
      <alignment horizontal="center" vertical="center"/>
      <protection/>
    </xf>
    <xf numFmtId="2" fontId="4" fillId="0" borderId="14" xfId="57" applyNumberFormat="1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center"/>
      <protection/>
    </xf>
    <xf numFmtId="0" fontId="9" fillId="0" borderId="14" xfId="57" applyFont="1" applyFill="1" applyBorder="1" applyAlignment="1">
      <alignment horizontal="center"/>
      <protection/>
    </xf>
    <xf numFmtId="2" fontId="9" fillId="0" borderId="14" xfId="57" applyNumberFormat="1" applyFont="1" applyFill="1" applyBorder="1" applyAlignment="1">
      <alignment horizontal="center"/>
      <protection/>
    </xf>
    <xf numFmtId="2" fontId="4" fillId="0" borderId="14" xfId="57" applyNumberFormat="1" applyFont="1" applyFill="1" applyBorder="1" applyAlignment="1">
      <alignment horizontal="center"/>
      <protection/>
    </xf>
    <xf numFmtId="0" fontId="67" fillId="0" borderId="12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67" fillId="0" borderId="12" xfId="0" applyNumberFormat="1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 wrapText="1"/>
    </xf>
    <xf numFmtId="2" fontId="67" fillId="0" borderId="11" xfId="0" applyNumberFormat="1" applyFont="1" applyFill="1" applyBorder="1" applyAlignment="1">
      <alignment horizontal="center" vertical="center" wrapText="1"/>
    </xf>
    <xf numFmtId="2" fontId="67" fillId="0" borderId="12" xfId="0" applyNumberFormat="1" applyFont="1" applyFill="1" applyBorder="1" applyAlignment="1">
      <alignment horizontal="center" vertical="center"/>
    </xf>
    <xf numFmtId="2" fontId="67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2" fontId="9" fillId="0" borderId="23" xfId="75" applyNumberFormat="1" applyFont="1" applyFill="1" applyBorder="1" applyAlignment="1">
      <alignment horizontal="center" vertical="center"/>
      <protection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5" xfId="75" applyNumberFormat="1" applyFont="1" applyFill="1" applyBorder="1" applyAlignment="1">
      <alignment horizontal="center" vertical="center"/>
      <protection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12" xfId="75" applyNumberFormat="1" applyFont="1" applyFill="1" applyBorder="1" applyAlignment="1">
      <alignment horizontal="center" vertical="center"/>
      <protection/>
    </xf>
    <xf numFmtId="2" fontId="9" fillId="0" borderId="11" xfId="75" applyNumberFormat="1" applyFont="1" applyFill="1" applyBorder="1" applyAlignment="1">
      <alignment horizontal="center" vertical="center"/>
      <protection/>
    </xf>
    <xf numFmtId="2" fontId="9" fillId="0" borderId="22" xfId="75" applyNumberFormat="1" applyFont="1" applyFill="1" applyBorder="1" applyAlignment="1">
      <alignment horizontal="center" vertical="center"/>
      <protection/>
    </xf>
    <xf numFmtId="2" fontId="9" fillId="0" borderId="23" xfId="0" applyNumberFormat="1" applyFont="1" applyFill="1" applyBorder="1" applyAlignment="1">
      <alignment horizontal="center" vertical="center"/>
    </xf>
    <xf numFmtId="0" fontId="9" fillId="0" borderId="12" xfId="75" applyFont="1" applyFill="1" applyBorder="1" applyAlignment="1">
      <alignment horizontal="center" vertical="center"/>
      <protection/>
    </xf>
    <xf numFmtId="49" fontId="9" fillId="0" borderId="12" xfId="75" applyNumberFormat="1" applyFont="1" applyFill="1" applyBorder="1" applyAlignment="1">
      <alignment horizontal="center" vertical="center" textRotation="90" wrapText="1"/>
      <protection/>
    </xf>
    <xf numFmtId="49" fontId="9" fillId="0" borderId="10" xfId="75" applyNumberFormat="1" applyFont="1" applyFill="1" applyBorder="1" applyAlignment="1">
      <alignment horizontal="center" vertical="center" textRotation="90" wrapText="1"/>
      <protection/>
    </xf>
    <xf numFmtId="49" fontId="9" fillId="0" borderId="11" xfId="75" applyNumberFormat="1" applyFont="1" applyFill="1" applyBorder="1" applyAlignment="1">
      <alignment horizontal="center" vertical="center" textRotation="90" wrapText="1"/>
      <protection/>
    </xf>
    <xf numFmtId="2" fontId="9" fillId="0" borderId="24" xfId="75" applyNumberFormat="1" applyFont="1" applyFill="1" applyBorder="1" applyAlignment="1">
      <alignment horizontal="center" vertical="center"/>
      <protection/>
    </xf>
    <xf numFmtId="2" fontId="9" fillId="0" borderId="19" xfId="75" applyNumberFormat="1" applyFont="1" applyFill="1" applyBorder="1" applyAlignment="1">
      <alignment horizontal="center" vertical="center"/>
      <protection/>
    </xf>
    <xf numFmtId="2" fontId="9" fillId="0" borderId="20" xfId="75" applyNumberFormat="1" applyFont="1" applyFill="1" applyBorder="1" applyAlignment="1">
      <alignment horizontal="center" vertical="center"/>
      <protection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2" fillId="32" borderId="16" xfId="75" applyFont="1" applyFill="1" applyBorder="1" applyAlignment="1">
      <alignment horizontal="center" vertical="center"/>
      <protection/>
    </xf>
    <xf numFmtId="0" fontId="22" fillId="32" borderId="18" xfId="75" applyFont="1" applyFill="1" applyBorder="1" applyAlignment="1">
      <alignment horizontal="center" vertical="center"/>
      <protection/>
    </xf>
    <xf numFmtId="0" fontId="22" fillId="32" borderId="17" xfId="75" applyFont="1" applyFill="1" applyBorder="1" applyAlignment="1">
      <alignment horizontal="center" vertical="center"/>
      <protection/>
    </xf>
    <xf numFmtId="0" fontId="4" fillId="0" borderId="12" xfId="75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21" fillId="0" borderId="12" xfId="75" applyNumberFormat="1" applyFont="1" applyFill="1" applyBorder="1" applyAlignment="1">
      <alignment horizontal="center" vertical="center" textRotation="90" wrapText="1"/>
      <protection/>
    </xf>
    <xf numFmtId="49" fontId="21" fillId="0" borderId="10" xfId="75" applyNumberFormat="1" applyFont="1" applyFill="1" applyBorder="1" applyAlignment="1">
      <alignment horizontal="center" vertical="center" textRotation="90" wrapText="1"/>
      <protection/>
    </xf>
    <xf numFmtId="49" fontId="21" fillId="0" borderId="11" xfId="75" applyNumberFormat="1" applyFont="1" applyFill="1" applyBorder="1" applyAlignment="1">
      <alignment horizontal="center" vertical="center" textRotation="90" wrapText="1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wrapText="1"/>
    </xf>
    <xf numFmtId="2" fontId="9" fillId="0" borderId="0" xfId="0" applyNumberFormat="1" applyFont="1" applyFill="1" applyBorder="1" applyAlignment="1">
      <alignment horizont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 2" xfId="59"/>
    <cellStyle name="Normal 11 2 2" xfId="60"/>
    <cellStyle name="Normal 13 5 3" xfId="61"/>
    <cellStyle name="Normal 14" xfId="62"/>
    <cellStyle name="Normal 14 4" xfId="63"/>
    <cellStyle name="Normal 14_axalqalaqis skola " xfId="64"/>
    <cellStyle name="Normal 2" xfId="65"/>
    <cellStyle name="Normal 2 10" xfId="66"/>
    <cellStyle name="Normal 3" xfId="67"/>
    <cellStyle name="Normal 32 3" xfId="68"/>
    <cellStyle name="Normal 33 2" xfId="69"/>
    <cellStyle name="Normal 36 2" xfId="70"/>
    <cellStyle name="Normal 36 2 2 3" xfId="71"/>
    <cellStyle name="Normal 38" xfId="72"/>
    <cellStyle name="Normal 4" xfId="73"/>
    <cellStyle name="Normal_axalqalaqis skola " xfId="74"/>
    <cellStyle name="Normal_gare wyalsadfenigagarini 2_SMSH2008-IIkv ." xfId="75"/>
    <cellStyle name="Note" xfId="76"/>
    <cellStyle name="Output" xfId="77"/>
    <cellStyle name="Percent" xfId="78"/>
    <cellStyle name="Percent 2" xfId="79"/>
    <cellStyle name="silfain" xfId="80"/>
    <cellStyle name="Title" xfId="81"/>
    <cellStyle name="Total" xfId="82"/>
    <cellStyle name="Warning Text" xfId="83"/>
    <cellStyle name="Обычный 10" xfId="84"/>
    <cellStyle name="Обычный 2 2" xfId="85"/>
    <cellStyle name="Обычный 4" xfId="86"/>
    <cellStyle name="Обычный 4 3" xfId="87"/>
    <cellStyle name="Обычный 5 2 2" xfId="88"/>
  </cellStyles>
  <dxfs count="1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</xdr:row>
      <xdr:rowOff>57150</xdr:rowOff>
    </xdr:from>
    <xdr:to>
      <xdr:col>5</xdr:col>
      <xdr:colOff>342900</xdr:colOff>
      <xdr:row>12</xdr:row>
      <xdr:rowOff>276225</xdr:rowOff>
    </xdr:to>
    <xdr:pic>
      <xdr:nvPicPr>
        <xdr:cNvPr id="1" name="Picture 1" descr="Description: hhhhhhhhhhhh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76225"/>
          <a:ext cx="20002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I50"/>
  <sheetViews>
    <sheetView view="pageBreakPreview" zoomScaleSheetLayoutView="100" zoomScalePageLayoutView="0" workbookViewId="0" topLeftCell="A1">
      <selection activeCell="D33" sqref="D33"/>
    </sheetView>
  </sheetViews>
  <sheetFormatPr defaultColWidth="9.140625" defaultRowHeight="12.75"/>
  <cols>
    <col min="1" max="1" width="18.421875" style="0" customWidth="1"/>
  </cols>
  <sheetData>
    <row r="1" spans="1:8" ht="17.25">
      <c r="A1" s="291"/>
      <c r="B1" s="291"/>
      <c r="C1" s="291"/>
      <c r="D1" s="291"/>
      <c r="E1" s="291"/>
      <c r="F1" s="291"/>
      <c r="G1" s="291"/>
      <c r="H1" s="291"/>
    </row>
    <row r="2" ht="13.5">
      <c r="A2" s="1"/>
    </row>
    <row r="3" ht="13.5">
      <c r="A3" s="1"/>
    </row>
    <row r="4" ht="13.5">
      <c r="A4" s="1"/>
    </row>
    <row r="5" ht="13.5">
      <c r="A5" s="1"/>
    </row>
    <row r="6" ht="13.5">
      <c r="A6" s="1"/>
    </row>
    <row r="7" ht="13.5">
      <c r="A7" s="1"/>
    </row>
    <row r="8" ht="13.5">
      <c r="A8" s="1"/>
    </row>
    <row r="9" ht="13.5">
      <c r="A9" s="1"/>
    </row>
    <row r="10" ht="13.5">
      <c r="A10" s="1"/>
    </row>
    <row r="11" ht="13.5">
      <c r="A11" s="1"/>
    </row>
    <row r="12" ht="13.5">
      <c r="A12" s="1"/>
    </row>
    <row r="13" spans="1:9" ht="182.25" customHeight="1">
      <c r="A13" s="292" t="s">
        <v>87</v>
      </c>
      <c r="B13" s="292"/>
      <c r="C13" s="292"/>
      <c r="D13" s="292"/>
      <c r="E13" s="292"/>
      <c r="F13" s="292"/>
      <c r="G13" s="292"/>
      <c r="H13" s="292"/>
      <c r="I13" s="292"/>
    </row>
    <row r="14" ht="20.25">
      <c r="A14" s="2"/>
    </row>
    <row r="15" ht="20.25">
      <c r="A15" s="2"/>
    </row>
    <row r="16" ht="20.25">
      <c r="A16" s="2"/>
    </row>
    <row r="17" spans="1:9" ht="116.25" customHeight="1">
      <c r="A17" s="289" t="str">
        <f>'nakrebi lari'!A4:N4</f>
        <v>siRnaRis municipalitetSi, q. siRnaRSi evdoSvilis II Sesaxvevis,  kvernaZis quCis bolo monakveTis, erekle II-s II Cixis, rusTavelis Cixis da “ormila”-s wyarosTan misasvleli  gzebis sareabilitacio samuSaoebi </v>
      </c>
      <c r="B17" s="289"/>
      <c r="C17" s="289"/>
      <c r="D17" s="289"/>
      <c r="E17" s="289"/>
      <c r="F17" s="289"/>
      <c r="G17" s="289"/>
      <c r="H17" s="289"/>
      <c r="I17" s="289"/>
    </row>
    <row r="18" ht="30" customHeight="1">
      <c r="A18" s="4"/>
    </row>
    <row r="19" spans="1:9" ht="18.75">
      <c r="A19" s="293" t="s">
        <v>104</v>
      </c>
      <c r="B19" s="293"/>
      <c r="C19" s="293"/>
      <c r="D19" s="293"/>
      <c r="E19" s="293"/>
      <c r="F19" s="293"/>
      <c r="G19" s="293"/>
      <c r="H19" s="293"/>
      <c r="I19" s="293"/>
    </row>
    <row r="20" spans="1:9" ht="25.5">
      <c r="A20" s="294" t="s">
        <v>102</v>
      </c>
      <c r="B20" s="294"/>
      <c r="C20" s="294"/>
      <c r="D20" s="294"/>
      <c r="E20" s="294"/>
      <c r="F20" s="294"/>
      <c r="G20" s="294"/>
      <c r="H20" s="294"/>
      <c r="I20" s="294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spans="1:9" ht="19.5">
      <c r="A32" s="295" t="str">
        <f>A13</f>
        <v>saxarjTaRricxvo  dokumentacia</v>
      </c>
      <c r="B32" s="295"/>
      <c r="C32" s="295"/>
      <c r="D32" s="295"/>
      <c r="E32" s="295"/>
      <c r="F32" s="295"/>
      <c r="G32" s="295"/>
      <c r="H32" s="295"/>
      <c r="I32" s="295"/>
    </row>
    <row r="33" ht="20.25">
      <c r="A33" s="2"/>
    </row>
    <row r="34" ht="20.25">
      <c r="A34" s="2"/>
    </row>
    <row r="35" ht="20.25">
      <c r="A35" s="2"/>
    </row>
    <row r="36" spans="1:9" ht="128.25" customHeight="1">
      <c r="A36" s="289" t="str">
        <f>A17</f>
        <v>siRnaRis municipalitetSi, q. siRnaRSi evdoSvilis II Sesaxvevis,  kvernaZis quCis bolo monakveTis, erekle II-s II Cixis, rusTavelis Cixis da “ormila”-s wyarosTan misasvleli  gzebis sareabilitacio samuSaoebi </v>
      </c>
      <c r="B36" s="289"/>
      <c r="C36" s="289"/>
      <c r="D36" s="289"/>
      <c r="E36" s="289"/>
      <c r="F36" s="289"/>
      <c r="G36" s="289"/>
      <c r="H36" s="289"/>
      <c r="I36" s="289"/>
    </row>
    <row r="37" ht="12.75">
      <c r="A37" s="3"/>
    </row>
    <row r="38" ht="20.25">
      <c r="A38" s="2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spans="1:8" ht="13.5">
      <c r="A45" s="1"/>
      <c r="E45" s="7"/>
      <c r="F45" s="7"/>
      <c r="G45" s="7"/>
      <c r="H45" s="7"/>
    </row>
    <row r="46" spans="1:8" ht="13.5">
      <c r="A46" s="1"/>
      <c r="E46" s="7"/>
      <c r="F46" s="7"/>
      <c r="G46" s="7"/>
      <c r="H46" s="7"/>
    </row>
    <row r="47" spans="1:8" ht="13.5">
      <c r="A47" s="4"/>
      <c r="E47" s="7"/>
      <c r="F47" s="7"/>
      <c r="G47" s="7"/>
      <c r="H47" s="7"/>
    </row>
    <row r="48" spans="1:8" ht="16.5">
      <c r="A48" s="5" t="s">
        <v>88</v>
      </c>
      <c r="E48" s="6"/>
      <c r="F48" s="8" t="s">
        <v>103</v>
      </c>
      <c r="G48" s="7"/>
      <c r="H48" s="7"/>
    </row>
    <row r="49" spans="1:8" ht="46.5" customHeight="1">
      <c r="A49" s="5"/>
      <c r="E49" s="7"/>
      <c r="F49" s="7"/>
      <c r="G49" s="7"/>
      <c r="H49" s="7"/>
    </row>
    <row r="50" spans="1:9" ht="18.75">
      <c r="A50" s="290" t="str">
        <f>A19</f>
        <v>Tbilisi 2022 w.</v>
      </c>
      <c r="B50" s="290"/>
      <c r="C50" s="290"/>
      <c r="D50" s="290"/>
      <c r="E50" s="290"/>
      <c r="F50" s="290"/>
      <c r="G50" s="290"/>
      <c r="H50" s="290"/>
      <c r="I50" s="290"/>
    </row>
  </sheetData>
  <sheetProtection/>
  <mergeCells count="8">
    <mergeCell ref="A36:I36"/>
    <mergeCell ref="A50:I50"/>
    <mergeCell ref="A1:H1"/>
    <mergeCell ref="A13:I13"/>
    <mergeCell ref="A17:I17"/>
    <mergeCell ref="A19:I19"/>
    <mergeCell ref="A20:I20"/>
    <mergeCell ref="A32:I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2"/>
  <rowBreaks count="1" manualBreakCount="1">
    <brk id="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56"/>
  <sheetViews>
    <sheetView tabSelected="1" view="pageBreakPreview" zoomScaleSheetLayoutView="100" zoomScalePageLayoutView="0" workbookViewId="0" topLeftCell="C1">
      <selection activeCell="A1" sqref="A1:N1"/>
    </sheetView>
  </sheetViews>
  <sheetFormatPr defaultColWidth="9.140625" defaultRowHeight="12.75"/>
  <cols>
    <col min="1" max="1" width="5.28125" style="136" customWidth="1"/>
    <col min="2" max="2" width="14.8515625" style="102" customWidth="1"/>
    <col min="3" max="3" width="84.8515625" style="56" customWidth="1"/>
    <col min="4" max="4" width="8.57421875" style="102" hidden="1" customWidth="1"/>
    <col min="5" max="5" width="8.7109375" style="102" hidden="1" customWidth="1"/>
    <col min="6" max="6" width="8.57421875" style="102" hidden="1" customWidth="1"/>
    <col min="7" max="7" width="9.57421875" style="102" hidden="1" customWidth="1"/>
    <col min="8" max="8" width="3.28125" style="102" hidden="1" customWidth="1"/>
    <col min="9" max="9" width="0.13671875" style="102" hidden="1" customWidth="1"/>
    <col min="10" max="10" width="20.140625" style="102" customWidth="1"/>
    <col min="11" max="11" width="13.28125" style="102" customWidth="1"/>
    <col min="12" max="12" width="12.7109375" style="109" customWidth="1"/>
    <col min="13" max="13" width="16.140625" style="102" customWidth="1"/>
    <col min="14" max="14" width="15.7109375" style="102" customWidth="1"/>
    <col min="15" max="15" width="15.7109375" style="274" customWidth="1"/>
    <col min="16" max="16" width="13.140625" style="102" bestFit="1" customWidth="1"/>
    <col min="17" max="16384" width="9.140625" style="102" customWidth="1"/>
  </cols>
  <sheetData>
    <row r="1" spans="1:15" ht="14.25" customHeight="1">
      <c r="A1" s="318" t="s">
        <v>39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261"/>
    </row>
    <row r="2" spans="1:15" ht="23.25" customHeight="1">
      <c r="A2" s="318" t="s">
        <v>40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261"/>
    </row>
    <row r="3" spans="1:14" ht="17.25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spans="1:15" ht="55.5" customHeight="1">
      <c r="A4" s="319" t="s">
        <v>202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261"/>
    </row>
    <row r="5" spans="1:15" ht="17.25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261"/>
    </row>
    <row r="6" spans="1:14" ht="18" customHeight="1">
      <c r="A6" s="104"/>
      <c r="B6" s="320" t="s">
        <v>132</v>
      </c>
      <c r="C6" s="320"/>
      <c r="D6" s="105"/>
      <c r="E6" s="105"/>
      <c r="F6" s="105"/>
      <c r="G6" s="105"/>
      <c r="H6" s="105"/>
      <c r="I6" s="105"/>
      <c r="J6" s="333" t="s">
        <v>1</v>
      </c>
      <c r="K6" s="333"/>
      <c r="L6" s="333"/>
      <c r="M6" s="107">
        <f>N43</f>
        <v>0</v>
      </c>
      <c r="N6" s="106" t="s">
        <v>34</v>
      </c>
    </row>
    <row r="7" spans="1:14" ht="16.5">
      <c r="A7" s="88"/>
      <c r="B7" s="20"/>
      <c r="C7" s="138"/>
      <c r="D7" s="20"/>
      <c r="E7" s="20"/>
      <c r="F7" s="20"/>
      <c r="G7" s="20"/>
      <c r="H7" s="20"/>
      <c r="I7" s="20"/>
      <c r="J7" s="20"/>
      <c r="K7" s="20"/>
      <c r="L7" s="108"/>
      <c r="M7" s="20"/>
      <c r="N7" s="20"/>
    </row>
    <row r="8" spans="1:15" ht="16.5">
      <c r="A8" s="334" t="s">
        <v>41</v>
      </c>
      <c r="B8" s="315" t="s">
        <v>42</v>
      </c>
      <c r="C8" s="321" t="s">
        <v>43</v>
      </c>
      <c r="D8" s="323"/>
      <c r="E8" s="323"/>
      <c r="F8" s="323"/>
      <c r="G8" s="323"/>
      <c r="H8" s="323"/>
      <c r="I8" s="324"/>
      <c r="J8" s="321" t="s">
        <v>107</v>
      </c>
      <c r="K8" s="323"/>
      <c r="L8" s="323"/>
      <c r="M8" s="324"/>
      <c r="N8" s="315" t="s">
        <v>94</v>
      </c>
      <c r="O8" s="296" t="s">
        <v>210</v>
      </c>
    </row>
    <row r="9" spans="1:15" ht="16.5">
      <c r="A9" s="335"/>
      <c r="B9" s="316"/>
      <c r="C9" s="325"/>
      <c r="D9" s="314"/>
      <c r="E9" s="314"/>
      <c r="F9" s="314"/>
      <c r="G9" s="314"/>
      <c r="H9" s="314"/>
      <c r="I9" s="326"/>
      <c r="J9" s="322"/>
      <c r="K9" s="327"/>
      <c r="L9" s="327"/>
      <c r="M9" s="328"/>
      <c r="N9" s="316"/>
      <c r="O9" s="297"/>
    </row>
    <row r="10" spans="1:15" ht="16.5">
      <c r="A10" s="335"/>
      <c r="B10" s="316"/>
      <c r="C10" s="325"/>
      <c r="D10" s="314"/>
      <c r="E10" s="314"/>
      <c r="F10" s="314"/>
      <c r="G10" s="314"/>
      <c r="H10" s="314"/>
      <c r="I10" s="326"/>
      <c r="J10" s="315" t="s">
        <v>44</v>
      </c>
      <c r="K10" s="315" t="s">
        <v>45</v>
      </c>
      <c r="L10" s="337" t="s">
        <v>46</v>
      </c>
      <c r="M10" s="315" t="s">
        <v>47</v>
      </c>
      <c r="N10" s="316"/>
      <c r="O10" s="297"/>
    </row>
    <row r="11" spans="1:15" ht="16.5">
      <c r="A11" s="335"/>
      <c r="B11" s="316"/>
      <c r="C11" s="325"/>
      <c r="D11" s="314"/>
      <c r="E11" s="314"/>
      <c r="F11" s="314"/>
      <c r="G11" s="314"/>
      <c r="H11" s="314"/>
      <c r="I11" s="326"/>
      <c r="J11" s="316"/>
      <c r="K11" s="316"/>
      <c r="L11" s="338"/>
      <c r="M11" s="316"/>
      <c r="N11" s="316"/>
      <c r="O11" s="297"/>
    </row>
    <row r="12" spans="1:15" ht="16.5">
      <c r="A12" s="335"/>
      <c r="B12" s="316"/>
      <c r="C12" s="325"/>
      <c r="D12" s="314"/>
      <c r="E12" s="314"/>
      <c r="F12" s="314"/>
      <c r="G12" s="314"/>
      <c r="H12" s="314"/>
      <c r="I12" s="326"/>
      <c r="J12" s="316"/>
      <c r="K12" s="316"/>
      <c r="L12" s="338"/>
      <c r="M12" s="316"/>
      <c r="N12" s="316"/>
      <c r="O12" s="297"/>
    </row>
    <row r="13" spans="1:15" ht="16.5">
      <c r="A13" s="335"/>
      <c r="B13" s="316"/>
      <c r="C13" s="325"/>
      <c r="D13" s="314"/>
      <c r="E13" s="314"/>
      <c r="F13" s="314"/>
      <c r="G13" s="314"/>
      <c r="H13" s="314"/>
      <c r="I13" s="326"/>
      <c r="J13" s="316"/>
      <c r="K13" s="316"/>
      <c r="L13" s="338"/>
      <c r="M13" s="316"/>
      <c r="N13" s="316"/>
      <c r="O13" s="298"/>
    </row>
    <row r="14" spans="1:15" ht="0.75" customHeight="1">
      <c r="A14" s="336"/>
      <c r="B14" s="317"/>
      <c r="C14" s="322"/>
      <c r="D14" s="327"/>
      <c r="E14" s="327"/>
      <c r="F14" s="327"/>
      <c r="G14" s="327"/>
      <c r="H14" s="327"/>
      <c r="I14" s="328"/>
      <c r="J14" s="317"/>
      <c r="K14" s="317"/>
      <c r="L14" s="339"/>
      <c r="M14" s="317"/>
      <c r="N14" s="317"/>
      <c r="O14" s="253"/>
    </row>
    <row r="15" spans="1:15" ht="16.5">
      <c r="A15" s="110">
        <v>1</v>
      </c>
      <c r="B15" s="41">
        <v>2</v>
      </c>
      <c r="C15" s="329">
        <v>3</v>
      </c>
      <c r="D15" s="330"/>
      <c r="E15" s="330"/>
      <c r="F15" s="330"/>
      <c r="G15" s="330"/>
      <c r="H15" s="330"/>
      <c r="I15" s="331"/>
      <c r="J15" s="41">
        <v>4</v>
      </c>
      <c r="K15" s="113">
        <v>5</v>
      </c>
      <c r="L15" s="89">
        <v>6</v>
      </c>
      <c r="M15" s="113">
        <v>7</v>
      </c>
      <c r="N15" s="41">
        <v>8</v>
      </c>
      <c r="O15" s="253">
        <v>9</v>
      </c>
    </row>
    <row r="16" spans="1:15" ht="24.75" customHeight="1">
      <c r="A16" s="110"/>
      <c r="B16" s="114"/>
      <c r="C16" s="137" t="s">
        <v>63</v>
      </c>
      <c r="D16" s="115"/>
      <c r="E16" s="115"/>
      <c r="F16" s="115"/>
      <c r="G16" s="115"/>
      <c r="H16" s="115"/>
      <c r="I16" s="116"/>
      <c r="J16" s="114"/>
      <c r="K16" s="117"/>
      <c r="L16" s="118"/>
      <c r="M16" s="117"/>
      <c r="N16" s="114"/>
      <c r="O16" s="253"/>
    </row>
    <row r="17" spans="1:15" ht="40.5">
      <c r="A17" s="110">
        <v>1</v>
      </c>
      <c r="B17" s="141" t="s">
        <v>82</v>
      </c>
      <c r="C17" s="110" t="s">
        <v>83</v>
      </c>
      <c r="D17" s="111"/>
      <c r="E17" s="111"/>
      <c r="F17" s="111"/>
      <c r="G17" s="111"/>
      <c r="H17" s="111"/>
      <c r="I17" s="112"/>
      <c r="J17" s="41"/>
      <c r="K17" s="113"/>
      <c r="L17" s="89"/>
      <c r="M17" s="120">
        <f>'tr. agdgena'!M13</f>
        <v>0</v>
      </c>
      <c r="N17" s="103">
        <f>M17</f>
        <v>0</v>
      </c>
      <c r="O17" s="253">
        <f>'tr. agdgena'!N13</f>
        <v>272.98</v>
      </c>
    </row>
    <row r="18" spans="1:15" ht="17.25">
      <c r="A18" s="110"/>
      <c r="B18" s="114"/>
      <c r="C18" s="137"/>
      <c r="D18" s="115"/>
      <c r="E18" s="115"/>
      <c r="F18" s="115"/>
      <c r="G18" s="115"/>
      <c r="H18" s="115"/>
      <c r="I18" s="116"/>
      <c r="J18" s="125"/>
      <c r="K18" s="122"/>
      <c r="L18" s="123"/>
      <c r="M18" s="124"/>
      <c r="N18" s="125"/>
      <c r="O18" s="253"/>
    </row>
    <row r="19" spans="1:15" ht="19.5" customHeight="1">
      <c r="A19" s="110"/>
      <c r="B19" s="114"/>
      <c r="C19" s="137" t="s">
        <v>62</v>
      </c>
      <c r="D19" s="115"/>
      <c r="E19" s="115"/>
      <c r="F19" s="115"/>
      <c r="G19" s="115"/>
      <c r="H19" s="115"/>
      <c r="I19" s="116"/>
      <c r="J19" s="125"/>
      <c r="K19" s="122"/>
      <c r="L19" s="123"/>
      <c r="M19" s="124"/>
      <c r="N19" s="125"/>
      <c r="O19" s="253"/>
    </row>
    <row r="20" spans="1:15" ht="21.75" customHeight="1">
      <c r="A20" s="110"/>
      <c r="B20" s="114"/>
      <c r="C20" s="137" t="s">
        <v>85</v>
      </c>
      <c r="D20" s="115"/>
      <c r="E20" s="115"/>
      <c r="F20" s="115"/>
      <c r="G20" s="115"/>
      <c r="H20" s="115"/>
      <c r="I20" s="116"/>
      <c r="J20" s="125"/>
      <c r="K20" s="122"/>
      <c r="L20" s="123"/>
      <c r="M20" s="124"/>
      <c r="N20" s="125"/>
      <c r="O20" s="253"/>
    </row>
    <row r="21" spans="1:15" ht="17.25">
      <c r="A21" s="110">
        <v>2</v>
      </c>
      <c r="B21" s="114" t="s">
        <v>48</v>
      </c>
      <c r="C21" s="110" t="s">
        <v>144</v>
      </c>
      <c r="D21" s="115"/>
      <c r="E21" s="115"/>
      <c r="F21" s="115"/>
      <c r="G21" s="115"/>
      <c r="H21" s="115"/>
      <c r="I21" s="116"/>
      <c r="J21" s="121">
        <f>'x.a.1'!M44</f>
        <v>0</v>
      </c>
      <c r="K21" s="122"/>
      <c r="L21" s="123"/>
      <c r="M21" s="124"/>
      <c r="N21" s="121">
        <f>J21</f>
        <v>0</v>
      </c>
      <c r="O21" s="253">
        <f>'x.a.1'!N44</f>
        <v>22584.23</v>
      </c>
    </row>
    <row r="22" spans="1:15" ht="21.75" customHeight="1">
      <c r="A22" s="110"/>
      <c r="B22" s="114"/>
      <c r="C22" s="137" t="s">
        <v>95</v>
      </c>
      <c r="D22" s="115"/>
      <c r="E22" s="115"/>
      <c r="F22" s="115"/>
      <c r="G22" s="115"/>
      <c r="H22" s="115"/>
      <c r="I22" s="116"/>
      <c r="J22" s="125">
        <f>J21</f>
        <v>0</v>
      </c>
      <c r="K22" s="122"/>
      <c r="L22" s="123"/>
      <c r="M22" s="124"/>
      <c r="N22" s="125">
        <f>N21</f>
        <v>0</v>
      </c>
      <c r="O22" s="253"/>
    </row>
    <row r="23" spans="1:15" ht="17.25">
      <c r="A23" s="110"/>
      <c r="B23" s="114"/>
      <c r="C23" s="137"/>
      <c r="D23" s="115"/>
      <c r="E23" s="115"/>
      <c r="F23" s="115"/>
      <c r="G23" s="115"/>
      <c r="H23" s="115"/>
      <c r="I23" s="116"/>
      <c r="J23" s="125"/>
      <c r="K23" s="122"/>
      <c r="L23" s="123"/>
      <c r="M23" s="124"/>
      <c r="N23" s="125"/>
      <c r="O23" s="253"/>
    </row>
    <row r="24" spans="1:15" ht="17.25">
      <c r="A24" s="110"/>
      <c r="B24" s="114"/>
      <c r="C24" s="137"/>
      <c r="D24" s="115"/>
      <c r="E24" s="115"/>
      <c r="F24" s="115"/>
      <c r="G24" s="115"/>
      <c r="H24" s="115"/>
      <c r="I24" s="116"/>
      <c r="J24" s="125"/>
      <c r="K24" s="122"/>
      <c r="L24" s="123"/>
      <c r="M24" s="124"/>
      <c r="N24" s="125"/>
      <c r="O24" s="253"/>
    </row>
    <row r="25" spans="1:15" ht="21" customHeight="1">
      <c r="A25" s="110"/>
      <c r="B25" s="114"/>
      <c r="C25" s="137" t="s">
        <v>84</v>
      </c>
      <c r="D25" s="115"/>
      <c r="E25" s="115"/>
      <c r="F25" s="115"/>
      <c r="G25" s="115"/>
      <c r="H25" s="115"/>
      <c r="I25" s="116"/>
      <c r="J25" s="121"/>
      <c r="K25" s="117"/>
      <c r="L25" s="118"/>
      <c r="M25" s="126"/>
      <c r="N25" s="121"/>
      <c r="O25" s="253"/>
    </row>
    <row r="26" spans="1:15" ht="21" customHeight="1">
      <c r="A26" s="110"/>
      <c r="B26" s="114"/>
      <c r="C26" s="137" t="s">
        <v>64</v>
      </c>
      <c r="D26" s="115"/>
      <c r="E26" s="115"/>
      <c r="F26" s="115"/>
      <c r="G26" s="115"/>
      <c r="H26" s="115"/>
      <c r="I26" s="116"/>
      <c r="J26" s="121"/>
      <c r="K26" s="117"/>
      <c r="L26" s="118"/>
      <c r="M26" s="126"/>
      <c r="N26" s="121"/>
      <c r="O26" s="253"/>
    </row>
    <row r="27" spans="1:15" s="136" customFormat="1" ht="33">
      <c r="A27" s="110">
        <v>3</v>
      </c>
      <c r="B27" s="41" t="s">
        <v>49</v>
      </c>
      <c r="C27" s="139" t="s">
        <v>149</v>
      </c>
      <c r="D27" s="113"/>
      <c r="E27" s="113"/>
      <c r="F27" s="113"/>
      <c r="G27" s="113"/>
      <c r="H27" s="113"/>
      <c r="I27" s="127"/>
      <c r="J27" s="40">
        <f>'x.a.2'!M155</f>
        <v>0</v>
      </c>
      <c r="K27" s="113"/>
      <c r="L27" s="89"/>
      <c r="M27" s="120"/>
      <c r="N27" s="40">
        <f>J27</f>
        <v>0</v>
      </c>
      <c r="O27" s="253">
        <f>'x.a.2'!N155</f>
        <v>204183.76</v>
      </c>
    </row>
    <row r="28" spans="1:15" ht="17.25">
      <c r="A28" s="110"/>
      <c r="B28" s="114"/>
      <c r="C28" s="137" t="s">
        <v>86</v>
      </c>
      <c r="D28" s="115"/>
      <c r="E28" s="115"/>
      <c r="F28" s="115"/>
      <c r="G28" s="115"/>
      <c r="H28" s="115"/>
      <c r="I28" s="116"/>
      <c r="J28" s="125">
        <f>SUM(J27:J27)</f>
        <v>0</v>
      </c>
      <c r="K28" s="122"/>
      <c r="L28" s="123"/>
      <c r="M28" s="124"/>
      <c r="N28" s="125">
        <f>SUM(N27:N27)</f>
        <v>0</v>
      </c>
      <c r="O28" s="253"/>
    </row>
    <row r="29" spans="1:15" ht="17.25">
      <c r="A29" s="110"/>
      <c r="B29" s="114"/>
      <c r="C29" s="137"/>
      <c r="D29" s="115"/>
      <c r="E29" s="115"/>
      <c r="F29" s="115"/>
      <c r="G29" s="115"/>
      <c r="H29" s="115"/>
      <c r="I29" s="116"/>
      <c r="J29" s="125"/>
      <c r="K29" s="122"/>
      <c r="L29" s="123"/>
      <c r="M29" s="124"/>
      <c r="N29" s="125"/>
      <c r="O29" s="253"/>
    </row>
    <row r="30" spans="1:15" ht="19.5" customHeight="1">
      <c r="A30" s="110"/>
      <c r="B30" s="114"/>
      <c r="C30" s="137" t="s">
        <v>66</v>
      </c>
      <c r="D30" s="115"/>
      <c r="E30" s="115"/>
      <c r="F30" s="115"/>
      <c r="G30" s="115"/>
      <c r="H30" s="115"/>
      <c r="I30" s="116"/>
      <c r="J30" s="121"/>
      <c r="K30" s="117"/>
      <c r="L30" s="118"/>
      <c r="M30" s="126"/>
      <c r="N30" s="121"/>
      <c r="O30" s="253"/>
    </row>
    <row r="31" spans="1:15" ht="23.25" customHeight="1">
      <c r="A31" s="110"/>
      <c r="B31" s="114"/>
      <c r="C31" s="137" t="s">
        <v>80</v>
      </c>
      <c r="D31" s="115"/>
      <c r="E31" s="115"/>
      <c r="F31" s="115"/>
      <c r="G31" s="115"/>
      <c r="H31" s="115"/>
      <c r="I31" s="116"/>
      <c r="J31" s="121"/>
      <c r="K31" s="117"/>
      <c r="L31" s="118"/>
      <c r="M31" s="126"/>
      <c r="N31" s="121"/>
      <c r="O31" s="253"/>
    </row>
    <row r="32" spans="1:15" s="136" customFormat="1" ht="33">
      <c r="A32" s="110">
        <v>4</v>
      </c>
      <c r="B32" s="41" t="s">
        <v>55</v>
      </c>
      <c r="C32" s="139" t="s">
        <v>176</v>
      </c>
      <c r="D32" s="113"/>
      <c r="E32" s="113"/>
      <c r="F32" s="113"/>
      <c r="G32" s="113"/>
      <c r="H32" s="113"/>
      <c r="I32" s="127"/>
      <c r="J32" s="40">
        <f>'x.a.3'!M169</f>
        <v>0</v>
      </c>
      <c r="K32" s="113"/>
      <c r="L32" s="89"/>
      <c r="M32" s="120"/>
      <c r="N32" s="40">
        <f>J32</f>
        <v>0</v>
      </c>
      <c r="O32" s="253">
        <f>'x.a.3'!N169</f>
        <v>10577.43</v>
      </c>
    </row>
    <row r="33" spans="1:15" ht="16.5">
      <c r="A33" s="110">
        <v>5</v>
      </c>
      <c r="B33" s="41" t="s">
        <v>72</v>
      </c>
      <c r="C33" s="139" t="s">
        <v>182</v>
      </c>
      <c r="D33" s="115"/>
      <c r="E33" s="115"/>
      <c r="F33" s="115"/>
      <c r="G33" s="115"/>
      <c r="H33" s="115"/>
      <c r="I33" s="116"/>
      <c r="J33" s="40">
        <f>'x.a.4'!M43</f>
        <v>0</v>
      </c>
      <c r="K33" s="113"/>
      <c r="L33" s="89"/>
      <c r="M33" s="120"/>
      <c r="N33" s="40">
        <f>J33</f>
        <v>0</v>
      </c>
      <c r="O33" s="275">
        <f>'x.a.4'!N43</f>
        <v>964.8</v>
      </c>
    </row>
    <row r="34" spans="1:15" ht="16.5">
      <c r="A34" s="110">
        <v>6</v>
      </c>
      <c r="B34" s="41" t="s">
        <v>73</v>
      </c>
      <c r="C34" s="139" t="s">
        <v>201</v>
      </c>
      <c r="D34" s="115"/>
      <c r="E34" s="115"/>
      <c r="F34" s="115"/>
      <c r="G34" s="115"/>
      <c r="H34" s="115"/>
      <c r="I34" s="116"/>
      <c r="J34" s="40">
        <f>'x.a.5'!M29</f>
        <v>0</v>
      </c>
      <c r="K34" s="113"/>
      <c r="L34" s="89"/>
      <c r="M34" s="120"/>
      <c r="N34" s="40">
        <f>J34</f>
        <v>0</v>
      </c>
      <c r="O34" s="253">
        <f>'x.a.5'!N29</f>
        <v>677.77</v>
      </c>
    </row>
    <row r="35" spans="1:15" ht="23.25" customHeight="1">
      <c r="A35" s="110"/>
      <c r="B35" s="114"/>
      <c r="C35" s="137" t="s">
        <v>65</v>
      </c>
      <c r="D35" s="115"/>
      <c r="E35" s="115"/>
      <c r="F35" s="115"/>
      <c r="G35" s="115"/>
      <c r="H35" s="115"/>
      <c r="I35" s="116"/>
      <c r="J35" s="103">
        <f>SUM(J32:J34)</f>
        <v>0</v>
      </c>
      <c r="K35" s="204"/>
      <c r="L35" s="203"/>
      <c r="M35" s="205"/>
      <c r="N35" s="103">
        <f>SUM(N32:N34)</f>
        <v>0</v>
      </c>
      <c r="O35" s="253"/>
    </row>
    <row r="36" spans="1:15" ht="17.25">
      <c r="A36" s="110"/>
      <c r="B36" s="114"/>
      <c r="C36" s="137"/>
      <c r="D36" s="115"/>
      <c r="E36" s="115"/>
      <c r="F36" s="115"/>
      <c r="G36" s="115"/>
      <c r="H36" s="115"/>
      <c r="I36" s="116"/>
      <c r="J36" s="125"/>
      <c r="K36" s="122"/>
      <c r="L36" s="123"/>
      <c r="M36" s="124"/>
      <c r="N36" s="125"/>
      <c r="O36" s="253"/>
    </row>
    <row r="37" spans="1:15" ht="21" customHeight="1">
      <c r="A37" s="41"/>
      <c r="B37" s="41"/>
      <c r="C37" s="42" t="s">
        <v>143</v>
      </c>
      <c r="D37" s="113"/>
      <c r="E37" s="113"/>
      <c r="F37" s="113"/>
      <c r="G37" s="113"/>
      <c r="H37" s="113"/>
      <c r="I37" s="127"/>
      <c r="J37" s="103">
        <f>J35+J28+J22</f>
        <v>0</v>
      </c>
      <c r="K37" s="103"/>
      <c r="L37" s="103"/>
      <c r="M37" s="103"/>
      <c r="N37" s="103">
        <f>N35+N28+N22+N17</f>
        <v>0</v>
      </c>
      <c r="O37" s="275">
        <f>O34+O33+O32+O27+O21+O17</f>
        <v>239260.97000000003</v>
      </c>
    </row>
    <row r="38" spans="1:15" ht="17.25">
      <c r="A38" s="110"/>
      <c r="B38" s="114"/>
      <c r="C38" s="137"/>
      <c r="D38" s="115"/>
      <c r="E38" s="115"/>
      <c r="F38" s="115"/>
      <c r="G38" s="115"/>
      <c r="H38" s="115"/>
      <c r="I38" s="116"/>
      <c r="J38" s="125"/>
      <c r="K38" s="122"/>
      <c r="L38" s="123"/>
      <c r="M38" s="124"/>
      <c r="N38" s="125"/>
      <c r="O38" s="253"/>
    </row>
    <row r="39" spans="1:15" ht="16.5">
      <c r="A39" s="41">
        <v>7</v>
      </c>
      <c r="B39" s="128"/>
      <c r="C39" s="119" t="s">
        <v>50</v>
      </c>
      <c r="D39" s="41"/>
      <c r="E39" s="41"/>
      <c r="F39" s="41"/>
      <c r="G39" s="41"/>
      <c r="H39" s="41"/>
      <c r="I39" s="41"/>
      <c r="J39" s="40"/>
      <c r="K39" s="40"/>
      <c r="L39" s="40"/>
      <c r="M39" s="40">
        <f>N37*3%</f>
        <v>0</v>
      </c>
      <c r="N39" s="40">
        <f>M39</f>
        <v>0</v>
      </c>
      <c r="O39" s="275">
        <f>O37*3%</f>
        <v>7177.829100000001</v>
      </c>
    </row>
    <row r="40" spans="1:15" ht="21" customHeight="1">
      <c r="A40" s="41"/>
      <c r="B40" s="128"/>
      <c r="C40" s="332" t="s">
        <v>12</v>
      </c>
      <c r="D40" s="332"/>
      <c r="E40" s="332"/>
      <c r="F40" s="332"/>
      <c r="G40" s="332"/>
      <c r="H40" s="332"/>
      <c r="I40" s="332"/>
      <c r="J40" s="103">
        <f>J37</f>
        <v>0</v>
      </c>
      <c r="K40" s="103"/>
      <c r="L40" s="103"/>
      <c r="M40" s="103">
        <f>M39</f>
        <v>0</v>
      </c>
      <c r="N40" s="103">
        <f>N37+N39</f>
        <v>0</v>
      </c>
      <c r="O40" s="275">
        <f>O39+O37</f>
        <v>246438.79910000003</v>
      </c>
    </row>
    <row r="41" spans="1:15" ht="17.25">
      <c r="A41" s="41"/>
      <c r="B41" s="128"/>
      <c r="C41" s="129"/>
      <c r="D41" s="129"/>
      <c r="E41" s="129"/>
      <c r="F41" s="129"/>
      <c r="G41" s="129"/>
      <c r="H41" s="129"/>
      <c r="I41" s="129"/>
      <c r="J41" s="103"/>
      <c r="K41" s="103"/>
      <c r="L41" s="103"/>
      <c r="M41" s="103"/>
      <c r="N41" s="103"/>
      <c r="O41" s="275"/>
    </row>
    <row r="42" spans="1:15" ht="21.75" customHeight="1">
      <c r="A42" s="41">
        <v>8</v>
      </c>
      <c r="B42" s="128"/>
      <c r="C42" s="119" t="s">
        <v>51</v>
      </c>
      <c r="D42" s="41"/>
      <c r="E42" s="41"/>
      <c r="F42" s="41"/>
      <c r="G42" s="41"/>
      <c r="H42" s="41"/>
      <c r="I42" s="41"/>
      <c r="J42" s="40"/>
      <c r="K42" s="40"/>
      <c r="L42" s="40"/>
      <c r="M42" s="40">
        <f>N40*18%</f>
        <v>0</v>
      </c>
      <c r="N42" s="40">
        <f>M42</f>
        <v>0</v>
      </c>
      <c r="O42" s="275">
        <f>O40*18%</f>
        <v>44358.98383800001</v>
      </c>
    </row>
    <row r="43" spans="1:17" ht="16.5">
      <c r="A43" s="321"/>
      <c r="B43" s="340"/>
      <c r="C43" s="308" t="s">
        <v>52</v>
      </c>
      <c r="D43" s="309"/>
      <c r="E43" s="309"/>
      <c r="F43" s="309"/>
      <c r="G43" s="309"/>
      <c r="H43" s="309"/>
      <c r="I43" s="310"/>
      <c r="J43" s="342">
        <f>J40</f>
        <v>0</v>
      </c>
      <c r="K43" s="303"/>
      <c r="L43" s="303"/>
      <c r="M43" s="303">
        <f>M40+M42</f>
        <v>0</v>
      </c>
      <c r="N43" s="305">
        <f>N40+N42</f>
        <v>0</v>
      </c>
      <c r="O43" s="299">
        <f>O42+O40</f>
        <v>290797.78293800005</v>
      </c>
      <c r="P43" s="109"/>
      <c r="Q43" s="109"/>
    </row>
    <row r="44" spans="1:16" ht="19.5" customHeight="1">
      <c r="A44" s="322"/>
      <c r="B44" s="341"/>
      <c r="C44" s="311"/>
      <c r="D44" s="312"/>
      <c r="E44" s="312"/>
      <c r="F44" s="312"/>
      <c r="G44" s="312"/>
      <c r="H44" s="312"/>
      <c r="I44" s="313"/>
      <c r="J44" s="343"/>
      <c r="K44" s="304"/>
      <c r="L44" s="304"/>
      <c r="M44" s="304"/>
      <c r="N44" s="306"/>
      <c r="O44" s="300"/>
      <c r="P44" s="130"/>
    </row>
    <row r="45" spans="1:14" ht="17.25">
      <c r="A45" s="88"/>
      <c r="B45" s="131"/>
      <c r="C45" s="140"/>
      <c r="D45" s="132"/>
      <c r="E45" s="132"/>
      <c r="F45" s="132"/>
      <c r="G45" s="132"/>
      <c r="H45" s="132"/>
      <c r="I45" s="132"/>
      <c r="J45" s="95"/>
      <c r="K45" s="132"/>
      <c r="L45" s="132"/>
      <c r="M45" s="95"/>
      <c r="N45" s="95"/>
    </row>
    <row r="46" spans="1:14" ht="17.25">
      <c r="A46" s="307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</row>
    <row r="47" spans="1:14" ht="16.5">
      <c r="A47" s="314"/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</row>
    <row r="48" spans="1:16" ht="17.25">
      <c r="A48" s="9"/>
      <c r="B48" s="133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133"/>
      <c r="P48" s="109"/>
    </row>
    <row r="49" spans="1:14" ht="17.25">
      <c r="A49" s="302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</row>
    <row r="50" spans="1:15" ht="17.25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276"/>
    </row>
    <row r="51" spans="1:14" ht="17.25">
      <c r="A51" s="53"/>
      <c r="B51" s="134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135"/>
    </row>
    <row r="52" spans="1:14" ht="17.25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</row>
    <row r="53" spans="12:14" ht="16.5">
      <c r="L53" s="102"/>
      <c r="N53" s="109"/>
    </row>
    <row r="54" ht="16.5">
      <c r="N54" s="109"/>
    </row>
    <row r="56" ht="16.5">
      <c r="M56" s="109"/>
    </row>
  </sheetData>
  <sheetProtection/>
  <mergeCells count="35">
    <mergeCell ref="A8:A14"/>
    <mergeCell ref="M10:M14"/>
    <mergeCell ref="L10:L14"/>
    <mergeCell ref="B43:B44"/>
    <mergeCell ref="J43:J44"/>
    <mergeCell ref="K10:K14"/>
    <mergeCell ref="B6:C6"/>
    <mergeCell ref="C48:M48"/>
    <mergeCell ref="K43:K44"/>
    <mergeCell ref="A43:A44"/>
    <mergeCell ref="C8:I14"/>
    <mergeCell ref="J8:M9"/>
    <mergeCell ref="C15:I15"/>
    <mergeCell ref="C40:I40"/>
    <mergeCell ref="J6:L6"/>
    <mergeCell ref="A49:N49"/>
    <mergeCell ref="A50:N50"/>
    <mergeCell ref="N8:N14"/>
    <mergeCell ref="A1:N1"/>
    <mergeCell ref="A2:N2"/>
    <mergeCell ref="A3:N3"/>
    <mergeCell ref="A4:N4"/>
    <mergeCell ref="A5:N5"/>
    <mergeCell ref="B8:B14"/>
    <mergeCell ref="J10:J14"/>
    <mergeCell ref="O8:O13"/>
    <mergeCell ref="O43:O44"/>
    <mergeCell ref="C51:M51"/>
    <mergeCell ref="A52:N52"/>
    <mergeCell ref="L43:L44"/>
    <mergeCell ref="M43:M44"/>
    <mergeCell ref="N43:N44"/>
    <mergeCell ref="A46:N46"/>
    <mergeCell ref="C43:I44"/>
    <mergeCell ref="A47:N47"/>
  </mergeCells>
  <printOptions horizontalCentered="1"/>
  <pageMargins left="0.5905511811023623" right="0.31496062992125984" top="0.5905511811023623" bottom="0.31496062992125984" header="0.5118110236220472" footer="0.5118110236220472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"/>
  <sheetViews>
    <sheetView view="pageBreakPreview" zoomScaleNormal="80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3.8515625" style="82" customWidth="1"/>
    <col min="2" max="2" width="10.7109375" style="83" customWidth="1"/>
    <col min="3" max="3" width="72.7109375" style="83" customWidth="1"/>
    <col min="4" max="4" width="10.00390625" style="84" customWidth="1"/>
    <col min="5" max="5" width="9.140625" style="84" bestFit="1" customWidth="1"/>
    <col min="6" max="6" width="12.8515625" style="84" customWidth="1"/>
    <col min="7" max="7" width="6.57421875" style="84" customWidth="1"/>
    <col min="8" max="8" width="12.57421875" style="84" customWidth="1"/>
    <col min="9" max="9" width="9.00390625" style="84" customWidth="1"/>
    <col min="10" max="10" width="10.7109375" style="84" customWidth="1"/>
    <col min="11" max="11" width="9.00390625" style="84" customWidth="1"/>
    <col min="12" max="12" width="9.7109375" style="84" customWidth="1"/>
    <col min="13" max="13" width="11.7109375" style="84" customWidth="1"/>
    <col min="14" max="14" width="11.7109375" style="43" customWidth="1"/>
    <col min="15" max="15" width="9.8515625" style="43" bestFit="1" customWidth="1"/>
    <col min="16" max="16" width="9.140625" style="43" bestFit="1" customWidth="1"/>
    <col min="17" max="18" width="9.00390625" style="43" customWidth="1"/>
    <col min="19" max="19" width="10.28125" style="43" customWidth="1"/>
    <col min="20" max="16384" width="9.00390625" style="43" customWidth="1"/>
  </cols>
  <sheetData>
    <row r="1" spans="1:14" s="12" customFormat="1" ht="51" customHeight="1">
      <c r="A1" s="369" t="str">
        <f>'nakrebi lari'!A4:N4</f>
        <v>siRnaRis municipalitetSi, q. siRnaRSi evdoSvilis II Sesaxvevis,  kvernaZis quCis bolo monakveTis, erekle II-s II Cixis, rusTavelis Cixis da “ormila”-s wyarosTan misasvleli  gzebis sareabilitacio samuSaoebi 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53"/>
    </row>
    <row r="2" spans="1:13" s="12" customFormat="1" ht="21" customHeight="1">
      <c r="A2" s="367" t="s">
        <v>83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1:13" s="12" customFormat="1" ht="16.5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</row>
    <row r="4" spans="1:15" s="12" customFormat="1" ht="24.75" customHeight="1">
      <c r="A4" s="54"/>
      <c r="B4" s="370" t="s">
        <v>28</v>
      </c>
      <c r="C4" s="370"/>
      <c r="D4" s="371"/>
      <c r="E4" s="44"/>
      <c r="F4" s="372"/>
      <c r="G4" s="372"/>
      <c r="H4" s="372"/>
      <c r="I4" s="372"/>
      <c r="J4" s="57"/>
      <c r="K4" s="142"/>
      <c r="L4" s="44"/>
      <c r="M4" s="44"/>
      <c r="O4" s="88"/>
    </row>
    <row r="5" spans="1:13" s="12" customFormat="1" ht="16.5">
      <c r="A5" s="54"/>
      <c r="B5" s="370" t="s">
        <v>131</v>
      </c>
      <c r="C5" s="370"/>
      <c r="D5" s="44"/>
      <c r="E5" s="44"/>
      <c r="F5" s="372"/>
      <c r="G5" s="372"/>
      <c r="H5" s="372"/>
      <c r="I5" s="372"/>
      <c r="J5" s="44"/>
      <c r="K5" s="44"/>
      <c r="L5" s="44"/>
      <c r="M5" s="44"/>
    </row>
    <row r="6" spans="1:13" s="12" customFormat="1" ht="16.5">
      <c r="A6" s="54"/>
      <c r="B6" s="54"/>
      <c r="C6" s="5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4" s="12" customFormat="1" ht="16.5">
      <c r="A7" s="357" t="s">
        <v>2</v>
      </c>
      <c r="B7" s="358" t="s">
        <v>3</v>
      </c>
      <c r="C7" s="315" t="s">
        <v>27</v>
      </c>
      <c r="D7" s="355" t="s">
        <v>4</v>
      </c>
      <c r="E7" s="361"/>
      <c r="F7" s="347"/>
      <c r="G7" s="355" t="s">
        <v>5</v>
      </c>
      <c r="H7" s="356"/>
      <c r="I7" s="355" t="s">
        <v>6</v>
      </c>
      <c r="J7" s="365"/>
      <c r="K7" s="355" t="s">
        <v>7</v>
      </c>
      <c r="L7" s="356"/>
      <c r="M7" s="347" t="s">
        <v>8</v>
      </c>
      <c r="N7" s="344" t="s">
        <v>210</v>
      </c>
    </row>
    <row r="8" spans="1:14" s="12" customFormat="1" ht="16.5">
      <c r="A8" s="335"/>
      <c r="B8" s="359"/>
      <c r="C8" s="316"/>
      <c r="D8" s="351"/>
      <c r="E8" s="362"/>
      <c r="F8" s="363"/>
      <c r="G8" s="364"/>
      <c r="H8" s="352"/>
      <c r="I8" s="364"/>
      <c r="J8" s="366"/>
      <c r="K8" s="351" t="s">
        <v>9</v>
      </c>
      <c r="L8" s="352"/>
      <c r="M8" s="348"/>
      <c r="N8" s="345"/>
    </row>
    <row r="9" spans="1:14" s="12" customFormat="1" ht="16.5">
      <c r="A9" s="335"/>
      <c r="B9" s="359"/>
      <c r="C9" s="316"/>
      <c r="D9" s="353" t="s">
        <v>10</v>
      </c>
      <c r="E9" s="353" t="s">
        <v>11</v>
      </c>
      <c r="F9" s="353" t="s">
        <v>12</v>
      </c>
      <c r="G9" s="25" t="s">
        <v>11</v>
      </c>
      <c r="H9" s="353" t="s">
        <v>12</v>
      </c>
      <c r="I9" s="25" t="s">
        <v>11</v>
      </c>
      <c r="J9" s="353" t="s">
        <v>12</v>
      </c>
      <c r="K9" s="25" t="s">
        <v>11</v>
      </c>
      <c r="L9" s="353" t="s">
        <v>12</v>
      </c>
      <c r="M9" s="349"/>
      <c r="N9" s="345"/>
    </row>
    <row r="10" spans="1:14" s="12" customFormat="1" ht="23.25" customHeight="1">
      <c r="A10" s="336"/>
      <c r="B10" s="360"/>
      <c r="C10" s="317"/>
      <c r="D10" s="354"/>
      <c r="E10" s="354"/>
      <c r="F10" s="354"/>
      <c r="G10" s="27" t="s">
        <v>13</v>
      </c>
      <c r="H10" s="354"/>
      <c r="I10" s="27" t="s">
        <v>13</v>
      </c>
      <c r="J10" s="354"/>
      <c r="K10" s="27" t="s">
        <v>13</v>
      </c>
      <c r="L10" s="354"/>
      <c r="M10" s="350"/>
      <c r="N10" s="346"/>
    </row>
    <row r="11" spans="1:14" s="12" customFormat="1" ht="16.5">
      <c r="A11" s="89">
        <v>1</v>
      </c>
      <c r="B11" s="90" t="s">
        <v>61</v>
      </c>
      <c r="C11" s="91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89">
        <v>13</v>
      </c>
      <c r="N11" s="253">
        <v>14</v>
      </c>
    </row>
    <row r="12" spans="1:14" s="12" customFormat="1" ht="36">
      <c r="A12" s="161">
        <v>1</v>
      </c>
      <c r="B12" s="180" t="s">
        <v>82</v>
      </c>
      <c r="C12" s="148" t="s">
        <v>83</v>
      </c>
      <c r="D12" s="148" t="s">
        <v>91</v>
      </c>
      <c r="E12" s="162"/>
      <c r="F12" s="207">
        <v>0.463</v>
      </c>
      <c r="G12" s="163"/>
      <c r="H12" s="163"/>
      <c r="I12" s="163"/>
      <c r="J12" s="163"/>
      <c r="K12" s="163"/>
      <c r="L12" s="163"/>
      <c r="M12" s="163"/>
      <c r="N12" s="253"/>
    </row>
    <row r="13" spans="1:14" s="12" customFormat="1" ht="17.25">
      <c r="A13" s="164"/>
      <c r="B13" s="165"/>
      <c r="C13" s="30" t="s">
        <v>92</v>
      </c>
      <c r="D13" s="17" t="s">
        <v>93</v>
      </c>
      <c r="E13" s="17">
        <f>(85+49)*4/6</f>
        <v>89.33333333333333</v>
      </c>
      <c r="F13" s="17">
        <f>E13*F12</f>
        <v>41.361333333333334</v>
      </c>
      <c r="G13" s="17"/>
      <c r="H13" s="17"/>
      <c r="I13" s="17"/>
      <c r="J13" s="17"/>
      <c r="K13" s="17"/>
      <c r="L13" s="17"/>
      <c r="M13" s="17"/>
      <c r="N13" s="253">
        <v>272.98</v>
      </c>
    </row>
  </sheetData>
  <sheetProtection/>
  <mergeCells count="23">
    <mergeCell ref="A2:M2"/>
    <mergeCell ref="A3:M3"/>
    <mergeCell ref="A1:M1"/>
    <mergeCell ref="B4:D4"/>
    <mergeCell ref="F4:I4"/>
    <mergeCell ref="B5:C5"/>
    <mergeCell ref="F5:I5"/>
    <mergeCell ref="A7:A10"/>
    <mergeCell ref="B7:B10"/>
    <mergeCell ref="C7:C10"/>
    <mergeCell ref="D7:F8"/>
    <mergeCell ref="G7:H8"/>
    <mergeCell ref="I7:J8"/>
    <mergeCell ref="N7:N10"/>
    <mergeCell ref="M7:M10"/>
    <mergeCell ref="K8:L8"/>
    <mergeCell ref="D9:D10"/>
    <mergeCell ref="E9:E10"/>
    <mergeCell ref="F9:F10"/>
    <mergeCell ref="H9:H10"/>
    <mergeCell ref="J9:J10"/>
    <mergeCell ref="L9:L10"/>
    <mergeCell ref="K7:L7"/>
  </mergeCells>
  <conditionalFormatting sqref="D13">
    <cfRule type="cellIs" priority="23" dxfId="0" operator="equal" stopIfTrue="1">
      <formula>8223.307275</formula>
    </cfRule>
  </conditionalFormatting>
  <printOptions horizontalCentered="1"/>
  <pageMargins left="0.5118110236220472" right="0.31496062992125984" top="0.3937007874015748" bottom="0.31496062992125984" header="0.5118110236220472" footer="0.5118110236220472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50"/>
  <sheetViews>
    <sheetView view="pageBreakPreview" zoomScale="85" zoomScaleNormal="85" zoomScaleSheetLayoutView="85" zoomScalePageLayoutView="0" workbookViewId="0" topLeftCell="A1">
      <selection activeCell="C40" sqref="C40"/>
    </sheetView>
  </sheetViews>
  <sheetFormatPr defaultColWidth="9.00390625" defaultRowHeight="12.75"/>
  <cols>
    <col min="1" max="1" width="3.8515625" style="82" customWidth="1"/>
    <col min="2" max="2" width="9.57421875" style="83" customWidth="1"/>
    <col min="3" max="3" width="82.28125" style="83" customWidth="1"/>
    <col min="4" max="4" width="10.00390625" style="84" customWidth="1"/>
    <col min="5" max="5" width="12.28125" style="84" customWidth="1"/>
    <col min="6" max="6" width="11.7109375" style="84" customWidth="1"/>
    <col min="7" max="7" width="7.7109375" style="84" customWidth="1"/>
    <col min="8" max="8" width="10.140625" style="84" customWidth="1"/>
    <col min="9" max="9" width="10.7109375" style="84" customWidth="1"/>
    <col min="10" max="10" width="13.00390625" style="84" customWidth="1"/>
    <col min="11" max="11" width="9.7109375" style="84" customWidth="1"/>
    <col min="12" max="12" width="11.28125" style="84" customWidth="1"/>
    <col min="13" max="13" width="14.140625" style="84" customWidth="1"/>
    <col min="14" max="14" width="13.7109375" style="257" customWidth="1"/>
    <col min="15" max="15" width="9.8515625" style="43" bestFit="1" customWidth="1"/>
    <col min="16" max="16" width="9.140625" style="43" bestFit="1" customWidth="1"/>
    <col min="17" max="18" width="9.00390625" style="43" customWidth="1"/>
    <col min="19" max="19" width="10.28125" style="43" customWidth="1"/>
    <col min="20" max="16384" width="9.00390625" style="43" customWidth="1"/>
  </cols>
  <sheetData>
    <row r="1" spans="1:14" s="12" customFormat="1" ht="61.5" customHeight="1">
      <c r="A1" s="369" t="str">
        <f>'nakrebi lari'!A4:N4</f>
        <v>siRnaRis municipalitetSi, q. siRnaRSi evdoSvilis II Sesaxvevis,  kvernaZis quCis bolo monakveTis, erekle II-s II Cixis, rusTavelis Cixis da “ormila”-s wyarosTan misasvleli  gzebis sareabilitacio samuSaoebi 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254"/>
    </row>
    <row r="2" spans="1:14" s="12" customFormat="1" ht="21.75" customHeight="1">
      <c r="A2" s="374" t="s">
        <v>56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255"/>
    </row>
    <row r="3" spans="1:14" s="12" customFormat="1" ht="21.75" customHeight="1">
      <c r="A3" s="367" t="s">
        <v>144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255"/>
    </row>
    <row r="4" spans="1:14" s="12" customFormat="1" ht="16.5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255"/>
    </row>
    <row r="5" spans="1:15" s="12" customFormat="1" ht="33">
      <c r="A5" s="54"/>
      <c r="B5" s="370" t="s">
        <v>28</v>
      </c>
      <c r="C5" s="370"/>
      <c r="D5" s="371"/>
      <c r="E5" s="44"/>
      <c r="F5" s="372" t="s">
        <v>1</v>
      </c>
      <c r="G5" s="372"/>
      <c r="H5" s="372"/>
      <c r="I5" s="372"/>
      <c r="J5" s="57">
        <f>M44/1000</f>
        <v>0</v>
      </c>
      <c r="K5" s="44" t="s">
        <v>0</v>
      </c>
      <c r="L5" s="44"/>
      <c r="M5" s="44"/>
      <c r="N5" s="255"/>
      <c r="O5" s="12" t="s">
        <v>89</v>
      </c>
    </row>
    <row r="6" spans="1:14" s="12" customFormat="1" ht="16.5">
      <c r="A6" s="54"/>
      <c r="B6" s="370" t="s">
        <v>131</v>
      </c>
      <c r="C6" s="370"/>
      <c r="D6" s="44"/>
      <c r="E6" s="44"/>
      <c r="F6" s="372"/>
      <c r="G6" s="372"/>
      <c r="H6" s="372"/>
      <c r="I6" s="372"/>
      <c r="J6" s="44"/>
      <c r="K6" s="44"/>
      <c r="L6" s="44"/>
      <c r="M6" s="44"/>
      <c r="N6" s="255"/>
    </row>
    <row r="7" spans="1:14" s="12" customFormat="1" ht="16.5">
      <c r="A7" s="54"/>
      <c r="B7" s="54"/>
      <c r="C7" s="54"/>
      <c r="D7" s="44"/>
      <c r="E7" s="44"/>
      <c r="F7" s="44"/>
      <c r="G7" s="44"/>
      <c r="H7" s="44"/>
      <c r="I7" s="44"/>
      <c r="J7" s="44"/>
      <c r="K7" s="44"/>
      <c r="L7" s="44"/>
      <c r="M7" s="44"/>
      <c r="N7" s="255"/>
    </row>
    <row r="8" spans="1:14" s="12" customFormat="1" ht="16.5">
      <c r="A8" s="357" t="s">
        <v>2</v>
      </c>
      <c r="B8" s="358" t="s">
        <v>3</v>
      </c>
      <c r="C8" s="315" t="s">
        <v>27</v>
      </c>
      <c r="D8" s="355" t="s">
        <v>4</v>
      </c>
      <c r="E8" s="361"/>
      <c r="F8" s="347"/>
      <c r="G8" s="355" t="s">
        <v>5</v>
      </c>
      <c r="H8" s="356"/>
      <c r="I8" s="355" t="s">
        <v>6</v>
      </c>
      <c r="J8" s="365"/>
      <c r="K8" s="355" t="s">
        <v>7</v>
      </c>
      <c r="L8" s="365"/>
      <c r="M8" s="353" t="s">
        <v>8</v>
      </c>
      <c r="N8" s="344" t="s">
        <v>210</v>
      </c>
    </row>
    <row r="9" spans="1:14" s="12" customFormat="1" ht="16.5">
      <c r="A9" s="335"/>
      <c r="B9" s="359"/>
      <c r="C9" s="316"/>
      <c r="D9" s="351"/>
      <c r="E9" s="362"/>
      <c r="F9" s="363"/>
      <c r="G9" s="364"/>
      <c r="H9" s="352"/>
      <c r="I9" s="364"/>
      <c r="J9" s="366"/>
      <c r="K9" s="351" t="s">
        <v>9</v>
      </c>
      <c r="L9" s="366"/>
      <c r="M9" s="349"/>
      <c r="N9" s="345"/>
    </row>
    <row r="10" spans="1:14" s="12" customFormat="1" ht="16.5">
      <c r="A10" s="335"/>
      <c r="B10" s="359"/>
      <c r="C10" s="316"/>
      <c r="D10" s="353" t="s">
        <v>10</v>
      </c>
      <c r="E10" s="353" t="s">
        <v>11</v>
      </c>
      <c r="F10" s="353" t="s">
        <v>12</v>
      </c>
      <c r="G10" s="25" t="s">
        <v>11</v>
      </c>
      <c r="H10" s="353" t="s">
        <v>12</v>
      </c>
      <c r="I10" s="25" t="s">
        <v>11</v>
      </c>
      <c r="J10" s="353" t="s">
        <v>12</v>
      </c>
      <c r="K10" s="25" t="s">
        <v>11</v>
      </c>
      <c r="L10" s="355" t="s">
        <v>12</v>
      </c>
      <c r="M10" s="349"/>
      <c r="N10" s="345"/>
    </row>
    <row r="11" spans="1:14" s="12" customFormat="1" ht="22.5" customHeight="1">
      <c r="A11" s="336"/>
      <c r="B11" s="360"/>
      <c r="C11" s="317"/>
      <c r="D11" s="354"/>
      <c r="E11" s="354"/>
      <c r="F11" s="354"/>
      <c r="G11" s="27" t="s">
        <v>13</v>
      </c>
      <c r="H11" s="354"/>
      <c r="I11" s="27" t="s">
        <v>13</v>
      </c>
      <c r="J11" s="354"/>
      <c r="K11" s="27" t="s">
        <v>13</v>
      </c>
      <c r="L11" s="351"/>
      <c r="M11" s="350"/>
      <c r="N11" s="346"/>
    </row>
    <row r="12" spans="1:14" s="12" customFormat="1" ht="16.5">
      <c r="A12" s="89">
        <v>1</v>
      </c>
      <c r="B12" s="90" t="s">
        <v>61</v>
      </c>
      <c r="C12" s="91">
        <v>3</v>
      </c>
      <c r="D12" s="90">
        <v>4</v>
      </c>
      <c r="E12" s="90">
        <v>5</v>
      </c>
      <c r="F12" s="90">
        <v>6</v>
      </c>
      <c r="G12" s="90">
        <v>7</v>
      </c>
      <c r="H12" s="90">
        <v>8</v>
      </c>
      <c r="I12" s="90">
        <v>9</v>
      </c>
      <c r="J12" s="90">
        <v>10</v>
      </c>
      <c r="K12" s="90">
        <v>11</v>
      </c>
      <c r="L12" s="99">
        <v>12</v>
      </c>
      <c r="M12" s="89">
        <v>13</v>
      </c>
      <c r="N12" s="253">
        <v>14</v>
      </c>
    </row>
    <row r="13" spans="1:14" s="102" customFormat="1" ht="51.75">
      <c r="A13" s="31">
        <v>1</v>
      </c>
      <c r="B13" s="186" t="s">
        <v>145</v>
      </c>
      <c r="C13" s="217" t="s">
        <v>148</v>
      </c>
      <c r="D13" s="94" t="s">
        <v>105</v>
      </c>
      <c r="E13" s="32"/>
      <c r="F13" s="208">
        <v>20.5</v>
      </c>
      <c r="G13" s="218"/>
      <c r="H13" s="24"/>
      <c r="I13" s="25"/>
      <c r="J13" s="218"/>
      <c r="K13" s="25"/>
      <c r="L13" s="24"/>
      <c r="M13" s="25"/>
      <c r="N13" s="256"/>
    </row>
    <row r="14" spans="1:14" s="102" customFormat="1" ht="16.5">
      <c r="A14" s="36"/>
      <c r="B14" s="13"/>
      <c r="C14" s="23" t="s">
        <v>29</v>
      </c>
      <c r="D14" s="15" t="s">
        <v>30</v>
      </c>
      <c r="E14" s="15">
        <f>1.5+27/1000</f>
        <v>1.527</v>
      </c>
      <c r="F14" s="15">
        <f>E14*F13</f>
        <v>31.3035</v>
      </c>
      <c r="G14" s="15"/>
      <c r="H14" s="24"/>
      <c r="I14" s="25"/>
      <c r="J14" s="218"/>
      <c r="K14" s="25"/>
      <c r="L14" s="24"/>
      <c r="M14" s="25"/>
      <c r="N14" s="256"/>
    </row>
    <row r="15" spans="1:14" s="102" customFormat="1" ht="16.5">
      <c r="A15" s="36"/>
      <c r="B15" s="13"/>
      <c r="C15" s="23" t="s">
        <v>74</v>
      </c>
      <c r="D15" s="15" t="s">
        <v>31</v>
      </c>
      <c r="E15" s="15">
        <f>0.82/100</f>
        <v>0.008199999999999999</v>
      </c>
      <c r="F15" s="15">
        <f>E15*F13</f>
        <v>0.16809999999999997</v>
      </c>
      <c r="G15" s="15"/>
      <c r="H15" s="24"/>
      <c r="I15" s="25"/>
      <c r="J15" s="218"/>
      <c r="K15" s="15"/>
      <c r="L15" s="24"/>
      <c r="M15" s="25"/>
      <c r="N15" s="256"/>
    </row>
    <row r="16" spans="1:14" s="102" customFormat="1" ht="16.5">
      <c r="A16" s="36"/>
      <c r="B16" s="13"/>
      <c r="C16" s="23" t="s">
        <v>32</v>
      </c>
      <c r="D16" s="15" t="s">
        <v>30</v>
      </c>
      <c r="E16" s="15"/>
      <c r="F16" s="15">
        <f>F15</f>
        <v>0.16809999999999997</v>
      </c>
      <c r="G16" s="15"/>
      <c r="H16" s="24"/>
      <c r="I16" s="25"/>
      <c r="J16" s="218"/>
      <c r="K16" s="25"/>
      <c r="L16" s="24"/>
      <c r="M16" s="25"/>
      <c r="N16" s="256"/>
    </row>
    <row r="17" spans="1:14" s="102" customFormat="1" ht="16.5">
      <c r="A17" s="36"/>
      <c r="B17" s="13"/>
      <c r="C17" s="23" t="s">
        <v>146</v>
      </c>
      <c r="D17" s="15" t="s">
        <v>31</v>
      </c>
      <c r="E17" s="15">
        <f>0.82/100</f>
        <v>0.008199999999999999</v>
      </c>
      <c r="F17" s="15">
        <f>E17*F13</f>
        <v>0.16809999999999997</v>
      </c>
      <c r="G17" s="15"/>
      <c r="H17" s="24"/>
      <c r="I17" s="25"/>
      <c r="J17" s="218"/>
      <c r="K17" s="25"/>
      <c r="L17" s="24"/>
      <c r="M17" s="25"/>
      <c r="N17" s="256"/>
    </row>
    <row r="18" spans="1:14" s="102" customFormat="1" ht="16.5">
      <c r="A18" s="36"/>
      <c r="B18" s="13"/>
      <c r="C18" s="23" t="s">
        <v>32</v>
      </c>
      <c r="D18" s="15" t="s">
        <v>30</v>
      </c>
      <c r="E18" s="15"/>
      <c r="F18" s="15">
        <f>F17</f>
        <v>0.16809999999999997</v>
      </c>
      <c r="G18" s="218"/>
      <c r="H18" s="24"/>
      <c r="I18" s="25"/>
      <c r="J18" s="218"/>
      <c r="K18" s="25"/>
      <c r="L18" s="24"/>
      <c r="M18" s="25"/>
      <c r="N18" s="256"/>
    </row>
    <row r="19" spans="1:14" s="102" customFormat="1" ht="16.5">
      <c r="A19" s="36"/>
      <c r="B19" s="13"/>
      <c r="C19" s="23" t="s">
        <v>37</v>
      </c>
      <c r="D19" s="15" t="s">
        <v>34</v>
      </c>
      <c r="E19" s="15">
        <f>9.66/100</f>
        <v>0.0966</v>
      </c>
      <c r="F19" s="15">
        <f>E19*F13</f>
        <v>1.9803000000000002</v>
      </c>
      <c r="G19" s="15"/>
      <c r="H19" s="24"/>
      <c r="I19" s="25"/>
      <c r="J19" s="218"/>
      <c r="K19" s="25"/>
      <c r="L19" s="24"/>
      <c r="M19" s="25"/>
      <c r="N19" s="256"/>
    </row>
    <row r="20" spans="1:14" s="102" customFormat="1" ht="16.5">
      <c r="A20" s="13"/>
      <c r="B20" s="13"/>
      <c r="C20" s="35" t="s">
        <v>67</v>
      </c>
      <c r="D20" s="15" t="s">
        <v>31</v>
      </c>
      <c r="E20" s="157">
        <f>60.5/1000</f>
        <v>0.0605</v>
      </c>
      <c r="F20" s="15">
        <f>E20*F13</f>
        <v>1.24025</v>
      </c>
      <c r="G20" s="15"/>
      <c r="H20" s="15"/>
      <c r="I20" s="25"/>
      <c r="J20" s="25"/>
      <c r="K20" s="15"/>
      <c r="L20" s="25"/>
      <c r="M20" s="25"/>
      <c r="N20" s="256"/>
    </row>
    <row r="21" spans="1:14" s="102" customFormat="1" ht="16.5">
      <c r="A21" s="13"/>
      <c r="B21" s="13"/>
      <c r="C21" s="35" t="s">
        <v>32</v>
      </c>
      <c r="D21" s="15" t="s">
        <v>30</v>
      </c>
      <c r="E21" s="15"/>
      <c r="F21" s="22">
        <f>F20</f>
        <v>1.24025</v>
      </c>
      <c r="G21" s="15"/>
      <c r="H21" s="15"/>
      <c r="I21" s="25"/>
      <c r="J21" s="218"/>
      <c r="K21" s="25"/>
      <c r="L21" s="24"/>
      <c r="M21" s="25"/>
      <c r="N21" s="256"/>
    </row>
    <row r="22" spans="1:14" s="102" customFormat="1" ht="16.5">
      <c r="A22" s="158"/>
      <c r="B22" s="158"/>
      <c r="C22" s="147" t="s">
        <v>37</v>
      </c>
      <c r="D22" s="17" t="s">
        <v>34</v>
      </c>
      <c r="E22" s="195">
        <f>2.21/1000</f>
        <v>0.00221</v>
      </c>
      <c r="F22" s="47">
        <f>E22*F13</f>
        <v>0.045305000000000005</v>
      </c>
      <c r="G22" s="17"/>
      <c r="H22" s="17"/>
      <c r="I22" s="17"/>
      <c r="J22" s="17"/>
      <c r="K22" s="17"/>
      <c r="L22" s="17"/>
      <c r="M22" s="17"/>
      <c r="N22" s="256"/>
    </row>
    <row r="23" spans="1:14" s="102" customFormat="1" ht="34.5">
      <c r="A23" s="219">
        <v>2</v>
      </c>
      <c r="B23" s="220"/>
      <c r="C23" s="221" t="s">
        <v>147</v>
      </c>
      <c r="D23" s="222" t="s">
        <v>35</v>
      </c>
      <c r="E23" s="223"/>
      <c r="F23" s="224">
        <f>F13*2.4</f>
        <v>49.199999999999996</v>
      </c>
      <c r="G23" s="64"/>
      <c r="H23" s="40"/>
      <c r="I23" s="62"/>
      <c r="J23" s="64"/>
      <c r="K23" s="27"/>
      <c r="L23" s="61"/>
      <c r="M23" s="62"/>
      <c r="N23" s="256"/>
    </row>
    <row r="24" spans="1:14" s="12" customFormat="1" ht="34.5">
      <c r="A24" s="31">
        <v>3</v>
      </c>
      <c r="B24" s="153" t="s">
        <v>99</v>
      </c>
      <c r="C24" s="175" t="s">
        <v>124</v>
      </c>
      <c r="D24" s="94" t="s">
        <v>105</v>
      </c>
      <c r="E24" s="32"/>
      <c r="F24" s="208">
        <v>913.01</v>
      </c>
      <c r="G24" s="26"/>
      <c r="H24" s="24"/>
      <c r="I24" s="25"/>
      <c r="J24" s="26"/>
      <c r="K24" s="25"/>
      <c r="L24" s="24"/>
      <c r="M24" s="171"/>
      <c r="N24" s="256"/>
    </row>
    <row r="25" spans="1:14" s="12" customFormat="1" ht="16.5">
      <c r="A25" s="13"/>
      <c r="B25" s="13"/>
      <c r="C25" s="35" t="s">
        <v>29</v>
      </c>
      <c r="D25" s="15" t="s">
        <v>30</v>
      </c>
      <c r="E25" s="157">
        <f>20/1000</f>
        <v>0.02</v>
      </c>
      <c r="F25" s="15">
        <f>E25*F24</f>
        <v>18.2602</v>
      </c>
      <c r="G25" s="15"/>
      <c r="H25" s="15"/>
      <c r="I25" s="25"/>
      <c r="J25" s="25"/>
      <c r="K25" s="25"/>
      <c r="L25" s="24"/>
      <c r="M25" s="25"/>
      <c r="N25" s="256"/>
    </row>
    <row r="26" spans="1:14" s="12" customFormat="1" ht="16.5">
      <c r="A26" s="13"/>
      <c r="B26" s="13"/>
      <c r="C26" s="35" t="s">
        <v>67</v>
      </c>
      <c r="D26" s="15" t="s">
        <v>31</v>
      </c>
      <c r="E26" s="157">
        <f>44.8/1000</f>
        <v>0.0448</v>
      </c>
      <c r="F26" s="15">
        <f>E26*F24</f>
        <v>40.902848</v>
      </c>
      <c r="G26" s="15"/>
      <c r="H26" s="15"/>
      <c r="I26" s="25"/>
      <c r="J26" s="26"/>
      <c r="K26" s="15"/>
      <c r="L26" s="24"/>
      <c r="M26" s="25"/>
      <c r="N26" s="256"/>
    </row>
    <row r="27" spans="1:14" s="12" customFormat="1" ht="16.5">
      <c r="A27" s="13"/>
      <c r="B27" s="13"/>
      <c r="C27" s="35" t="s">
        <v>32</v>
      </c>
      <c r="D27" s="15" t="s">
        <v>30</v>
      </c>
      <c r="E27" s="15"/>
      <c r="F27" s="22">
        <f>F26</f>
        <v>40.902848</v>
      </c>
      <c r="G27" s="15"/>
      <c r="H27" s="15"/>
      <c r="I27" s="25"/>
      <c r="J27" s="26"/>
      <c r="K27" s="25"/>
      <c r="L27" s="24"/>
      <c r="M27" s="25"/>
      <c r="N27" s="256"/>
    </row>
    <row r="28" spans="1:14" s="12" customFormat="1" ht="16.5">
      <c r="A28" s="13"/>
      <c r="B28" s="13"/>
      <c r="C28" s="35" t="s">
        <v>37</v>
      </c>
      <c r="D28" s="15" t="s">
        <v>34</v>
      </c>
      <c r="E28" s="157">
        <f>2.1/1000</f>
        <v>0.0021000000000000003</v>
      </c>
      <c r="F28" s="22">
        <f>E28*F24</f>
        <v>1.9173210000000003</v>
      </c>
      <c r="G28" s="15"/>
      <c r="H28" s="15"/>
      <c r="I28" s="15"/>
      <c r="J28" s="15"/>
      <c r="K28" s="15"/>
      <c r="L28" s="22"/>
      <c r="M28" s="15"/>
      <c r="N28" s="256"/>
    </row>
    <row r="29" spans="1:14" s="12" customFormat="1" ht="16.5">
      <c r="A29" s="46"/>
      <c r="B29" s="177"/>
      <c r="C29" s="178" t="s">
        <v>128</v>
      </c>
      <c r="D29" s="149" t="s">
        <v>35</v>
      </c>
      <c r="E29" s="27"/>
      <c r="F29" s="202">
        <f>F24*1.8</f>
        <v>1643.4180000000001</v>
      </c>
      <c r="G29" s="150"/>
      <c r="H29" s="149"/>
      <c r="I29" s="27"/>
      <c r="J29" s="150"/>
      <c r="K29" s="27"/>
      <c r="L29" s="149"/>
      <c r="M29" s="27"/>
      <c r="N29" s="256"/>
    </row>
    <row r="30" spans="1:14" s="12" customFormat="1" ht="34.5">
      <c r="A30" s="31">
        <v>4</v>
      </c>
      <c r="B30" s="192" t="s">
        <v>100</v>
      </c>
      <c r="C30" s="175" t="s">
        <v>125</v>
      </c>
      <c r="D30" s="94" t="s">
        <v>105</v>
      </c>
      <c r="E30" s="32"/>
      <c r="F30" s="208">
        <v>101.56</v>
      </c>
      <c r="G30" s="26"/>
      <c r="H30" s="24"/>
      <c r="I30" s="25"/>
      <c r="J30" s="26"/>
      <c r="K30" s="25"/>
      <c r="L30" s="24"/>
      <c r="M30" s="171"/>
      <c r="N30" s="256"/>
    </row>
    <row r="31" spans="1:14" s="12" customFormat="1" ht="16.5">
      <c r="A31" s="13"/>
      <c r="B31" s="13"/>
      <c r="C31" s="35" t="s">
        <v>29</v>
      </c>
      <c r="D31" s="15" t="s">
        <v>30</v>
      </c>
      <c r="E31" s="15">
        <f>2.06+0.87</f>
        <v>2.93</v>
      </c>
      <c r="F31" s="15">
        <f>E31*F30</f>
        <v>297.5708</v>
      </c>
      <c r="G31" s="15"/>
      <c r="H31" s="15"/>
      <c r="I31" s="25"/>
      <c r="J31" s="25"/>
      <c r="K31" s="25"/>
      <c r="L31" s="24"/>
      <c r="M31" s="25"/>
      <c r="N31" s="256"/>
    </row>
    <row r="32" spans="1:14" s="12" customFormat="1" ht="16.5">
      <c r="A32" s="46"/>
      <c r="B32" s="177"/>
      <c r="C32" s="178" t="s">
        <v>128</v>
      </c>
      <c r="D32" s="149" t="s">
        <v>35</v>
      </c>
      <c r="E32" s="27"/>
      <c r="F32" s="202">
        <f>F30*1.8</f>
        <v>182.80800000000002</v>
      </c>
      <c r="G32" s="150"/>
      <c r="H32" s="149"/>
      <c r="I32" s="27"/>
      <c r="J32" s="150"/>
      <c r="K32" s="27"/>
      <c r="L32" s="149"/>
      <c r="M32" s="27"/>
      <c r="N32" s="256"/>
    </row>
    <row r="33" spans="1:14" s="12" customFormat="1" ht="20.25">
      <c r="A33" s="31">
        <v>5</v>
      </c>
      <c r="B33" s="49" t="s">
        <v>68</v>
      </c>
      <c r="C33" s="50" t="s">
        <v>75</v>
      </c>
      <c r="D33" s="19" t="s">
        <v>105</v>
      </c>
      <c r="E33" s="168"/>
      <c r="F33" s="209">
        <f>F30+F24</f>
        <v>1014.5699999999999</v>
      </c>
      <c r="G33" s="169"/>
      <c r="H33" s="169"/>
      <c r="I33" s="169"/>
      <c r="J33" s="169"/>
      <c r="K33" s="169"/>
      <c r="L33" s="170"/>
      <c r="M33" s="171"/>
      <c r="N33" s="256"/>
    </row>
    <row r="34" spans="1:14" s="12" customFormat="1" ht="16.5">
      <c r="A34" s="21"/>
      <c r="B34" s="21"/>
      <c r="C34" s="35" t="s">
        <v>29</v>
      </c>
      <c r="D34" s="15" t="s">
        <v>30</v>
      </c>
      <c r="E34" s="157">
        <f>3.23/1000</f>
        <v>0.00323</v>
      </c>
      <c r="F34" s="15">
        <f>E34*F33</f>
        <v>3.2770610999999996</v>
      </c>
      <c r="G34" s="16"/>
      <c r="H34" s="16"/>
      <c r="I34" s="51"/>
      <c r="J34" s="51"/>
      <c r="K34" s="51"/>
      <c r="L34" s="172"/>
      <c r="M34" s="16"/>
      <c r="N34" s="256"/>
    </row>
    <row r="35" spans="1:14" s="12" customFormat="1" ht="16.5">
      <c r="A35" s="13"/>
      <c r="B35" s="13"/>
      <c r="C35" s="35" t="s">
        <v>58</v>
      </c>
      <c r="D35" s="15" t="s">
        <v>31</v>
      </c>
      <c r="E35" s="39">
        <f>3.62/1000</f>
        <v>0.00362</v>
      </c>
      <c r="F35" s="15">
        <f>E35*F33</f>
        <v>3.6727434</v>
      </c>
      <c r="G35" s="15"/>
      <c r="H35" s="15"/>
      <c r="I35" s="15"/>
      <c r="J35" s="15"/>
      <c r="K35" s="15"/>
      <c r="L35" s="22"/>
      <c r="M35" s="15"/>
      <c r="N35" s="256"/>
    </row>
    <row r="36" spans="1:14" s="12" customFormat="1" ht="16.5">
      <c r="A36" s="13"/>
      <c r="B36" s="13"/>
      <c r="C36" s="35" t="s">
        <v>32</v>
      </c>
      <c r="D36" s="15" t="s">
        <v>30</v>
      </c>
      <c r="E36" s="15"/>
      <c r="F36" s="15">
        <f>F35</f>
        <v>3.6727434</v>
      </c>
      <c r="G36" s="15"/>
      <c r="H36" s="15"/>
      <c r="I36" s="15"/>
      <c r="J36" s="15"/>
      <c r="K36" s="14"/>
      <c r="L36" s="156"/>
      <c r="M36" s="15"/>
      <c r="N36" s="256"/>
    </row>
    <row r="37" spans="1:14" s="12" customFormat="1" ht="16.5">
      <c r="A37" s="93"/>
      <c r="B37" s="93"/>
      <c r="C37" s="52" t="s">
        <v>37</v>
      </c>
      <c r="D37" s="93" t="s">
        <v>34</v>
      </c>
      <c r="E37" s="173">
        <f>0.18/1000</f>
        <v>0.00017999999999999998</v>
      </c>
      <c r="F37" s="17">
        <f>E37*F33</f>
        <v>0.18262259999999997</v>
      </c>
      <c r="G37" s="93"/>
      <c r="H37" s="93"/>
      <c r="I37" s="93"/>
      <c r="J37" s="93"/>
      <c r="K37" s="18"/>
      <c r="L37" s="47"/>
      <c r="M37" s="17"/>
      <c r="N37" s="256"/>
    </row>
    <row r="38" spans="1:14" s="12" customFormat="1" ht="16.5">
      <c r="A38" s="89"/>
      <c r="B38" s="90"/>
      <c r="C38" s="279" t="s">
        <v>12</v>
      </c>
      <c r="D38" s="90" t="s">
        <v>34</v>
      </c>
      <c r="E38" s="90"/>
      <c r="F38" s="90"/>
      <c r="G38" s="40"/>
      <c r="H38" s="40"/>
      <c r="I38" s="40"/>
      <c r="J38" s="40"/>
      <c r="K38" s="40"/>
      <c r="L38" s="40"/>
      <c r="M38" s="40"/>
      <c r="N38" s="260">
        <v>19010.3</v>
      </c>
    </row>
    <row r="39" spans="1:14" s="12" customFormat="1" ht="16.5">
      <c r="A39" s="66"/>
      <c r="B39" s="13"/>
      <c r="C39" s="67" t="s">
        <v>216</v>
      </c>
      <c r="D39" s="68" t="s">
        <v>34</v>
      </c>
      <c r="E39" s="15"/>
      <c r="F39" s="15"/>
      <c r="G39" s="15"/>
      <c r="H39" s="15"/>
      <c r="I39" s="15"/>
      <c r="J39" s="15"/>
      <c r="K39" s="14"/>
      <c r="L39" s="22"/>
      <c r="M39" s="15"/>
      <c r="N39" s="259"/>
    </row>
    <row r="40" spans="1:14" s="12" customFormat="1" ht="16.5">
      <c r="A40" s="66"/>
      <c r="B40" s="13"/>
      <c r="C40" s="96" t="s">
        <v>12</v>
      </c>
      <c r="D40" s="68" t="s">
        <v>34</v>
      </c>
      <c r="E40" s="15"/>
      <c r="F40" s="15"/>
      <c r="G40" s="15"/>
      <c r="H40" s="15"/>
      <c r="I40" s="15"/>
      <c r="J40" s="15"/>
      <c r="K40" s="14"/>
      <c r="L40" s="22"/>
      <c r="M40" s="15"/>
      <c r="N40" s="256"/>
    </row>
    <row r="41" spans="1:14" s="12" customFormat="1" ht="16.5">
      <c r="A41" s="70"/>
      <c r="B41" s="71"/>
      <c r="C41" s="67" t="s">
        <v>213</v>
      </c>
      <c r="D41" s="68" t="s">
        <v>34</v>
      </c>
      <c r="E41" s="73"/>
      <c r="F41" s="80"/>
      <c r="G41" s="73"/>
      <c r="H41" s="73"/>
      <c r="I41" s="73"/>
      <c r="J41" s="73"/>
      <c r="K41" s="73"/>
      <c r="L41" s="76"/>
      <c r="M41" s="73"/>
      <c r="N41" s="256"/>
    </row>
    <row r="42" spans="1:14" s="12" customFormat="1" ht="16.5">
      <c r="A42" s="77"/>
      <c r="B42" s="71"/>
      <c r="C42" s="96" t="s">
        <v>12</v>
      </c>
      <c r="D42" s="68" t="s">
        <v>34</v>
      </c>
      <c r="E42" s="78"/>
      <c r="F42" s="96"/>
      <c r="G42" s="96"/>
      <c r="H42" s="78"/>
      <c r="I42" s="78"/>
      <c r="J42" s="78"/>
      <c r="K42" s="78"/>
      <c r="L42" s="79"/>
      <c r="M42" s="78"/>
      <c r="N42" s="256"/>
    </row>
    <row r="43" spans="1:14" s="12" customFormat="1" ht="16.5">
      <c r="A43" s="70"/>
      <c r="B43" s="71"/>
      <c r="C43" s="67" t="s">
        <v>214</v>
      </c>
      <c r="D43" s="68" t="s">
        <v>34</v>
      </c>
      <c r="E43" s="73"/>
      <c r="F43" s="80"/>
      <c r="G43" s="73"/>
      <c r="H43" s="73"/>
      <c r="I43" s="73"/>
      <c r="J43" s="73"/>
      <c r="K43" s="73"/>
      <c r="L43" s="76"/>
      <c r="M43" s="73"/>
      <c r="N43" s="258"/>
    </row>
    <row r="44" spans="1:14" s="12" customFormat="1" ht="17.25">
      <c r="A44" s="277"/>
      <c r="B44" s="278"/>
      <c r="C44" s="279" t="s">
        <v>12</v>
      </c>
      <c r="D44" s="280" t="s">
        <v>34</v>
      </c>
      <c r="E44" s="279"/>
      <c r="F44" s="279"/>
      <c r="G44" s="279"/>
      <c r="H44" s="281"/>
      <c r="I44" s="281"/>
      <c r="J44" s="281"/>
      <c r="K44" s="281"/>
      <c r="L44" s="281"/>
      <c r="M44" s="282"/>
      <c r="N44" s="256">
        <v>22584.23</v>
      </c>
    </row>
    <row r="46" spans="3:12" ht="16.5">
      <c r="C46" s="85"/>
      <c r="D46" s="86"/>
      <c r="E46" s="86"/>
      <c r="F46" s="86"/>
      <c r="G46" s="86"/>
      <c r="H46" s="86"/>
      <c r="I46" s="86"/>
      <c r="J46" s="86"/>
      <c r="K46" s="86"/>
      <c r="L46" s="86"/>
    </row>
    <row r="47" spans="3:12" ht="16.5">
      <c r="C47" s="85"/>
      <c r="D47" s="86"/>
      <c r="E47" s="86"/>
      <c r="F47" s="86"/>
      <c r="G47" s="86"/>
      <c r="H47" s="86"/>
      <c r="I47" s="86"/>
      <c r="J47" s="86"/>
      <c r="K47" s="86"/>
      <c r="L47" s="86"/>
    </row>
    <row r="48" spans="3:12" ht="16.5">
      <c r="C48" s="85"/>
      <c r="D48" s="86"/>
      <c r="E48" s="86"/>
      <c r="F48" s="86"/>
      <c r="G48" s="86"/>
      <c r="H48" s="86"/>
      <c r="I48" s="86"/>
      <c r="J48" s="86"/>
      <c r="K48" s="86"/>
      <c r="L48" s="86"/>
    </row>
    <row r="49" spans="3:12" ht="16.5">
      <c r="C49" s="373"/>
      <c r="D49" s="373"/>
      <c r="E49" s="373"/>
      <c r="F49" s="373"/>
      <c r="G49" s="373"/>
      <c r="H49" s="373"/>
      <c r="I49" s="373"/>
      <c r="J49" s="373"/>
      <c r="K49" s="373"/>
      <c r="L49" s="373"/>
    </row>
    <row r="50" spans="3:12" ht="16.5">
      <c r="C50" s="85"/>
      <c r="D50" s="86"/>
      <c r="E50" s="86"/>
      <c r="F50" s="86"/>
      <c r="G50" s="86"/>
      <c r="H50" s="86"/>
      <c r="I50" s="86"/>
      <c r="J50" s="86"/>
      <c r="K50" s="86"/>
      <c r="L50" s="86"/>
    </row>
  </sheetData>
  <sheetProtection/>
  <mergeCells count="25">
    <mergeCell ref="B5:D5"/>
    <mergeCell ref="F5:I5"/>
    <mergeCell ref="B8:B11"/>
    <mergeCell ref="M8:M11"/>
    <mergeCell ref="B6:C6"/>
    <mergeCell ref="F6:I6"/>
    <mergeCell ref="L10:L11"/>
    <mergeCell ref="A1:M1"/>
    <mergeCell ref="A2:M2"/>
    <mergeCell ref="A3:M3"/>
    <mergeCell ref="A4:M4"/>
    <mergeCell ref="K9:L9"/>
    <mergeCell ref="H10:H11"/>
    <mergeCell ref="A8:A11"/>
    <mergeCell ref="D10:D11"/>
    <mergeCell ref="F10:F11"/>
    <mergeCell ref="J10:J11"/>
    <mergeCell ref="N8:N11"/>
    <mergeCell ref="C49:L49"/>
    <mergeCell ref="G8:H9"/>
    <mergeCell ref="I8:J9"/>
    <mergeCell ref="K8:L8"/>
    <mergeCell ref="E10:E11"/>
    <mergeCell ref="C8:C11"/>
    <mergeCell ref="D8:F9"/>
  </mergeCells>
  <printOptions horizontalCentered="1"/>
  <pageMargins left="0.5118110236220472" right="0.5118110236220472" top="0.3937007874015748" bottom="0.5118110236220472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5"/>
  <sheetViews>
    <sheetView view="pageBreakPreview" zoomScale="85" zoomScaleNormal="75" zoomScaleSheetLayoutView="85" zoomScalePageLayoutView="0" workbookViewId="0" topLeftCell="A1">
      <selection activeCell="C151" sqref="C151"/>
    </sheetView>
  </sheetViews>
  <sheetFormatPr defaultColWidth="9.00390625" defaultRowHeight="12.75"/>
  <cols>
    <col min="1" max="1" width="3.8515625" style="53" customWidth="1"/>
    <col min="2" max="2" width="9.7109375" style="54" customWidth="1"/>
    <col min="3" max="3" width="69.8515625" style="54" customWidth="1"/>
    <col min="4" max="4" width="10.57421875" style="45" customWidth="1"/>
    <col min="5" max="5" width="9.8515625" style="45" customWidth="1"/>
    <col min="6" max="6" width="11.421875" style="45" customWidth="1"/>
    <col min="7" max="7" width="8.57421875" style="45" customWidth="1"/>
    <col min="8" max="8" width="11.140625" style="45" customWidth="1"/>
    <col min="9" max="9" width="8.8515625" style="45" customWidth="1"/>
    <col min="10" max="10" width="11.28125" style="45" customWidth="1"/>
    <col min="11" max="11" width="8.8515625" style="45" customWidth="1"/>
    <col min="12" max="12" width="15.28125" style="45" customWidth="1"/>
    <col min="13" max="13" width="16.421875" style="45" customWidth="1"/>
    <col min="14" max="14" width="12.7109375" style="255" customWidth="1"/>
    <col min="15" max="16" width="9.00390625" style="12" customWidth="1"/>
    <col min="17" max="17" width="6.00390625" style="12" customWidth="1"/>
    <col min="18" max="18" width="9.00390625" style="12" customWidth="1"/>
    <col min="19" max="19" width="8.140625" style="12" customWidth="1"/>
    <col min="20" max="16384" width="9.00390625" style="12" customWidth="1"/>
  </cols>
  <sheetData>
    <row r="1" spans="1:14" ht="61.5" customHeight="1">
      <c r="A1" s="302" t="str">
        <f>'nakrebi lari'!A4:N4</f>
        <v>siRnaRis municipalitetSi, q. siRnaRSi evdoSvilis II Sesaxvevis,  kvernaZis quCis bolo monakveTis, erekle II-s II Cixis, rusTavelis Cixis da “ormila”-s wyarosTan misasvleli  gzebis sareabilitacio samuSaoebi 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263"/>
    </row>
    <row r="2" spans="1:13" ht="17.25">
      <c r="A2" s="374" t="s">
        <v>78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</row>
    <row r="3" spans="1:13" ht="17.25">
      <c r="A3" s="367" t="s">
        <v>149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3" ht="16.5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</row>
    <row r="5" spans="1:13" ht="17.25">
      <c r="A5" s="183"/>
      <c r="B5" s="370" t="s">
        <v>28</v>
      </c>
      <c r="C5" s="370"/>
      <c r="D5" s="371"/>
      <c r="E5" s="44"/>
      <c r="F5" s="372" t="s">
        <v>1</v>
      </c>
      <c r="G5" s="372"/>
      <c r="H5" s="372"/>
      <c r="I5" s="372"/>
      <c r="J5" s="57">
        <f>M155/1000</f>
        <v>0</v>
      </c>
      <c r="K5" s="143" t="s">
        <v>0</v>
      </c>
      <c r="L5" s="44"/>
      <c r="M5" s="44"/>
    </row>
    <row r="6" spans="1:13" ht="15.75" customHeight="1">
      <c r="A6" s="183"/>
      <c r="B6" s="370" t="s">
        <v>131</v>
      </c>
      <c r="C6" s="370"/>
      <c r="D6" s="44"/>
      <c r="E6" s="44"/>
      <c r="F6" s="372"/>
      <c r="G6" s="372"/>
      <c r="H6" s="372"/>
      <c r="I6" s="372"/>
      <c r="J6" s="44"/>
      <c r="K6" s="44"/>
      <c r="L6" s="44"/>
      <c r="M6" s="44"/>
    </row>
    <row r="7" spans="1:13" ht="17.25">
      <c r="A7" s="183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4" ht="16.5">
      <c r="A8" s="378" t="s">
        <v>2</v>
      </c>
      <c r="B8" s="358" t="s">
        <v>3</v>
      </c>
      <c r="C8" s="315" t="s">
        <v>27</v>
      </c>
      <c r="D8" s="355" t="s">
        <v>4</v>
      </c>
      <c r="E8" s="361"/>
      <c r="F8" s="347"/>
      <c r="G8" s="355" t="s">
        <v>5</v>
      </c>
      <c r="H8" s="356"/>
      <c r="I8" s="355" t="s">
        <v>6</v>
      </c>
      <c r="J8" s="365"/>
      <c r="K8" s="355" t="s">
        <v>7</v>
      </c>
      <c r="L8" s="365"/>
      <c r="M8" s="353" t="s">
        <v>8</v>
      </c>
      <c r="N8" s="344" t="s">
        <v>210</v>
      </c>
    </row>
    <row r="9" spans="1:14" ht="16.5">
      <c r="A9" s="379"/>
      <c r="B9" s="359"/>
      <c r="C9" s="316"/>
      <c r="D9" s="351"/>
      <c r="E9" s="362"/>
      <c r="F9" s="363"/>
      <c r="G9" s="364"/>
      <c r="H9" s="352"/>
      <c r="I9" s="364"/>
      <c r="J9" s="366"/>
      <c r="K9" s="351" t="s">
        <v>9</v>
      </c>
      <c r="L9" s="366"/>
      <c r="M9" s="349"/>
      <c r="N9" s="345"/>
    </row>
    <row r="10" spans="1:14" ht="16.5">
      <c r="A10" s="379"/>
      <c r="B10" s="359"/>
      <c r="C10" s="316"/>
      <c r="D10" s="353" t="s">
        <v>10</v>
      </c>
      <c r="E10" s="353" t="s">
        <v>11</v>
      </c>
      <c r="F10" s="353" t="s">
        <v>12</v>
      </c>
      <c r="G10" s="25" t="s">
        <v>11</v>
      </c>
      <c r="H10" s="353" t="s">
        <v>12</v>
      </c>
      <c r="I10" s="25" t="s">
        <v>11</v>
      </c>
      <c r="J10" s="353" t="s">
        <v>12</v>
      </c>
      <c r="K10" s="25" t="s">
        <v>11</v>
      </c>
      <c r="L10" s="355" t="s">
        <v>12</v>
      </c>
      <c r="M10" s="349"/>
      <c r="N10" s="345"/>
    </row>
    <row r="11" spans="1:14" ht="21.75" customHeight="1">
      <c r="A11" s="380"/>
      <c r="B11" s="360"/>
      <c r="C11" s="317"/>
      <c r="D11" s="354"/>
      <c r="E11" s="354"/>
      <c r="F11" s="354"/>
      <c r="G11" s="27" t="s">
        <v>13</v>
      </c>
      <c r="H11" s="354"/>
      <c r="I11" s="27" t="s">
        <v>13</v>
      </c>
      <c r="J11" s="354"/>
      <c r="K11" s="27" t="s">
        <v>13</v>
      </c>
      <c r="L11" s="351"/>
      <c r="M11" s="350"/>
      <c r="N11" s="346"/>
    </row>
    <row r="12" spans="1:14" ht="17.25">
      <c r="A12" s="193" t="s">
        <v>14</v>
      </c>
      <c r="B12" s="59" t="s">
        <v>15</v>
      </c>
      <c r="C12" s="101" t="s">
        <v>16</v>
      </c>
      <c r="D12" s="62" t="s">
        <v>17</v>
      </c>
      <c r="E12" s="62" t="s">
        <v>18</v>
      </c>
      <c r="F12" s="62" t="s">
        <v>19</v>
      </c>
      <c r="G12" s="62" t="s">
        <v>20</v>
      </c>
      <c r="H12" s="62" t="s">
        <v>21</v>
      </c>
      <c r="I12" s="62" t="s">
        <v>22</v>
      </c>
      <c r="J12" s="62" t="s">
        <v>23</v>
      </c>
      <c r="K12" s="62" t="s">
        <v>24</v>
      </c>
      <c r="L12" s="61" t="s">
        <v>25</v>
      </c>
      <c r="M12" s="62" t="s">
        <v>26</v>
      </c>
      <c r="N12" s="253">
        <v>14</v>
      </c>
    </row>
    <row r="13" spans="1:14" ht="28.5" customHeight="1">
      <c r="A13" s="375" t="s">
        <v>150</v>
      </c>
      <c r="B13" s="376"/>
      <c r="C13" s="377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56"/>
    </row>
    <row r="14" spans="1:14" ht="17.25">
      <c r="A14" s="184">
        <v>1</v>
      </c>
      <c r="B14" s="48" t="s">
        <v>151</v>
      </c>
      <c r="C14" s="166" t="s">
        <v>152</v>
      </c>
      <c r="D14" s="32" t="s">
        <v>36</v>
      </c>
      <c r="E14" s="154"/>
      <c r="F14" s="10">
        <v>25</v>
      </c>
      <c r="G14" s="15"/>
      <c r="H14" s="15"/>
      <c r="I14" s="15"/>
      <c r="J14" s="15"/>
      <c r="K14" s="15"/>
      <c r="L14" s="22"/>
      <c r="M14" s="19"/>
      <c r="N14" s="256"/>
    </row>
    <row r="15" spans="1:14" ht="17.25">
      <c r="A15" s="167"/>
      <c r="B15" s="13"/>
      <c r="C15" s="23" t="s">
        <v>29</v>
      </c>
      <c r="D15" s="15" t="s">
        <v>30</v>
      </c>
      <c r="E15" s="157">
        <f>7.7/100</f>
        <v>0.077</v>
      </c>
      <c r="F15" s="15">
        <f>E15*F14</f>
        <v>1.925</v>
      </c>
      <c r="G15" s="15"/>
      <c r="H15" s="15"/>
      <c r="I15" s="14"/>
      <c r="J15" s="14"/>
      <c r="K15" s="14"/>
      <c r="L15" s="156"/>
      <c r="M15" s="15"/>
      <c r="N15" s="256"/>
    </row>
    <row r="16" spans="1:14" ht="17.25">
      <c r="A16" s="227"/>
      <c r="B16" s="177"/>
      <c r="C16" s="228" t="s">
        <v>71</v>
      </c>
      <c r="D16" s="27" t="s">
        <v>34</v>
      </c>
      <c r="E16" s="229">
        <f>6.37/100</f>
        <v>0.0637</v>
      </c>
      <c r="F16" s="27">
        <f>E16*F14</f>
        <v>1.5925000000000002</v>
      </c>
      <c r="G16" s="27"/>
      <c r="H16" s="27"/>
      <c r="I16" s="27"/>
      <c r="J16" s="27"/>
      <c r="K16" s="27"/>
      <c r="L16" s="149"/>
      <c r="M16" s="27"/>
      <c r="N16" s="256"/>
    </row>
    <row r="17" spans="1:14" ht="17.25">
      <c r="A17" s="179">
        <v>2</v>
      </c>
      <c r="B17" s="167" t="s">
        <v>59</v>
      </c>
      <c r="C17" s="166" t="s">
        <v>153</v>
      </c>
      <c r="D17" s="154" t="s">
        <v>35</v>
      </c>
      <c r="E17" s="154"/>
      <c r="F17" s="197">
        <v>0.008749999999999999</v>
      </c>
      <c r="G17" s="15"/>
      <c r="H17" s="15"/>
      <c r="I17" s="15"/>
      <c r="J17" s="15"/>
      <c r="K17" s="15"/>
      <c r="L17" s="22"/>
      <c r="M17" s="19"/>
      <c r="N17" s="256"/>
    </row>
    <row r="18" spans="1:14" ht="17.25">
      <c r="A18" s="167"/>
      <c r="B18" s="13"/>
      <c r="C18" s="23" t="s">
        <v>60</v>
      </c>
      <c r="D18" s="15" t="s">
        <v>31</v>
      </c>
      <c r="E18" s="15">
        <v>0.3</v>
      </c>
      <c r="F18" s="15">
        <f>E18*F17</f>
        <v>0.0026249999999999997</v>
      </c>
      <c r="G18" s="15"/>
      <c r="H18" s="14"/>
      <c r="I18" s="14"/>
      <c r="J18" s="14"/>
      <c r="K18" s="15"/>
      <c r="L18" s="22"/>
      <c r="M18" s="15"/>
      <c r="N18" s="256"/>
    </row>
    <row r="19" spans="1:14" ht="17.25">
      <c r="A19" s="167"/>
      <c r="B19" s="13"/>
      <c r="C19" s="23" t="s">
        <v>32</v>
      </c>
      <c r="D19" s="15" t="s">
        <v>30</v>
      </c>
      <c r="E19" s="15"/>
      <c r="F19" s="15">
        <f>F18</f>
        <v>0.0026249999999999997</v>
      </c>
      <c r="G19" s="15"/>
      <c r="H19" s="15"/>
      <c r="I19" s="14"/>
      <c r="J19" s="14"/>
      <c r="K19" s="14"/>
      <c r="L19" s="22"/>
      <c r="M19" s="15"/>
      <c r="N19" s="256"/>
    </row>
    <row r="20" spans="1:14" ht="17.25">
      <c r="A20" s="230"/>
      <c r="B20" s="158"/>
      <c r="C20" s="159" t="s">
        <v>81</v>
      </c>
      <c r="D20" s="17" t="s">
        <v>35</v>
      </c>
      <c r="E20" s="17">
        <v>1.03</v>
      </c>
      <c r="F20" s="17">
        <f>E20*F17</f>
        <v>0.0090125</v>
      </c>
      <c r="G20" s="17"/>
      <c r="H20" s="182"/>
      <c r="I20" s="17"/>
      <c r="J20" s="17"/>
      <c r="K20" s="182"/>
      <c r="L20" s="47"/>
      <c r="M20" s="17"/>
      <c r="N20" s="256"/>
    </row>
    <row r="21" spans="1:14" ht="54" customHeight="1">
      <c r="A21" s="184">
        <v>3</v>
      </c>
      <c r="B21" s="167" t="s">
        <v>108</v>
      </c>
      <c r="C21" s="166" t="s">
        <v>154</v>
      </c>
      <c r="D21" s="154" t="s">
        <v>105</v>
      </c>
      <c r="E21" s="154"/>
      <c r="F21" s="10">
        <v>282</v>
      </c>
      <c r="G21" s="15"/>
      <c r="H21" s="15"/>
      <c r="I21" s="15"/>
      <c r="J21" s="15"/>
      <c r="K21" s="15"/>
      <c r="L21" s="22"/>
      <c r="M21" s="154"/>
      <c r="N21" s="256"/>
    </row>
    <row r="22" spans="1:14" ht="17.25">
      <c r="A22" s="184"/>
      <c r="B22" s="13"/>
      <c r="C22" s="23" t="s">
        <v>29</v>
      </c>
      <c r="D22" s="15" t="s">
        <v>30</v>
      </c>
      <c r="E22" s="15">
        <v>0.15</v>
      </c>
      <c r="F22" s="15">
        <f>E22*F21</f>
        <v>42.3</v>
      </c>
      <c r="G22" s="15"/>
      <c r="H22" s="15"/>
      <c r="I22" s="14"/>
      <c r="J22" s="14"/>
      <c r="K22" s="14"/>
      <c r="L22" s="156"/>
      <c r="M22" s="15"/>
      <c r="N22" s="256"/>
    </row>
    <row r="23" spans="1:14" ht="17.25">
      <c r="A23" s="184"/>
      <c r="B23" s="13"/>
      <c r="C23" s="23" t="s">
        <v>74</v>
      </c>
      <c r="D23" s="15" t="s">
        <v>31</v>
      </c>
      <c r="E23" s="15">
        <f>2.16/100</f>
        <v>0.0216</v>
      </c>
      <c r="F23" s="15">
        <f>E23*F21</f>
        <v>6.091200000000001</v>
      </c>
      <c r="G23" s="15"/>
      <c r="H23" s="14"/>
      <c r="I23" s="14"/>
      <c r="J23" s="14"/>
      <c r="K23" s="15"/>
      <c r="L23" s="22"/>
      <c r="M23" s="15"/>
      <c r="N23" s="256"/>
    </row>
    <row r="24" spans="1:14" ht="17.25">
      <c r="A24" s="184"/>
      <c r="B24" s="13"/>
      <c r="C24" s="23" t="s">
        <v>32</v>
      </c>
      <c r="D24" s="15" t="s">
        <v>30</v>
      </c>
      <c r="E24" s="15"/>
      <c r="F24" s="15">
        <f>F23</f>
        <v>6.091200000000001</v>
      </c>
      <c r="G24" s="15"/>
      <c r="H24" s="15"/>
      <c r="I24" s="14"/>
      <c r="J24" s="14"/>
      <c r="K24" s="14"/>
      <c r="L24" s="22"/>
      <c r="M24" s="15"/>
      <c r="N24" s="256"/>
    </row>
    <row r="25" spans="1:14" ht="17.25">
      <c r="A25" s="184"/>
      <c r="B25" s="13"/>
      <c r="C25" s="23" t="s">
        <v>109</v>
      </c>
      <c r="D25" s="15" t="s">
        <v>31</v>
      </c>
      <c r="E25" s="15">
        <f>2.73/100</f>
        <v>0.0273</v>
      </c>
      <c r="F25" s="15">
        <f>E25*F21</f>
        <v>7.698600000000001</v>
      </c>
      <c r="G25" s="15"/>
      <c r="H25" s="15"/>
      <c r="I25" s="14"/>
      <c r="J25" s="14"/>
      <c r="K25" s="15"/>
      <c r="L25" s="22"/>
      <c r="M25" s="15"/>
      <c r="N25" s="256"/>
    </row>
    <row r="26" spans="1:14" ht="17.25">
      <c r="A26" s="184"/>
      <c r="B26" s="13"/>
      <c r="C26" s="23" t="s">
        <v>32</v>
      </c>
      <c r="D26" s="15" t="s">
        <v>30</v>
      </c>
      <c r="E26" s="15"/>
      <c r="F26" s="15">
        <f>F25</f>
        <v>7.698600000000001</v>
      </c>
      <c r="G26" s="15"/>
      <c r="H26" s="15"/>
      <c r="I26" s="14"/>
      <c r="J26" s="14"/>
      <c r="K26" s="14"/>
      <c r="L26" s="22"/>
      <c r="M26" s="15"/>
      <c r="N26" s="256"/>
    </row>
    <row r="27" spans="1:14" ht="17.25">
      <c r="A27" s="184"/>
      <c r="B27" s="13"/>
      <c r="C27" s="23" t="s">
        <v>33</v>
      </c>
      <c r="D27" s="15" t="s">
        <v>31</v>
      </c>
      <c r="E27" s="15">
        <f>0.97/100</f>
        <v>0.0097</v>
      </c>
      <c r="F27" s="15">
        <f>E27*F21</f>
        <v>2.7354000000000003</v>
      </c>
      <c r="G27" s="15"/>
      <c r="H27" s="15"/>
      <c r="I27" s="14"/>
      <c r="J27" s="14"/>
      <c r="K27" s="15"/>
      <c r="L27" s="22"/>
      <c r="M27" s="15"/>
      <c r="N27" s="256"/>
    </row>
    <row r="28" spans="1:14" ht="17.25">
      <c r="A28" s="184"/>
      <c r="B28" s="13"/>
      <c r="C28" s="23" t="s">
        <v>32</v>
      </c>
      <c r="D28" s="15" t="s">
        <v>30</v>
      </c>
      <c r="E28" s="15"/>
      <c r="F28" s="15">
        <f>F27</f>
        <v>2.7354000000000003</v>
      </c>
      <c r="G28" s="15"/>
      <c r="H28" s="15"/>
      <c r="I28" s="14"/>
      <c r="J28" s="14"/>
      <c r="K28" s="14"/>
      <c r="L28" s="22"/>
      <c r="M28" s="15"/>
      <c r="N28" s="256"/>
    </row>
    <row r="29" spans="1:14" ht="20.25">
      <c r="A29" s="184"/>
      <c r="B29" s="13"/>
      <c r="C29" s="23" t="s">
        <v>69</v>
      </c>
      <c r="D29" s="15" t="s">
        <v>106</v>
      </c>
      <c r="E29" s="15">
        <v>1.22</v>
      </c>
      <c r="F29" s="15">
        <f>E29*F21</f>
        <v>344.04</v>
      </c>
      <c r="G29" s="15"/>
      <c r="H29" s="15"/>
      <c r="I29" s="15"/>
      <c r="J29" s="15"/>
      <c r="K29" s="14"/>
      <c r="L29" s="22"/>
      <c r="M29" s="15"/>
      <c r="N29" s="256"/>
    </row>
    <row r="30" spans="1:14" ht="20.25">
      <c r="A30" s="185"/>
      <c r="B30" s="158"/>
      <c r="C30" s="159" t="s">
        <v>97</v>
      </c>
      <c r="D30" s="17" t="s">
        <v>106</v>
      </c>
      <c r="E30" s="17">
        <f>7/100</f>
        <v>0.07</v>
      </c>
      <c r="F30" s="15">
        <f>E30*F21</f>
        <v>19.740000000000002</v>
      </c>
      <c r="G30" s="17"/>
      <c r="H30" s="17"/>
      <c r="I30" s="17"/>
      <c r="J30" s="17"/>
      <c r="K30" s="182"/>
      <c r="L30" s="47"/>
      <c r="M30" s="17"/>
      <c r="N30" s="256"/>
    </row>
    <row r="31" spans="1:14" ht="33">
      <c r="A31" s="46"/>
      <c r="B31" s="177"/>
      <c r="C31" s="178" t="s">
        <v>126</v>
      </c>
      <c r="D31" s="149" t="s">
        <v>35</v>
      </c>
      <c r="E31" s="27">
        <v>1.6</v>
      </c>
      <c r="F31" s="62">
        <f>E31*F29</f>
        <v>550.464</v>
      </c>
      <c r="G31" s="150"/>
      <c r="H31" s="149"/>
      <c r="I31" s="27"/>
      <c r="J31" s="150"/>
      <c r="K31" s="27"/>
      <c r="L31" s="149"/>
      <c r="M31" s="27"/>
      <c r="N31" s="256"/>
    </row>
    <row r="32" spans="1:14" ht="34.5">
      <c r="A32" s="49">
        <v>4</v>
      </c>
      <c r="B32" s="153" t="s">
        <v>76</v>
      </c>
      <c r="C32" s="183" t="s">
        <v>127</v>
      </c>
      <c r="D32" s="154" t="s">
        <v>105</v>
      </c>
      <c r="E32" s="95"/>
      <c r="F32" s="210">
        <f>1410*0.15</f>
        <v>211.5</v>
      </c>
      <c r="G32" s="152"/>
      <c r="H32" s="15"/>
      <c r="I32" s="15"/>
      <c r="J32" s="15"/>
      <c r="K32" s="15"/>
      <c r="L32" s="22"/>
      <c r="M32" s="19"/>
      <c r="N32" s="256"/>
    </row>
    <row r="33" spans="1:14" ht="17.25">
      <c r="A33" s="184"/>
      <c r="B33" s="13"/>
      <c r="C33" s="23" t="s">
        <v>29</v>
      </c>
      <c r="D33" s="15" t="s">
        <v>30</v>
      </c>
      <c r="E33" s="155">
        <f>21.6/100</f>
        <v>0.21600000000000003</v>
      </c>
      <c r="F33" s="15">
        <f>E33*F32</f>
        <v>45.684000000000005</v>
      </c>
      <c r="G33" s="152"/>
      <c r="H33" s="15"/>
      <c r="I33" s="14"/>
      <c r="J33" s="14"/>
      <c r="K33" s="14"/>
      <c r="L33" s="156"/>
      <c r="M33" s="15"/>
      <c r="N33" s="256"/>
    </row>
    <row r="34" spans="1:14" ht="17.25">
      <c r="A34" s="184"/>
      <c r="B34" s="13"/>
      <c r="C34" s="23" t="s">
        <v>74</v>
      </c>
      <c r="D34" s="15" t="s">
        <v>31</v>
      </c>
      <c r="E34" s="155">
        <f>1.24/100</f>
        <v>0.0124</v>
      </c>
      <c r="F34" s="15">
        <f>E34*F32</f>
        <v>2.6226</v>
      </c>
      <c r="G34" s="152"/>
      <c r="H34" s="14"/>
      <c r="I34" s="14"/>
      <c r="J34" s="14"/>
      <c r="K34" s="15"/>
      <c r="L34" s="22"/>
      <c r="M34" s="15"/>
      <c r="N34" s="256"/>
    </row>
    <row r="35" spans="1:14" ht="17.25">
      <c r="A35" s="184"/>
      <c r="B35" s="13"/>
      <c r="C35" s="23" t="s">
        <v>32</v>
      </c>
      <c r="D35" s="15" t="s">
        <v>30</v>
      </c>
      <c r="E35" s="22"/>
      <c r="F35" s="15">
        <f>F34</f>
        <v>2.6226</v>
      </c>
      <c r="G35" s="152"/>
      <c r="H35" s="15"/>
      <c r="I35" s="15"/>
      <c r="J35" s="15"/>
      <c r="K35" s="15"/>
      <c r="L35" s="22"/>
      <c r="M35" s="15"/>
      <c r="N35" s="256"/>
    </row>
    <row r="36" spans="1:14" ht="17.25">
      <c r="A36" s="184"/>
      <c r="B36" s="13"/>
      <c r="C36" s="23" t="s">
        <v>70</v>
      </c>
      <c r="D36" s="15" t="s">
        <v>31</v>
      </c>
      <c r="E36" s="155">
        <f>2.58/100</f>
        <v>0.0258</v>
      </c>
      <c r="F36" s="15">
        <f>E36*F32</f>
        <v>5.4567</v>
      </c>
      <c r="G36" s="152"/>
      <c r="H36" s="15"/>
      <c r="I36" s="15"/>
      <c r="J36" s="15"/>
      <c r="K36" s="15"/>
      <c r="L36" s="22"/>
      <c r="M36" s="15"/>
      <c r="N36" s="256"/>
    </row>
    <row r="37" spans="1:14" ht="17.25">
      <c r="A37" s="184"/>
      <c r="B37" s="13"/>
      <c r="C37" s="23" t="s">
        <v>32</v>
      </c>
      <c r="D37" s="15" t="s">
        <v>30</v>
      </c>
      <c r="E37" s="22"/>
      <c r="F37" s="15">
        <f>F36</f>
        <v>5.4567</v>
      </c>
      <c r="G37" s="152"/>
      <c r="H37" s="15"/>
      <c r="I37" s="15"/>
      <c r="J37" s="15"/>
      <c r="K37" s="15"/>
      <c r="L37" s="22"/>
      <c r="M37" s="15"/>
      <c r="N37" s="256"/>
    </row>
    <row r="38" spans="1:14" ht="17.25">
      <c r="A38" s="184"/>
      <c r="B38" s="13"/>
      <c r="C38" s="23" t="s">
        <v>77</v>
      </c>
      <c r="D38" s="15" t="s">
        <v>31</v>
      </c>
      <c r="E38" s="155">
        <f>0.41/100</f>
        <v>0.0040999999999999995</v>
      </c>
      <c r="F38" s="157">
        <f>E38*F32</f>
        <v>0.8671499999999999</v>
      </c>
      <c r="G38" s="152"/>
      <c r="H38" s="15"/>
      <c r="I38" s="15"/>
      <c r="J38" s="15"/>
      <c r="K38" s="15"/>
      <c r="L38" s="22"/>
      <c r="M38" s="15"/>
      <c r="N38" s="256"/>
    </row>
    <row r="39" spans="1:14" ht="17.25">
      <c r="A39" s="184"/>
      <c r="B39" s="13"/>
      <c r="C39" s="23" t="s">
        <v>32</v>
      </c>
      <c r="D39" s="15" t="s">
        <v>30</v>
      </c>
      <c r="E39" s="22"/>
      <c r="F39" s="157">
        <f>F38</f>
        <v>0.8671499999999999</v>
      </c>
      <c r="G39" s="152"/>
      <c r="H39" s="15"/>
      <c r="I39" s="15"/>
      <c r="J39" s="15"/>
      <c r="K39" s="15"/>
      <c r="L39" s="22"/>
      <c r="M39" s="15"/>
      <c r="N39" s="256"/>
    </row>
    <row r="40" spans="1:16" ht="17.25">
      <c r="A40" s="184"/>
      <c r="B40" s="13"/>
      <c r="C40" s="23" t="s">
        <v>53</v>
      </c>
      <c r="D40" s="15" t="s">
        <v>31</v>
      </c>
      <c r="E40" s="155">
        <f>7.6/100</f>
        <v>0.076</v>
      </c>
      <c r="F40" s="15">
        <f>E40*F32</f>
        <v>16.073999999999998</v>
      </c>
      <c r="G40" s="152"/>
      <c r="H40" s="15"/>
      <c r="I40" s="15"/>
      <c r="J40" s="15"/>
      <c r="K40" s="15"/>
      <c r="L40" s="22"/>
      <c r="M40" s="15"/>
      <c r="N40" s="256"/>
      <c r="P40" s="174"/>
    </row>
    <row r="41" spans="1:14" ht="17.25">
      <c r="A41" s="184"/>
      <c r="B41" s="13"/>
      <c r="C41" s="23" t="s">
        <v>32</v>
      </c>
      <c r="D41" s="15" t="s">
        <v>30</v>
      </c>
      <c r="E41" s="22"/>
      <c r="F41" s="15">
        <f>F40</f>
        <v>16.073999999999998</v>
      </c>
      <c r="G41" s="152"/>
      <c r="H41" s="15"/>
      <c r="I41" s="15"/>
      <c r="J41" s="15"/>
      <c r="K41" s="15"/>
      <c r="L41" s="22"/>
      <c r="M41" s="15"/>
      <c r="N41" s="256"/>
    </row>
    <row r="42" spans="1:14" ht="17.25">
      <c r="A42" s="184"/>
      <c r="B42" s="13"/>
      <c r="C42" s="23" t="s">
        <v>54</v>
      </c>
      <c r="D42" s="15" t="s">
        <v>31</v>
      </c>
      <c r="E42" s="155">
        <f>15.1/100</f>
        <v>0.151</v>
      </c>
      <c r="F42" s="15">
        <f>E42*F32</f>
        <v>31.9365</v>
      </c>
      <c r="G42" s="152"/>
      <c r="H42" s="15"/>
      <c r="I42" s="15"/>
      <c r="J42" s="15"/>
      <c r="K42" s="15"/>
      <c r="L42" s="22"/>
      <c r="M42" s="15"/>
      <c r="N42" s="256"/>
    </row>
    <row r="43" spans="1:14" ht="17.25">
      <c r="A43" s="184"/>
      <c r="B43" s="13"/>
      <c r="C43" s="23" t="s">
        <v>32</v>
      </c>
      <c r="D43" s="15" t="s">
        <v>30</v>
      </c>
      <c r="E43" s="22"/>
      <c r="F43" s="15">
        <f>F42</f>
        <v>31.9365</v>
      </c>
      <c r="G43" s="152"/>
      <c r="H43" s="15"/>
      <c r="I43" s="15"/>
      <c r="J43" s="15"/>
      <c r="K43" s="15"/>
      <c r="L43" s="22"/>
      <c r="M43" s="15"/>
      <c r="N43" s="256"/>
    </row>
    <row r="44" spans="1:14" ht="17.25">
      <c r="A44" s="184"/>
      <c r="B44" s="13"/>
      <c r="C44" s="23" t="s">
        <v>33</v>
      </c>
      <c r="D44" s="15" t="s">
        <v>31</v>
      </c>
      <c r="E44" s="155">
        <f>0.97/100</f>
        <v>0.0097</v>
      </c>
      <c r="F44" s="15">
        <f>E44*F32</f>
        <v>2.05155</v>
      </c>
      <c r="G44" s="152"/>
      <c r="H44" s="15"/>
      <c r="I44" s="15"/>
      <c r="J44" s="15"/>
      <c r="K44" s="15"/>
      <c r="L44" s="22"/>
      <c r="M44" s="15"/>
      <c r="N44" s="256"/>
    </row>
    <row r="45" spans="1:14" ht="17.25">
      <c r="A45" s="184"/>
      <c r="B45" s="13"/>
      <c r="C45" s="23" t="s">
        <v>32</v>
      </c>
      <c r="D45" s="15" t="s">
        <v>30</v>
      </c>
      <c r="E45" s="22"/>
      <c r="F45" s="15">
        <f>F44</f>
        <v>2.05155</v>
      </c>
      <c r="G45" s="152"/>
      <c r="H45" s="15"/>
      <c r="I45" s="15"/>
      <c r="J45" s="15"/>
      <c r="K45" s="15"/>
      <c r="L45" s="22"/>
      <c r="M45" s="15"/>
      <c r="N45" s="256"/>
    </row>
    <row r="46" spans="1:14" ht="20.25">
      <c r="A46" s="184"/>
      <c r="B46" s="13"/>
      <c r="C46" s="23" t="s">
        <v>98</v>
      </c>
      <c r="D46" s="15" t="s">
        <v>106</v>
      </c>
      <c r="E46" s="22">
        <v>1.26</v>
      </c>
      <c r="F46" s="15">
        <f>F32*1.26</f>
        <v>266.49</v>
      </c>
      <c r="G46" s="152"/>
      <c r="H46" s="15"/>
      <c r="I46" s="15"/>
      <c r="J46" s="15"/>
      <c r="K46" s="15"/>
      <c r="L46" s="22"/>
      <c r="M46" s="15"/>
      <c r="N46" s="256"/>
    </row>
    <row r="47" spans="1:14" ht="20.25">
      <c r="A47" s="185"/>
      <c r="B47" s="158"/>
      <c r="C47" s="159" t="s">
        <v>97</v>
      </c>
      <c r="D47" s="17" t="s">
        <v>106</v>
      </c>
      <c r="E47" s="160">
        <f>7/100</f>
        <v>0.07</v>
      </c>
      <c r="F47" s="17">
        <f>E47*F32</f>
        <v>14.805000000000001</v>
      </c>
      <c r="G47" s="151"/>
      <c r="H47" s="17"/>
      <c r="I47" s="17"/>
      <c r="J47" s="17"/>
      <c r="K47" s="17"/>
      <c r="L47" s="47"/>
      <c r="M47" s="17"/>
      <c r="N47" s="256"/>
    </row>
    <row r="48" spans="1:14" ht="16.5">
      <c r="A48" s="46"/>
      <c r="B48" s="177"/>
      <c r="C48" s="178" t="s">
        <v>110</v>
      </c>
      <c r="D48" s="149" t="s">
        <v>35</v>
      </c>
      <c r="E48" s="27">
        <v>1.6</v>
      </c>
      <c r="F48" s="62">
        <f>E48*F46</f>
        <v>426.384</v>
      </c>
      <c r="G48" s="150"/>
      <c r="H48" s="149"/>
      <c r="I48" s="27"/>
      <c r="J48" s="150"/>
      <c r="K48" s="27"/>
      <c r="L48" s="149"/>
      <c r="M48" s="27"/>
      <c r="N48" s="256"/>
    </row>
    <row r="49" spans="1:14" ht="16.5">
      <c r="A49" s="100"/>
      <c r="B49" s="59"/>
      <c r="C49" s="101" t="s">
        <v>211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256">
        <v>31117.68</v>
      </c>
    </row>
    <row r="50" spans="1:14" s="102" customFormat="1" ht="34.5">
      <c r="A50" s="179">
        <v>5</v>
      </c>
      <c r="B50" s="167" t="s">
        <v>59</v>
      </c>
      <c r="C50" s="166" t="s">
        <v>122</v>
      </c>
      <c r="D50" s="154" t="s">
        <v>35</v>
      </c>
      <c r="E50" s="154"/>
      <c r="F50" s="197">
        <v>0.987</v>
      </c>
      <c r="G50" s="15"/>
      <c r="H50" s="15"/>
      <c r="I50" s="15"/>
      <c r="J50" s="15"/>
      <c r="K50" s="15"/>
      <c r="L50" s="15"/>
      <c r="M50" s="15"/>
      <c r="N50" s="259"/>
    </row>
    <row r="51" spans="1:14" s="102" customFormat="1" ht="16.5">
      <c r="A51" s="13"/>
      <c r="B51" s="13"/>
      <c r="C51" s="23" t="s">
        <v>60</v>
      </c>
      <c r="D51" s="15" t="s">
        <v>31</v>
      </c>
      <c r="E51" s="15">
        <v>0.3</v>
      </c>
      <c r="F51" s="15">
        <f>E51*F50</f>
        <v>0.2961</v>
      </c>
      <c r="G51" s="15"/>
      <c r="H51" s="14"/>
      <c r="I51" s="14"/>
      <c r="J51" s="14"/>
      <c r="K51" s="15"/>
      <c r="L51" s="15"/>
      <c r="M51" s="15"/>
      <c r="N51" s="256"/>
    </row>
    <row r="52" spans="1:14" s="102" customFormat="1" ht="16.5">
      <c r="A52" s="13"/>
      <c r="B52" s="13"/>
      <c r="C52" s="23" t="s">
        <v>32</v>
      </c>
      <c r="D52" s="15" t="s">
        <v>30</v>
      </c>
      <c r="E52" s="15"/>
      <c r="F52" s="15">
        <f>F51</f>
        <v>0.2961</v>
      </c>
      <c r="G52" s="15"/>
      <c r="H52" s="15"/>
      <c r="I52" s="14"/>
      <c r="J52" s="14"/>
      <c r="K52" s="14"/>
      <c r="L52" s="15"/>
      <c r="M52" s="15"/>
      <c r="N52" s="256"/>
    </row>
    <row r="53" spans="1:14" s="102" customFormat="1" ht="16.5">
      <c r="A53" s="158"/>
      <c r="B53" s="158"/>
      <c r="C53" s="159" t="s">
        <v>81</v>
      </c>
      <c r="D53" s="17" t="s">
        <v>35</v>
      </c>
      <c r="E53" s="17">
        <v>1.03</v>
      </c>
      <c r="F53" s="17">
        <f>E53*F50</f>
        <v>1.01661</v>
      </c>
      <c r="G53" s="17"/>
      <c r="H53" s="182"/>
      <c r="I53" s="17"/>
      <c r="J53" s="17"/>
      <c r="K53" s="182"/>
      <c r="L53" s="17"/>
      <c r="M53" s="17"/>
      <c r="N53" s="256"/>
    </row>
    <row r="54" spans="1:14" s="87" customFormat="1" ht="44.25" customHeight="1">
      <c r="A54" s="153" t="s">
        <v>166</v>
      </c>
      <c r="B54" s="186" t="s">
        <v>114</v>
      </c>
      <c r="C54" s="9" t="s">
        <v>115</v>
      </c>
      <c r="D54" s="154" t="s">
        <v>111</v>
      </c>
      <c r="E54" s="154"/>
      <c r="F54" s="10">
        <v>1410</v>
      </c>
      <c r="G54" s="15"/>
      <c r="H54" s="198"/>
      <c r="I54" s="198"/>
      <c r="J54" s="181"/>
      <c r="K54" s="181"/>
      <c r="L54" s="181"/>
      <c r="M54" s="181"/>
      <c r="N54" s="264"/>
    </row>
    <row r="55" spans="1:14" s="87" customFormat="1" ht="17.25">
      <c r="A55" s="189"/>
      <c r="B55" s="13"/>
      <c r="C55" s="23" t="s">
        <v>29</v>
      </c>
      <c r="D55" s="15" t="s">
        <v>30</v>
      </c>
      <c r="E55" s="157">
        <f>(3.75+0.007*4)/100</f>
        <v>0.03778</v>
      </c>
      <c r="F55" s="15">
        <f>E55*F54</f>
        <v>53.269800000000004</v>
      </c>
      <c r="G55" s="15"/>
      <c r="H55" s="15"/>
      <c r="I55" s="15"/>
      <c r="J55" s="15"/>
      <c r="K55" s="15"/>
      <c r="L55" s="15"/>
      <c r="M55" s="15"/>
      <c r="N55" s="264"/>
    </row>
    <row r="56" spans="1:14" s="87" customFormat="1" ht="17.25">
      <c r="A56" s="189"/>
      <c r="B56" s="13"/>
      <c r="C56" s="23" t="s">
        <v>116</v>
      </c>
      <c r="D56" s="15" t="s">
        <v>31</v>
      </c>
      <c r="E56" s="157">
        <f>0.3/100</f>
        <v>0.003</v>
      </c>
      <c r="F56" s="15">
        <f>E56*F54</f>
        <v>4.23</v>
      </c>
      <c r="G56" s="15"/>
      <c r="H56" s="15"/>
      <c r="I56" s="15"/>
      <c r="J56" s="15"/>
      <c r="K56" s="15"/>
      <c r="L56" s="15"/>
      <c r="M56" s="15"/>
      <c r="N56" s="264"/>
    </row>
    <row r="57" spans="1:14" s="87" customFormat="1" ht="17.25">
      <c r="A57" s="189"/>
      <c r="B57" s="13"/>
      <c r="C57" s="23" t="s">
        <v>32</v>
      </c>
      <c r="D57" s="15" t="s">
        <v>30</v>
      </c>
      <c r="E57" s="15"/>
      <c r="F57" s="15">
        <f>F56</f>
        <v>4.23</v>
      </c>
      <c r="G57" s="15"/>
      <c r="H57" s="15"/>
      <c r="I57" s="15"/>
      <c r="J57" s="15"/>
      <c r="K57" s="15"/>
      <c r="L57" s="15"/>
      <c r="M57" s="15"/>
      <c r="N57" s="264"/>
    </row>
    <row r="58" spans="1:14" s="87" customFormat="1" ht="17.25">
      <c r="A58" s="189"/>
      <c r="B58" s="13"/>
      <c r="C58" s="23" t="s">
        <v>53</v>
      </c>
      <c r="D58" s="15" t="s">
        <v>31</v>
      </c>
      <c r="E58" s="39">
        <f>0.37/100</f>
        <v>0.0037</v>
      </c>
      <c r="F58" s="15">
        <f>E58*F54</f>
        <v>5.2170000000000005</v>
      </c>
      <c r="G58" s="15"/>
      <c r="H58" s="15"/>
      <c r="I58" s="15"/>
      <c r="J58" s="15"/>
      <c r="K58" s="15"/>
      <c r="L58" s="15"/>
      <c r="M58" s="15"/>
      <c r="N58" s="264"/>
    </row>
    <row r="59" spans="1:14" s="87" customFormat="1" ht="17.25">
      <c r="A59" s="189"/>
      <c r="B59" s="13"/>
      <c r="C59" s="23" t="s">
        <v>32</v>
      </c>
      <c r="D59" s="15" t="s">
        <v>30</v>
      </c>
      <c r="E59" s="15"/>
      <c r="F59" s="15">
        <f>F58</f>
        <v>5.2170000000000005</v>
      </c>
      <c r="G59" s="15"/>
      <c r="H59" s="15"/>
      <c r="I59" s="15"/>
      <c r="J59" s="15"/>
      <c r="K59" s="15"/>
      <c r="L59" s="15"/>
      <c r="M59" s="15"/>
      <c r="N59" s="264"/>
    </row>
    <row r="60" spans="1:14" s="87" customFormat="1" ht="17.25">
      <c r="A60" s="189"/>
      <c r="B60" s="13"/>
      <c r="C60" s="23" t="s">
        <v>54</v>
      </c>
      <c r="D60" s="15" t="s">
        <v>31</v>
      </c>
      <c r="E60" s="157">
        <f>1.11/100</f>
        <v>0.0111</v>
      </c>
      <c r="F60" s="15">
        <f>E60*F54</f>
        <v>15.651000000000002</v>
      </c>
      <c r="G60" s="15"/>
      <c r="H60" s="15"/>
      <c r="I60" s="15"/>
      <c r="J60" s="15"/>
      <c r="K60" s="15"/>
      <c r="L60" s="15"/>
      <c r="M60" s="15"/>
      <c r="N60" s="264"/>
    </row>
    <row r="61" spans="1:14" s="87" customFormat="1" ht="17.25">
      <c r="A61" s="189"/>
      <c r="B61" s="13"/>
      <c r="C61" s="23" t="s">
        <v>32</v>
      </c>
      <c r="D61" s="15" t="s">
        <v>30</v>
      </c>
      <c r="E61" s="15"/>
      <c r="F61" s="15">
        <f>F60</f>
        <v>15.651000000000002</v>
      </c>
      <c r="G61" s="15"/>
      <c r="H61" s="15"/>
      <c r="I61" s="15"/>
      <c r="J61" s="15"/>
      <c r="K61" s="15"/>
      <c r="L61" s="15"/>
      <c r="M61" s="15"/>
      <c r="N61" s="264"/>
    </row>
    <row r="62" spans="1:14" s="87" customFormat="1" ht="17.25">
      <c r="A62" s="189"/>
      <c r="B62" s="13"/>
      <c r="C62" s="23" t="s">
        <v>37</v>
      </c>
      <c r="D62" s="15" t="s">
        <v>34</v>
      </c>
      <c r="E62" s="39">
        <f>0.23/100</f>
        <v>0.0023</v>
      </c>
      <c r="F62" s="15">
        <f>E62*F54</f>
        <v>3.243</v>
      </c>
      <c r="G62" s="15"/>
      <c r="H62" s="15"/>
      <c r="I62" s="15"/>
      <c r="J62" s="15"/>
      <c r="K62" s="15"/>
      <c r="L62" s="15"/>
      <c r="M62" s="15"/>
      <c r="N62" s="264"/>
    </row>
    <row r="63" spans="1:14" s="87" customFormat="1" ht="17.25">
      <c r="A63" s="189"/>
      <c r="B63" s="23"/>
      <c r="C63" s="23" t="s">
        <v>117</v>
      </c>
      <c r="D63" s="15" t="s">
        <v>35</v>
      </c>
      <c r="E63" s="39">
        <v>0.13949999999999999</v>
      </c>
      <c r="F63" s="15">
        <f>E63*F54</f>
        <v>196.695</v>
      </c>
      <c r="G63" s="15"/>
      <c r="H63" s="15"/>
      <c r="I63" s="15"/>
      <c r="J63" s="15"/>
      <c r="K63" s="15"/>
      <c r="L63" s="15"/>
      <c r="M63" s="15"/>
      <c r="N63" s="264"/>
    </row>
    <row r="64" spans="1:14" s="87" customFormat="1" ht="17.25">
      <c r="A64" s="199"/>
      <c r="B64" s="158"/>
      <c r="C64" s="159" t="s">
        <v>38</v>
      </c>
      <c r="D64" s="17" t="s">
        <v>34</v>
      </c>
      <c r="E64" s="195">
        <f>(1.45+0.02*4)/100</f>
        <v>0.015300000000000001</v>
      </c>
      <c r="F64" s="17">
        <f>E64*F54</f>
        <v>21.573</v>
      </c>
      <c r="G64" s="17"/>
      <c r="H64" s="17"/>
      <c r="I64" s="17"/>
      <c r="J64" s="17"/>
      <c r="K64" s="17"/>
      <c r="L64" s="17"/>
      <c r="M64" s="17"/>
      <c r="N64" s="264"/>
    </row>
    <row r="65" spans="1:14" ht="16.5">
      <c r="A65" s="46"/>
      <c r="B65" s="177"/>
      <c r="C65" s="178" t="s">
        <v>123</v>
      </c>
      <c r="D65" s="149" t="s">
        <v>35</v>
      </c>
      <c r="E65" s="27"/>
      <c r="F65" s="62">
        <f>F63</f>
        <v>196.695</v>
      </c>
      <c r="G65" s="150"/>
      <c r="H65" s="149"/>
      <c r="I65" s="27"/>
      <c r="J65" s="150"/>
      <c r="K65" s="27"/>
      <c r="L65" s="149"/>
      <c r="M65" s="27"/>
      <c r="N65" s="256"/>
    </row>
    <row r="66" spans="1:14" s="102" customFormat="1" ht="36.75" customHeight="1">
      <c r="A66" s="49">
        <v>7</v>
      </c>
      <c r="B66" s="167" t="s">
        <v>59</v>
      </c>
      <c r="C66" s="166" t="s">
        <v>118</v>
      </c>
      <c r="D66" s="154" t="s">
        <v>35</v>
      </c>
      <c r="E66" s="154"/>
      <c r="F66" s="197">
        <f>F50/2</f>
        <v>0.4935</v>
      </c>
      <c r="G66" s="15"/>
      <c r="H66" s="15"/>
      <c r="I66" s="15"/>
      <c r="J66" s="15"/>
      <c r="K66" s="15"/>
      <c r="L66" s="15"/>
      <c r="M66" s="15"/>
      <c r="N66" s="256"/>
    </row>
    <row r="67" spans="1:14" s="102" customFormat="1" ht="17.25">
      <c r="A67" s="184"/>
      <c r="B67" s="13"/>
      <c r="C67" s="23" t="s">
        <v>60</v>
      </c>
      <c r="D67" s="15" t="s">
        <v>31</v>
      </c>
      <c r="E67" s="15">
        <v>0.3</v>
      </c>
      <c r="F67" s="15">
        <f>E67*F66</f>
        <v>0.14805</v>
      </c>
      <c r="G67" s="15"/>
      <c r="H67" s="14"/>
      <c r="I67" s="14"/>
      <c r="J67" s="14"/>
      <c r="K67" s="15"/>
      <c r="L67" s="15"/>
      <c r="M67" s="15"/>
      <c r="N67" s="256"/>
    </row>
    <row r="68" spans="1:14" s="102" customFormat="1" ht="17.25">
      <c r="A68" s="184"/>
      <c r="B68" s="13"/>
      <c r="C68" s="23" t="s">
        <v>32</v>
      </c>
      <c r="D68" s="15" t="s">
        <v>30</v>
      </c>
      <c r="E68" s="15"/>
      <c r="F68" s="15">
        <f>F67</f>
        <v>0.14805</v>
      </c>
      <c r="G68" s="15"/>
      <c r="H68" s="15"/>
      <c r="I68" s="14"/>
      <c r="J68" s="14"/>
      <c r="K68" s="14"/>
      <c r="L68" s="15"/>
      <c r="M68" s="15"/>
      <c r="N68" s="256"/>
    </row>
    <row r="69" spans="1:14" s="102" customFormat="1" ht="17.25">
      <c r="A69" s="185"/>
      <c r="B69" s="158"/>
      <c r="C69" s="159" t="s">
        <v>81</v>
      </c>
      <c r="D69" s="17" t="s">
        <v>35</v>
      </c>
      <c r="E69" s="17">
        <v>1.03</v>
      </c>
      <c r="F69" s="17">
        <f>E69*F66</f>
        <v>0.508305</v>
      </c>
      <c r="G69" s="17"/>
      <c r="H69" s="182"/>
      <c r="I69" s="17"/>
      <c r="J69" s="17"/>
      <c r="K69" s="182"/>
      <c r="L69" s="17"/>
      <c r="M69" s="17"/>
      <c r="N69" s="256"/>
    </row>
    <row r="70" spans="1:14" s="87" customFormat="1" ht="45.75" customHeight="1">
      <c r="A70" s="49">
        <v>8</v>
      </c>
      <c r="B70" s="186" t="s">
        <v>119</v>
      </c>
      <c r="C70" s="9" t="s">
        <v>120</v>
      </c>
      <c r="D70" s="154" t="s">
        <v>111</v>
      </c>
      <c r="E70" s="154"/>
      <c r="F70" s="10">
        <f>F54</f>
        <v>1410</v>
      </c>
      <c r="G70" s="198"/>
      <c r="H70" s="181"/>
      <c r="I70" s="181"/>
      <c r="J70" s="181"/>
      <c r="K70" s="181"/>
      <c r="L70" s="181"/>
      <c r="M70" s="181"/>
      <c r="N70" s="264"/>
    </row>
    <row r="71" spans="1:14" s="87" customFormat="1" ht="17.25">
      <c r="A71" s="184"/>
      <c r="B71" s="13"/>
      <c r="C71" s="23" t="s">
        <v>29</v>
      </c>
      <c r="D71" s="15" t="s">
        <v>30</v>
      </c>
      <c r="E71" s="157">
        <f>3.75/100</f>
        <v>0.0375</v>
      </c>
      <c r="F71" s="15">
        <f>E71*F70</f>
        <v>52.875</v>
      </c>
      <c r="G71" s="15"/>
      <c r="H71" s="15"/>
      <c r="I71" s="15"/>
      <c r="J71" s="15"/>
      <c r="K71" s="15"/>
      <c r="L71" s="15"/>
      <c r="M71" s="15"/>
      <c r="N71" s="264"/>
    </row>
    <row r="72" spans="1:14" s="87" customFormat="1" ht="17.25">
      <c r="A72" s="184"/>
      <c r="B72" s="13"/>
      <c r="C72" s="23" t="s">
        <v>116</v>
      </c>
      <c r="D72" s="15" t="s">
        <v>31</v>
      </c>
      <c r="E72" s="157">
        <f>0.302/100</f>
        <v>0.00302</v>
      </c>
      <c r="F72" s="15">
        <f>E72*F70</f>
        <v>4.2582</v>
      </c>
      <c r="G72" s="15"/>
      <c r="H72" s="15"/>
      <c r="I72" s="15"/>
      <c r="J72" s="15"/>
      <c r="K72" s="15"/>
      <c r="L72" s="15"/>
      <c r="M72" s="15"/>
      <c r="N72" s="264"/>
    </row>
    <row r="73" spans="1:14" s="87" customFormat="1" ht="17.25">
      <c r="A73" s="184"/>
      <c r="B73" s="13"/>
      <c r="C73" s="23" t="s">
        <v>32</v>
      </c>
      <c r="D73" s="15" t="s">
        <v>30</v>
      </c>
      <c r="E73" s="157"/>
      <c r="F73" s="15">
        <f>F72</f>
        <v>4.2582</v>
      </c>
      <c r="G73" s="15"/>
      <c r="H73" s="15"/>
      <c r="I73" s="15"/>
      <c r="J73" s="15"/>
      <c r="K73" s="15"/>
      <c r="L73" s="15"/>
      <c r="M73" s="15"/>
      <c r="N73" s="264"/>
    </row>
    <row r="74" spans="1:14" s="87" customFormat="1" ht="17.25">
      <c r="A74" s="184"/>
      <c r="B74" s="13"/>
      <c r="C74" s="23" t="s">
        <v>53</v>
      </c>
      <c r="D74" s="15" t="s">
        <v>31</v>
      </c>
      <c r="E74" s="157">
        <f>0.37/100</f>
        <v>0.0037</v>
      </c>
      <c r="F74" s="15">
        <f>E74*F70</f>
        <v>5.2170000000000005</v>
      </c>
      <c r="G74" s="15"/>
      <c r="H74" s="15"/>
      <c r="I74" s="15"/>
      <c r="J74" s="15"/>
      <c r="K74" s="15"/>
      <c r="L74" s="15"/>
      <c r="M74" s="15"/>
      <c r="N74" s="264"/>
    </row>
    <row r="75" spans="1:14" s="87" customFormat="1" ht="17.25">
      <c r="A75" s="184"/>
      <c r="B75" s="13"/>
      <c r="C75" s="23" t="s">
        <v>32</v>
      </c>
      <c r="D75" s="15" t="s">
        <v>30</v>
      </c>
      <c r="E75" s="157"/>
      <c r="F75" s="15">
        <f>F74</f>
        <v>5.2170000000000005</v>
      </c>
      <c r="G75" s="15"/>
      <c r="H75" s="15"/>
      <c r="I75" s="15"/>
      <c r="J75" s="15"/>
      <c r="K75" s="15"/>
      <c r="L75" s="15"/>
      <c r="M75" s="15"/>
      <c r="N75" s="264"/>
    </row>
    <row r="76" spans="1:14" s="87" customFormat="1" ht="17.25">
      <c r="A76" s="184"/>
      <c r="B76" s="13"/>
      <c r="C76" s="23" t="s">
        <v>54</v>
      </c>
      <c r="D76" s="15" t="s">
        <v>31</v>
      </c>
      <c r="E76" s="157">
        <f>1.11/100</f>
        <v>0.0111</v>
      </c>
      <c r="F76" s="15">
        <f>E76*F70</f>
        <v>15.651000000000002</v>
      </c>
      <c r="G76" s="15"/>
      <c r="H76" s="15"/>
      <c r="I76" s="15"/>
      <c r="J76" s="15"/>
      <c r="K76" s="15"/>
      <c r="L76" s="15"/>
      <c r="M76" s="15"/>
      <c r="N76" s="264"/>
    </row>
    <row r="77" spans="1:14" s="87" customFormat="1" ht="17.25">
      <c r="A77" s="184"/>
      <c r="B77" s="13"/>
      <c r="C77" s="23" t="s">
        <v>32</v>
      </c>
      <c r="D77" s="15" t="s">
        <v>30</v>
      </c>
      <c r="E77" s="157"/>
      <c r="F77" s="15">
        <f>F76</f>
        <v>15.651000000000002</v>
      </c>
      <c r="G77" s="15"/>
      <c r="H77" s="15"/>
      <c r="I77" s="15"/>
      <c r="J77" s="15"/>
      <c r="K77" s="15"/>
      <c r="L77" s="15"/>
      <c r="M77" s="15"/>
      <c r="N77" s="264"/>
    </row>
    <row r="78" spans="1:14" s="87" customFormat="1" ht="17.25">
      <c r="A78" s="184"/>
      <c r="B78" s="13"/>
      <c r="C78" s="23" t="s">
        <v>37</v>
      </c>
      <c r="D78" s="15" t="s">
        <v>34</v>
      </c>
      <c r="E78" s="157">
        <f>0.23/100</f>
        <v>0.0023</v>
      </c>
      <c r="F78" s="15">
        <f>E78*F70</f>
        <v>3.243</v>
      </c>
      <c r="G78" s="15"/>
      <c r="H78" s="15"/>
      <c r="I78" s="15"/>
      <c r="J78" s="15"/>
      <c r="K78" s="15"/>
      <c r="L78" s="15"/>
      <c r="M78" s="15"/>
      <c r="N78" s="264"/>
    </row>
    <row r="79" spans="1:14" s="87" customFormat="1" ht="17.25">
      <c r="A79" s="184"/>
      <c r="B79" s="23"/>
      <c r="C79" s="23" t="s">
        <v>121</v>
      </c>
      <c r="D79" s="15" t="s">
        <v>35</v>
      </c>
      <c r="E79" s="157">
        <v>0.0974</v>
      </c>
      <c r="F79" s="15">
        <f>E79*F70</f>
        <v>137.334</v>
      </c>
      <c r="G79" s="15"/>
      <c r="H79" s="15"/>
      <c r="I79" s="15"/>
      <c r="J79" s="15"/>
      <c r="K79" s="15"/>
      <c r="L79" s="15"/>
      <c r="M79" s="15"/>
      <c r="N79" s="264"/>
    </row>
    <row r="80" spans="1:14" s="87" customFormat="1" ht="17.25">
      <c r="A80" s="185"/>
      <c r="B80" s="158"/>
      <c r="C80" s="159" t="s">
        <v>38</v>
      </c>
      <c r="D80" s="17" t="s">
        <v>34</v>
      </c>
      <c r="E80" s="195">
        <f>1.45/100</f>
        <v>0.014499999999999999</v>
      </c>
      <c r="F80" s="17">
        <f>E80*F70</f>
        <v>20.445</v>
      </c>
      <c r="G80" s="17"/>
      <c r="H80" s="17"/>
      <c r="I80" s="17"/>
      <c r="J80" s="17"/>
      <c r="K80" s="17"/>
      <c r="L80" s="17"/>
      <c r="M80" s="17"/>
      <c r="N80" s="264"/>
    </row>
    <row r="81" spans="1:14" ht="16.5">
      <c r="A81" s="46"/>
      <c r="B81" s="177"/>
      <c r="C81" s="178" t="s">
        <v>123</v>
      </c>
      <c r="D81" s="149" t="s">
        <v>35</v>
      </c>
      <c r="E81" s="27"/>
      <c r="F81" s="62">
        <f>F79</f>
        <v>137.334</v>
      </c>
      <c r="G81" s="150"/>
      <c r="H81" s="149"/>
      <c r="I81" s="27"/>
      <c r="J81" s="150"/>
      <c r="K81" s="27"/>
      <c r="L81" s="149"/>
      <c r="M81" s="27"/>
      <c r="N81" s="256"/>
    </row>
    <row r="82" spans="1:14" ht="16.5">
      <c r="A82" s="100"/>
      <c r="B82" s="59"/>
      <c r="C82" s="101" t="s">
        <v>211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256">
        <v>53278.36</v>
      </c>
    </row>
    <row r="83" spans="1:14" ht="28.5" customHeight="1">
      <c r="A83" s="375" t="s">
        <v>155</v>
      </c>
      <c r="B83" s="376"/>
      <c r="C83" s="377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56"/>
    </row>
    <row r="84" spans="1:14" ht="17.25">
      <c r="A84" s="184">
        <v>9</v>
      </c>
      <c r="B84" s="48" t="s">
        <v>151</v>
      </c>
      <c r="C84" s="166" t="s">
        <v>152</v>
      </c>
      <c r="D84" s="32" t="s">
        <v>36</v>
      </c>
      <c r="E84" s="154"/>
      <c r="F84" s="10">
        <v>7</v>
      </c>
      <c r="G84" s="15"/>
      <c r="H84" s="15"/>
      <c r="I84" s="15"/>
      <c r="J84" s="15"/>
      <c r="K84" s="15"/>
      <c r="L84" s="22"/>
      <c r="M84" s="19"/>
      <c r="N84" s="256"/>
    </row>
    <row r="85" spans="1:14" ht="17.25">
      <c r="A85" s="167"/>
      <c r="B85" s="13"/>
      <c r="C85" s="23" t="s">
        <v>29</v>
      </c>
      <c r="D85" s="15" t="s">
        <v>30</v>
      </c>
      <c r="E85" s="157">
        <f>7.7/100</f>
        <v>0.077</v>
      </c>
      <c r="F85" s="15">
        <f>E85*F84</f>
        <v>0.539</v>
      </c>
      <c r="G85" s="15"/>
      <c r="H85" s="15"/>
      <c r="I85" s="14"/>
      <c r="J85" s="14"/>
      <c r="K85" s="14"/>
      <c r="L85" s="156"/>
      <c r="M85" s="15"/>
      <c r="N85" s="256"/>
    </row>
    <row r="86" spans="1:14" ht="17.25">
      <c r="A86" s="227"/>
      <c r="B86" s="177"/>
      <c r="C86" s="228" t="s">
        <v>71</v>
      </c>
      <c r="D86" s="27" t="s">
        <v>34</v>
      </c>
      <c r="E86" s="229">
        <f>6.37/100</f>
        <v>0.0637</v>
      </c>
      <c r="F86" s="27">
        <f>E86*F84</f>
        <v>0.4459000000000001</v>
      </c>
      <c r="G86" s="27"/>
      <c r="H86" s="27"/>
      <c r="I86" s="27"/>
      <c r="J86" s="27"/>
      <c r="K86" s="27"/>
      <c r="L86" s="149"/>
      <c r="M86" s="27"/>
      <c r="N86" s="256"/>
    </row>
    <row r="87" spans="1:14" ht="17.25">
      <c r="A87" s="179">
        <v>10</v>
      </c>
      <c r="B87" s="167" t="s">
        <v>59</v>
      </c>
      <c r="C87" s="166" t="s">
        <v>153</v>
      </c>
      <c r="D87" s="154" t="s">
        <v>35</v>
      </c>
      <c r="E87" s="154"/>
      <c r="F87" s="197">
        <v>0.00245</v>
      </c>
      <c r="G87" s="15"/>
      <c r="H87" s="15"/>
      <c r="I87" s="15"/>
      <c r="J87" s="15"/>
      <c r="K87" s="15"/>
      <c r="L87" s="22"/>
      <c r="M87" s="19"/>
      <c r="N87" s="256"/>
    </row>
    <row r="88" spans="1:14" ht="17.25">
      <c r="A88" s="167"/>
      <c r="B88" s="13"/>
      <c r="C88" s="23" t="s">
        <v>60</v>
      </c>
      <c r="D88" s="15" t="s">
        <v>31</v>
      </c>
      <c r="E88" s="15">
        <v>0.3</v>
      </c>
      <c r="F88" s="15">
        <f>E88*F87</f>
        <v>0.000735</v>
      </c>
      <c r="G88" s="15"/>
      <c r="H88" s="14"/>
      <c r="I88" s="14"/>
      <c r="J88" s="14"/>
      <c r="K88" s="15"/>
      <c r="L88" s="22"/>
      <c r="M88" s="15"/>
      <c r="N88" s="256"/>
    </row>
    <row r="89" spans="1:14" ht="17.25">
      <c r="A89" s="167"/>
      <c r="B89" s="13"/>
      <c r="C89" s="23" t="s">
        <v>32</v>
      </c>
      <c r="D89" s="15" t="s">
        <v>30</v>
      </c>
      <c r="E89" s="15"/>
      <c r="F89" s="15">
        <f>F88</f>
        <v>0.000735</v>
      </c>
      <c r="G89" s="15"/>
      <c r="H89" s="15"/>
      <c r="I89" s="14"/>
      <c r="J89" s="14"/>
      <c r="K89" s="14"/>
      <c r="L89" s="22"/>
      <c r="M89" s="15"/>
      <c r="N89" s="256"/>
    </row>
    <row r="90" spans="1:14" ht="17.25">
      <c r="A90" s="230"/>
      <c r="B90" s="158"/>
      <c r="C90" s="159" t="s">
        <v>81</v>
      </c>
      <c r="D90" s="17" t="s">
        <v>35</v>
      </c>
      <c r="E90" s="17">
        <v>1.03</v>
      </c>
      <c r="F90" s="17">
        <f>E90*F87</f>
        <v>0.0025235</v>
      </c>
      <c r="G90" s="17"/>
      <c r="H90" s="182"/>
      <c r="I90" s="17"/>
      <c r="J90" s="17"/>
      <c r="K90" s="182"/>
      <c r="L90" s="47"/>
      <c r="M90" s="17"/>
      <c r="N90" s="256"/>
    </row>
    <row r="91" spans="1:14" ht="54" customHeight="1">
      <c r="A91" s="184">
        <v>11</v>
      </c>
      <c r="B91" s="167" t="s">
        <v>108</v>
      </c>
      <c r="C91" s="166" t="s">
        <v>134</v>
      </c>
      <c r="D91" s="154" t="s">
        <v>105</v>
      </c>
      <c r="E91" s="154"/>
      <c r="F91" s="10">
        <v>187.95</v>
      </c>
      <c r="G91" s="15"/>
      <c r="H91" s="15"/>
      <c r="I91" s="15"/>
      <c r="J91" s="15"/>
      <c r="K91" s="15"/>
      <c r="L91" s="22"/>
      <c r="M91" s="154"/>
      <c r="N91" s="256"/>
    </row>
    <row r="92" spans="1:14" ht="17.25">
      <c r="A92" s="184"/>
      <c r="B92" s="13"/>
      <c r="C92" s="23" t="s">
        <v>29</v>
      </c>
      <c r="D92" s="15" t="s">
        <v>30</v>
      </c>
      <c r="E92" s="15">
        <v>0.15</v>
      </c>
      <c r="F92" s="15">
        <f>E92*F91</f>
        <v>28.1925</v>
      </c>
      <c r="G92" s="15"/>
      <c r="H92" s="15"/>
      <c r="I92" s="14"/>
      <c r="J92" s="14"/>
      <c r="K92" s="14"/>
      <c r="L92" s="156"/>
      <c r="M92" s="15"/>
      <c r="N92" s="256"/>
    </row>
    <row r="93" spans="1:14" ht="17.25">
      <c r="A93" s="184"/>
      <c r="B93" s="13"/>
      <c r="C93" s="23" t="s">
        <v>74</v>
      </c>
      <c r="D93" s="15" t="s">
        <v>31</v>
      </c>
      <c r="E93" s="15">
        <f>2.16/100</f>
        <v>0.0216</v>
      </c>
      <c r="F93" s="15">
        <f>E93*F91</f>
        <v>4.0597199999999996</v>
      </c>
      <c r="G93" s="15"/>
      <c r="H93" s="14"/>
      <c r="I93" s="14"/>
      <c r="J93" s="14"/>
      <c r="K93" s="15"/>
      <c r="L93" s="22"/>
      <c r="M93" s="15"/>
      <c r="N93" s="256"/>
    </row>
    <row r="94" spans="1:14" ht="17.25">
      <c r="A94" s="184"/>
      <c r="B94" s="13"/>
      <c r="C94" s="23" t="s">
        <v>32</v>
      </c>
      <c r="D94" s="15" t="s">
        <v>30</v>
      </c>
      <c r="E94" s="15"/>
      <c r="F94" s="15">
        <f>F93</f>
        <v>4.0597199999999996</v>
      </c>
      <c r="G94" s="15"/>
      <c r="H94" s="15"/>
      <c r="I94" s="14"/>
      <c r="J94" s="14"/>
      <c r="K94" s="14"/>
      <c r="L94" s="22"/>
      <c r="M94" s="15"/>
      <c r="N94" s="256"/>
    </row>
    <row r="95" spans="1:14" ht="17.25">
      <c r="A95" s="184"/>
      <c r="B95" s="13"/>
      <c r="C95" s="23" t="s">
        <v>109</v>
      </c>
      <c r="D95" s="15" t="s">
        <v>31</v>
      </c>
      <c r="E95" s="15">
        <f>2.73/100</f>
        <v>0.0273</v>
      </c>
      <c r="F95" s="15">
        <f>E95*F91</f>
        <v>5.131035</v>
      </c>
      <c r="G95" s="15"/>
      <c r="H95" s="15"/>
      <c r="I95" s="14"/>
      <c r="J95" s="14"/>
      <c r="K95" s="15"/>
      <c r="L95" s="22"/>
      <c r="M95" s="15"/>
      <c r="N95" s="256"/>
    </row>
    <row r="96" spans="1:14" ht="17.25">
      <c r="A96" s="184"/>
      <c r="B96" s="13"/>
      <c r="C96" s="23" t="s">
        <v>32</v>
      </c>
      <c r="D96" s="15" t="s">
        <v>30</v>
      </c>
      <c r="E96" s="15"/>
      <c r="F96" s="15">
        <f>F95</f>
        <v>5.131035</v>
      </c>
      <c r="G96" s="15"/>
      <c r="H96" s="15"/>
      <c r="I96" s="14"/>
      <c r="J96" s="14"/>
      <c r="K96" s="14"/>
      <c r="L96" s="22"/>
      <c r="M96" s="15"/>
      <c r="N96" s="256"/>
    </row>
    <row r="97" spans="1:14" ht="17.25">
      <c r="A97" s="184"/>
      <c r="B97" s="13"/>
      <c r="C97" s="23" t="s">
        <v>33</v>
      </c>
      <c r="D97" s="15" t="s">
        <v>31</v>
      </c>
      <c r="E97" s="15">
        <f>0.97/100</f>
        <v>0.0097</v>
      </c>
      <c r="F97" s="15">
        <f>E97*F91</f>
        <v>1.823115</v>
      </c>
      <c r="G97" s="15"/>
      <c r="H97" s="15"/>
      <c r="I97" s="14"/>
      <c r="J97" s="14"/>
      <c r="K97" s="15"/>
      <c r="L97" s="22"/>
      <c r="M97" s="15"/>
      <c r="N97" s="256"/>
    </row>
    <row r="98" spans="1:14" ht="17.25">
      <c r="A98" s="184"/>
      <c r="B98" s="13"/>
      <c r="C98" s="23" t="s">
        <v>32</v>
      </c>
      <c r="D98" s="15" t="s">
        <v>30</v>
      </c>
      <c r="E98" s="15"/>
      <c r="F98" s="15">
        <f>F97</f>
        <v>1.823115</v>
      </c>
      <c r="G98" s="15"/>
      <c r="H98" s="15"/>
      <c r="I98" s="14"/>
      <c r="J98" s="14"/>
      <c r="K98" s="14"/>
      <c r="L98" s="22"/>
      <c r="M98" s="15"/>
      <c r="N98" s="256"/>
    </row>
    <row r="99" spans="1:14" ht="20.25">
      <c r="A99" s="184"/>
      <c r="B99" s="13"/>
      <c r="C99" s="23" t="s">
        <v>69</v>
      </c>
      <c r="D99" s="15" t="s">
        <v>106</v>
      </c>
      <c r="E99" s="15">
        <v>1.22</v>
      </c>
      <c r="F99" s="15">
        <f>E99*F91</f>
        <v>229.29899999999998</v>
      </c>
      <c r="G99" s="15"/>
      <c r="H99" s="15"/>
      <c r="I99" s="15"/>
      <c r="J99" s="15"/>
      <c r="K99" s="14"/>
      <c r="L99" s="22"/>
      <c r="M99" s="15"/>
      <c r="N99" s="256"/>
    </row>
    <row r="100" spans="1:14" ht="20.25">
      <c r="A100" s="185"/>
      <c r="B100" s="158"/>
      <c r="C100" s="159" t="s">
        <v>97</v>
      </c>
      <c r="D100" s="17" t="s">
        <v>106</v>
      </c>
      <c r="E100" s="17">
        <f>7/100</f>
        <v>0.07</v>
      </c>
      <c r="F100" s="15">
        <f>E100*F91</f>
        <v>13.156500000000001</v>
      </c>
      <c r="G100" s="17"/>
      <c r="H100" s="17"/>
      <c r="I100" s="17"/>
      <c r="J100" s="17"/>
      <c r="K100" s="182"/>
      <c r="L100" s="47"/>
      <c r="M100" s="17"/>
      <c r="N100" s="256"/>
    </row>
    <row r="101" spans="1:14" ht="33">
      <c r="A101" s="46"/>
      <c r="B101" s="177"/>
      <c r="C101" s="178" t="s">
        <v>126</v>
      </c>
      <c r="D101" s="149" t="s">
        <v>35</v>
      </c>
      <c r="E101" s="27">
        <v>1.6</v>
      </c>
      <c r="F101" s="62">
        <f>E101*F99</f>
        <v>366.8784</v>
      </c>
      <c r="G101" s="150"/>
      <c r="H101" s="149"/>
      <c r="I101" s="27"/>
      <c r="J101" s="150"/>
      <c r="K101" s="27"/>
      <c r="L101" s="149"/>
      <c r="M101" s="27"/>
      <c r="N101" s="256"/>
    </row>
    <row r="102" spans="1:14" ht="34.5">
      <c r="A102" s="49">
        <v>12</v>
      </c>
      <c r="B102" s="153" t="s">
        <v>76</v>
      </c>
      <c r="C102" s="183" t="s">
        <v>127</v>
      </c>
      <c r="D102" s="154" t="s">
        <v>105</v>
      </c>
      <c r="E102" s="95"/>
      <c r="F102" s="210">
        <f>1253*0.15</f>
        <v>187.95</v>
      </c>
      <c r="G102" s="152"/>
      <c r="H102" s="15"/>
      <c r="I102" s="15"/>
      <c r="J102" s="15"/>
      <c r="K102" s="15"/>
      <c r="L102" s="22"/>
      <c r="M102" s="19"/>
      <c r="N102" s="256"/>
    </row>
    <row r="103" spans="1:14" ht="17.25">
      <c r="A103" s="184"/>
      <c r="B103" s="13"/>
      <c r="C103" s="23" t="s">
        <v>29</v>
      </c>
      <c r="D103" s="15" t="s">
        <v>30</v>
      </c>
      <c r="E103" s="155">
        <f>21.6/100</f>
        <v>0.21600000000000003</v>
      </c>
      <c r="F103" s="15">
        <f>E103*F102</f>
        <v>40.5972</v>
      </c>
      <c r="G103" s="152"/>
      <c r="H103" s="15"/>
      <c r="I103" s="14"/>
      <c r="J103" s="14"/>
      <c r="K103" s="14"/>
      <c r="L103" s="156"/>
      <c r="M103" s="15"/>
      <c r="N103" s="256"/>
    </row>
    <row r="104" spans="1:14" ht="17.25">
      <c r="A104" s="184"/>
      <c r="B104" s="13"/>
      <c r="C104" s="23" t="s">
        <v>74</v>
      </c>
      <c r="D104" s="15" t="s">
        <v>31</v>
      </c>
      <c r="E104" s="155">
        <f>1.24/100</f>
        <v>0.0124</v>
      </c>
      <c r="F104" s="15">
        <f>E104*F102</f>
        <v>2.33058</v>
      </c>
      <c r="G104" s="152"/>
      <c r="H104" s="14"/>
      <c r="I104" s="14"/>
      <c r="J104" s="14"/>
      <c r="K104" s="15"/>
      <c r="L104" s="22"/>
      <c r="M104" s="15"/>
      <c r="N104" s="256"/>
    </row>
    <row r="105" spans="1:14" ht="17.25">
      <c r="A105" s="184"/>
      <c r="B105" s="13"/>
      <c r="C105" s="23" t="s">
        <v>32</v>
      </c>
      <c r="D105" s="15" t="s">
        <v>30</v>
      </c>
      <c r="E105" s="22"/>
      <c r="F105" s="15">
        <f>F104</f>
        <v>2.33058</v>
      </c>
      <c r="G105" s="152"/>
      <c r="H105" s="15"/>
      <c r="I105" s="15"/>
      <c r="J105" s="15"/>
      <c r="K105" s="15"/>
      <c r="L105" s="22"/>
      <c r="M105" s="15"/>
      <c r="N105" s="256"/>
    </row>
    <row r="106" spans="1:14" ht="17.25">
      <c r="A106" s="184"/>
      <c r="B106" s="13"/>
      <c r="C106" s="23" t="s">
        <v>70</v>
      </c>
      <c r="D106" s="15" t="s">
        <v>31</v>
      </c>
      <c r="E106" s="155">
        <f>2.58/100</f>
        <v>0.0258</v>
      </c>
      <c r="F106" s="15">
        <f>E106*F102</f>
        <v>4.84911</v>
      </c>
      <c r="G106" s="152"/>
      <c r="H106" s="15"/>
      <c r="I106" s="15"/>
      <c r="J106" s="15"/>
      <c r="K106" s="15"/>
      <c r="L106" s="22"/>
      <c r="M106" s="15"/>
      <c r="N106" s="256"/>
    </row>
    <row r="107" spans="1:14" ht="17.25">
      <c r="A107" s="184"/>
      <c r="B107" s="13"/>
      <c r="C107" s="23" t="s">
        <v>32</v>
      </c>
      <c r="D107" s="15" t="s">
        <v>30</v>
      </c>
      <c r="E107" s="22"/>
      <c r="F107" s="15">
        <f>F106</f>
        <v>4.84911</v>
      </c>
      <c r="G107" s="152"/>
      <c r="H107" s="15"/>
      <c r="I107" s="15"/>
      <c r="J107" s="15"/>
      <c r="K107" s="15"/>
      <c r="L107" s="22"/>
      <c r="M107" s="15"/>
      <c r="N107" s="256"/>
    </row>
    <row r="108" spans="1:14" ht="17.25">
      <c r="A108" s="184"/>
      <c r="B108" s="13"/>
      <c r="C108" s="23" t="s">
        <v>77</v>
      </c>
      <c r="D108" s="15" t="s">
        <v>31</v>
      </c>
      <c r="E108" s="155">
        <f>0.41/100</f>
        <v>0.0040999999999999995</v>
      </c>
      <c r="F108" s="157">
        <f>E108*F102</f>
        <v>0.7705949999999998</v>
      </c>
      <c r="G108" s="152"/>
      <c r="H108" s="15"/>
      <c r="I108" s="15"/>
      <c r="J108" s="15"/>
      <c r="K108" s="15"/>
      <c r="L108" s="22"/>
      <c r="M108" s="15"/>
      <c r="N108" s="256"/>
    </row>
    <row r="109" spans="1:14" ht="17.25">
      <c r="A109" s="184"/>
      <c r="B109" s="13"/>
      <c r="C109" s="23" t="s">
        <v>32</v>
      </c>
      <c r="D109" s="15" t="s">
        <v>30</v>
      </c>
      <c r="E109" s="22"/>
      <c r="F109" s="157">
        <f>F108</f>
        <v>0.7705949999999998</v>
      </c>
      <c r="G109" s="152"/>
      <c r="H109" s="15"/>
      <c r="I109" s="15"/>
      <c r="J109" s="15"/>
      <c r="K109" s="15"/>
      <c r="L109" s="22"/>
      <c r="M109" s="15"/>
      <c r="N109" s="256"/>
    </row>
    <row r="110" spans="1:16" ht="17.25">
      <c r="A110" s="184"/>
      <c r="B110" s="13"/>
      <c r="C110" s="23" t="s">
        <v>53</v>
      </c>
      <c r="D110" s="15" t="s">
        <v>31</v>
      </c>
      <c r="E110" s="155">
        <f>7.6/100</f>
        <v>0.076</v>
      </c>
      <c r="F110" s="15">
        <f>E110*F102</f>
        <v>14.284199999999998</v>
      </c>
      <c r="G110" s="152"/>
      <c r="H110" s="15"/>
      <c r="I110" s="15"/>
      <c r="J110" s="15"/>
      <c r="K110" s="15"/>
      <c r="L110" s="22"/>
      <c r="M110" s="15"/>
      <c r="N110" s="256"/>
      <c r="P110" s="174"/>
    </row>
    <row r="111" spans="1:14" ht="17.25">
      <c r="A111" s="184"/>
      <c r="B111" s="13"/>
      <c r="C111" s="23" t="s">
        <v>32</v>
      </c>
      <c r="D111" s="15" t="s">
        <v>30</v>
      </c>
      <c r="E111" s="22"/>
      <c r="F111" s="15">
        <f>F110</f>
        <v>14.284199999999998</v>
      </c>
      <c r="G111" s="152"/>
      <c r="H111" s="15"/>
      <c r="I111" s="15"/>
      <c r="J111" s="15"/>
      <c r="K111" s="15"/>
      <c r="L111" s="22"/>
      <c r="M111" s="15"/>
      <c r="N111" s="256"/>
    </row>
    <row r="112" spans="1:14" ht="17.25">
      <c r="A112" s="184"/>
      <c r="B112" s="13"/>
      <c r="C112" s="23" t="s">
        <v>54</v>
      </c>
      <c r="D112" s="15" t="s">
        <v>31</v>
      </c>
      <c r="E112" s="155">
        <f>15.1/100</f>
        <v>0.151</v>
      </c>
      <c r="F112" s="15">
        <f>E112*F102</f>
        <v>28.380449999999996</v>
      </c>
      <c r="G112" s="152"/>
      <c r="H112" s="15"/>
      <c r="I112" s="15"/>
      <c r="J112" s="15"/>
      <c r="K112" s="15"/>
      <c r="L112" s="22"/>
      <c r="M112" s="15"/>
      <c r="N112" s="256"/>
    </row>
    <row r="113" spans="1:14" ht="17.25">
      <c r="A113" s="184"/>
      <c r="B113" s="13"/>
      <c r="C113" s="23" t="s">
        <v>32</v>
      </c>
      <c r="D113" s="15" t="s">
        <v>30</v>
      </c>
      <c r="E113" s="22"/>
      <c r="F113" s="15">
        <f>F112</f>
        <v>28.380449999999996</v>
      </c>
      <c r="G113" s="152"/>
      <c r="H113" s="15"/>
      <c r="I113" s="15"/>
      <c r="J113" s="15"/>
      <c r="K113" s="15"/>
      <c r="L113" s="22"/>
      <c r="M113" s="15"/>
      <c r="N113" s="256"/>
    </row>
    <row r="114" spans="1:14" ht="17.25">
      <c r="A114" s="184"/>
      <c r="B114" s="13"/>
      <c r="C114" s="23" t="s">
        <v>33</v>
      </c>
      <c r="D114" s="15" t="s">
        <v>31</v>
      </c>
      <c r="E114" s="155">
        <f>0.97/100</f>
        <v>0.0097</v>
      </c>
      <c r="F114" s="15">
        <f>E114*F102</f>
        <v>1.823115</v>
      </c>
      <c r="G114" s="152"/>
      <c r="H114" s="15"/>
      <c r="I114" s="15"/>
      <c r="J114" s="15"/>
      <c r="K114" s="15"/>
      <c r="L114" s="22"/>
      <c r="M114" s="15"/>
      <c r="N114" s="256"/>
    </row>
    <row r="115" spans="1:14" ht="17.25">
      <c r="A115" s="184"/>
      <c r="B115" s="13"/>
      <c r="C115" s="23" t="s">
        <v>32</v>
      </c>
      <c r="D115" s="15" t="s">
        <v>30</v>
      </c>
      <c r="E115" s="22"/>
      <c r="F115" s="15">
        <f>F114</f>
        <v>1.823115</v>
      </c>
      <c r="G115" s="152"/>
      <c r="H115" s="15"/>
      <c r="I115" s="15"/>
      <c r="J115" s="15"/>
      <c r="K115" s="15"/>
      <c r="L115" s="22"/>
      <c r="M115" s="15"/>
      <c r="N115" s="256"/>
    </row>
    <row r="116" spans="1:14" ht="20.25">
      <c r="A116" s="184"/>
      <c r="B116" s="13"/>
      <c r="C116" s="23" t="s">
        <v>98</v>
      </c>
      <c r="D116" s="15" t="s">
        <v>106</v>
      </c>
      <c r="E116" s="22">
        <v>1.26</v>
      </c>
      <c r="F116" s="15">
        <f>F102*1.26</f>
        <v>236.81699999999998</v>
      </c>
      <c r="G116" s="152"/>
      <c r="H116" s="15"/>
      <c r="I116" s="15"/>
      <c r="J116" s="15"/>
      <c r="K116" s="15"/>
      <c r="L116" s="22"/>
      <c r="M116" s="15"/>
      <c r="N116" s="256"/>
    </row>
    <row r="117" spans="1:14" ht="20.25">
      <c r="A117" s="185"/>
      <c r="B117" s="158"/>
      <c r="C117" s="159" t="s">
        <v>97</v>
      </c>
      <c r="D117" s="17" t="s">
        <v>106</v>
      </c>
      <c r="E117" s="160">
        <f>7/100</f>
        <v>0.07</v>
      </c>
      <c r="F117" s="17">
        <f>E117*F102</f>
        <v>13.156500000000001</v>
      </c>
      <c r="G117" s="151"/>
      <c r="H117" s="17"/>
      <c r="I117" s="17"/>
      <c r="J117" s="17"/>
      <c r="K117" s="17"/>
      <c r="L117" s="47"/>
      <c r="M117" s="17"/>
      <c r="N117" s="256"/>
    </row>
    <row r="118" spans="1:14" ht="16.5">
      <c r="A118" s="46"/>
      <c r="B118" s="177"/>
      <c r="C118" s="178" t="s">
        <v>110</v>
      </c>
      <c r="D118" s="149" t="s">
        <v>35</v>
      </c>
      <c r="E118" s="27">
        <v>1.6</v>
      </c>
      <c r="F118" s="62">
        <f>E118*F116</f>
        <v>378.9072</v>
      </c>
      <c r="G118" s="150"/>
      <c r="H118" s="149"/>
      <c r="I118" s="27"/>
      <c r="J118" s="150"/>
      <c r="K118" s="27"/>
      <c r="L118" s="149"/>
      <c r="M118" s="27"/>
      <c r="N118" s="256"/>
    </row>
    <row r="119" spans="1:14" ht="16.5">
      <c r="A119" s="100"/>
      <c r="B119" s="59"/>
      <c r="C119" s="101" t="s">
        <v>211</v>
      </c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256">
        <v>23806.89</v>
      </c>
    </row>
    <row r="120" spans="1:14" ht="30.75" customHeight="1">
      <c r="A120" s="167" t="s">
        <v>203</v>
      </c>
      <c r="B120" s="231" t="s">
        <v>156</v>
      </c>
      <c r="C120" s="28" t="s">
        <v>157</v>
      </c>
      <c r="D120" s="154" t="s">
        <v>111</v>
      </c>
      <c r="E120" s="154"/>
      <c r="F120" s="10">
        <v>1253</v>
      </c>
      <c r="G120" s="15"/>
      <c r="H120" s="15"/>
      <c r="I120" s="15"/>
      <c r="J120" s="15"/>
      <c r="K120" s="14"/>
      <c r="L120" s="14"/>
      <c r="M120" s="15"/>
      <c r="N120" s="259"/>
    </row>
    <row r="121" spans="1:14" ht="19.5" customHeight="1">
      <c r="A121" s="96"/>
      <c r="B121" s="232"/>
      <c r="C121" s="233" t="s">
        <v>29</v>
      </c>
      <c r="D121" s="15" t="s">
        <v>30</v>
      </c>
      <c r="E121" s="234">
        <v>0.182</v>
      </c>
      <c r="F121" s="78">
        <f>E121*F120</f>
        <v>228.046</v>
      </c>
      <c r="G121" s="78"/>
      <c r="H121" s="78"/>
      <c r="I121" s="78"/>
      <c r="J121" s="78"/>
      <c r="K121" s="78"/>
      <c r="L121" s="78"/>
      <c r="M121" s="78"/>
      <c r="N121" s="256"/>
    </row>
    <row r="122" spans="1:14" ht="19.5" customHeight="1">
      <c r="A122" s="96"/>
      <c r="B122" s="13"/>
      <c r="C122" s="67" t="s">
        <v>158</v>
      </c>
      <c r="D122" s="15" t="s">
        <v>31</v>
      </c>
      <c r="E122" s="96">
        <f>6.6/1000</f>
        <v>0.0066</v>
      </c>
      <c r="F122" s="78">
        <f>E122*F120</f>
        <v>8.2698</v>
      </c>
      <c r="G122" s="78"/>
      <c r="H122" s="78"/>
      <c r="I122" s="78"/>
      <c r="J122" s="78"/>
      <c r="K122" s="78"/>
      <c r="L122" s="78"/>
      <c r="M122" s="78"/>
      <c r="N122" s="256"/>
    </row>
    <row r="123" spans="1:14" ht="19.5" customHeight="1">
      <c r="A123" s="96"/>
      <c r="B123" s="232"/>
      <c r="C123" s="233" t="s">
        <v>32</v>
      </c>
      <c r="D123" s="15" t="s">
        <v>30</v>
      </c>
      <c r="E123" s="69"/>
      <c r="F123" s="78">
        <f>F122</f>
        <v>8.2698</v>
      </c>
      <c r="G123" s="78"/>
      <c r="H123" s="78"/>
      <c r="I123" s="78"/>
      <c r="J123" s="78"/>
      <c r="K123" s="78"/>
      <c r="L123" s="78"/>
      <c r="M123" s="78"/>
      <c r="N123" s="256"/>
    </row>
    <row r="124" spans="1:14" ht="19.5" customHeight="1">
      <c r="A124" s="96"/>
      <c r="B124" s="13"/>
      <c r="C124" s="233" t="s">
        <v>159</v>
      </c>
      <c r="D124" s="15" t="s">
        <v>31</v>
      </c>
      <c r="E124" s="96">
        <f>6.6/1000</f>
        <v>0.0066</v>
      </c>
      <c r="F124" s="78">
        <f>E124*F120</f>
        <v>8.2698</v>
      </c>
      <c r="G124" s="78"/>
      <c r="H124" s="78"/>
      <c r="I124" s="78"/>
      <c r="J124" s="78"/>
      <c r="K124" s="78"/>
      <c r="L124" s="78"/>
      <c r="M124" s="78"/>
      <c r="N124" s="256"/>
    </row>
    <row r="125" spans="1:14" ht="19.5" customHeight="1">
      <c r="A125" s="96"/>
      <c r="B125" s="232"/>
      <c r="C125" s="233" t="s">
        <v>32</v>
      </c>
      <c r="D125" s="15" t="s">
        <v>30</v>
      </c>
      <c r="E125" s="69"/>
      <c r="F125" s="78">
        <f>F124</f>
        <v>8.2698</v>
      </c>
      <c r="G125" s="78"/>
      <c r="H125" s="78"/>
      <c r="I125" s="78"/>
      <c r="J125" s="78"/>
      <c r="K125" s="78"/>
      <c r="L125" s="78"/>
      <c r="M125" s="78"/>
      <c r="N125" s="256"/>
    </row>
    <row r="126" spans="1:14" ht="19.5" customHeight="1">
      <c r="A126" s="96"/>
      <c r="B126" s="13"/>
      <c r="C126" s="67" t="s">
        <v>160</v>
      </c>
      <c r="D126" s="15" t="s">
        <v>31</v>
      </c>
      <c r="E126" s="96">
        <f>18.6/1000</f>
        <v>0.018600000000000002</v>
      </c>
      <c r="F126" s="78">
        <f>E126*F120</f>
        <v>23.3058</v>
      </c>
      <c r="G126" s="78"/>
      <c r="H126" s="78"/>
      <c r="I126" s="78"/>
      <c r="J126" s="78"/>
      <c r="K126" s="78"/>
      <c r="L126" s="78"/>
      <c r="M126" s="78"/>
      <c r="N126" s="256"/>
    </row>
    <row r="127" spans="1:14" ht="19.5" customHeight="1">
      <c r="A127" s="96"/>
      <c r="B127" s="232"/>
      <c r="C127" s="233" t="s">
        <v>32</v>
      </c>
      <c r="D127" s="15" t="s">
        <v>30</v>
      </c>
      <c r="E127" s="69"/>
      <c r="F127" s="78">
        <f>F126</f>
        <v>23.3058</v>
      </c>
      <c r="G127" s="78"/>
      <c r="H127" s="78"/>
      <c r="I127" s="78"/>
      <c r="J127" s="78"/>
      <c r="K127" s="78"/>
      <c r="L127" s="78"/>
      <c r="M127" s="78"/>
      <c r="N127" s="256"/>
    </row>
    <row r="128" spans="1:14" ht="19.5" customHeight="1">
      <c r="A128" s="96"/>
      <c r="B128" s="13"/>
      <c r="C128" s="67" t="s">
        <v>161</v>
      </c>
      <c r="D128" s="15" t="s">
        <v>31</v>
      </c>
      <c r="E128" s="235">
        <f>6.7/1000</f>
        <v>0.0067</v>
      </c>
      <c r="F128" s="78">
        <f>E128*F120</f>
        <v>8.395100000000001</v>
      </c>
      <c r="G128" s="78"/>
      <c r="H128" s="78"/>
      <c r="I128" s="78"/>
      <c r="J128" s="78"/>
      <c r="K128" s="78"/>
      <c r="L128" s="78"/>
      <c r="M128" s="78"/>
      <c r="N128" s="256"/>
    </row>
    <row r="129" spans="1:14" ht="19.5" customHeight="1">
      <c r="A129" s="96"/>
      <c r="B129" s="232"/>
      <c r="C129" s="233" t="s">
        <v>32</v>
      </c>
      <c r="D129" s="15" t="s">
        <v>30</v>
      </c>
      <c r="E129" s="69"/>
      <c r="F129" s="78">
        <f>F128</f>
        <v>8.395100000000001</v>
      </c>
      <c r="G129" s="78"/>
      <c r="H129" s="78"/>
      <c r="I129" s="78"/>
      <c r="J129" s="78"/>
      <c r="K129" s="78"/>
      <c r="L129" s="78"/>
      <c r="M129" s="78"/>
      <c r="N129" s="256"/>
    </row>
    <row r="130" spans="1:14" ht="19.5" customHeight="1">
      <c r="A130" s="96"/>
      <c r="B130" s="232"/>
      <c r="C130" s="67" t="s">
        <v>37</v>
      </c>
      <c r="D130" s="69" t="s">
        <v>34</v>
      </c>
      <c r="E130" s="69">
        <f>22.9/1000</f>
        <v>0.0229</v>
      </c>
      <c r="F130" s="78">
        <f>E130*F120</f>
        <v>28.6937</v>
      </c>
      <c r="G130" s="78"/>
      <c r="H130" s="78"/>
      <c r="I130" s="78"/>
      <c r="J130" s="78"/>
      <c r="K130" s="78"/>
      <c r="L130" s="78"/>
      <c r="M130" s="78"/>
      <c r="N130" s="256"/>
    </row>
    <row r="131" spans="1:14" ht="19.5" customHeight="1">
      <c r="A131" s="96"/>
      <c r="B131" s="232"/>
      <c r="C131" s="67" t="s">
        <v>162</v>
      </c>
      <c r="D131" s="69" t="s">
        <v>106</v>
      </c>
      <c r="E131" s="236" t="s">
        <v>133</v>
      </c>
      <c r="F131" s="78">
        <f>F120*0.16</f>
        <v>200.48000000000002</v>
      </c>
      <c r="G131" s="78"/>
      <c r="H131" s="78"/>
      <c r="I131" s="78"/>
      <c r="J131" s="78"/>
      <c r="K131" s="78"/>
      <c r="L131" s="78"/>
      <c r="M131" s="78"/>
      <c r="N131" s="256"/>
    </row>
    <row r="132" spans="1:14" ht="19.5" customHeight="1">
      <c r="A132" s="96"/>
      <c r="B132" s="232"/>
      <c r="C132" s="67" t="s">
        <v>163</v>
      </c>
      <c r="D132" s="69" t="s">
        <v>35</v>
      </c>
      <c r="E132" s="236" t="s">
        <v>133</v>
      </c>
      <c r="F132" s="237">
        <v>4.95</v>
      </c>
      <c r="G132" s="78"/>
      <c r="H132" s="78"/>
      <c r="I132" s="78"/>
      <c r="J132" s="78"/>
      <c r="K132" s="78"/>
      <c r="L132" s="78"/>
      <c r="M132" s="78"/>
      <c r="N132" s="256"/>
    </row>
    <row r="133" spans="1:14" ht="19.5" customHeight="1">
      <c r="A133" s="96"/>
      <c r="B133" s="232"/>
      <c r="C133" s="67" t="s">
        <v>164</v>
      </c>
      <c r="D133" s="69" t="s">
        <v>35</v>
      </c>
      <c r="E133" s="69">
        <f>0.11/1000</f>
        <v>0.00011</v>
      </c>
      <c r="F133" s="237">
        <f>E133*F120</f>
        <v>0.13783</v>
      </c>
      <c r="G133" s="78"/>
      <c r="H133" s="78"/>
      <c r="I133" s="78"/>
      <c r="J133" s="78"/>
      <c r="K133" s="78"/>
      <c r="L133" s="78"/>
      <c r="M133" s="78"/>
      <c r="N133" s="256"/>
    </row>
    <row r="134" spans="1:14" ht="19.5" customHeight="1">
      <c r="A134" s="96"/>
      <c r="B134" s="13"/>
      <c r="C134" s="67" t="s">
        <v>165</v>
      </c>
      <c r="D134" s="69" t="s">
        <v>35</v>
      </c>
      <c r="E134" s="69">
        <f>0.5/1000</f>
        <v>0.0005</v>
      </c>
      <c r="F134" s="237">
        <f>E134*F120</f>
        <v>0.6265000000000001</v>
      </c>
      <c r="G134" s="78"/>
      <c r="H134" s="78"/>
      <c r="I134" s="78"/>
      <c r="J134" s="78"/>
      <c r="K134" s="78"/>
      <c r="L134" s="78"/>
      <c r="M134" s="78"/>
      <c r="N134" s="256"/>
    </row>
    <row r="135" spans="1:14" ht="19.5" customHeight="1">
      <c r="A135" s="97"/>
      <c r="B135" s="238"/>
      <c r="C135" s="239" t="s">
        <v>38</v>
      </c>
      <c r="D135" s="81" t="s">
        <v>34</v>
      </c>
      <c r="E135" s="81">
        <f>18.5/1000</f>
        <v>0.0185</v>
      </c>
      <c r="F135" s="98">
        <f>E135*F120</f>
        <v>23.1805</v>
      </c>
      <c r="G135" s="98"/>
      <c r="H135" s="98"/>
      <c r="I135" s="98"/>
      <c r="J135" s="98"/>
      <c r="K135" s="98"/>
      <c r="L135" s="98"/>
      <c r="M135" s="98"/>
      <c r="N135" s="256"/>
    </row>
    <row r="136" spans="1:14" ht="16.5">
      <c r="A136" s="46"/>
      <c r="B136" s="177"/>
      <c r="C136" s="178" t="s">
        <v>129</v>
      </c>
      <c r="D136" s="149" t="s">
        <v>35</v>
      </c>
      <c r="E136" s="27">
        <v>2.4</v>
      </c>
      <c r="F136" s="62">
        <f>E136*F131</f>
        <v>481.15200000000004</v>
      </c>
      <c r="G136" s="150"/>
      <c r="H136" s="149"/>
      <c r="I136" s="27"/>
      <c r="J136" s="150"/>
      <c r="K136" s="27"/>
      <c r="L136" s="149"/>
      <c r="M136" s="27"/>
      <c r="N136" s="256"/>
    </row>
    <row r="137" spans="1:14" ht="16.5">
      <c r="A137" s="46"/>
      <c r="B137" s="177"/>
      <c r="C137" s="178" t="s">
        <v>209</v>
      </c>
      <c r="D137" s="149" t="s">
        <v>35</v>
      </c>
      <c r="E137" s="27"/>
      <c r="F137" s="62">
        <f>F132</f>
        <v>4.95</v>
      </c>
      <c r="G137" s="150"/>
      <c r="H137" s="149"/>
      <c r="I137" s="27"/>
      <c r="J137" s="150"/>
      <c r="K137" s="27"/>
      <c r="L137" s="149"/>
      <c r="M137" s="27"/>
      <c r="N137" s="256"/>
    </row>
    <row r="138" spans="1:14" ht="39.75" customHeight="1">
      <c r="A138" s="167" t="s">
        <v>204</v>
      </c>
      <c r="B138" s="240" t="s">
        <v>167</v>
      </c>
      <c r="C138" s="186" t="s">
        <v>168</v>
      </c>
      <c r="D138" s="154" t="s">
        <v>36</v>
      </c>
      <c r="E138" s="200"/>
      <c r="F138" s="10">
        <v>257</v>
      </c>
      <c r="G138" s="15"/>
      <c r="H138" s="15"/>
      <c r="I138" s="15"/>
      <c r="J138" s="15"/>
      <c r="K138" s="15"/>
      <c r="L138" s="15"/>
      <c r="M138" s="15"/>
      <c r="N138" s="256"/>
    </row>
    <row r="139" spans="1:14" ht="22.5" customHeight="1">
      <c r="A139" s="96"/>
      <c r="B139" s="232"/>
      <c r="C139" s="233" t="s">
        <v>29</v>
      </c>
      <c r="D139" s="15" t="s">
        <v>30</v>
      </c>
      <c r="E139" s="69">
        <f>10.3/100</f>
        <v>0.10300000000000001</v>
      </c>
      <c r="F139" s="78">
        <f>E139*F138</f>
        <v>26.471000000000004</v>
      </c>
      <c r="G139" s="78"/>
      <c r="H139" s="78"/>
      <c r="I139" s="78"/>
      <c r="J139" s="78"/>
      <c r="K139" s="78"/>
      <c r="L139" s="78"/>
      <c r="M139" s="78"/>
      <c r="N139" s="256"/>
    </row>
    <row r="140" spans="1:14" ht="22.5" customHeight="1">
      <c r="A140" s="96"/>
      <c r="B140" s="232"/>
      <c r="C140" s="67" t="s">
        <v>169</v>
      </c>
      <c r="D140" s="15" t="s">
        <v>31</v>
      </c>
      <c r="E140" s="96">
        <f>3.79/100</f>
        <v>0.0379</v>
      </c>
      <c r="F140" s="78">
        <f>E140*F138</f>
        <v>9.740300000000001</v>
      </c>
      <c r="G140" s="78"/>
      <c r="H140" s="78"/>
      <c r="I140" s="78"/>
      <c r="J140" s="78"/>
      <c r="K140" s="78"/>
      <c r="L140" s="78"/>
      <c r="M140" s="78"/>
      <c r="N140" s="256"/>
    </row>
    <row r="141" spans="1:14" ht="22.5" customHeight="1">
      <c r="A141" s="96"/>
      <c r="B141" s="232"/>
      <c r="C141" s="233" t="s">
        <v>32</v>
      </c>
      <c r="D141" s="15" t="s">
        <v>30</v>
      </c>
      <c r="E141" s="69"/>
      <c r="F141" s="78">
        <f>F140</f>
        <v>9.740300000000001</v>
      </c>
      <c r="G141" s="78"/>
      <c r="H141" s="78"/>
      <c r="I141" s="78"/>
      <c r="J141" s="78"/>
      <c r="K141" s="78"/>
      <c r="L141" s="78"/>
      <c r="M141" s="78"/>
      <c r="N141" s="256"/>
    </row>
    <row r="142" spans="1:14" ht="22.5" customHeight="1">
      <c r="A142" s="96"/>
      <c r="B142" s="232"/>
      <c r="C142" s="23" t="s">
        <v>170</v>
      </c>
      <c r="D142" s="15" t="s">
        <v>36</v>
      </c>
      <c r="E142" s="157">
        <v>1</v>
      </c>
      <c r="F142" s="15">
        <f>E142*F138</f>
        <v>257</v>
      </c>
      <c r="G142" s="15"/>
      <c r="H142" s="78"/>
      <c r="I142" s="78"/>
      <c r="J142" s="78"/>
      <c r="K142" s="78"/>
      <c r="L142" s="78"/>
      <c r="M142" s="78"/>
      <c r="N142" s="256"/>
    </row>
    <row r="143" spans="1:14" s="102" customFormat="1" ht="42" customHeight="1">
      <c r="A143" s="153" t="s">
        <v>205</v>
      </c>
      <c r="B143" s="50" t="s">
        <v>172</v>
      </c>
      <c r="C143" s="50" t="s">
        <v>173</v>
      </c>
      <c r="D143" s="19" t="s">
        <v>111</v>
      </c>
      <c r="E143" s="241"/>
      <c r="F143" s="242">
        <f>F120</f>
        <v>1253</v>
      </c>
      <c r="G143" s="201"/>
      <c r="H143" s="201"/>
      <c r="I143" s="201"/>
      <c r="J143" s="201"/>
      <c r="K143" s="201"/>
      <c r="L143" s="201"/>
      <c r="M143" s="201"/>
      <c r="N143" s="256"/>
    </row>
    <row r="144" spans="1:14" s="102" customFormat="1" ht="20.25" customHeight="1">
      <c r="A144" s="14"/>
      <c r="B144" s="14"/>
      <c r="C144" s="14" t="s">
        <v>174</v>
      </c>
      <c r="D144" s="15" t="s">
        <v>30</v>
      </c>
      <c r="E144" s="237">
        <v>0.197</v>
      </c>
      <c r="F144" s="78">
        <f>F143*E144</f>
        <v>246.841</v>
      </c>
      <c r="G144" s="78"/>
      <c r="H144" s="78"/>
      <c r="I144" s="78"/>
      <c r="J144" s="78"/>
      <c r="K144" s="78"/>
      <c r="L144" s="78"/>
      <c r="M144" s="78"/>
      <c r="N144" s="256"/>
    </row>
    <row r="145" spans="1:14" s="102" customFormat="1" ht="20.25" customHeight="1">
      <c r="A145" s="14"/>
      <c r="B145" s="14"/>
      <c r="C145" s="14" t="s">
        <v>37</v>
      </c>
      <c r="D145" s="14" t="s">
        <v>34</v>
      </c>
      <c r="E145" s="237">
        <v>0.0437</v>
      </c>
      <c r="F145" s="78">
        <f>F143*E145</f>
        <v>54.7561</v>
      </c>
      <c r="G145" s="78"/>
      <c r="H145" s="78"/>
      <c r="I145" s="78"/>
      <c r="J145" s="78"/>
      <c r="K145" s="78"/>
      <c r="L145" s="78"/>
      <c r="M145" s="78"/>
      <c r="N145" s="256"/>
    </row>
    <row r="146" spans="1:14" s="102" customFormat="1" ht="20.25" customHeight="1">
      <c r="A146" s="14"/>
      <c r="B146" s="14"/>
      <c r="C146" s="14" t="s">
        <v>175</v>
      </c>
      <c r="D146" s="14" t="s">
        <v>101</v>
      </c>
      <c r="E146" s="237">
        <v>0.4</v>
      </c>
      <c r="F146" s="78">
        <f>F143*E146</f>
        <v>501.20000000000005</v>
      </c>
      <c r="G146" s="78"/>
      <c r="H146" s="78"/>
      <c r="I146" s="78"/>
      <c r="J146" s="78"/>
      <c r="K146" s="78"/>
      <c r="L146" s="78"/>
      <c r="M146" s="78"/>
      <c r="N146" s="256"/>
    </row>
    <row r="147" spans="1:14" s="102" customFormat="1" ht="20.25" customHeight="1">
      <c r="A147" s="182"/>
      <c r="B147" s="182"/>
      <c r="C147" s="182" t="s">
        <v>38</v>
      </c>
      <c r="D147" s="182" t="s">
        <v>34</v>
      </c>
      <c r="E147" s="243">
        <v>0.072</v>
      </c>
      <c r="F147" s="98">
        <f>F143*E147</f>
        <v>90.216</v>
      </c>
      <c r="G147" s="98"/>
      <c r="H147" s="98"/>
      <c r="I147" s="98"/>
      <c r="J147" s="98"/>
      <c r="K147" s="98"/>
      <c r="L147" s="98"/>
      <c r="M147" s="98"/>
      <c r="N147" s="256"/>
    </row>
    <row r="148" spans="1:14" s="102" customFormat="1" ht="20.25" customHeight="1">
      <c r="A148" s="14"/>
      <c r="B148" s="14"/>
      <c r="C148" s="14" t="s">
        <v>211</v>
      </c>
      <c r="D148" s="14"/>
      <c r="E148" s="237"/>
      <c r="F148" s="78"/>
      <c r="G148" s="78"/>
      <c r="H148" s="78"/>
      <c r="I148" s="78"/>
      <c r="J148" s="78"/>
      <c r="K148" s="78"/>
      <c r="L148" s="78"/>
      <c r="M148" s="78"/>
      <c r="N148" s="256">
        <v>63224.63</v>
      </c>
    </row>
    <row r="149" spans="1:14" ht="17.25">
      <c r="A149" s="203"/>
      <c r="B149" s="90"/>
      <c r="C149" s="284" t="s">
        <v>212</v>
      </c>
      <c r="D149" s="90" t="s">
        <v>34</v>
      </c>
      <c r="E149" s="90"/>
      <c r="F149" s="90"/>
      <c r="G149" s="90"/>
      <c r="H149" s="40"/>
      <c r="I149" s="40"/>
      <c r="J149" s="40"/>
      <c r="K149" s="40"/>
      <c r="L149" s="40"/>
      <c r="M149" s="40"/>
      <c r="N149" s="256">
        <f>N148+N119+N82+N49</f>
        <v>171427.56</v>
      </c>
    </row>
    <row r="150" spans="1:14" ht="44.25" customHeight="1">
      <c r="A150" s="189"/>
      <c r="B150" s="13"/>
      <c r="C150" s="67" t="s">
        <v>217</v>
      </c>
      <c r="D150" s="68" t="s">
        <v>34</v>
      </c>
      <c r="E150" s="15"/>
      <c r="F150" s="15"/>
      <c r="G150" s="15"/>
      <c r="H150" s="15"/>
      <c r="I150" s="15"/>
      <c r="J150" s="15"/>
      <c r="K150" s="14"/>
      <c r="L150" s="22"/>
      <c r="M150" s="15"/>
      <c r="N150" s="259"/>
    </row>
    <row r="151" spans="1:14" ht="17.25">
      <c r="A151" s="189"/>
      <c r="B151" s="13"/>
      <c r="C151" s="69" t="s">
        <v>12</v>
      </c>
      <c r="D151" s="68" t="s">
        <v>34</v>
      </c>
      <c r="E151" s="15"/>
      <c r="F151" s="15"/>
      <c r="G151" s="15"/>
      <c r="H151" s="15"/>
      <c r="I151" s="15"/>
      <c r="J151" s="15"/>
      <c r="K151" s="14"/>
      <c r="L151" s="22"/>
      <c r="M151" s="15"/>
      <c r="N151" s="256"/>
    </row>
    <row r="152" spans="1:14" ht="17.25">
      <c r="A152" s="190"/>
      <c r="B152" s="71"/>
      <c r="C152" s="72" t="s">
        <v>213</v>
      </c>
      <c r="D152" s="68" t="s">
        <v>34</v>
      </c>
      <c r="E152" s="73"/>
      <c r="F152" s="74"/>
      <c r="G152" s="75"/>
      <c r="H152" s="73"/>
      <c r="I152" s="73"/>
      <c r="J152" s="73"/>
      <c r="K152" s="73"/>
      <c r="L152" s="76"/>
      <c r="M152" s="73"/>
      <c r="N152" s="256"/>
    </row>
    <row r="153" spans="1:14" ht="17.25">
      <c r="A153" s="191"/>
      <c r="B153" s="71"/>
      <c r="C153" s="69" t="s">
        <v>12</v>
      </c>
      <c r="D153" s="68" t="s">
        <v>34</v>
      </c>
      <c r="E153" s="78"/>
      <c r="F153" s="69"/>
      <c r="G153" s="69"/>
      <c r="H153" s="78"/>
      <c r="I153" s="78"/>
      <c r="J153" s="78"/>
      <c r="K153" s="78"/>
      <c r="L153" s="79"/>
      <c r="M153" s="78"/>
      <c r="N153" s="256"/>
    </row>
    <row r="154" spans="1:14" ht="17.25">
      <c r="A154" s="190"/>
      <c r="B154" s="71"/>
      <c r="C154" s="67" t="s">
        <v>214</v>
      </c>
      <c r="D154" s="68" t="s">
        <v>34</v>
      </c>
      <c r="E154" s="73"/>
      <c r="F154" s="80"/>
      <c r="G154" s="73"/>
      <c r="H154" s="73"/>
      <c r="I154" s="73"/>
      <c r="J154" s="73"/>
      <c r="K154" s="73"/>
      <c r="L154" s="76"/>
      <c r="M154" s="73"/>
      <c r="N154" s="258"/>
    </row>
    <row r="155" spans="1:14" ht="17.25">
      <c r="A155" s="283"/>
      <c r="B155" s="278"/>
      <c r="C155" s="284" t="s">
        <v>12</v>
      </c>
      <c r="D155" s="280" t="s">
        <v>34</v>
      </c>
      <c r="E155" s="284"/>
      <c r="F155" s="284"/>
      <c r="G155" s="284"/>
      <c r="H155" s="285"/>
      <c r="I155" s="285"/>
      <c r="J155" s="285"/>
      <c r="K155" s="285"/>
      <c r="L155" s="285"/>
      <c r="M155" s="286"/>
      <c r="N155" s="256">
        <v>204183.76</v>
      </c>
    </row>
    <row r="160" spans="3:12" ht="17.25">
      <c r="C160" s="369"/>
      <c r="D160" s="369"/>
      <c r="E160" s="369"/>
      <c r="F160" s="369"/>
      <c r="G160" s="369"/>
      <c r="H160" s="369"/>
      <c r="I160" s="369"/>
      <c r="J160" s="369"/>
      <c r="K160" s="369"/>
      <c r="L160" s="369"/>
    </row>
    <row r="161" spans="3:12" ht="17.25">
      <c r="C161" s="183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3:12" ht="17.25">
      <c r="C162" s="183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3:12" ht="17.25">
      <c r="C163" s="183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3:12" ht="17.25">
      <c r="C164" s="369"/>
      <c r="D164" s="369"/>
      <c r="E164" s="369"/>
      <c r="F164" s="369"/>
      <c r="G164" s="369"/>
      <c r="H164" s="369"/>
      <c r="I164" s="369"/>
      <c r="J164" s="369"/>
      <c r="K164" s="369"/>
      <c r="L164" s="369"/>
    </row>
    <row r="165" spans="3:12" ht="17.25">
      <c r="C165" s="183"/>
      <c r="D165" s="95"/>
      <c r="E165" s="95"/>
      <c r="F165" s="95"/>
      <c r="G165" s="95"/>
      <c r="H165" s="95"/>
      <c r="I165" s="95"/>
      <c r="J165" s="95"/>
      <c r="K165" s="95"/>
      <c r="L165" s="95"/>
    </row>
  </sheetData>
  <sheetProtection/>
  <mergeCells count="28">
    <mergeCell ref="C160:L160"/>
    <mergeCell ref="C164:L164"/>
    <mergeCell ref="B6:C6"/>
    <mergeCell ref="A1:M1"/>
    <mergeCell ref="A2:M2"/>
    <mergeCell ref="A3:M3"/>
    <mergeCell ref="A4:M4"/>
    <mergeCell ref="B5:D5"/>
    <mergeCell ref="F5:I5"/>
    <mergeCell ref="F6:I6"/>
    <mergeCell ref="L10:L11"/>
    <mergeCell ref="A8:A11"/>
    <mergeCell ref="B8:B11"/>
    <mergeCell ref="C8:C11"/>
    <mergeCell ref="D8:F9"/>
    <mergeCell ref="D10:D11"/>
    <mergeCell ref="E10:E11"/>
    <mergeCell ref="F10:F11"/>
    <mergeCell ref="N8:N11"/>
    <mergeCell ref="A13:C13"/>
    <mergeCell ref="A83:C83"/>
    <mergeCell ref="G8:H9"/>
    <mergeCell ref="I8:J9"/>
    <mergeCell ref="K8:L8"/>
    <mergeCell ref="M8:M11"/>
    <mergeCell ref="K9:L9"/>
    <mergeCell ref="H10:H11"/>
    <mergeCell ref="J10:J11"/>
  </mergeCells>
  <conditionalFormatting sqref="B120:C135 B144:C148 C143 B138:C142">
    <cfRule type="cellIs" priority="2" dxfId="3" operator="equal">
      <formula>0</formula>
    </cfRule>
  </conditionalFormatting>
  <conditionalFormatting sqref="B143">
    <cfRule type="cellIs" priority="1" dxfId="3" operator="equal">
      <formula>0</formula>
    </cfRule>
  </conditionalFormatting>
  <printOptions horizontalCentered="1"/>
  <pageMargins left="0.5118110236220472" right="0.31496062992125984" top="0.3937007874015748" bottom="0.31496062992125984" header="0.5118110236220472" footer="0.511811023622047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179"/>
  <sheetViews>
    <sheetView view="pageBreakPreview" zoomScale="85" zoomScaleSheetLayoutView="85" zoomScalePageLayoutView="0" workbookViewId="0" topLeftCell="A1">
      <selection activeCell="F164" sqref="F164"/>
    </sheetView>
  </sheetViews>
  <sheetFormatPr defaultColWidth="9.00390625" defaultRowHeight="12.75"/>
  <cols>
    <col min="1" max="1" width="3.8515625" style="82" customWidth="1"/>
    <col min="2" max="2" width="9.7109375" style="83" customWidth="1"/>
    <col min="3" max="3" width="69.8515625" style="83" customWidth="1"/>
    <col min="4" max="4" width="10.57421875" style="84" customWidth="1"/>
    <col min="5" max="5" width="9.8515625" style="84" customWidth="1"/>
    <col min="6" max="6" width="11.421875" style="84" customWidth="1"/>
    <col min="7" max="7" width="8.57421875" style="84" customWidth="1"/>
    <col min="8" max="8" width="9.28125" style="84" customWidth="1"/>
    <col min="9" max="9" width="8.8515625" style="84" customWidth="1"/>
    <col min="10" max="10" width="11.8515625" style="84" customWidth="1"/>
    <col min="11" max="11" width="8.8515625" style="84" customWidth="1"/>
    <col min="12" max="12" width="13.8515625" style="84" customWidth="1"/>
    <col min="13" max="13" width="14.00390625" style="84" customWidth="1"/>
    <col min="14" max="14" width="12.8515625" style="270" customWidth="1"/>
    <col min="15" max="16" width="9.00390625" style="43" customWidth="1"/>
    <col min="17" max="17" width="6.00390625" style="43" customWidth="1"/>
    <col min="18" max="18" width="9.00390625" style="43" customWidth="1"/>
    <col min="19" max="19" width="8.140625" style="43" customWidth="1"/>
    <col min="20" max="16384" width="9.00390625" style="43" customWidth="1"/>
  </cols>
  <sheetData>
    <row r="1" spans="1:14" s="12" customFormat="1" ht="51.75" customHeight="1">
      <c r="A1" s="302" t="str">
        <f>'nakrebi lari'!A4:N4</f>
        <v>siRnaRis municipalitetSi, q. siRnaRSi evdoSvilis II Sesaxvevis,  kvernaZis quCis bolo monakveTis, erekle II-s II Cixis, rusTavelis Cixis da “ormila”-s wyarosTan misasvleli  gzebis sareabilitacio samuSaoebi 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270"/>
    </row>
    <row r="2" spans="1:14" s="12" customFormat="1" ht="18.75" customHeight="1">
      <c r="A2" s="374" t="s">
        <v>79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270"/>
    </row>
    <row r="3" spans="1:14" s="12" customFormat="1" ht="18.75" customHeight="1">
      <c r="A3" s="367" t="s">
        <v>176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270"/>
    </row>
    <row r="4" spans="1:14" s="12" customFormat="1" ht="16.5" customHeight="1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270"/>
    </row>
    <row r="5" spans="1:14" s="12" customFormat="1" ht="17.25">
      <c r="A5" s="54"/>
      <c r="B5" s="370" t="s">
        <v>28</v>
      </c>
      <c r="C5" s="370"/>
      <c r="D5" s="371"/>
      <c r="E5" s="44"/>
      <c r="F5" s="372" t="s">
        <v>1</v>
      </c>
      <c r="G5" s="372"/>
      <c r="H5" s="372"/>
      <c r="I5" s="372"/>
      <c r="J5" s="57">
        <f>M169/1000</f>
        <v>0</v>
      </c>
      <c r="K5" s="143" t="s">
        <v>0</v>
      </c>
      <c r="L5" s="44"/>
      <c r="M5" s="44"/>
      <c r="N5" s="270"/>
    </row>
    <row r="6" spans="1:14" s="12" customFormat="1" ht="16.5">
      <c r="A6" s="54"/>
      <c r="B6" s="370" t="s">
        <v>131</v>
      </c>
      <c r="C6" s="370"/>
      <c r="D6" s="44"/>
      <c r="E6" s="44"/>
      <c r="F6" s="372"/>
      <c r="G6" s="372"/>
      <c r="H6" s="372"/>
      <c r="I6" s="372"/>
      <c r="J6" s="44"/>
      <c r="K6" s="44"/>
      <c r="L6" s="44"/>
      <c r="M6" s="44"/>
      <c r="N6" s="270"/>
    </row>
    <row r="7" spans="1:14" s="12" customFormat="1" ht="9" customHeight="1">
      <c r="A7" s="54"/>
      <c r="B7" s="54"/>
      <c r="C7" s="54"/>
      <c r="D7" s="44"/>
      <c r="E7" s="44"/>
      <c r="F7" s="44"/>
      <c r="G7" s="44"/>
      <c r="H7" s="44"/>
      <c r="I7" s="44"/>
      <c r="J7" s="44"/>
      <c r="K7" s="44"/>
      <c r="L7" s="44"/>
      <c r="M7" s="44"/>
      <c r="N7" s="270"/>
    </row>
    <row r="8" spans="1:14" s="12" customFormat="1" ht="16.5">
      <c r="A8" s="357" t="s">
        <v>2</v>
      </c>
      <c r="B8" s="381" t="s">
        <v>3</v>
      </c>
      <c r="C8" s="315" t="s">
        <v>27</v>
      </c>
      <c r="D8" s="355" t="s">
        <v>4</v>
      </c>
      <c r="E8" s="361"/>
      <c r="F8" s="347"/>
      <c r="G8" s="355" t="s">
        <v>5</v>
      </c>
      <c r="H8" s="356"/>
      <c r="I8" s="355" t="s">
        <v>6</v>
      </c>
      <c r="J8" s="365"/>
      <c r="K8" s="355" t="s">
        <v>7</v>
      </c>
      <c r="L8" s="365"/>
      <c r="M8" s="353" t="s">
        <v>8</v>
      </c>
      <c r="N8" s="344" t="s">
        <v>210</v>
      </c>
    </row>
    <row r="9" spans="1:14" s="12" customFormat="1" ht="16.5">
      <c r="A9" s="335"/>
      <c r="B9" s="382"/>
      <c r="C9" s="316"/>
      <c r="D9" s="351"/>
      <c r="E9" s="362"/>
      <c r="F9" s="363"/>
      <c r="G9" s="364"/>
      <c r="H9" s="352"/>
      <c r="I9" s="364"/>
      <c r="J9" s="366"/>
      <c r="K9" s="351" t="s">
        <v>9</v>
      </c>
      <c r="L9" s="366"/>
      <c r="M9" s="349"/>
      <c r="N9" s="345"/>
    </row>
    <row r="10" spans="1:14" s="12" customFormat="1" ht="16.5">
      <c r="A10" s="335"/>
      <c r="B10" s="382"/>
      <c r="C10" s="316"/>
      <c r="D10" s="353" t="s">
        <v>10</v>
      </c>
      <c r="E10" s="353" t="s">
        <v>11</v>
      </c>
      <c r="F10" s="353" t="s">
        <v>12</v>
      </c>
      <c r="G10" s="25" t="s">
        <v>11</v>
      </c>
      <c r="H10" s="353" t="s">
        <v>12</v>
      </c>
      <c r="I10" s="25" t="s">
        <v>11</v>
      </c>
      <c r="J10" s="353" t="s">
        <v>12</v>
      </c>
      <c r="K10" s="25" t="s">
        <v>11</v>
      </c>
      <c r="L10" s="355" t="s">
        <v>12</v>
      </c>
      <c r="M10" s="349"/>
      <c r="N10" s="345"/>
    </row>
    <row r="11" spans="1:14" s="12" customFormat="1" ht="16.5">
      <c r="A11" s="336"/>
      <c r="B11" s="383"/>
      <c r="C11" s="317"/>
      <c r="D11" s="354"/>
      <c r="E11" s="354"/>
      <c r="F11" s="354"/>
      <c r="G11" s="27" t="s">
        <v>13</v>
      </c>
      <c r="H11" s="354"/>
      <c r="I11" s="27" t="s">
        <v>13</v>
      </c>
      <c r="J11" s="354"/>
      <c r="K11" s="27" t="s">
        <v>13</v>
      </c>
      <c r="L11" s="351"/>
      <c r="M11" s="350"/>
      <c r="N11" s="346"/>
    </row>
    <row r="12" spans="1:14" s="12" customFormat="1" ht="16.5">
      <c r="A12" s="100" t="s">
        <v>14</v>
      </c>
      <c r="B12" s="59" t="s">
        <v>15</v>
      </c>
      <c r="C12" s="101" t="s">
        <v>16</v>
      </c>
      <c r="D12" s="62" t="s">
        <v>17</v>
      </c>
      <c r="E12" s="62" t="s">
        <v>18</v>
      </c>
      <c r="F12" s="62" t="s">
        <v>19</v>
      </c>
      <c r="G12" s="62" t="s">
        <v>20</v>
      </c>
      <c r="H12" s="62" t="s">
        <v>21</v>
      </c>
      <c r="I12" s="62" t="s">
        <v>22</v>
      </c>
      <c r="J12" s="62" t="s">
        <v>23</v>
      </c>
      <c r="K12" s="62" t="s">
        <v>24</v>
      </c>
      <c r="L12" s="61" t="s">
        <v>25</v>
      </c>
      <c r="M12" s="62" t="s">
        <v>26</v>
      </c>
      <c r="N12" s="253">
        <v>14</v>
      </c>
    </row>
    <row r="13" spans="1:14" s="12" customFormat="1" ht="28.5" customHeight="1">
      <c r="A13" s="375" t="s">
        <v>150</v>
      </c>
      <c r="B13" s="376"/>
      <c r="C13" s="377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56"/>
    </row>
    <row r="14" spans="1:14" s="12" customFormat="1" ht="51.75">
      <c r="A14" s="31">
        <v>1</v>
      </c>
      <c r="B14" s="153" t="s">
        <v>99</v>
      </c>
      <c r="C14" s="175" t="s">
        <v>177</v>
      </c>
      <c r="D14" s="94" t="s">
        <v>105</v>
      </c>
      <c r="E14" s="32"/>
      <c r="F14" s="208">
        <v>18.23</v>
      </c>
      <c r="G14" s="26"/>
      <c r="H14" s="24"/>
      <c r="I14" s="25"/>
      <c r="J14" s="26"/>
      <c r="K14" s="25"/>
      <c r="L14" s="24"/>
      <c r="M14" s="171"/>
      <c r="N14" s="256"/>
    </row>
    <row r="15" spans="1:14" s="12" customFormat="1" ht="16.5">
      <c r="A15" s="13"/>
      <c r="B15" s="13"/>
      <c r="C15" s="35" t="s">
        <v>29</v>
      </c>
      <c r="D15" s="15" t="s">
        <v>30</v>
      </c>
      <c r="E15" s="157">
        <f>20/1000</f>
        <v>0.02</v>
      </c>
      <c r="F15" s="15">
        <f>E15*F14</f>
        <v>0.36460000000000004</v>
      </c>
      <c r="G15" s="15"/>
      <c r="H15" s="15"/>
      <c r="I15" s="25"/>
      <c r="J15" s="25"/>
      <c r="K15" s="25"/>
      <c r="L15" s="24"/>
      <c r="M15" s="25"/>
      <c r="N15" s="256"/>
    </row>
    <row r="16" spans="1:14" s="12" customFormat="1" ht="16.5">
      <c r="A16" s="13"/>
      <c r="B16" s="13"/>
      <c r="C16" s="35" t="s">
        <v>67</v>
      </c>
      <c r="D16" s="15" t="s">
        <v>31</v>
      </c>
      <c r="E16" s="157">
        <f>44.8/1000</f>
        <v>0.0448</v>
      </c>
      <c r="F16" s="15">
        <f>E16*F14</f>
        <v>0.816704</v>
      </c>
      <c r="G16" s="15"/>
      <c r="H16" s="15"/>
      <c r="I16" s="25"/>
      <c r="J16" s="26"/>
      <c r="K16" s="15"/>
      <c r="L16" s="24"/>
      <c r="M16" s="25"/>
      <c r="N16" s="256"/>
    </row>
    <row r="17" spans="1:14" s="12" customFormat="1" ht="16.5">
      <c r="A17" s="13"/>
      <c r="B17" s="13"/>
      <c r="C17" s="35" t="s">
        <v>32</v>
      </c>
      <c r="D17" s="15" t="s">
        <v>30</v>
      </c>
      <c r="E17" s="15"/>
      <c r="F17" s="22">
        <f>F16</f>
        <v>0.816704</v>
      </c>
      <c r="G17" s="15"/>
      <c r="H17" s="15"/>
      <c r="I17" s="25"/>
      <c r="J17" s="26"/>
      <c r="K17" s="25"/>
      <c r="L17" s="24"/>
      <c r="M17" s="25"/>
      <c r="N17" s="256"/>
    </row>
    <row r="18" spans="1:14" s="12" customFormat="1" ht="16.5">
      <c r="A18" s="13"/>
      <c r="B18" s="13"/>
      <c r="C18" s="35" t="s">
        <v>37</v>
      </c>
      <c r="D18" s="15" t="s">
        <v>34</v>
      </c>
      <c r="E18" s="157">
        <f>2.1/1000</f>
        <v>0.0021000000000000003</v>
      </c>
      <c r="F18" s="22">
        <f>E18*F14</f>
        <v>0.038283000000000005</v>
      </c>
      <c r="G18" s="15"/>
      <c r="H18" s="15"/>
      <c r="I18" s="15"/>
      <c r="J18" s="15"/>
      <c r="K18" s="15"/>
      <c r="L18" s="22"/>
      <c r="M18" s="15"/>
      <c r="N18" s="256"/>
    </row>
    <row r="19" spans="1:14" s="12" customFormat="1" ht="16.5">
      <c r="A19" s="46"/>
      <c r="B19" s="177"/>
      <c r="C19" s="178" t="s">
        <v>128</v>
      </c>
      <c r="D19" s="149" t="s">
        <v>35</v>
      </c>
      <c r="E19" s="27"/>
      <c r="F19" s="202">
        <f>F14*1.8</f>
        <v>32.814</v>
      </c>
      <c r="G19" s="150"/>
      <c r="H19" s="149"/>
      <c r="I19" s="27"/>
      <c r="J19" s="150"/>
      <c r="K19" s="27"/>
      <c r="L19" s="149"/>
      <c r="M19" s="27"/>
      <c r="N19" s="256"/>
    </row>
    <row r="20" spans="1:14" s="12" customFormat="1" ht="51.75">
      <c r="A20" s="31">
        <v>2</v>
      </c>
      <c r="B20" s="192" t="s">
        <v>100</v>
      </c>
      <c r="C20" s="175" t="s">
        <v>178</v>
      </c>
      <c r="D20" s="94" t="s">
        <v>105</v>
      </c>
      <c r="E20" s="32"/>
      <c r="F20" s="208">
        <v>2.03</v>
      </c>
      <c r="G20" s="26"/>
      <c r="H20" s="24"/>
      <c r="I20" s="25"/>
      <c r="J20" s="26"/>
      <c r="K20" s="25"/>
      <c r="L20" s="24"/>
      <c r="M20" s="171"/>
      <c r="N20" s="256"/>
    </row>
    <row r="21" spans="1:14" s="12" customFormat="1" ht="16.5">
      <c r="A21" s="13"/>
      <c r="B21" s="13"/>
      <c r="C21" s="35" t="s">
        <v>29</v>
      </c>
      <c r="D21" s="15" t="s">
        <v>30</v>
      </c>
      <c r="E21" s="15">
        <f>2.06+0.87</f>
        <v>2.93</v>
      </c>
      <c r="F21" s="15">
        <f>E21*F20</f>
        <v>5.9479</v>
      </c>
      <c r="G21" s="15"/>
      <c r="H21" s="15"/>
      <c r="I21" s="25"/>
      <c r="J21" s="25"/>
      <c r="K21" s="25"/>
      <c r="L21" s="24"/>
      <c r="M21" s="25"/>
      <c r="N21" s="256"/>
    </row>
    <row r="22" spans="1:14" s="12" customFormat="1" ht="16.5">
      <c r="A22" s="46"/>
      <c r="B22" s="177"/>
      <c r="C22" s="178" t="s">
        <v>128</v>
      </c>
      <c r="D22" s="149" t="s">
        <v>35</v>
      </c>
      <c r="E22" s="27"/>
      <c r="F22" s="202">
        <f>F20*1.8</f>
        <v>3.654</v>
      </c>
      <c r="G22" s="150"/>
      <c r="H22" s="149"/>
      <c r="I22" s="27"/>
      <c r="J22" s="150"/>
      <c r="K22" s="27"/>
      <c r="L22" s="149"/>
      <c r="M22" s="27"/>
      <c r="N22" s="256"/>
    </row>
    <row r="23" spans="1:14" s="12" customFormat="1" ht="20.25">
      <c r="A23" s="31">
        <v>3</v>
      </c>
      <c r="B23" s="49" t="s">
        <v>68</v>
      </c>
      <c r="C23" s="50" t="s">
        <v>75</v>
      </c>
      <c r="D23" s="19" t="s">
        <v>105</v>
      </c>
      <c r="E23" s="168"/>
      <c r="F23" s="209">
        <f>F20+F14</f>
        <v>20.26</v>
      </c>
      <c r="G23" s="169"/>
      <c r="H23" s="169"/>
      <c r="I23" s="169"/>
      <c r="J23" s="169"/>
      <c r="K23" s="169"/>
      <c r="L23" s="170"/>
      <c r="M23" s="171"/>
      <c r="N23" s="256"/>
    </row>
    <row r="24" spans="1:14" s="12" customFormat="1" ht="16.5">
      <c r="A24" s="21"/>
      <c r="B24" s="21"/>
      <c r="C24" s="35" t="s">
        <v>29</v>
      </c>
      <c r="D24" s="15" t="s">
        <v>30</v>
      </c>
      <c r="E24" s="157">
        <f>3.23/1000</f>
        <v>0.00323</v>
      </c>
      <c r="F24" s="15">
        <f>E24*F23</f>
        <v>0.0654398</v>
      </c>
      <c r="G24" s="16"/>
      <c r="H24" s="16"/>
      <c r="I24" s="51"/>
      <c r="J24" s="51"/>
      <c r="K24" s="51"/>
      <c r="L24" s="172"/>
      <c r="M24" s="16"/>
      <c r="N24" s="256"/>
    </row>
    <row r="25" spans="1:14" s="12" customFormat="1" ht="16.5">
      <c r="A25" s="13"/>
      <c r="B25" s="13"/>
      <c r="C25" s="35" t="s">
        <v>58</v>
      </c>
      <c r="D25" s="15" t="s">
        <v>31</v>
      </c>
      <c r="E25" s="39">
        <f>3.62/1000</f>
        <v>0.00362</v>
      </c>
      <c r="F25" s="15">
        <f>E25*F23</f>
        <v>0.07334120000000001</v>
      </c>
      <c r="G25" s="15"/>
      <c r="H25" s="15"/>
      <c r="I25" s="15"/>
      <c r="J25" s="15"/>
      <c r="K25" s="15"/>
      <c r="L25" s="22"/>
      <c r="M25" s="15"/>
      <c r="N25" s="256"/>
    </row>
    <row r="26" spans="1:14" s="12" customFormat="1" ht="16.5">
      <c r="A26" s="13"/>
      <c r="B26" s="13"/>
      <c r="C26" s="35" t="s">
        <v>32</v>
      </c>
      <c r="D26" s="15" t="s">
        <v>30</v>
      </c>
      <c r="E26" s="15"/>
      <c r="F26" s="15">
        <f>F25</f>
        <v>0.07334120000000001</v>
      </c>
      <c r="G26" s="15"/>
      <c r="H26" s="15"/>
      <c r="I26" s="15"/>
      <c r="J26" s="15"/>
      <c r="K26" s="14"/>
      <c r="L26" s="156"/>
      <c r="M26" s="15"/>
      <c r="N26" s="256"/>
    </row>
    <row r="27" spans="1:14" s="12" customFormat="1" ht="16.5">
      <c r="A27" s="93"/>
      <c r="B27" s="93"/>
      <c r="C27" s="52" t="s">
        <v>37</v>
      </c>
      <c r="D27" s="93" t="s">
        <v>34</v>
      </c>
      <c r="E27" s="173">
        <f>0.18/1000</f>
        <v>0.00017999999999999998</v>
      </c>
      <c r="F27" s="195">
        <f>E27*F23</f>
        <v>0.0036468</v>
      </c>
      <c r="G27" s="93"/>
      <c r="H27" s="93"/>
      <c r="I27" s="93"/>
      <c r="J27" s="93"/>
      <c r="K27" s="18"/>
      <c r="L27" s="47"/>
      <c r="M27" s="17"/>
      <c r="N27" s="256"/>
    </row>
    <row r="28" spans="1:14" s="12" customFormat="1" ht="54" customHeight="1">
      <c r="A28" s="184">
        <v>4</v>
      </c>
      <c r="B28" s="167" t="s">
        <v>108</v>
      </c>
      <c r="C28" s="166" t="s">
        <v>154</v>
      </c>
      <c r="D28" s="154" t="s">
        <v>105</v>
      </c>
      <c r="E28" s="154"/>
      <c r="F28" s="10">
        <v>16.2</v>
      </c>
      <c r="G28" s="15"/>
      <c r="H28" s="15"/>
      <c r="I28" s="15"/>
      <c r="J28" s="15"/>
      <c r="K28" s="15"/>
      <c r="L28" s="22"/>
      <c r="M28" s="154"/>
      <c r="N28" s="256"/>
    </row>
    <row r="29" spans="1:14" s="12" customFormat="1" ht="17.25">
      <c r="A29" s="184"/>
      <c r="B29" s="13"/>
      <c r="C29" s="23" t="s">
        <v>29</v>
      </c>
      <c r="D29" s="15" t="s">
        <v>30</v>
      </c>
      <c r="E29" s="15">
        <v>0.15</v>
      </c>
      <c r="F29" s="15">
        <f>E29*F28</f>
        <v>2.4299999999999997</v>
      </c>
      <c r="G29" s="15"/>
      <c r="H29" s="15"/>
      <c r="I29" s="14"/>
      <c r="J29" s="14"/>
      <c r="K29" s="14"/>
      <c r="L29" s="156"/>
      <c r="M29" s="15"/>
      <c r="N29" s="256"/>
    </row>
    <row r="30" spans="1:14" s="12" customFormat="1" ht="17.25">
      <c r="A30" s="184"/>
      <c r="B30" s="13"/>
      <c r="C30" s="23" t="s">
        <v>74</v>
      </c>
      <c r="D30" s="15" t="s">
        <v>31</v>
      </c>
      <c r="E30" s="15">
        <f>2.16/100</f>
        <v>0.0216</v>
      </c>
      <c r="F30" s="15">
        <f>E30*F28</f>
        <v>0.34992</v>
      </c>
      <c r="G30" s="15"/>
      <c r="H30" s="14"/>
      <c r="I30" s="14"/>
      <c r="J30" s="14"/>
      <c r="K30" s="15"/>
      <c r="L30" s="22"/>
      <c r="M30" s="15"/>
      <c r="N30" s="256"/>
    </row>
    <row r="31" spans="1:14" s="12" customFormat="1" ht="17.25">
      <c r="A31" s="184"/>
      <c r="B31" s="13"/>
      <c r="C31" s="23" t="s">
        <v>32</v>
      </c>
      <c r="D31" s="15" t="s">
        <v>30</v>
      </c>
      <c r="E31" s="15"/>
      <c r="F31" s="15">
        <f>F30</f>
        <v>0.34992</v>
      </c>
      <c r="G31" s="15"/>
      <c r="H31" s="15"/>
      <c r="I31" s="14"/>
      <c r="J31" s="14"/>
      <c r="K31" s="14"/>
      <c r="L31" s="22"/>
      <c r="M31" s="15"/>
      <c r="N31" s="256"/>
    </row>
    <row r="32" spans="1:14" s="12" customFormat="1" ht="17.25">
      <c r="A32" s="184"/>
      <c r="B32" s="13"/>
      <c r="C32" s="23" t="s">
        <v>109</v>
      </c>
      <c r="D32" s="15" t="s">
        <v>31</v>
      </c>
      <c r="E32" s="15">
        <f>2.73/100</f>
        <v>0.0273</v>
      </c>
      <c r="F32" s="15">
        <f>E32*F28</f>
        <v>0.44226</v>
      </c>
      <c r="G32" s="15"/>
      <c r="H32" s="15"/>
      <c r="I32" s="14"/>
      <c r="J32" s="14"/>
      <c r="K32" s="15"/>
      <c r="L32" s="22"/>
      <c r="M32" s="15"/>
      <c r="N32" s="256"/>
    </row>
    <row r="33" spans="1:14" s="12" customFormat="1" ht="17.25">
      <c r="A33" s="184"/>
      <c r="B33" s="13"/>
      <c r="C33" s="23" t="s">
        <v>32</v>
      </c>
      <c r="D33" s="15" t="s">
        <v>30</v>
      </c>
      <c r="E33" s="15"/>
      <c r="F33" s="15">
        <f>F32</f>
        <v>0.44226</v>
      </c>
      <c r="G33" s="15"/>
      <c r="H33" s="15"/>
      <c r="I33" s="14"/>
      <c r="J33" s="14"/>
      <c r="K33" s="14"/>
      <c r="L33" s="22"/>
      <c r="M33" s="15"/>
      <c r="N33" s="256"/>
    </row>
    <row r="34" spans="1:14" s="12" customFormat="1" ht="17.25">
      <c r="A34" s="184"/>
      <c r="B34" s="13"/>
      <c r="C34" s="23" t="s">
        <v>33</v>
      </c>
      <c r="D34" s="15" t="s">
        <v>31</v>
      </c>
      <c r="E34" s="15">
        <f>0.97/100</f>
        <v>0.0097</v>
      </c>
      <c r="F34" s="15">
        <f>E34*F28</f>
        <v>0.15714</v>
      </c>
      <c r="G34" s="15"/>
      <c r="H34" s="15"/>
      <c r="I34" s="14"/>
      <c r="J34" s="14"/>
      <c r="K34" s="15"/>
      <c r="L34" s="22"/>
      <c r="M34" s="15"/>
      <c r="N34" s="256"/>
    </row>
    <row r="35" spans="1:14" s="12" customFormat="1" ht="17.25">
      <c r="A35" s="184"/>
      <c r="B35" s="13"/>
      <c r="C35" s="23" t="s">
        <v>32</v>
      </c>
      <c r="D35" s="15" t="s">
        <v>30</v>
      </c>
      <c r="E35" s="15"/>
      <c r="F35" s="15">
        <f>F34</f>
        <v>0.15714</v>
      </c>
      <c r="G35" s="15"/>
      <c r="H35" s="15"/>
      <c r="I35" s="14"/>
      <c r="J35" s="14"/>
      <c r="K35" s="14"/>
      <c r="L35" s="22"/>
      <c r="M35" s="15"/>
      <c r="N35" s="256"/>
    </row>
    <row r="36" spans="1:14" s="12" customFormat="1" ht="20.25">
      <c r="A36" s="184"/>
      <c r="B36" s="13"/>
      <c r="C36" s="23" t="s">
        <v>69</v>
      </c>
      <c r="D36" s="15" t="s">
        <v>106</v>
      </c>
      <c r="E36" s="15">
        <v>1.22</v>
      </c>
      <c r="F36" s="15">
        <f>E36*F28</f>
        <v>19.764</v>
      </c>
      <c r="G36" s="15"/>
      <c r="H36" s="15"/>
      <c r="I36" s="15"/>
      <c r="J36" s="15"/>
      <c r="K36" s="14"/>
      <c r="L36" s="22"/>
      <c r="M36" s="15"/>
      <c r="N36" s="256"/>
    </row>
    <row r="37" spans="1:14" s="12" customFormat="1" ht="20.25">
      <c r="A37" s="185"/>
      <c r="B37" s="158"/>
      <c r="C37" s="159" t="s">
        <v>97</v>
      </c>
      <c r="D37" s="17" t="s">
        <v>106</v>
      </c>
      <c r="E37" s="17">
        <f>7/100</f>
        <v>0.07</v>
      </c>
      <c r="F37" s="15">
        <f>E37*F28</f>
        <v>1.1340000000000001</v>
      </c>
      <c r="G37" s="17"/>
      <c r="H37" s="17"/>
      <c r="I37" s="17"/>
      <c r="J37" s="17"/>
      <c r="K37" s="182"/>
      <c r="L37" s="47"/>
      <c r="M37" s="17"/>
      <c r="N37" s="256"/>
    </row>
    <row r="38" spans="1:14" s="12" customFormat="1" ht="33">
      <c r="A38" s="46"/>
      <c r="B38" s="177"/>
      <c r="C38" s="178" t="s">
        <v>126</v>
      </c>
      <c r="D38" s="149" t="s">
        <v>35</v>
      </c>
      <c r="E38" s="27">
        <v>1.6</v>
      </c>
      <c r="F38" s="62">
        <f>E38*F36</f>
        <v>31.6224</v>
      </c>
      <c r="G38" s="150"/>
      <c r="H38" s="149"/>
      <c r="I38" s="27"/>
      <c r="J38" s="150"/>
      <c r="K38" s="27"/>
      <c r="L38" s="149"/>
      <c r="M38" s="27"/>
      <c r="N38" s="256"/>
    </row>
    <row r="39" spans="1:14" s="12" customFormat="1" ht="34.5">
      <c r="A39" s="49">
        <v>5</v>
      </c>
      <c r="B39" s="153" t="s">
        <v>76</v>
      </c>
      <c r="C39" s="183" t="s">
        <v>127</v>
      </c>
      <c r="D39" s="154" t="s">
        <v>105</v>
      </c>
      <c r="E39" s="95"/>
      <c r="F39" s="210">
        <f>81*0.15</f>
        <v>12.15</v>
      </c>
      <c r="G39" s="152"/>
      <c r="H39" s="15"/>
      <c r="I39" s="15"/>
      <c r="J39" s="15"/>
      <c r="K39" s="15"/>
      <c r="L39" s="22"/>
      <c r="M39" s="19"/>
      <c r="N39" s="256"/>
    </row>
    <row r="40" spans="1:14" s="12" customFormat="1" ht="17.25">
      <c r="A40" s="184"/>
      <c r="B40" s="13"/>
      <c r="C40" s="23" t="s">
        <v>29</v>
      </c>
      <c r="D40" s="15" t="s">
        <v>30</v>
      </c>
      <c r="E40" s="155">
        <f>21.6/100</f>
        <v>0.21600000000000003</v>
      </c>
      <c r="F40" s="15">
        <f>E40*F39</f>
        <v>2.6244000000000005</v>
      </c>
      <c r="G40" s="152"/>
      <c r="H40" s="15"/>
      <c r="I40" s="14"/>
      <c r="J40" s="14"/>
      <c r="K40" s="14"/>
      <c r="L40" s="156"/>
      <c r="M40" s="15"/>
      <c r="N40" s="256"/>
    </row>
    <row r="41" spans="1:14" s="12" customFormat="1" ht="17.25">
      <c r="A41" s="184"/>
      <c r="B41" s="13"/>
      <c r="C41" s="23" t="s">
        <v>74</v>
      </c>
      <c r="D41" s="15" t="s">
        <v>31</v>
      </c>
      <c r="E41" s="155">
        <f>1.24/100</f>
        <v>0.0124</v>
      </c>
      <c r="F41" s="15">
        <f>E41*F39</f>
        <v>0.15066</v>
      </c>
      <c r="G41" s="152"/>
      <c r="H41" s="14"/>
      <c r="I41" s="14"/>
      <c r="J41" s="14"/>
      <c r="K41" s="15"/>
      <c r="L41" s="22"/>
      <c r="M41" s="15"/>
      <c r="N41" s="256"/>
    </row>
    <row r="42" spans="1:14" s="12" customFormat="1" ht="17.25">
      <c r="A42" s="184"/>
      <c r="B42" s="13"/>
      <c r="C42" s="23" t="s">
        <v>32</v>
      </c>
      <c r="D42" s="15" t="s">
        <v>30</v>
      </c>
      <c r="E42" s="22"/>
      <c r="F42" s="15">
        <f>F41</f>
        <v>0.15066</v>
      </c>
      <c r="G42" s="152"/>
      <c r="H42" s="15"/>
      <c r="I42" s="15"/>
      <c r="J42" s="15"/>
      <c r="K42" s="15"/>
      <c r="L42" s="22"/>
      <c r="M42" s="15"/>
      <c r="N42" s="256"/>
    </row>
    <row r="43" spans="1:14" s="12" customFormat="1" ht="17.25">
      <c r="A43" s="184"/>
      <c r="B43" s="13"/>
      <c r="C43" s="23" t="s">
        <v>70</v>
      </c>
      <c r="D43" s="15" t="s">
        <v>31</v>
      </c>
      <c r="E43" s="155">
        <f>2.58/100</f>
        <v>0.0258</v>
      </c>
      <c r="F43" s="15">
        <f>E43*F39</f>
        <v>0.31347</v>
      </c>
      <c r="G43" s="152"/>
      <c r="H43" s="15"/>
      <c r="I43" s="15"/>
      <c r="J43" s="15"/>
      <c r="K43" s="15"/>
      <c r="L43" s="22"/>
      <c r="M43" s="15"/>
      <c r="N43" s="256"/>
    </row>
    <row r="44" spans="1:14" s="12" customFormat="1" ht="17.25">
      <c r="A44" s="184"/>
      <c r="B44" s="13"/>
      <c r="C44" s="23" t="s">
        <v>32</v>
      </c>
      <c r="D44" s="15" t="s">
        <v>30</v>
      </c>
      <c r="E44" s="22"/>
      <c r="F44" s="15">
        <f>F43</f>
        <v>0.31347</v>
      </c>
      <c r="G44" s="152"/>
      <c r="H44" s="15"/>
      <c r="I44" s="15"/>
      <c r="J44" s="15"/>
      <c r="K44" s="15"/>
      <c r="L44" s="22"/>
      <c r="M44" s="15"/>
      <c r="N44" s="256"/>
    </row>
    <row r="45" spans="1:14" s="12" customFormat="1" ht="17.25">
      <c r="A45" s="184"/>
      <c r="B45" s="13"/>
      <c r="C45" s="23" t="s">
        <v>77</v>
      </c>
      <c r="D45" s="15" t="s">
        <v>31</v>
      </c>
      <c r="E45" s="155">
        <f>0.41/100</f>
        <v>0.0040999999999999995</v>
      </c>
      <c r="F45" s="157">
        <f>E45*F39</f>
        <v>0.049815</v>
      </c>
      <c r="G45" s="152"/>
      <c r="H45" s="15"/>
      <c r="I45" s="15"/>
      <c r="J45" s="15"/>
      <c r="K45" s="15"/>
      <c r="L45" s="22"/>
      <c r="M45" s="15"/>
      <c r="N45" s="256"/>
    </row>
    <row r="46" spans="1:14" s="12" customFormat="1" ht="17.25">
      <c r="A46" s="184"/>
      <c r="B46" s="13"/>
      <c r="C46" s="23" t="s">
        <v>32</v>
      </c>
      <c r="D46" s="15" t="s">
        <v>30</v>
      </c>
      <c r="E46" s="22"/>
      <c r="F46" s="157">
        <f>F45</f>
        <v>0.049815</v>
      </c>
      <c r="G46" s="152"/>
      <c r="H46" s="15"/>
      <c r="I46" s="15"/>
      <c r="J46" s="15"/>
      <c r="K46" s="15"/>
      <c r="L46" s="22"/>
      <c r="M46" s="15"/>
      <c r="N46" s="256"/>
    </row>
    <row r="47" spans="1:16" s="12" customFormat="1" ht="17.25">
      <c r="A47" s="184"/>
      <c r="B47" s="13"/>
      <c r="C47" s="23" t="s">
        <v>53</v>
      </c>
      <c r="D47" s="15" t="s">
        <v>31</v>
      </c>
      <c r="E47" s="155">
        <f>7.6/100</f>
        <v>0.076</v>
      </c>
      <c r="F47" s="15">
        <f>E47*F39</f>
        <v>0.9234</v>
      </c>
      <c r="G47" s="152"/>
      <c r="H47" s="15"/>
      <c r="I47" s="15"/>
      <c r="J47" s="15"/>
      <c r="K47" s="15"/>
      <c r="L47" s="22"/>
      <c r="M47" s="15"/>
      <c r="N47" s="256"/>
      <c r="P47" s="174"/>
    </row>
    <row r="48" spans="1:14" s="12" customFormat="1" ht="17.25">
      <c r="A48" s="184"/>
      <c r="B48" s="13"/>
      <c r="C48" s="23" t="s">
        <v>32</v>
      </c>
      <c r="D48" s="15" t="s">
        <v>30</v>
      </c>
      <c r="E48" s="22"/>
      <c r="F48" s="15">
        <f>F47</f>
        <v>0.9234</v>
      </c>
      <c r="G48" s="152"/>
      <c r="H48" s="15"/>
      <c r="I48" s="15"/>
      <c r="J48" s="15"/>
      <c r="K48" s="15"/>
      <c r="L48" s="22"/>
      <c r="M48" s="15"/>
      <c r="N48" s="256"/>
    </row>
    <row r="49" spans="1:14" s="12" customFormat="1" ht="17.25">
      <c r="A49" s="184"/>
      <c r="B49" s="13"/>
      <c r="C49" s="23" t="s">
        <v>54</v>
      </c>
      <c r="D49" s="15" t="s">
        <v>31</v>
      </c>
      <c r="E49" s="155">
        <f>15.1/100</f>
        <v>0.151</v>
      </c>
      <c r="F49" s="15">
        <f>E49*F39</f>
        <v>1.83465</v>
      </c>
      <c r="G49" s="152"/>
      <c r="H49" s="15"/>
      <c r="I49" s="15"/>
      <c r="J49" s="15"/>
      <c r="K49" s="15"/>
      <c r="L49" s="22"/>
      <c r="M49" s="15"/>
      <c r="N49" s="256"/>
    </row>
    <row r="50" spans="1:14" s="12" customFormat="1" ht="17.25">
      <c r="A50" s="184"/>
      <c r="B50" s="13"/>
      <c r="C50" s="23" t="s">
        <v>32</v>
      </c>
      <c r="D50" s="15" t="s">
        <v>30</v>
      </c>
      <c r="E50" s="22"/>
      <c r="F50" s="15">
        <f>F49</f>
        <v>1.83465</v>
      </c>
      <c r="G50" s="152"/>
      <c r="H50" s="15"/>
      <c r="I50" s="15"/>
      <c r="J50" s="15"/>
      <c r="K50" s="15"/>
      <c r="L50" s="22"/>
      <c r="M50" s="15"/>
      <c r="N50" s="256"/>
    </row>
    <row r="51" spans="1:14" s="12" customFormat="1" ht="17.25">
      <c r="A51" s="184"/>
      <c r="B51" s="13"/>
      <c r="C51" s="23" t="s">
        <v>33</v>
      </c>
      <c r="D51" s="15" t="s">
        <v>31</v>
      </c>
      <c r="E51" s="155">
        <f>0.97/100</f>
        <v>0.0097</v>
      </c>
      <c r="F51" s="15">
        <f>E51*F39</f>
        <v>0.117855</v>
      </c>
      <c r="G51" s="152"/>
      <c r="H51" s="15"/>
      <c r="I51" s="15"/>
      <c r="J51" s="15"/>
      <c r="K51" s="15"/>
      <c r="L51" s="22"/>
      <c r="M51" s="15"/>
      <c r="N51" s="256"/>
    </row>
    <row r="52" spans="1:14" s="12" customFormat="1" ht="17.25">
      <c r="A52" s="184"/>
      <c r="B52" s="13"/>
      <c r="C52" s="23" t="s">
        <v>32</v>
      </c>
      <c r="D52" s="15" t="s">
        <v>30</v>
      </c>
      <c r="E52" s="22"/>
      <c r="F52" s="15">
        <f>F51</f>
        <v>0.117855</v>
      </c>
      <c r="G52" s="152"/>
      <c r="H52" s="15"/>
      <c r="I52" s="15"/>
      <c r="J52" s="15"/>
      <c r="K52" s="15"/>
      <c r="L52" s="22"/>
      <c r="M52" s="15"/>
      <c r="N52" s="256"/>
    </row>
    <row r="53" spans="1:14" s="12" customFormat="1" ht="20.25">
      <c r="A53" s="184"/>
      <c r="B53" s="13"/>
      <c r="C53" s="23" t="s">
        <v>98</v>
      </c>
      <c r="D53" s="15" t="s">
        <v>106</v>
      </c>
      <c r="E53" s="22">
        <v>1.26</v>
      </c>
      <c r="F53" s="15">
        <f>F39*1.26</f>
        <v>15.309000000000001</v>
      </c>
      <c r="G53" s="152"/>
      <c r="H53" s="15"/>
      <c r="I53" s="15"/>
      <c r="J53" s="15"/>
      <c r="K53" s="15"/>
      <c r="L53" s="22"/>
      <c r="M53" s="15"/>
      <c r="N53" s="256"/>
    </row>
    <row r="54" spans="1:14" s="12" customFormat="1" ht="20.25">
      <c r="A54" s="185"/>
      <c r="B54" s="158"/>
      <c r="C54" s="159" t="s">
        <v>97</v>
      </c>
      <c r="D54" s="17" t="s">
        <v>106</v>
      </c>
      <c r="E54" s="160">
        <f>7/100</f>
        <v>0.07</v>
      </c>
      <c r="F54" s="17">
        <f>E54*F39</f>
        <v>0.8505000000000001</v>
      </c>
      <c r="G54" s="151"/>
      <c r="H54" s="17"/>
      <c r="I54" s="17"/>
      <c r="J54" s="17"/>
      <c r="K54" s="17"/>
      <c r="L54" s="47"/>
      <c r="M54" s="17"/>
      <c r="N54" s="256"/>
    </row>
    <row r="55" spans="1:14" s="12" customFormat="1" ht="16.5">
      <c r="A55" s="46"/>
      <c r="B55" s="177"/>
      <c r="C55" s="178" t="s">
        <v>110</v>
      </c>
      <c r="D55" s="149" t="s">
        <v>35</v>
      </c>
      <c r="E55" s="27">
        <v>1.6</v>
      </c>
      <c r="F55" s="62">
        <f>E55*F53</f>
        <v>24.494400000000002</v>
      </c>
      <c r="G55" s="150"/>
      <c r="H55" s="149"/>
      <c r="I55" s="27"/>
      <c r="J55" s="150"/>
      <c r="K55" s="27"/>
      <c r="L55" s="149"/>
      <c r="M55" s="27"/>
      <c r="N55" s="256"/>
    </row>
    <row r="56" spans="1:14" s="12" customFormat="1" ht="16.5">
      <c r="A56" s="100"/>
      <c r="B56" s="59"/>
      <c r="C56" s="101" t="s">
        <v>211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256">
        <v>2149.92</v>
      </c>
    </row>
    <row r="57" spans="1:14" s="102" customFormat="1" ht="34.5">
      <c r="A57" s="179">
        <v>6</v>
      </c>
      <c r="B57" s="167" t="s">
        <v>59</v>
      </c>
      <c r="C57" s="166" t="s">
        <v>122</v>
      </c>
      <c r="D57" s="154" t="s">
        <v>35</v>
      </c>
      <c r="E57" s="154"/>
      <c r="F57" s="197">
        <v>0.057</v>
      </c>
      <c r="G57" s="15"/>
      <c r="H57" s="15"/>
      <c r="I57" s="15"/>
      <c r="J57" s="15"/>
      <c r="K57" s="15"/>
      <c r="L57" s="15"/>
      <c r="M57" s="15"/>
      <c r="N57" s="259"/>
    </row>
    <row r="58" spans="1:14" s="102" customFormat="1" ht="16.5">
      <c r="A58" s="13"/>
      <c r="B58" s="13"/>
      <c r="C58" s="23" t="s">
        <v>60</v>
      </c>
      <c r="D58" s="15" t="s">
        <v>31</v>
      </c>
      <c r="E58" s="15">
        <v>0.3</v>
      </c>
      <c r="F58" s="15">
        <f>E58*F57</f>
        <v>0.0171</v>
      </c>
      <c r="G58" s="15"/>
      <c r="H58" s="14"/>
      <c r="I58" s="14"/>
      <c r="J58" s="14"/>
      <c r="K58" s="15"/>
      <c r="L58" s="15"/>
      <c r="M58" s="15"/>
      <c r="N58" s="256"/>
    </row>
    <row r="59" spans="1:14" s="102" customFormat="1" ht="16.5">
      <c r="A59" s="13"/>
      <c r="B59" s="13"/>
      <c r="C59" s="23" t="s">
        <v>32</v>
      </c>
      <c r="D59" s="15" t="s">
        <v>30</v>
      </c>
      <c r="E59" s="15"/>
      <c r="F59" s="15">
        <f>F58</f>
        <v>0.0171</v>
      </c>
      <c r="G59" s="15"/>
      <c r="H59" s="15"/>
      <c r="I59" s="14"/>
      <c r="J59" s="14"/>
      <c r="K59" s="14"/>
      <c r="L59" s="15"/>
      <c r="M59" s="15"/>
      <c r="N59" s="256"/>
    </row>
    <row r="60" spans="1:14" s="102" customFormat="1" ht="16.5">
      <c r="A60" s="158"/>
      <c r="B60" s="158"/>
      <c r="C60" s="159" t="s">
        <v>81</v>
      </c>
      <c r="D60" s="17" t="s">
        <v>35</v>
      </c>
      <c r="E60" s="17">
        <v>1.03</v>
      </c>
      <c r="F60" s="17">
        <f>E60*F57</f>
        <v>0.058710000000000005</v>
      </c>
      <c r="G60" s="17"/>
      <c r="H60" s="182"/>
      <c r="I60" s="17"/>
      <c r="J60" s="17"/>
      <c r="K60" s="182"/>
      <c r="L60" s="17"/>
      <c r="M60" s="17"/>
      <c r="N60" s="256"/>
    </row>
    <row r="61" spans="1:14" s="87" customFormat="1" ht="44.25" customHeight="1">
      <c r="A61" s="153" t="s">
        <v>171</v>
      </c>
      <c r="B61" s="186" t="s">
        <v>114</v>
      </c>
      <c r="C61" s="9" t="s">
        <v>115</v>
      </c>
      <c r="D61" s="154" t="s">
        <v>111</v>
      </c>
      <c r="E61" s="154"/>
      <c r="F61" s="10">
        <v>81</v>
      </c>
      <c r="G61" s="15"/>
      <c r="H61" s="198"/>
      <c r="I61" s="198"/>
      <c r="J61" s="181"/>
      <c r="K61" s="181"/>
      <c r="L61" s="181"/>
      <c r="M61" s="181"/>
      <c r="N61" s="256"/>
    </row>
    <row r="62" spans="1:14" s="87" customFormat="1" ht="17.25">
      <c r="A62" s="189"/>
      <c r="B62" s="13"/>
      <c r="C62" s="23" t="s">
        <v>29</v>
      </c>
      <c r="D62" s="15" t="s">
        <v>30</v>
      </c>
      <c r="E62" s="157">
        <f>(3.75+0.007*4)/100</f>
        <v>0.03778</v>
      </c>
      <c r="F62" s="15">
        <f>E62*F61</f>
        <v>3.06018</v>
      </c>
      <c r="G62" s="15"/>
      <c r="H62" s="15"/>
      <c r="I62" s="15"/>
      <c r="J62" s="15"/>
      <c r="K62" s="15"/>
      <c r="L62" s="15"/>
      <c r="M62" s="15"/>
      <c r="N62" s="256"/>
    </row>
    <row r="63" spans="1:14" s="87" customFormat="1" ht="17.25">
      <c r="A63" s="189"/>
      <c r="B63" s="13"/>
      <c r="C63" s="23" t="s">
        <v>116</v>
      </c>
      <c r="D63" s="15" t="s">
        <v>31</v>
      </c>
      <c r="E63" s="157">
        <f>0.3/100</f>
        <v>0.003</v>
      </c>
      <c r="F63" s="15">
        <f>E63*F61</f>
        <v>0.243</v>
      </c>
      <c r="G63" s="15"/>
      <c r="H63" s="15"/>
      <c r="I63" s="15"/>
      <c r="J63" s="15"/>
      <c r="K63" s="15"/>
      <c r="L63" s="15"/>
      <c r="M63" s="15"/>
      <c r="N63" s="256"/>
    </row>
    <row r="64" spans="1:14" s="87" customFormat="1" ht="17.25">
      <c r="A64" s="189"/>
      <c r="B64" s="13"/>
      <c r="C64" s="23" t="s">
        <v>32</v>
      </c>
      <c r="D64" s="15" t="s">
        <v>30</v>
      </c>
      <c r="E64" s="15"/>
      <c r="F64" s="15">
        <f>F63</f>
        <v>0.243</v>
      </c>
      <c r="G64" s="15"/>
      <c r="H64" s="15"/>
      <c r="I64" s="15"/>
      <c r="J64" s="15"/>
      <c r="K64" s="15"/>
      <c r="L64" s="15"/>
      <c r="M64" s="15"/>
      <c r="N64" s="256"/>
    </row>
    <row r="65" spans="1:14" s="87" customFormat="1" ht="17.25">
      <c r="A65" s="189"/>
      <c r="B65" s="13"/>
      <c r="C65" s="23" t="s">
        <v>53</v>
      </c>
      <c r="D65" s="15" t="s">
        <v>31</v>
      </c>
      <c r="E65" s="39">
        <f>0.37/100</f>
        <v>0.0037</v>
      </c>
      <c r="F65" s="15">
        <f>E65*F61</f>
        <v>0.2997</v>
      </c>
      <c r="G65" s="15"/>
      <c r="H65" s="15"/>
      <c r="I65" s="15"/>
      <c r="J65" s="15"/>
      <c r="K65" s="15"/>
      <c r="L65" s="15"/>
      <c r="M65" s="15"/>
      <c r="N65" s="256"/>
    </row>
    <row r="66" spans="1:14" s="87" customFormat="1" ht="17.25">
      <c r="A66" s="189"/>
      <c r="B66" s="13"/>
      <c r="C66" s="23" t="s">
        <v>32</v>
      </c>
      <c r="D66" s="15" t="s">
        <v>30</v>
      </c>
      <c r="E66" s="15"/>
      <c r="F66" s="15">
        <f>F65</f>
        <v>0.2997</v>
      </c>
      <c r="G66" s="15"/>
      <c r="H66" s="15"/>
      <c r="I66" s="15"/>
      <c r="J66" s="15"/>
      <c r="K66" s="15"/>
      <c r="L66" s="15"/>
      <c r="M66" s="15"/>
      <c r="N66" s="256"/>
    </row>
    <row r="67" spans="1:14" s="87" customFormat="1" ht="17.25">
      <c r="A67" s="189"/>
      <c r="B67" s="13"/>
      <c r="C67" s="23" t="s">
        <v>54</v>
      </c>
      <c r="D67" s="15" t="s">
        <v>31</v>
      </c>
      <c r="E67" s="157">
        <f>1.11/100</f>
        <v>0.0111</v>
      </c>
      <c r="F67" s="15">
        <f>E67*F61</f>
        <v>0.8991</v>
      </c>
      <c r="G67" s="15"/>
      <c r="H67" s="15"/>
      <c r="I67" s="15"/>
      <c r="J67" s="15"/>
      <c r="K67" s="15"/>
      <c r="L67" s="15"/>
      <c r="M67" s="15"/>
      <c r="N67" s="256"/>
    </row>
    <row r="68" spans="1:14" s="87" customFormat="1" ht="17.25">
      <c r="A68" s="189"/>
      <c r="B68" s="13"/>
      <c r="C68" s="23" t="s">
        <v>32</v>
      </c>
      <c r="D68" s="15" t="s">
        <v>30</v>
      </c>
      <c r="E68" s="15"/>
      <c r="F68" s="15">
        <f>F67</f>
        <v>0.8991</v>
      </c>
      <c r="G68" s="15"/>
      <c r="H68" s="15"/>
      <c r="I68" s="15"/>
      <c r="J68" s="15"/>
      <c r="K68" s="15"/>
      <c r="L68" s="15"/>
      <c r="M68" s="15"/>
      <c r="N68" s="256"/>
    </row>
    <row r="69" spans="1:14" s="87" customFormat="1" ht="17.25">
      <c r="A69" s="189"/>
      <c r="B69" s="13"/>
      <c r="C69" s="23" t="s">
        <v>37</v>
      </c>
      <c r="D69" s="15" t="s">
        <v>34</v>
      </c>
      <c r="E69" s="39">
        <f>0.23/100</f>
        <v>0.0023</v>
      </c>
      <c r="F69" s="15">
        <f>E69*F61</f>
        <v>0.1863</v>
      </c>
      <c r="G69" s="15"/>
      <c r="H69" s="15"/>
      <c r="I69" s="15"/>
      <c r="J69" s="15"/>
      <c r="K69" s="15"/>
      <c r="L69" s="15"/>
      <c r="M69" s="15"/>
      <c r="N69" s="256"/>
    </row>
    <row r="70" spans="1:14" s="87" customFormat="1" ht="17.25">
      <c r="A70" s="189"/>
      <c r="B70" s="23"/>
      <c r="C70" s="23" t="s">
        <v>117</v>
      </c>
      <c r="D70" s="15" t="s">
        <v>35</v>
      </c>
      <c r="E70" s="39">
        <v>0.13949999999999999</v>
      </c>
      <c r="F70" s="15">
        <f>E70*F61</f>
        <v>11.299499999999998</v>
      </c>
      <c r="G70" s="15"/>
      <c r="H70" s="15"/>
      <c r="I70" s="15"/>
      <c r="J70" s="15"/>
      <c r="K70" s="15"/>
      <c r="L70" s="15"/>
      <c r="M70" s="15"/>
      <c r="N70" s="256"/>
    </row>
    <row r="71" spans="1:14" s="87" customFormat="1" ht="17.25">
      <c r="A71" s="199"/>
      <c r="B71" s="158"/>
      <c r="C71" s="159" t="s">
        <v>38</v>
      </c>
      <c r="D71" s="17" t="s">
        <v>34</v>
      </c>
      <c r="E71" s="195">
        <f>(1.45+0.02*4)/100</f>
        <v>0.015300000000000001</v>
      </c>
      <c r="F71" s="17">
        <f>E71*F61</f>
        <v>1.2393</v>
      </c>
      <c r="G71" s="17"/>
      <c r="H71" s="17"/>
      <c r="I71" s="17"/>
      <c r="J71" s="17"/>
      <c r="K71" s="17"/>
      <c r="L71" s="17"/>
      <c r="M71" s="17"/>
      <c r="N71" s="256"/>
    </row>
    <row r="72" spans="1:14" s="12" customFormat="1" ht="16.5">
      <c r="A72" s="46"/>
      <c r="B72" s="177"/>
      <c r="C72" s="178" t="s">
        <v>123</v>
      </c>
      <c r="D72" s="149" t="s">
        <v>35</v>
      </c>
      <c r="E72" s="27"/>
      <c r="F72" s="62">
        <f>F70</f>
        <v>11.299499999999998</v>
      </c>
      <c r="G72" s="150"/>
      <c r="H72" s="149"/>
      <c r="I72" s="27"/>
      <c r="J72" s="150"/>
      <c r="K72" s="27"/>
      <c r="L72" s="149"/>
      <c r="M72" s="27"/>
      <c r="N72" s="256"/>
    </row>
    <row r="73" spans="1:14" s="102" customFormat="1" ht="36.75" customHeight="1">
      <c r="A73" s="49">
        <v>8</v>
      </c>
      <c r="B73" s="167" t="s">
        <v>59</v>
      </c>
      <c r="C73" s="166" t="s">
        <v>118</v>
      </c>
      <c r="D73" s="154" t="s">
        <v>35</v>
      </c>
      <c r="E73" s="154"/>
      <c r="F73" s="197">
        <v>0.028</v>
      </c>
      <c r="G73" s="15"/>
      <c r="H73" s="15"/>
      <c r="I73" s="15"/>
      <c r="J73" s="15"/>
      <c r="K73" s="15"/>
      <c r="L73" s="15"/>
      <c r="M73" s="15"/>
      <c r="N73" s="256"/>
    </row>
    <row r="74" spans="1:14" s="102" customFormat="1" ht="17.25">
      <c r="A74" s="184"/>
      <c r="B74" s="13"/>
      <c r="C74" s="23" t="s">
        <v>60</v>
      </c>
      <c r="D74" s="15" t="s">
        <v>31</v>
      </c>
      <c r="E74" s="15">
        <v>0.3</v>
      </c>
      <c r="F74" s="15">
        <f>E74*F73</f>
        <v>0.0084</v>
      </c>
      <c r="G74" s="15"/>
      <c r="H74" s="14"/>
      <c r="I74" s="14"/>
      <c r="J74" s="14"/>
      <c r="K74" s="15"/>
      <c r="L74" s="15"/>
      <c r="M74" s="15"/>
      <c r="N74" s="256"/>
    </row>
    <row r="75" spans="1:14" s="102" customFormat="1" ht="17.25">
      <c r="A75" s="184"/>
      <c r="B75" s="13"/>
      <c r="C75" s="23" t="s">
        <v>32</v>
      </c>
      <c r="D75" s="15" t="s">
        <v>30</v>
      </c>
      <c r="E75" s="15"/>
      <c r="F75" s="15">
        <f>F74</f>
        <v>0.0084</v>
      </c>
      <c r="G75" s="15"/>
      <c r="H75" s="15"/>
      <c r="I75" s="14"/>
      <c r="J75" s="14"/>
      <c r="K75" s="14"/>
      <c r="L75" s="15"/>
      <c r="M75" s="15"/>
      <c r="N75" s="256"/>
    </row>
    <row r="76" spans="1:14" s="102" customFormat="1" ht="17.25">
      <c r="A76" s="185"/>
      <c r="B76" s="158"/>
      <c r="C76" s="159" t="s">
        <v>81</v>
      </c>
      <c r="D76" s="17" t="s">
        <v>35</v>
      </c>
      <c r="E76" s="17">
        <v>1.03</v>
      </c>
      <c r="F76" s="17">
        <f>E76*F73</f>
        <v>0.02884</v>
      </c>
      <c r="G76" s="17"/>
      <c r="H76" s="182"/>
      <c r="I76" s="17"/>
      <c r="J76" s="17"/>
      <c r="K76" s="182"/>
      <c r="L76" s="17"/>
      <c r="M76" s="17"/>
      <c r="N76" s="256"/>
    </row>
    <row r="77" spans="1:14" s="87" customFormat="1" ht="45.75" customHeight="1">
      <c r="A77" s="49">
        <v>9</v>
      </c>
      <c r="B77" s="186" t="s">
        <v>119</v>
      </c>
      <c r="C77" s="9" t="s">
        <v>120</v>
      </c>
      <c r="D77" s="154" t="s">
        <v>111</v>
      </c>
      <c r="E77" s="154"/>
      <c r="F77" s="10">
        <f>F61</f>
        <v>81</v>
      </c>
      <c r="G77" s="198"/>
      <c r="H77" s="181"/>
      <c r="I77" s="181"/>
      <c r="J77" s="181"/>
      <c r="K77" s="181"/>
      <c r="L77" s="181"/>
      <c r="M77" s="181"/>
      <c r="N77" s="256"/>
    </row>
    <row r="78" spans="1:14" s="87" customFormat="1" ht="17.25">
      <c r="A78" s="184"/>
      <c r="B78" s="13"/>
      <c r="C78" s="23" t="s">
        <v>29</v>
      </c>
      <c r="D78" s="15" t="s">
        <v>30</v>
      </c>
      <c r="E78" s="157">
        <f>3.75/100</f>
        <v>0.0375</v>
      </c>
      <c r="F78" s="15">
        <f>E78*F77</f>
        <v>3.0375</v>
      </c>
      <c r="G78" s="15"/>
      <c r="H78" s="15"/>
      <c r="I78" s="15"/>
      <c r="J78" s="15"/>
      <c r="K78" s="15"/>
      <c r="L78" s="15"/>
      <c r="M78" s="15"/>
      <c r="N78" s="256"/>
    </row>
    <row r="79" spans="1:14" s="87" customFormat="1" ht="17.25">
      <c r="A79" s="184"/>
      <c r="B79" s="13"/>
      <c r="C79" s="23" t="s">
        <v>116</v>
      </c>
      <c r="D79" s="15" t="s">
        <v>31</v>
      </c>
      <c r="E79" s="157">
        <f>0.302/100</f>
        <v>0.00302</v>
      </c>
      <c r="F79" s="15">
        <f>E79*F77</f>
        <v>0.24462</v>
      </c>
      <c r="G79" s="15"/>
      <c r="H79" s="15"/>
      <c r="I79" s="15"/>
      <c r="J79" s="15"/>
      <c r="K79" s="15"/>
      <c r="L79" s="15"/>
      <c r="M79" s="15"/>
      <c r="N79" s="256"/>
    </row>
    <row r="80" spans="1:14" s="87" customFormat="1" ht="17.25">
      <c r="A80" s="184"/>
      <c r="B80" s="13"/>
      <c r="C80" s="23" t="s">
        <v>32</v>
      </c>
      <c r="D80" s="15" t="s">
        <v>30</v>
      </c>
      <c r="E80" s="157"/>
      <c r="F80" s="15">
        <f>F79</f>
        <v>0.24462</v>
      </c>
      <c r="G80" s="15"/>
      <c r="H80" s="15"/>
      <c r="I80" s="15"/>
      <c r="J80" s="15"/>
      <c r="K80" s="15"/>
      <c r="L80" s="15"/>
      <c r="M80" s="15"/>
      <c r="N80" s="256"/>
    </row>
    <row r="81" spans="1:14" s="87" customFormat="1" ht="17.25">
      <c r="A81" s="184"/>
      <c r="B81" s="13"/>
      <c r="C81" s="23" t="s">
        <v>53</v>
      </c>
      <c r="D81" s="15" t="s">
        <v>31</v>
      </c>
      <c r="E81" s="157">
        <f>0.37/100</f>
        <v>0.0037</v>
      </c>
      <c r="F81" s="15">
        <f>E81*F77</f>
        <v>0.2997</v>
      </c>
      <c r="G81" s="15"/>
      <c r="H81" s="15"/>
      <c r="I81" s="15"/>
      <c r="J81" s="15"/>
      <c r="K81" s="15"/>
      <c r="L81" s="15"/>
      <c r="M81" s="15"/>
      <c r="N81" s="256"/>
    </row>
    <row r="82" spans="1:14" s="87" customFormat="1" ht="17.25">
      <c r="A82" s="184"/>
      <c r="B82" s="13"/>
      <c r="C82" s="23" t="s">
        <v>32</v>
      </c>
      <c r="D82" s="15" t="s">
        <v>30</v>
      </c>
      <c r="E82" s="157"/>
      <c r="F82" s="15">
        <f>F81</f>
        <v>0.2997</v>
      </c>
      <c r="G82" s="15"/>
      <c r="H82" s="15"/>
      <c r="I82" s="15"/>
      <c r="J82" s="15"/>
      <c r="K82" s="15"/>
      <c r="L82" s="15"/>
      <c r="M82" s="15"/>
      <c r="N82" s="256"/>
    </row>
    <row r="83" spans="1:14" s="87" customFormat="1" ht="17.25">
      <c r="A83" s="184"/>
      <c r="B83" s="13"/>
      <c r="C83" s="23" t="s">
        <v>54</v>
      </c>
      <c r="D83" s="15" t="s">
        <v>31</v>
      </c>
      <c r="E83" s="157">
        <f>1.11/100</f>
        <v>0.0111</v>
      </c>
      <c r="F83" s="15">
        <f>E83*F77</f>
        <v>0.8991</v>
      </c>
      <c r="G83" s="15"/>
      <c r="H83" s="15"/>
      <c r="I83" s="15"/>
      <c r="J83" s="15"/>
      <c r="K83" s="15"/>
      <c r="L83" s="15"/>
      <c r="M83" s="15"/>
      <c r="N83" s="256"/>
    </row>
    <row r="84" spans="1:14" s="87" customFormat="1" ht="17.25">
      <c r="A84" s="184"/>
      <c r="B84" s="13"/>
      <c r="C84" s="23" t="s">
        <v>32</v>
      </c>
      <c r="D84" s="15" t="s">
        <v>30</v>
      </c>
      <c r="E84" s="157"/>
      <c r="F84" s="15">
        <f>F83</f>
        <v>0.8991</v>
      </c>
      <c r="G84" s="15"/>
      <c r="H84" s="15"/>
      <c r="I84" s="15"/>
      <c r="J84" s="15"/>
      <c r="K84" s="15"/>
      <c r="L84" s="15"/>
      <c r="M84" s="15"/>
      <c r="N84" s="256"/>
    </row>
    <row r="85" spans="1:14" s="87" customFormat="1" ht="17.25">
      <c r="A85" s="184"/>
      <c r="B85" s="13"/>
      <c r="C85" s="23" t="s">
        <v>37</v>
      </c>
      <c r="D85" s="15" t="s">
        <v>34</v>
      </c>
      <c r="E85" s="157">
        <f>0.23/100</f>
        <v>0.0023</v>
      </c>
      <c r="F85" s="15">
        <f>E85*F77</f>
        <v>0.1863</v>
      </c>
      <c r="G85" s="15"/>
      <c r="H85" s="15"/>
      <c r="I85" s="15"/>
      <c r="J85" s="15"/>
      <c r="K85" s="15"/>
      <c r="L85" s="15"/>
      <c r="M85" s="15"/>
      <c r="N85" s="256"/>
    </row>
    <row r="86" spans="1:14" s="87" customFormat="1" ht="17.25">
      <c r="A86" s="184"/>
      <c r="B86" s="23"/>
      <c r="C86" s="23" t="s">
        <v>121</v>
      </c>
      <c r="D86" s="15" t="s">
        <v>35</v>
      </c>
      <c r="E86" s="157">
        <v>0.0974</v>
      </c>
      <c r="F86" s="15">
        <f>E86*F77</f>
        <v>7.8894</v>
      </c>
      <c r="G86" s="15"/>
      <c r="H86" s="15"/>
      <c r="I86" s="15"/>
      <c r="J86" s="15"/>
      <c r="K86" s="15"/>
      <c r="L86" s="15"/>
      <c r="M86" s="15"/>
      <c r="N86" s="256"/>
    </row>
    <row r="87" spans="1:14" s="87" customFormat="1" ht="17.25">
      <c r="A87" s="185"/>
      <c r="B87" s="158"/>
      <c r="C87" s="159" t="s">
        <v>38</v>
      </c>
      <c r="D87" s="17" t="s">
        <v>34</v>
      </c>
      <c r="E87" s="195">
        <f>1.45/100</f>
        <v>0.014499999999999999</v>
      </c>
      <c r="F87" s="17">
        <f>E87*F77</f>
        <v>1.1744999999999999</v>
      </c>
      <c r="G87" s="17"/>
      <c r="H87" s="17"/>
      <c r="I87" s="17"/>
      <c r="J87" s="17"/>
      <c r="K87" s="17"/>
      <c r="L87" s="17"/>
      <c r="M87" s="17"/>
      <c r="N87" s="256"/>
    </row>
    <row r="88" spans="1:14" s="12" customFormat="1" ht="16.5">
      <c r="A88" s="46"/>
      <c r="B88" s="177"/>
      <c r="C88" s="178" t="s">
        <v>123</v>
      </c>
      <c r="D88" s="149" t="s">
        <v>35</v>
      </c>
      <c r="E88" s="27"/>
      <c r="F88" s="62">
        <f>F86</f>
        <v>7.8894</v>
      </c>
      <c r="G88" s="150"/>
      <c r="H88" s="149"/>
      <c r="I88" s="27"/>
      <c r="J88" s="150"/>
      <c r="K88" s="27"/>
      <c r="L88" s="149"/>
      <c r="M88" s="27"/>
      <c r="N88" s="256"/>
    </row>
    <row r="89" spans="1:14" s="12" customFormat="1" ht="16.5">
      <c r="A89" s="46"/>
      <c r="B89" s="265"/>
      <c r="C89" s="178" t="s">
        <v>211</v>
      </c>
      <c r="D89" s="149"/>
      <c r="E89" s="27"/>
      <c r="F89" s="62"/>
      <c r="G89" s="150"/>
      <c r="H89" s="149"/>
      <c r="I89" s="27"/>
      <c r="J89" s="150"/>
      <c r="K89" s="27"/>
      <c r="L89" s="149"/>
      <c r="M89" s="27"/>
      <c r="N89" s="260">
        <v>3060.6</v>
      </c>
    </row>
    <row r="90" spans="1:14" s="12" customFormat="1" ht="28.5" customHeight="1">
      <c r="A90" s="375" t="s">
        <v>155</v>
      </c>
      <c r="B90" s="376"/>
      <c r="C90" s="377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56"/>
    </row>
    <row r="91" spans="1:14" s="12" customFormat="1" ht="51.75">
      <c r="A91" s="31">
        <v>10</v>
      </c>
      <c r="B91" s="153" t="s">
        <v>99</v>
      </c>
      <c r="C91" s="175" t="s">
        <v>179</v>
      </c>
      <c r="D91" s="94" t="s">
        <v>105</v>
      </c>
      <c r="E91" s="32"/>
      <c r="F91" s="208">
        <v>19.09</v>
      </c>
      <c r="G91" s="26"/>
      <c r="H91" s="24"/>
      <c r="I91" s="25"/>
      <c r="J91" s="26"/>
      <c r="K91" s="25"/>
      <c r="L91" s="24"/>
      <c r="M91" s="171"/>
      <c r="N91" s="256"/>
    </row>
    <row r="92" spans="1:14" s="12" customFormat="1" ht="16.5">
      <c r="A92" s="13"/>
      <c r="B92" s="13"/>
      <c r="C92" s="35" t="s">
        <v>29</v>
      </c>
      <c r="D92" s="15" t="s">
        <v>30</v>
      </c>
      <c r="E92" s="157">
        <f>20/1000</f>
        <v>0.02</v>
      </c>
      <c r="F92" s="15">
        <f>E92*F91</f>
        <v>0.38180000000000003</v>
      </c>
      <c r="G92" s="15"/>
      <c r="H92" s="15"/>
      <c r="I92" s="25"/>
      <c r="J92" s="25"/>
      <c r="K92" s="25"/>
      <c r="L92" s="24"/>
      <c r="M92" s="25"/>
      <c r="N92" s="256"/>
    </row>
    <row r="93" spans="1:14" s="12" customFormat="1" ht="16.5">
      <c r="A93" s="13"/>
      <c r="B93" s="13"/>
      <c r="C93" s="35" t="s">
        <v>67</v>
      </c>
      <c r="D93" s="15" t="s">
        <v>31</v>
      </c>
      <c r="E93" s="157">
        <f>44.8/1000</f>
        <v>0.0448</v>
      </c>
      <c r="F93" s="15">
        <f>E93*F91</f>
        <v>0.855232</v>
      </c>
      <c r="G93" s="15"/>
      <c r="H93" s="15"/>
      <c r="I93" s="25"/>
      <c r="J93" s="26"/>
      <c r="K93" s="15"/>
      <c r="L93" s="24"/>
      <c r="M93" s="25"/>
      <c r="N93" s="256"/>
    </row>
    <row r="94" spans="1:14" s="12" customFormat="1" ht="16.5">
      <c r="A94" s="13"/>
      <c r="B94" s="13"/>
      <c r="C94" s="35" t="s">
        <v>32</v>
      </c>
      <c r="D94" s="15" t="s">
        <v>30</v>
      </c>
      <c r="E94" s="15"/>
      <c r="F94" s="22">
        <f>F93</f>
        <v>0.855232</v>
      </c>
      <c r="G94" s="15"/>
      <c r="H94" s="15"/>
      <c r="I94" s="25"/>
      <c r="J94" s="26"/>
      <c r="K94" s="25"/>
      <c r="L94" s="24"/>
      <c r="M94" s="25"/>
      <c r="N94" s="256"/>
    </row>
    <row r="95" spans="1:14" s="12" customFormat="1" ht="16.5">
      <c r="A95" s="13"/>
      <c r="B95" s="13"/>
      <c r="C95" s="35" t="s">
        <v>37</v>
      </c>
      <c r="D95" s="15" t="s">
        <v>34</v>
      </c>
      <c r="E95" s="157">
        <f>2.1/1000</f>
        <v>0.0021000000000000003</v>
      </c>
      <c r="F95" s="22">
        <f>E95*F91</f>
        <v>0.04008900000000001</v>
      </c>
      <c r="G95" s="15"/>
      <c r="H95" s="15"/>
      <c r="I95" s="15"/>
      <c r="J95" s="15"/>
      <c r="K95" s="15"/>
      <c r="L95" s="22"/>
      <c r="M95" s="15"/>
      <c r="N95" s="256"/>
    </row>
    <row r="96" spans="1:14" s="12" customFormat="1" ht="16.5">
      <c r="A96" s="46"/>
      <c r="B96" s="177"/>
      <c r="C96" s="178" t="s">
        <v>128</v>
      </c>
      <c r="D96" s="149" t="s">
        <v>35</v>
      </c>
      <c r="E96" s="27"/>
      <c r="F96" s="202">
        <f>F91*1.8</f>
        <v>34.362</v>
      </c>
      <c r="G96" s="150"/>
      <c r="H96" s="149"/>
      <c r="I96" s="27"/>
      <c r="J96" s="150"/>
      <c r="K96" s="27"/>
      <c r="L96" s="149"/>
      <c r="M96" s="27"/>
      <c r="N96" s="256"/>
    </row>
    <row r="97" spans="1:14" s="12" customFormat="1" ht="51.75">
      <c r="A97" s="31">
        <v>11</v>
      </c>
      <c r="B97" s="192" t="s">
        <v>100</v>
      </c>
      <c r="C97" s="175" t="s">
        <v>180</v>
      </c>
      <c r="D97" s="94" t="s">
        <v>105</v>
      </c>
      <c r="E97" s="32"/>
      <c r="F97" s="208">
        <v>2.12</v>
      </c>
      <c r="G97" s="26"/>
      <c r="H97" s="24"/>
      <c r="I97" s="25"/>
      <c r="J97" s="26"/>
      <c r="K97" s="25"/>
      <c r="L97" s="24"/>
      <c r="M97" s="171"/>
      <c r="N97" s="256"/>
    </row>
    <row r="98" spans="1:14" s="12" customFormat="1" ht="16.5">
      <c r="A98" s="13"/>
      <c r="B98" s="13"/>
      <c r="C98" s="35" t="s">
        <v>29</v>
      </c>
      <c r="D98" s="15" t="s">
        <v>30</v>
      </c>
      <c r="E98" s="15">
        <f>2.06+0.87</f>
        <v>2.93</v>
      </c>
      <c r="F98" s="15">
        <f>E98*F97</f>
        <v>6.211600000000001</v>
      </c>
      <c r="G98" s="15"/>
      <c r="H98" s="15"/>
      <c r="I98" s="25"/>
      <c r="J98" s="25"/>
      <c r="K98" s="25"/>
      <c r="L98" s="24"/>
      <c r="M98" s="25"/>
      <c r="N98" s="256"/>
    </row>
    <row r="99" spans="1:14" s="12" customFormat="1" ht="16.5">
      <c r="A99" s="46"/>
      <c r="B99" s="177"/>
      <c r="C99" s="178" t="s">
        <v>128</v>
      </c>
      <c r="D99" s="149" t="s">
        <v>35</v>
      </c>
      <c r="E99" s="27"/>
      <c r="F99" s="202">
        <f>F97*1.8</f>
        <v>3.8160000000000003</v>
      </c>
      <c r="G99" s="150"/>
      <c r="H99" s="149"/>
      <c r="I99" s="27"/>
      <c r="J99" s="150"/>
      <c r="K99" s="27"/>
      <c r="L99" s="149"/>
      <c r="M99" s="27"/>
      <c r="N99" s="256"/>
    </row>
    <row r="100" spans="1:14" s="12" customFormat="1" ht="20.25">
      <c r="A100" s="31">
        <v>12</v>
      </c>
      <c r="B100" s="49" t="s">
        <v>68</v>
      </c>
      <c r="C100" s="50" t="s">
        <v>75</v>
      </c>
      <c r="D100" s="19" t="s">
        <v>105</v>
      </c>
      <c r="E100" s="168"/>
      <c r="F100" s="209">
        <f>F97+F91</f>
        <v>21.21</v>
      </c>
      <c r="G100" s="169"/>
      <c r="H100" s="169"/>
      <c r="I100" s="169"/>
      <c r="J100" s="169"/>
      <c r="K100" s="169"/>
      <c r="L100" s="170"/>
      <c r="M100" s="171"/>
      <c r="N100" s="256"/>
    </row>
    <row r="101" spans="1:14" s="12" customFormat="1" ht="16.5">
      <c r="A101" s="21"/>
      <c r="B101" s="21"/>
      <c r="C101" s="35" t="s">
        <v>29</v>
      </c>
      <c r="D101" s="15" t="s">
        <v>30</v>
      </c>
      <c r="E101" s="157">
        <f>3.23/1000</f>
        <v>0.00323</v>
      </c>
      <c r="F101" s="15">
        <f>E101*F100</f>
        <v>0.0685083</v>
      </c>
      <c r="G101" s="16"/>
      <c r="H101" s="16"/>
      <c r="I101" s="51"/>
      <c r="J101" s="51"/>
      <c r="K101" s="51"/>
      <c r="L101" s="172"/>
      <c r="M101" s="16"/>
      <c r="N101" s="256"/>
    </row>
    <row r="102" spans="1:14" s="12" customFormat="1" ht="16.5">
      <c r="A102" s="13"/>
      <c r="B102" s="13"/>
      <c r="C102" s="35" t="s">
        <v>58</v>
      </c>
      <c r="D102" s="15" t="s">
        <v>31</v>
      </c>
      <c r="E102" s="39">
        <f>3.62/1000</f>
        <v>0.00362</v>
      </c>
      <c r="F102" s="15">
        <f>E102*F100</f>
        <v>0.0767802</v>
      </c>
      <c r="G102" s="15"/>
      <c r="H102" s="15"/>
      <c r="I102" s="15"/>
      <c r="J102" s="15"/>
      <c r="K102" s="15"/>
      <c r="L102" s="22"/>
      <c r="M102" s="15"/>
      <c r="N102" s="256"/>
    </row>
    <row r="103" spans="1:14" s="12" customFormat="1" ht="16.5">
      <c r="A103" s="13"/>
      <c r="B103" s="13"/>
      <c r="C103" s="35" t="s">
        <v>32</v>
      </c>
      <c r="D103" s="15" t="s">
        <v>30</v>
      </c>
      <c r="E103" s="15"/>
      <c r="F103" s="15">
        <f>F102</f>
        <v>0.0767802</v>
      </c>
      <c r="G103" s="15"/>
      <c r="H103" s="15"/>
      <c r="I103" s="15"/>
      <c r="J103" s="15"/>
      <c r="K103" s="14"/>
      <c r="L103" s="156"/>
      <c r="M103" s="15"/>
      <c r="N103" s="256"/>
    </row>
    <row r="104" spans="1:14" s="12" customFormat="1" ht="16.5">
      <c r="A104" s="93"/>
      <c r="B104" s="93"/>
      <c r="C104" s="52" t="s">
        <v>37</v>
      </c>
      <c r="D104" s="93" t="s">
        <v>34</v>
      </c>
      <c r="E104" s="173">
        <f>0.18/1000</f>
        <v>0.00017999999999999998</v>
      </c>
      <c r="F104" s="195">
        <f>E104*F100</f>
        <v>0.0038177999999999997</v>
      </c>
      <c r="G104" s="93"/>
      <c r="H104" s="93"/>
      <c r="I104" s="93"/>
      <c r="J104" s="93"/>
      <c r="K104" s="18"/>
      <c r="L104" s="47"/>
      <c r="M104" s="17"/>
      <c r="N104" s="256"/>
    </row>
    <row r="105" spans="1:14" s="12" customFormat="1" ht="54" customHeight="1">
      <c r="A105" s="184">
        <v>13</v>
      </c>
      <c r="B105" s="167" t="s">
        <v>108</v>
      </c>
      <c r="C105" s="166" t="s">
        <v>134</v>
      </c>
      <c r="D105" s="154" t="s">
        <v>105</v>
      </c>
      <c r="E105" s="154"/>
      <c r="F105" s="10">
        <v>7.47</v>
      </c>
      <c r="G105" s="15"/>
      <c r="H105" s="15"/>
      <c r="I105" s="15"/>
      <c r="J105" s="15"/>
      <c r="K105" s="15"/>
      <c r="L105" s="22"/>
      <c r="M105" s="154"/>
      <c r="N105" s="256"/>
    </row>
    <row r="106" spans="1:14" s="12" customFormat="1" ht="17.25">
      <c r="A106" s="184"/>
      <c r="B106" s="13"/>
      <c r="C106" s="23" t="s">
        <v>29</v>
      </c>
      <c r="D106" s="15" t="s">
        <v>30</v>
      </c>
      <c r="E106" s="15">
        <v>0.15</v>
      </c>
      <c r="F106" s="15">
        <f>E106*F105</f>
        <v>1.1204999999999998</v>
      </c>
      <c r="G106" s="15"/>
      <c r="H106" s="15"/>
      <c r="I106" s="14"/>
      <c r="J106" s="14"/>
      <c r="K106" s="14"/>
      <c r="L106" s="156"/>
      <c r="M106" s="15"/>
      <c r="N106" s="256"/>
    </row>
    <row r="107" spans="1:14" s="12" customFormat="1" ht="17.25">
      <c r="A107" s="184"/>
      <c r="B107" s="13"/>
      <c r="C107" s="23" t="s">
        <v>74</v>
      </c>
      <c r="D107" s="15" t="s">
        <v>31</v>
      </c>
      <c r="E107" s="15">
        <f>2.16/100</f>
        <v>0.0216</v>
      </c>
      <c r="F107" s="15">
        <f>E107*F105</f>
        <v>0.161352</v>
      </c>
      <c r="G107" s="15"/>
      <c r="H107" s="14"/>
      <c r="I107" s="14"/>
      <c r="J107" s="14"/>
      <c r="K107" s="15"/>
      <c r="L107" s="22"/>
      <c r="M107" s="15"/>
      <c r="N107" s="256"/>
    </row>
    <row r="108" spans="1:14" s="12" customFormat="1" ht="17.25">
      <c r="A108" s="184"/>
      <c r="B108" s="13"/>
      <c r="C108" s="23" t="s">
        <v>32</v>
      </c>
      <c r="D108" s="15" t="s">
        <v>30</v>
      </c>
      <c r="E108" s="15"/>
      <c r="F108" s="15">
        <f>F107</f>
        <v>0.161352</v>
      </c>
      <c r="G108" s="15"/>
      <c r="H108" s="15"/>
      <c r="I108" s="14"/>
      <c r="J108" s="14"/>
      <c r="K108" s="14"/>
      <c r="L108" s="22"/>
      <c r="M108" s="15"/>
      <c r="N108" s="256"/>
    </row>
    <row r="109" spans="1:14" s="12" customFormat="1" ht="17.25">
      <c r="A109" s="184"/>
      <c r="B109" s="13"/>
      <c r="C109" s="23" t="s">
        <v>109</v>
      </c>
      <c r="D109" s="15" t="s">
        <v>31</v>
      </c>
      <c r="E109" s="15">
        <f>2.73/100</f>
        <v>0.0273</v>
      </c>
      <c r="F109" s="15">
        <f>E109*F105</f>
        <v>0.203931</v>
      </c>
      <c r="G109" s="15"/>
      <c r="H109" s="15"/>
      <c r="I109" s="14"/>
      <c r="J109" s="14"/>
      <c r="K109" s="15"/>
      <c r="L109" s="22"/>
      <c r="M109" s="15"/>
      <c r="N109" s="256"/>
    </row>
    <row r="110" spans="1:14" s="12" customFormat="1" ht="17.25">
      <c r="A110" s="184"/>
      <c r="B110" s="13"/>
      <c r="C110" s="23" t="s">
        <v>32</v>
      </c>
      <c r="D110" s="15" t="s">
        <v>30</v>
      </c>
      <c r="E110" s="15"/>
      <c r="F110" s="15">
        <f>F109</f>
        <v>0.203931</v>
      </c>
      <c r="G110" s="15"/>
      <c r="H110" s="15"/>
      <c r="I110" s="14"/>
      <c r="J110" s="14"/>
      <c r="K110" s="14"/>
      <c r="L110" s="22"/>
      <c r="M110" s="15"/>
      <c r="N110" s="256"/>
    </row>
    <row r="111" spans="1:14" s="12" customFormat="1" ht="17.25">
      <c r="A111" s="184"/>
      <c r="B111" s="13"/>
      <c r="C111" s="23" t="s">
        <v>33</v>
      </c>
      <c r="D111" s="15" t="s">
        <v>31</v>
      </c>
      <c r="E111" s="15">
        <f>0.97/100</f>
        <v>0.0097</v>
      </c>
      <c r="F111" s="15">
        <f>E111*F105</f>
        <v>0.072459</v>
      </c>
      <c r="G111" s="15"/>
      <c r="H111" s="15"/>
      <c r="I111" s="14"/>
      <c r="J111" s="14"/>
      <c r="K111" s="15"/>
      <c r="L111" s="22"/>
      <c r="M111" s="15"/>
      <c r="N111" s="256"/>
    </row>
    <row r="112" spans="1:14" s="12" customFormat="1" ht="17.25">
      <c r="A112" s="184"/>
      <c r="B112" s="13"/>
      <c r="C112" s="23" t="s">
        <v>32</v>
      </c>
      <c r="D112" s="15" t="s">
        <v>30</v>
      </c>
      <c r="E112" s="15"/>
      <c r="F112" s="15">
        <f>F111</f>
        <v>0.072459</v>
      </c>
      <c r="G112" s="15"/>
      <c r="H112" s="15"/>
      <c r="I112" s="14"/>
      <c r="J112" s="14"/>
      <c r="K112" s="14"/>
      <c r="L112" s="22"/>
      <c r="M112" s="15"/>
      <c r="N112" s="256"/>
    </row>
    <row r="113" spans="1:14" s="12" customFormat="1" ht="20.25">
      <c r="A113" s="184"/>
      <c r="B113" s="13"/>
      <c r="C113" s="23" t="s">
        <v>69</v>
      </c>
      <c r="D113" s="15" t="s">
        <v>106</v>
      </c>
      <c r="E113" s="15">
        <v>1.22</v>
      </c>
      <c r="F113" s="15">
        <f>E113*F105</f>
        <v>9.113399999999999</v>
      </c>
      <c r="G113" s="15"/>
      <c r="H113" s="15"/>
      <c r="I113" s="15"/>
      <c r="J113" s="15"/>
      <c r="K113" s="14"/>
      <c r="L113" s="22"/>
      <c r="M113" s="15"/>
      <c r="N113" s="256"/>
    </row>
    <row r="114" spans="1:14" s="12" customFormat="1" ht="20.25">
      <c r="A114" s="185"/>
      <c r="B114" s="158"/>
      <c r="C114" s="159" t="s">
        <v>97</v>
      </c>
      <c r="D114" s="17" t="s">
        <v>106</v>
      </c>
      <c r="E114" s="17">
        <f>7/100</f>
        <v>0.07</v>
      </c>
      <c r="F114" s="15">
        <f>E114*F105</f>
        <v>0.5229</v>
      </c>
      <c r="G114" s="17"/>
      <c r="H114" s="17"/>
      <c r="I114" s="17"/>
      <c r="J114" s="17"/>
      <c r="K114" s="182"/>
      <c r="L114" s="47"/>
      <c r="M114" s="17"/>
      <c r="N114" s="256"/>
    </row>
    <row r="115" spans="1:14" s="12" customFormat="1" ht="33">
      <c r="A115" s="46"/>
      <c r="B115" s="177"/>
      <c r="C115" s="178" t="s">
        <v>126</v>
      </c>
      <c r="D115" s="149" t="s">
        <v>35</v>
      </c>
      <c r="E115" s="27">
        <v>1.6</v>
      </c>
      <c r="F115" s="62">
        <f>E115*F113</f>
        <v>14.581439999999999</v>
      </c>
      <c r="G115" s="150"/>
      <c r="H115" s="149"/>
      <c r="I115" s="27"/>
      <c r="J115" s="150"/>
      <c r="K115" s="27"/>
      <c r="L115" s="149"/>
      <c r="M115" s="27"/>
      <c r="N115" s="256"/>
    </row>
    <row r="116" spans="1:14" s="12" customFormat="1" ht="34.5">
      <c r="A116" s="49">
        <v>14</v>
      </c>
      <c r="B116" s="153" t="s">
        <v>76</v>
      </c>
      <c r="C116" s="183" t="s">
        <v>127</v>
      </c>
      <c r="D116" s="154" t="s">
        <v>105</v>
      </c>
      <c r="E116" s="95"/>
      <c r="F116" s="210">
        <f>49.35*0.15</f>
        <v>7.4025</v>
      </c>
      <c r="G116" s="152"/>
      <c r="H116" s="15"/>
      <c r="I116" s="15"/>
      <c r="J116" s="15"/>
      <c r="K116" s="15"/>
      <c r="L116" s="22"/>
      <c r="M116" s="19"/>
      <c r="N116" s="256"/>
    </row>
    <row r="117" spans="1:14" s="12" customFormat="1" ht="17.25">
      <c r="A117" s="184"/>
      <c r="B117" s="13"/>
      <c r="C117" s="23" t="s">
        <v>29</v>
      </c>
      <c r="D117" s="15" t="s">
        <v>30</v>
      </c>
      <c r="E117" s="155">
        <f>21.6/100</f>
        <v>0.21600000000000003</v>
      </c>
      <c r="F117" s="15">
        <f>E117*F116</f>
        <v>1.5989400000000002</v>
      </c>
      <c r="G117" s="152"/>
      <c r="H117" s="15"/>
      <c r="I117" s="14"/>
      <c r="J117" s="14"/>
      <c r="K117" s="14"/>
      <c r="L117" s="156"/>
      <c r="M117" s="15"/>
      <c r="N117" s="256"/>
    </row>
    <row r="118" spans="1:14" s="12" customFormat="1" ht="17.25">
      <c r="A118" s="184"/>
      <c r="B118" s="13"/>
      <c r="C118" s="23" t="s">
        <v>74</v>
      </c>
      <c r="D118" s="15" t="s">
        <v>31</v>
      </c>
      <c r="E118" s="155">
        <f>1.24/100</f>
        <v>0.0124</v>
      </c>
      <c r="F118" s="15">
        <f>E118*F116</f>
        <v>0.091791</v>
      </c>
      <c r="G118" s="152"/>
      <c r="H118" s="14"/>
      <c r="I118" s="14"/>
      <c r="J118" s="14"/>
      <c r="K118" s="15"/>
      <c r="L118" s="22"/>
      <c r="M118" s="15"/>
      <c r="N118" s="256"/>
    </row>
    <row r="119" spans="1:14" s="12" customFormat="1" ht="17.25">
      <c r="A119" s="184"/>
      <c r="B119" s="13"/>
      <c r="C119" s="23" t="s">
        <v>32</v>
      </c>
      <c r="D119" s="15" t="s">
        <v>30</v>
      </c>
      <c r="E119" s="22"/>
      <c r="F119" s="15">
        <f>F118</f>
        <v>0.091791</v>
      </c>
      <c r="G119" s="152"/>
      <c r="H119" s="15"/>
      <c r="I119" s="15"/>
      <c r="J119" s="15"/>
      <c r="K119" s="15"/>
      <c r="L119" s="22"/>
      <c r="M119" s="15"/>
      <c r="N119" s="256"/>
    </row>
    <row r="120" spans="1:14" s="12" customFormat="1" ht="17.25">
      <c r="A120" s="184"/>
      <c r="B120" s="13"/>
      <c r="C120" s="23" t="s">
        <v>70</v>
      </c>
      <c r="D120" s="15" t="s">
        <v>31</v>
      </c>
      <c r="E120" s="155">
        <f>2.58/100</f>
        <v>0.0258</v>
      </c>
      <c r="F120" s="15">
        <f>E120*F116</f>
        <v>0.1909845</v>
      </c>
      <c r="G120" s="152"/>
      <c r="H120" s="15"/>
      <c r="I120" s="15"/>
      <c r="J120" s="15"/>
      <c r="K120" s="15"/>
      <c r="L120" s="22"/>
      <c r="M120" s="15"/>
      <c r="N120" s="256"/>
    </row>
    <row r="121" spans="1:14" s="12" customFormat="1" ht="17.25">
      <c r="A121" s="184"/>
      <c r="B121" s="13"/>
      <c r="C121" s="23" t="s">
        <v>32</v>
      </c>
      <c r="D121" s="15" t="s">
        <v>30</v>
      </c>
      <c r="E121" s="22"/>
      <c r="F121" s="15">
        <f>F120</f>
        <v>0.1909845</v>
      </c>
      <c r="G121" s="152"/>
      <c r="H121" s="15"/>
      <c r="I121" s="15"/>
      <c r="J121" s="15"/>
      <c r="K121" s="15"/>
      <c r="L121" s="22"/>
      <c r="M121" s="15"/>
      <c r="N121" s="256"/>
    </row>
    <row r="122" spans="1:14" s="12" customFormat="1" ht="17.25">
      <c r="A122" s="184"/>
      <c r="B122" s="13"/>
      <c r="C122" s="23" t="s">
        <v>77</v>
      </c>
      <c r="D122" s="15" t="s">
        <v>31</v>
      </c>
      <c r="E122" s="155">
        <f>0.41/100</f>
        <v>0.0040999999999999995</v>
      </c>
      <c r="F122" s="157">
        <f>E122*F116</f>
        <v>0.030350249999999995</v>
      </c>
      <c r="G122" s="152"/>
      <c r="H122" s="15"/>
      <c r="I122" s="15"/>
      <c r="J122" s="15"/>
      <c r="K122" s="15"/>
      <c r="L122" s="22"/>
      <c r="M122" s="15"/>
      <c r="N122" s="256"/>
    </row>
    <row r="123" spans="1:14" s="12" customFormat="1" ht="17.25">
      <c r="A123" s="184"/>
      <c r="B123" s="13"/>
      <c r="C123" s="23" t="s">
        <v>32</v>
      </c>
      <c r="D123" s="15" t="s">
        <v>30</v>
      </c>
      <c r="E123" s="22"/>
      <c r="F123" s="157">
        <f>F122</f>
        <v>0.030350249999999995</v>
      </c>
      <c r="G123" s="152"/>
      <c r="H123" s="15"/>
      <c r="I123" s="15"/>
      <c r="J123" s="15"/>
      <c r="K123" s="15"/>
      <c r="L123" s="22"/>
      <c r="M123" s="15"/>
      <c r="N123" s="256"/>
    </row>
    <row r="124" spans="1:16" s="12" customFormat="1" ht="17.25">
      <c r="A124" s="184"/>
      <c r="B124" s="13"/>
      <c r="C124" s="23" t="s">
        <v>53</v>
      </c>
      <c r="D124" s="15" t="s">
        <v>31</v>
      </c>
      <c r="E124" s="155">
        <f>7.6/100</f>
        <v>0.076</v>
      </c>
      <c r="F124" s="15">
        <f>E124*F116</f>
        <v>0.5625899999999999</v>
      </c>
      <c r="G124" s="152"/>
      <c r="H124" s="15"/>
      <c r="I124" s="15"/>
      <c r="J124" s="15"/>
      <c r="K124" s="15"/>
      <c r="L124" s="22"/>
      <c r="M124" s="15"/>
      <c r="N124" s="256"/>
      <c r="P124" s="174"/>
    </row>
    <row r="125" spans="1:14" s="12" customFormat="1" ht="17.25">
      <c r="A125" s="184"/>
      <c r="B125" s="13"/>
      <c r="C125" s="23" t="s">
        <v>32</v>
      </c>
      <c r="D125" s="15" t="s">
        <v>30</v>
      </c>
      <c r="E125" s="22"/>
      <c r="F125" s="15">
        <f>F124</f>
        <v>0.5625899999999999</v>
      </c>
      <c r="G125" s="152"/>
      <c r="H125" s="15"/>
      <c r="I125" s="15"/>
      <c r="J125" s="15"/>
      <c r="K125" s="15"/>
      <c r="L125" s="22"/>
      <c r="M125" s="15"/>
      <c r="N125" s="256"/>
    </row>
    <row r="126" spans="1:14" s="12" customFormat="1" ht="17.25">
      <c r="A126" s="184"/>
      <c r="B126" s="13"/>
      <c r="C126" s="23" t="s">
        <v>54</v>
      </c>
      <c r="D126" s="15" t="s">
        <v>31</v>
      </c>
      <c r="E126" s="155">
        <f>15.1/100</f>
        <v>0.151</v>
      </c>
      <c r="F126" s="15">
        <f>E126*F116</f>
        <v>1.1177774999999999</v>
      </c>
      <c r="G126" s="152"/>
      <c r="H126" s="15"/>
      <c r="I126" s="15"/>
      <c r="J126" s="15"/>
      <c r="K126" s="15"/>
      <c r="L126" s="22"/>
      <c r="M126" s="15"/>
      <c r="N126" s="256"/>
    </row>
    <row r="127" spans="1:14" s="12" customFormat="1" ht="17.25">
      <c r="A127" s="184"/>
      <c r="B127" s="13"/>
      <c r="C127" s="23" t="s">
        <v>32</v>
      </c>
      <c r="D127" s="15" t="s">
        <v>30</v>
      </c>
      <c r="E127" s="22"/>
      <c r="F127" s="15">
        <f>F126</f>
        <v>1.1177774999999999</v>
      </c>
      <c r="G127" s="152"/>
      <c r="H127" s="15"/>
      <c r="I127" s="15"/>
      <c r="J127" s="15"/>
      <c r="K127" s="15"/>
      <c r="L127" s="22"/>
      <c r="M127" s="15"/>
      <c r="N127" s="256"/>
    </row>
    <row r="128" spans="1:14" s="12" customFormat="1" ht="17.25">
      <c r="A128" s="184"/>
      <c r="B128" s="13"/>
      <c r="C128" s="23" t="s">
        <v>33</v>
      </c>
      <c r="D128" s="15" t="s">
        <v>31</v>
      </c>
      <c r="E128" s="155">
        <f>0.97/100</f>
        <v>0.0097</v>
      </c>
      <c r="F128" s="15">
        <f>E128*F116</f>
        <v>0.07180425</v>
      </c>
      <c r="G128" s="152"/>
      <c r="H128" s="15"/>
      <c r="I128" s="15"/>
      <c r="J128" s="15"/>
      <c r="K128" s="15"/>
      <c r="L128" s="22"/>
      <c r="M128" s="15"/>
      <c r="N128" s="256"/>
    </row>
    <row r="129" spans="1:14" s="12" customFormat="1" ht="17.25">
      <c r="A129" s="184"/>
      <c r="B129" s="13"/>
      <c r="C129" s="23" t="s">
        <v>32</v>
      </c>
      <c r="D129" s="15" t="s">
        <v>30</v>
      </c>
      <c r="E129" s="22"/>
      <c r="F129" s="15">
        <f>F128</f>
        <v>0.07180425</v>
      </c>
      <c r="G129" s="152"/>
      <c r="H129" s="15"/>
      <c r="I129" s="15"/>
      <c r="J129" s="15"/>
      <c r="K129" s="15"/>
      <c r="L129" s="22"/>
      <c r="M129" s="15"/>
      <c r="N129" s="256"/>
    </row>
    <row r="130" spans="1:14" s="12" customFormat="1" ht="20.25">
      <c r="A130" s="184"/>
      <c r="B130" s="13"/>
      <c r="C130" s="23" t="s">
        <v>98</v>
      </c>
      <c r="D130" s="15" t="s">
        <v>106</v>
      </c>
      <c r="E130" s="22">
        <v>1.26</v>
      </c>
      <c r="F130" s="15">
        <f>F116*1.26</f>
        <v>9.32715</v>
      </c>
      <c r="G130" s="152"/>
      <c r="H130" s="15"/>
      <c r="I130" s="15"/>
      <c r="J130" s="15"/>
      <c r="K130" s="15"/>
      <c r="L130" s="22"/>
      <c r="M130" s="15"/>
      <c r="N130" s="256"/>
    </row>
    <row r="131" spans="1:14" s="12" customFormat="1" ht="20.25">
      <c r="A131" s="185"/>
      <c r="B131" s="158"/>
      <c r="C131" s="159" t="s">
        <v>97</v>
      </c>
      <c r="D131" s="17" t="s">
        <v>106</v>
      </c>
      <c r="E131" s="160">
        <f>7/100</f>
        <v>0.07</v>
      </c>
      <c r="F131" s="17">
        <f>E131*F116</f>
        <v>0.518175</v>
      </c>
      <c r="G131" s="151"/>
      <c r="H131" s="17"/>
      <c r="I131" s="17"/>
      <c r="J131" s="17"/>
      <c r="K131" s="17"/>
      <c r="L131" s="47"/>
      <c r="M131" s="17"/>
      <c r="N131" s="256"/>
    </row>
    <row r="132" spans="1:14" s="12" customFormat="1" ht="16.5">
      <c r="A132" s="46"/>
      <c r="B132" s="177"/>
      <c r="C132" s="178" t="s">
        <v>110</v>
      </c>
      <c r="D132" s="149" t="s">
        <v>35</v>
      </c>
      <c r="E132" s="27">
        <v>1.6</v>
      </c>
      <c r="F132" s="62">
        <f>E132*F130</f>
        <v>14.92344</v>
      </c>
      <c r="G132" s="150"/>
      <c r="H132" s="149"/>
      <c r="I132" s="27"/>
      <c r="J132" s="150"/>
      <c r="K132" s="27"/>
      <c r="L132" s="149"/>
      <c r="M132" s="27"/>
      <c r="N132" s="256"/>
    </row>
    <row r="133" spans="1:14" s="12" customFormat="1" ht="16.5">
      <c r="A133" s="100"/>
      <c r="B133" s="59"/>
      <c r="C133" s="101" t="s">
        <v>211</v>
      </c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256">
        <v>1322.52</v>
      </c>
    </row>
    <row r="134" spans="1:14" s="12" customFormat="1" ht="30.75" customHeight="1">
      <c r="A134" s="167" t="s">
        <v>205</v>
      </c>
      <c r="B134" s="231" t="s">
        <v>156</v>
      </c>
      <c r="C134" s="28" t="s">
        <v>157</v>
      </c>
      <c r="D134" s="154" t="s">
        <v>111</v>
      </c>
      <c r="E134" s="154"/>
      <c r="F134" s="10">
        <v>47</v>
      </c>
      <c r="G134" s="15"/>
      <c r="H134" s="15"/>
      <c r="I134" s="15"/>
      <c r="J134" s="15"/>
      <c r="K134" s="14"/>
      <c r="L134" s="14"/>
      <c r="M134" s="15"/>
      <c r="N134" s="259"/>
    </row>
    <row r="135" spans="1:14" s="12" customFormat="1" ht="19.5" customHeight="1">
      <c r="A135" s="96"/>
      <c r="B135" s="232"/>
      <c r="C135" s="233" t="s">
        <v>29</v>
      </c>
      <c r="D135" s="15" t="s">
        <v>30</v>
      </c>
      <c r="E135" s="234">
        <v>0.182</v>
      </c>
      <c r="F135" s="78">
        <f>E135*F134</f>
        <v>8.554</v>
      </c>
      <c r="G135" s="78"/>
      <c r="H135" s="78"/>
      <c r="I135" s="78"/>
      <c r="J135" s="78"/>
      <c r="K135" s="78"/>
      <c r="L135" s="78"/>
      <c r="M135" s="78"/>
      <c r="N135" s="256"/>
    </row>
    <row r="136" spans="1:14" s="12" customFormat="1" ht="19.5" customHeight="1">
      <c r="A136" s="96"/>
      <c r="B136" s="13"/>
      <c r="C136" s="67" t="s">
        <v>158</v>
      </c>
      <c r="D136" s="15" t="s">
        <v>31</v>
      </c>
      <c r="E136" s="96">
        <f>6.6/1000</f>
        <v>0.0066</v>
      </c>
      <c r="F136" s="78">
        <f>E136*F134</f>
        <v>0.3102</v>
      </c>
      <c r="G136" s="78"/>
      <c r="H136" s="78"/>
      <c r="I136" s="78"/>
      <c r="J136" s="78"/>
      <c r="K136" s="78"/>
      <c r="L136" s="78"/>
      <c r="M136" s="78"/>
      <c r="N136" s="256"/>
    </row>
    <row r="137" spans="1:14" s="12" customFormat="1" ht="19.5" customHeight="1">
      <c r="A137" s="96"/>
      <c r="B137" s="232"/>
      <c r="C137" s="233" t="s">
        <v>32</v>
      </c>
      <c r="D137" s="15" t="s">
        <v>30</v>
      </c>
      <c r="E137" s="69"/>
      <c r="F137" s="78">
        <f>F136</f>
        <v>0.3102</v>
      </c>
      <c r="G137" s="78"/>
      <c r="H137" s="78"/>
      <c r="I137" s="78"/>
      <c r="J137" s="78"/>
      <c r="K137" s="78"/>
      <c r="L137" s="78"/>
      <c r="M137" s="78"/>
      <c r="N137" s="256"/>
    </row>
    <row r="138" spans="1:14" s="12" customFormat="1" ht="19.5" customHeight="1">
      <c r="A138" s="96"/>
      <c r="B138" s="13"/>
      <c r="C138" s="233" t="s">
        <v>159</v>
      </c>
      <c r="D138" s="15" t="s">
        <v>31</v>
      </c>
      <c r="E138" s="96">
        <f>6.6/1000</f>
        <v>0.0066</v>
      </c>
      <c r="F138" s="78">
        <f>E138*F134</f>
        <v>0.3102</v>
      </c>
      <c r="G138" s="78"/>
      <c r="H138" s="78"/>
      <c r="I138" s="78"/>
      <c r="J138" s="78"/>
      <c r="K138" s="78"/>
      <c r="L138" s="78"/>
      <c r="M138" s="78"/>
      <c r="N138" s="256"/>
    </row>
    <row r="139" spans="1:14" s="12" customFormat="1" ht="19.5" customHeight="1">
      <c r="A139" s="96"/>
      <c r="B139" s="232"/>
      <c r="C139" s="233" t="s">
        <v>32</v>
      </c>
      <c r="D139" s="15" t="s">
        <v>30</v>
      </c>
      <c r="E139" s="69"/>
      <c r="F139" s="78">
        <f>F138</f>
        <v>0.3102</v>
      </c>
      <c r="G139" s="78"/>
      <c r="H139" s="78"/>
      <c r="I139" s="78"/>
      <c r="J139" s="78"/>
      <c r="K139" s="78"/>
      <c r="L139" s="78"/>
      <c r="M139" s="78"/>
      <c r="N139" s="256"/>
    </row>
    <row r="140" spans="1:14" s="12" customFormat="1" ht="19.5" customHeight="1">
      <c r="A140" s="96"/>
      <c r="B140" s="13"/>
      <c r="C140" s="67" t="s">
        <v>160</v>
      </c>
      <c r="D140" s="15" t="s">
        <v>31</v>
      </c>
      <c r="E140" s="96">
        <f>18.6/1000</f>
        <v>0.018600000000000002</v>
      </c>
      <c r="F140" s="78">
        <f>E140*F134</f>
        <v>0.8742000000000001</v>
      </c>
      <c r="G140" s="78"/>
      <c r="H140" s="78"/>
      <c r="I140" s="78"/>
      <c r="J140" s="78"/>
      <c r="K140" s="78"/>
      <c r="L140" s="78"/>
      <c r="M140" s="78"/>
      <c r="N140" s="256"/>
    </row>
    <row r="141" spans="1:14" s="12" customFormat="1" ht="19.5" customHeight="1">
      <c r="A141" s="96"/>
      <c r="B141" s="232"/>
      <c r="C141" s="233" t="s">
        <v>32</v>
      </c>
      <c r="D141" s="15" t="s">
        <v>30</v>
      </c>
      <c r="E141" s="69"/>
      <c r="F141" s="78">
        <f>F140</f>
        <v>0.8742000000000001</v>
      </c>
      <c r="G141" s="78"/>
      <c r="H141" s="78"/>
      <c r="I141" s="78"/>
      <c r="J141" s="78"/>
      <c r="K141" s="78"/>
      <c r="L141" s="78"/>
      <c r="M141" s="78"/>
      <c r="N141" s="256"/>
    </row>
    <row r="142" spans="1:14" s="12" customFormat="1" ht="19.5" customHeight="1">
      <c r="A142" s="96"/>
      <c r="B142" s="13"/>
      <c r="C142" s="67" t="s">
        <v>161</v>
      </c>
      <c r="D142" s="15" t="s">
        <v>31</v>
      </c>
      <c r="E142" s="235">
        <f>6.7/1000</f>
        <v>0.0067</v>
      </c>
      <c r="F142" s="78">
        <f>E142*F134</f>
        <v>0.3149</v>
      </c>
      <c r="G142" s="78"/>
      <c r="H142" s="78"/>
      <c r="I142" s="78"/>
      <c r="J142" s="78"/>
      <c r="K142" s="78"/>
      <c r="L142" s="78"/>
      <c r="M142" s="78"/>
      <c r="N142" s="256"/>
    </row>
    <row r="143" spans="1:14" s="12" customFormat="1" ht="19.5" customHeight="1">
      <c r="A143" s="96"/>
      <c r="B143" s="232"/>
      <c r="C143" s="233" t="s">
        <v>32</v>
      </c>
      <c r="D143" s="15" t="s">
        <v>30</v>
      </c>
      <c r="E143" s="69"/>
      <c r="F143" s="78">
        <f>F142</f>
        <v>0.3149</v>
      </c>
      <c r="G143" s="78"/>
      <c r="H143" s="78"/>
      <c r="I143" s="78"/>
      <c r="J143" s="78"/>
      <c r="K143" s="78"/>
      <c r="L143" s="78"/>
      <c r="M143" s="78"/>
      <c r="N143" s="256"/>
    </row>
    <row r="144" spans="1:14" s="12" customFormat="1" ht="19.5" customHeight="1">
      <c r="A144" s="96"/>
      <c r="B144" s="232"/>
      <c r="C144" s="67" t="s">
        <v>37</v>
      </c>
      <c r="D144" s="69" t="s">
        <v>34</v>
      </c>
      <c r="E144" s="69">
        <f>22.9/1000</f>
        <v>0.0229</v>
      </c>
      <c r="F144" s="78">
        <f>E144*F134</f>
        <v>1.0763</v>
      </c>
      <c r="G144" s="78"/>
      <c r="H144" s="78"/>
      <c r="I144" s="78"/>
      <c r="J144" s="78"/>
      <c r="K144" s="78"/>
      <c r="L144" s="78"/>
      <c r="M144" s="78"/>
      <c r="N144" s="256"/>
    </row>
    <row r="145" spans="1:14" s="12" customFormat="1" ht="19.5" customHeight="1">
      <c r="A145" s="96"/>
      <c r="B145" s="232"/>
      <c r="C145" s="67" t="s">
        <v>162</v>
      </c>
      <c r="D145" s="69" t="s">
        <v>106</v>
      </c>
      <c r="E145" s="236" t="s">
        <v>133</v>
      </c>
      <c r="F145" s="78">
        <v>7.5200000000000005</v>
      </c>
      <c r="G145" s="78"/>
      <c r="H145" s="78"/>
      <c r="I145" s="78"/>
      <c r="J145" s="78"/>
      <c r="K145" s="78"/>
      <c r="L145" s="78"/>
      <c r="M145" s="78"/>
      <c r="N145" s="256"/>
    </row>
    <row r="146" spans="1:14" s="12" customFormat="1" ht="19.5" customHeight="1">
      <c r="A146" s="96"/>
      <c r="B146" s="232"/>
      <c r="C146" s="67" t="s">
        <v>163</v>
      </c>
      <c r="D146" s="69" t="s">
        <v>35</v>
      </c>
      <c r="E146" s="236" t="s">
        <v>133</v>
      </c>
      <c r="F146" s="237">
        <v>0.186</v>
      </c>
      <c r="G146" s="78"/>
      <c r="H146" s="78"/>
      <c r="I146" s="78"/>
      <c r="J146" s="78"/>
      <c r="K146" s="78"/>
      <c r="L146" s="78"/>
      <c r="M146" s="78"/>
      <c r="N146" s="256"/>
    </row>
    <row r="147" spans="1:14" s="12" customFormat="1" ht="19.5" customHeight="1">
      <c r="A147" s="96"/>
      <c r="B147" s="232"/>
      <c r="C147" s="67" t="s">
        <v>164</v>
      </c>
      <c r="D147" s="69" t="s">
        <v>35</v>
      </c>
      <c r="E147" s="69">
        <f>0.11/1000</f>
        <v>0.00011</v>
      </c>
      <c r="F147" s="237">
        <f>E147*F134</f>
        <v>0.00517</v>
      </c>
      <c r="G147" s="78"/>
      <c r="H147" s="78"/>
      <c r="I147" s="78"/>
      <c r="J147" s="78"/>
      <c r="K147" s="78"/>
      <c r="L147" s="78"/>
      <c r="M147" s="78"/>
      <c r="N147" s="256"/>
    </row>
    <row r="148" spans="1:14" s="12" customFormat="1" ht="19.5" customHeight="1">
      <c r="A148" s="96"/>
      <c r="B148" s="13"/>
      <c r="C148" s="67" t="s">
        <v>165</v>
      </c>
      <c r="D148" s="69" t="s">
        <v>35</v>
      </c>
      <c r="E148" s="69">
        <f>0.5/1000</f>
        <v>0.0005</v>
      </c>
      <c r="F148" s="237">
        <f>E148*F134</f>
        <v>0.0235</v>
      </c>
      <c r="G148" s="78"/>
      <c r="H148" s="78"/>
      <c r="I148" s="78"/>
      <c r="J148" s="78"/>
      <c r="K148" s="78"/>
      <c r="L148" s="78"/>
      <c r="M148" s="78"/>
      <c r="N148" s="256"/>
    </row>
    <row r="149" spans="1:14" s="12" customFormat="1" ht="19.5" customHeight="1">
      <c r="A149" s="97"/>
      <c r="B149" s="238"/>
      <c r="C149" s="239" t="s">
        <v>38</v>
      </c>
      <c r="D149" s="81" t="s">
        <v>34</v>
      </c>
      <c r="E149" s="81">
        <f>18.5/1000</f>
        <v>0.0185</v>
      </c>
      <c r="F149" s="98">
        <f>E149*F134</f>
        <v>0.8694999999999999</v>
      </c>
      <c r="G149" s="98"/>
      <c r="H149" s="98"/>
      <c r="I149" s="98"/>
      <c r="J149" s="98"/>
      <c r="K149" s="98"/>
      <c r="L149" s="98"/>
      <c r="M149" s="98"/>
      <c r="N149" s="256"/>
    </row>
    <row r="150" spans="1:14" s="12" customFormat="1" ht="16.5">
      <c r="A150" s="46"/>
      <c r="B150" s="177"/>
      <c r="C150" s="178" t="s">
        <v>129</v>
      </c>
      <c r="D150" s="149" t="s">
        <v>35</v>
      </c>
      <c r="E150" s="27">
        <v>2.4</v>
      </c>
      <c r="F150" s="62">
        <f>E150*F145</f>
        <v>18.048000000000002</v>
      </c>
      <c r="G150" s="150"/>
      <c r="H150" s="149"/>
      <c r="I150" s="27"/>
      <c r="J150" s="150"/>
      <c r="K150" s="27"/>
      <c r="L150" s="149"/>
      <c r="M150" s="27"/>
      <c r="N150" s="256"/>
    </row>
    <row r="151" spans="1:14" s="12" customFormat="1" ht="16.5">
      <c r="A151" s="46"/>
      <c r="B151" s="177"/>
      <c r="C151" s="178" t="s">
        <v>209</v>
      </c>
      <c r="D151" s="149" t="s">
        <v>35</v>
      </c>
      <c r="E151" s="27"/>
      <c r="F151" s="62">
        <f>F146</f>
        <v>0.186</v>
      </c>
      <c r="G151" s="150"/>
      <c r="H151" s="149"/>
      <c r="I151" s="27"/>
      <c r="J151" s="150"/>
      <c r="K151" s="27"/>
      <c r="L151" s="149"/>
      <c r="M151" s="27"/>
      <c r="N151" s="256"/>
    </row>
    <row r="152" spans="1:14" s="12" customFormat="1" ht="39.75" customHeight="1">
      <c r="A152" s="167" t="s">
        <v>206</v>
      </c>
      <c r="B152" s="240" t="s">
        <v>167</v>
      </c>
      <c r="C152" s="186" t="s">
        <v>181</v>
      </c>
      <c r="D152" s="154" t="s">
        <v>36</v>
      </c>
      <c r="E152" s="200"/>
      <c r="F152" s="10">
        <v>5</v>
      </c>
      <c r="G152" s="15"/>
      <c r="H152" s="15"/>
      <c r="I152" s="15"/>
      <c r="J152" s="15"/>
      <c r="K152" s="15"/>
      <c r="L152" s="15"/>
      <c r="M152" s="15"/>
      <c r="N152" s="256"/>
    </row>
    <row r="153" spans="1:14" s="12" customFormat="1" ht="22.5" customHeight="1">
      <c r="A153" s="96"/>
      <c r="B153" s="232"/>
      <c r="C153" s="233" t="s">
        <v>29</v>
      </c>
      <c r="D153" s="15" t="s">
        <v>30</v>
      </c>
      <c r="E153" s="69">
        <f>10.3/100</f>
        <v>0.10300000000000001</v>
      </c>
      <c r="F153" s="78">
        <f>E153*F152</f>
        <v>0.515</v>
      </c>
      <c r="G153" s="78"/>
      <c r="H153" s="78"/>
      <c r="I153" s="78"/>
      <c r="J153" s="78"/>
      <c r="K153" s="78"/>
      <c r="L153" s="78"/>
      <c r="M153" s="78"/>
      <c r="N153" s="256"/>
    </row>
    <row r="154" spans="1:14" s="12" customFormat="1" ht="22.5" customHeight="1">
      <c r="A154" s="96"/>
      <c r="B154" s="232"/>
      <c r="C154" s="67" t="s">
        <v>169</v>
      </c>
      <c r="D154" s="15" t="s">
        <v>31</v>
      </c>
      <c r="E154" s="96">
        <f>3.79/100</f>
        <v>0.0379</v>
      </c>
      <c r="F154" s="78">
        <f>E154*F152</f>
        <v>0.1895</v>
      </c>
      <c r="G154" s="78"/>
      <c r="H154" s="78"/>
      <c r="I154" s="78"/>
      <c r="J154" s="78"/>
      <c r="K154" s="78"/>
      <c r="L154" s="78"/>
      <c r="M154" s="78"/>
      <c r="N154" s="256"/>
    </row>
    <row r="155" spans="1:14" s="12" customFormat="1" ht="22.5" customHeight="1">
      <c r="A155" s="96"/>
      <c r="B155" s="232"/>
      <c r="C155" s="233" t="s">
        <v>32</v>
      </c>
      <c r="D155" s="15" t="s">
        <v>30</v>
      </c>
      <c r="E155" s="69"/>
      <c r="F155" s="78">
        <f>F154</f>
        <v>0.1895</v>
      </c>
      <c r="G155" s="78"/>
      <c r="H155" s="78"/>
      <c r="I155" s="78"/>
      <c r="J155" s="78"/>
      <c r="K155" s="78"/>
      <c r="L155" s="78"/>
      <c r="M155" s="78"/>
      <c r="N155" s="256"/>
    </row>
    <row r="156" spans="1:14" s="12" customFormat="1" ht="22.5" customHeight="1">
      <c r="A156" s="96"/>
      <c r="B156" s="232"/>
      <c r="C156" s="23" t="s">
        <v>170</v>
      </c>
      <c r="D156" s="15" t="s">
        <v>36</v>
      </c>
      <c r="E156" s="157">
        <v>1</v>
      </c>
      <c r="F156" s="15">
        <f>E156*F152</f>
        <v>5</v>
      </c>
      <c r="G156" s="15"/>
      <c r="H156" s="78"/>
      <c r="I156" s="78"/>
      <c r="J156" s="78"/>
      <c r="K156" s="78"/>
      <c r="L156" s="78"/>
      <c r="M156" s="78"/>
      <c r="N156" s="256"/>
    </row>
    <row r="157" spans="1:14" s="102" customFormat="1" ht="42" customHeight="1">
      <c r="A157" s="153" t="s">
        <v>207</v>
      </c>
      <c r="B157" s="50" t="s">
        <v>172</v>
      </c>
      <c r="C157" s="50" t="s">
        <v>173</v>
      </c>
      <c r="D157" s="19" t="s">
        <v>111</v>
      </c>
      <c r="E157" s="241"/>
      <c r="F157" s="242">
        <f>F134</f>
        <v>47</v>
      </c>
      <c r="G157" s="201"/>
      <c r="H157" s="201"/>
      <c r="I157" s="201"/>
      <c r="J157" s="201"/>
      <c r="K157" s="201"/>
      <c r="L157" s="201"/>
      <c r="M157" s="201"/>
      <c r="N157" s="256"/>
    </row>
    <row r="158" spans="1:14" s="102" customFormat="1" ht="20.25" customHeight="1">
      <c r="A158" s="14"/>
      <c r="B158" s="14"/>
      <c r="C158" s="14" t="s">
        <v>174</v>
      </c>
      <c r="D158" s="15" t="s">
        <v>30</v>
      </c>
      <c r="E158" s="237">
        <v>0.197</v>
      </c>
      <c r="F158" s="78">
        <f>F157*E158</f>
        <v>9.259</v>
      </c>
      <c r="G158" s="78"/>
      <c r="H158" s="78"/>
      <c r="I158" s="78"/>
      <c r="J158" s="78"/>
      <c r="K158" s="78"/>
      <c r="L158" s="78"/>
      <c r="M158" s="78"/>
      <c r="N158" s="256"/>
    </row>
    <row r="159" spans="1:14" s="102" customFormat="1" ht="20.25" customHeight="1">
      <c r="A159" s="14"/>
      <c r="B159" s="14"/>
      <c r="C159" s="14" t="s">
        <v>37</v>
      </c>
      <c r="D159" s="14" t="s">
        <v>34</v>
      </c>
      <c r="E159" s="237">
        <v>0.0437</v>
      </c>
      <c r="F159" s="78">
        <f>F157*E159</f>
        <v>2.0539</v>
      </c>
      <c r="G159" s="78"/>
      <c r="H159" s="78"/>
      <c r="I159" s="78"/>
      <c r="J159" s="78"/>
      <c r="K159" s="78"/>
      <c r="L159" s="78"/>
      <c r="M159" s="78"/>
      <c r="N159" s="256"/>
    </row>
    <row r="160" spans="1:14" s="102" customFormat="1" ht="20.25" customHeight="1">
      <c r="A160" s="14"/>
      <c r="B160" s="14"/>
      <c r="C160" s="14" t="s">
        <v>175</v>
      </c>
      <c r="D160" s="14" t="s">
        <v>101</v>
      </c>
      <c r="E160" s="237">
        <v>0.4</v>
      </c>
      <c r="F160" s="78">
        <f>F157*E160</f>
        <v>18.8</v>
      </c>
      <c r="G160" s="78"/>
      <c r="H160" s="78"/>
      <c r="I160" s="78"/>
      <c r="J160" s="78"/>
      <c r="K160" s="78"/>
      <c r="L160" s="78"/>
      <c r="M160" s="78"/>
      <c r="N160" s="256"/>
    </row>
    <row r="161" spans="1:14" s="102" customFormat="1" ht="20.25" customHeight="1">
      <c r="A161" s="182"/>
      <c r="B161" s="182"/>
      <c r="C161" s="182" t="s">
        <v>38</v>
      </c>
      <c r="D161" s="182" t="s">
        <v>34</v>
      </c>
      <c r="E161" s="243">
        <v>0.072</v>
      </c>
      <c r="F161" s="98">
        <f>F157*E161</f>
        <v>3.384</v>
      </c>
      <c r="G161" s="98"/>
      <c r="H161" s="98"/>
      <c r="I161" s="98"/>
      <c r="J161" s="98"/>
      <c r="K161" s="98"/>
      <c r="L161" s="98"/>
      <c r="M161" s="98"/>
      <c r="N161" s="256"/>
    </row>
    <row r="162" spans="1:14" s="102" customFormat="1" ht="20.25" customHeight="1">
      <c r="A162" s="14"/>
      <c r="B162" s="14"/>
      <c r="C162" s="14" t="s">
        <v>211</v>
      </c>
      <c r="D162" s="14"/>
      <c r="E162" s="237"/>
      <c r="F162" s="78"/>
      <c r="G162" s="78"/>
      <c r="H162" s="78"/>
      <c r="I162" s="78"/>
      <c r="J162" s="78"/>
      <c r="K162" s="78"/>
      <c r="L162" s="78"/>
      <c r="M162" s="78"/>
      <c r="N162" s="256">
        <v>2352.18</v>
      </c>
    </row>
    <row r="163" spans="1:14" s="12" customFormat="1" ht="17.25">
      <c r="A163" s="203"/>
      <c r="B163" s="90"/>
      <c r="C163" s="284" t="s">
        <v>212</v>
      </c>
      <c r="D163" s="90" t="s">
        <v>34</v>
      </c>
      <c r="E163" s="90"/>
      <c r="F163" s="90"/>
      <c r="G163" s="90"/>
      <c r="H163" s="40"/>
      <c r="I163" s="40"/>
      <c r="J163" s="40"/>
      <c r="K163" s="40"/>
      <c r="L163" s="40"/>
      <c r="M163" s="40"/>
      <c r="N163" s="260">
        <f>N162+N133+N89+N56</f>
        <v>8885.22</v>
      </c>
    </row>
    <row r="164" spans="1:14" s="12" customFormat="1" ht="33">
      <c r="A164" s="189"/>
      <c r="B164" s="13"/>
      <c r="C164" s="67" t="s">
        <v>217</v>
      </c>
      <c r="D164" s="68" t="s">
        <v>34</v>
      </c>
      <c r="E164" s="15"/>
      <c r="F164" s="15"/>
      <c r="G164" s="15"/>
      <c r="H164" s="15"/>
      <c r="I164" s="15"/>
      <c r="J164" s="15"/>
      <c r="K164" s="14"/>
      <c r="L164" s="22"/>
      <c r="M164" s="15"/>
      <c r="N164" s="259"/>
    </row>
    <row r="165" spans="1:14" s="12" customFormat="1" ht="17.25">
      <c r="A165" s="189"/>
      <c r="B165" s="13"/>
      <c r="C165" s="69" t="s">
        <v>12</v>
      </c>
      <c r="D165" s="68" t="s">
        <v>34</v>
      </c>
      <c r="E165" s="15"/>
      <c r="F165" s="15"/>
      <c r="G165" s="15"/>
      <c r="H165" s="15"/>
      <c r="I165" s="15"/>
      <c r="J165" s="15"/>
      <c r="K165" s="14"/>
      <c r="L165" s="22"/>
      <c r="M165" s="15"/>
      <c r="N165" s="256"/>
    </row>
    <row r="166" spans="1:14" s="12" customFormat="1" ht="17.25">
      <c r="A166" s="190"/>
      <c r="B166" s="71"/>
      <c r="C166" s="72" t="s">
        <v>213</v>
      </c>
      <c r="D166" s="68" t="s">
        <v>34</v>
      </c>
      <c r="E166" s="73"/>
      <c r="F166" s="74"/>
      <c r="G166" s="75"/>
      <c r="H166" s="73"/>
      <c r="I166" s="73"/>
      <c r="J166" s="73"/>
      <c r="K166" s="73"/>
      <c r="L166" s="76"/>
      <c r="M166" s="73"/>
      <c r="N166" s="256"/>
    </row>
    <row r="167" spans="1:14" s="12" customFormat="1" ht="17.25">
      <c r="A167" s="191"/>
      <c r="B167" s="71"/>
      <c r="C167" s="69" t="s">
        <v>12</v>
      </c>
      <c r="D167" s="68" t="s">
        <v>34</v>
      </c>
      <c r="E167" s="78"/>
      <c r="F167" s="69"/>
      <c r="G167" s="69"/>
      <c r="H167" s="78"/>
      <c r="I167" s="78"/>
      <c r="J167" s="78"/>
      <c r="K167" s="78"/>
      <c r="L167" s="79"/>
      <c r="M167" s="78"/>
      <c r="N167" s="256"/>
    </row>
    <row r="168" spans="1:14" s="12" customFormat="1" ht="17.25">
      <c r="A168" s="190"/>
      <c r="B168" s="71"/>
      <c r="C168" s="67" t="s">
        <v>214</v>
      </c>
      <c r="D168" s="68" t="s">
        <v>34</v>
      </c>
      <c r="E168" s="73"/>
      <c r="F168" s="80"/>
      <c r="G168" s="73"/>
      <c r="H168" s="73"/>
      <c r="I168" s="73"/>
      <c r="J168" s="73"/>
      <c r="K168" s="73"/>
      <c r="L168" s="76"/>
      <c r="M168" s="73"/>
      <c r="N168" s="258"/>
    </row>
    <row r="169" spans="1:14" s="12" customFormat="1" ht="17.25">
      <c r="A169" s="283"/>
      <c r="B169" s="278"/>
      <c r="C169" s="284" t="s">
        <v>12</v>
      </c>
      <c r="D169" s="280" t="s">
        <v>34</v>
      </c>
      <c r="E169" s="284"/>
      <c r="F169" s="284"/>
      <c r="G169" s="284"/>
      <c r="H169" s="285"/>
      <c r="I169" s="285"/>
      <c r="J169" s="285"/>
      <c r="K169" s="285"/>
      <c r="L169" s="285"/>
      <c r="M169" s="286"/>
      <c r="N169" s="256">
        <v>10577.43</v>
      </c>
    </row>
    <row r="174" spans="3:12" ht="16.5">
      <c r="C174" s="373"/>
      <c r="D174" s="373"/>
      <c r="E174" s="373"/>
      <c r="F174" s="373"/>
      <c r="G174" s="373"/>
      <c r="H174" s="373"/>
      <c r="I174" s="373"/>
      <c r="J174" s="373"/>
      <c r="K174" s="373"/>
      <c r="L174" s="373"/>
    </row>
    <row r="175" spans="3:12" ht="16.5">
      <c r="C175" s="85"/>
      <c r="D175" s="86"/>
      <c r="E175" s="86"/>
      <c r="F175" s="86"/>
      <c r="G175" s="86"/>
      <c r="H175" s="86"/>
      <c r="I175" s="86"/>
      <c r="J175" s="86"/>
      <c r="K175" s="86"/>
      <c r="L175" s="86"/>
    </row>
    <row r="176" spans="3:12" ht="16.5">
      <c r="C176" s="85"/>
      <c r="D176" s="86"/>
      <c r="E176" s="86"/>
      <c r="F176" s="86"/>
      <c r="G176" s="86"/>
      <c r="H176" s="86"/>
      <c r="I176" s="86"/>
      <c r="J176" s="86"/>
      <c r="K176" s="86"/>
      <c r="L176" s="86"/>
    </row>
    <row r="177" spans="3:12" ht="16.5">
      <c r="C177" s="85"/>
      <c r="D177" s="86"/>
      <c r="E177" s="86"/>
      <c r="F177" s="86"/>
      <c r="G177" s="86"/>
      <c r="H177" s="86"/>
      <c r="I177" s="86"/>
      <c r="J177" s="86"/>
      <c r="K177" s="86"/>
      <c r="L177" s="86"/>
    </row>
    <row r="178" spans="3:12" ht="16.5">
      <c r="C178" s="373"/>
      <c r="D178" s="373"/>
      <c r="E178" s="373"/>
      <c r="F178" s="373"/>
      <c r="G178" s="373"/>
      <c r="H178" s="373"/>
      <c r="I178" s="373"/>
      <c r="J178" s="373"/>
      <c r="K178" s="373"/>
      <c r="L178" s="373"/>
    </row>
    <row r="179" spans="3:12" ht="16.5">
      <c r="C179" s="85"/>
      <c r="D179" s="86"/>
      <c r="E179" s="86"/>
      <c r="F179" s="86"/>
      <c r="G179" s="86"/>
      <c r="H179" s="86"/>
      <c r="I179" s="86"/>
      <c r="J179" s="86"/>
      <c r="K179" s="86"/>
      <c r="L179" s="86"/>
    </row>
  </sheetData>
  <sheetProtection/>
  <mergeCells count="28">
    <mergeCell ref="A1:M1"/>
    <mergeCell ref="A2:M2"/>
    <mergeCell ref="A3:M3"/>
    <mergeCell ref="A4:M4"/>
    <mergeCell ref="B5:D5"/>
    <mergeCell ref="F5:I5"/>
    <mergeCell ref="A8:A11"/>
    <mergeCell ref="B8:B11"/>
    <mergeCell ref="A90:C90"/>
    <mergeCell ref="A13:C13"/>
    <mergeCell ref="B6:C6"/>
    <mergeCell ref="F6:I6"/>
    <mergeCell ref="C8:C11"/>
    <mergeCell ref="D8:F9"/>
    <mergeCell ref="G8:H9"/>
    <mergeCell ref="I8:J9"/>
    <mergeCell ref="C174:L174"/>
    <mergeCell ref="L10:L11"/>
    <mergeCell ref="N8:N11"/>
    <mergeCell ref="C178:L178"/>
    <mergeCell ref="K8:L8"/>
    <mergeCell ref="M8:M11"/>
    <mergeCell ref="K9:L9"/>
    <mergeCell ref="D10:D11"/>
    <mergeCell ref="E10:E11"/>
    <mergeCell ref="F10:F11"/>
    <mergeCell ref="H10:H11"/>
    <mergeCell ref="J10:J11"/>
  </mergeCells>
  <conditionalFormatting sqref="B134:C149 B158:C162 C157 B152:C156">
    <cfRule type="cellIs" priority="2" dxfId="3" operator="equal">
      <formula>0</formula>
    </cfRule>
  </conditionalFormatting>
  <conditionalFormatting sqref="B157">
    <cfRule type="cellIs" priority="1" dxfId="3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="85" zoomScaleSheetLayoutView="85" zoomScalePageLayoutView="0" workbookViewId="0" topLeftCell="A1">
      <selection activeCell="F38" sqref="F38"/>
    </sheetView>
  </sheetViews>
  <sheetFormatPr defaultColWidth="9.00390625" defaultRowHeight="12.75"/>
  <cols>
    <col min="1" max="1" width="3.8515625" style="82" customWidth="1"/>
    <col min="2" max="2" width="10.7109375" style="83" customWidth="1"/>
    <col min="3" max="3" width="68.57421875" style="83" customWidth="1"/>
    <col min="4" max="4" width="12.28125" style="84" customWidth="1"/>
    <col min="5" max="5" width="9.8515625" style="84" customWidth="1"/>
    <col min="6" max="7" width="9.140625" style="84" customWidth="1"/>
    <col min="8" max="8" width="10.28125" style="84" customWidth="1"/>
    <col min="9" max="9" width="11.7109375" style="84" customWidth="1"/>
    <col min="10" max="10" width="11.00390625" style="84" customWidth="1"/>
    <col min="11" max="11" width="8.8515625" style="84" customWidth="1"/>
    <col min="12" max="12" width="9.8515625" style="84" customWidth="1"/>
    <col min="13" max="13" width="13.140625" style="84" customWidth="1"/>
    <col min="14" max="14" width="12.140625" style="268" customWidth="1"/>
    <col min="15" max="15" width="9.8515625" style="43" customWidth="1"/>
    <col min="16" max="16" width="3.28125" style="43" customWidth="1"/>
    <col min="17" max="17" width="4.140625" style="43" customWidth="1"/>
    <col min="18" max="18" width="13.421875" style="43" customWidth="1"/>
    <col min="19" max="20" width="9.00390625" style="43" customWidth="1"/>
    <col min="21" max="21" width="5.421875" style="43" customWidth="1"/>
    <col min="22" max="16384" width="9.00390625" style="43" customWidth="1"/>
  </cols>
  <sheetData>
    <row r="1" spans="1:14" s="12" customFormat="1" ht="56.25" customHeight="1">
      <c r="A1" s="302" t="str">
        <f>'nakrebi lari'!A4:N4</f>
        <v>siRnaRis municipalitetSi, q. siRnaRSi evdoSvilis II Sesaxvevis,  kvernaZis quCis bolo monakveTis, erekle II-s II Cixis, rusTavelis Cixis da “ormila”-s wyarosTan misasvleli  gzebis sareabilitacio samuSaoebi 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270"/>
    </row>
    <row r="2" spans="1:14" s="12" customFormat="1" ht="17.25">
      <c r="A2" s="374" t="s">
        <v>96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266"/>
    </row>
    <row r="3" spans="1:14" s="12" customFormat="1" ht="27" customHeight="1">
      <c r="A3" s="367" t="s">
        <v>182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266"/>
    </row>
    <row r="4" spans="1:14" s="12" customFormat="1" ht="38.25" customHeight="1">
      <c r="A4" s="54"/>
      <c r="B4" s="384" t="s">
        <v>28</v>
      </c>
      <c r="C4" s="384"/>
      <c r="D4" s="385"/>
      <c r="E4" s="144"/>
      <c r="F4" s="386" t="s">
        <v>1</v>
      </c>
      <c r="G4" s="386"/>
      <c r="H4" s="386"/>
      <c r="I4" s="386"/>
      <c r="J4" s="145">
        <f>M43/1000</f>
        <v>0</v>
      </c>
      <c r="K4" s="144" t="s">
        <v>0</v>
      </c>
      <c r="L4" s="44"/>
      <c r="M4" s="44"/>
      <c r="N4" s="266"/>
    </row>
    <row r="5" spans="1:14" s="12" customFormat="1" ht="15.75" customHeight="1">
      <c r="A5" s="54"/>
      <c r="B5" s="370" t="s">
        <v>131</v>
      </c>
      <c r="C5" s="370"/>
      <c r="D5" s="44"/>
      <c r="E5" s="44"/>
      <c r="F5" s="372"/>
      <c r="G5" s="372"/>
      <c r="H5" s="372"/>
      <c r="I5" s="372"/>
      <c r="J5" s="44"/>
      <c r="K5" s="44"/>
      <c r="L5" s="44"/>
      <c r="M5" s="44"/>
      <c r="N5" s="266"/>
    </row>
    <row r="6" spans="1:14" s="12" customFormat="1" ht="15.75" customHeight="1">
      <c r="A6" s="54"/>
      <c r="B6" s="55"/>
      <c r="C6" s="55"/>
      <c r="D6" s="44"/>
      <c r="E6" s="44"/>
      <c r="F6" s="44"/>
      <c r="G6" s="44"/>
      <c r="H6" s="44"/>
      <c r="I6" s="44"/>
      <c r="J6" s="44"/>
      <c r="K6" s="44"/>
      <c r="L6" s="44"/>
      <c r="M6" s="44"/>
      <c r="N6" s="266"/>
    </row>
    <row r="7" spans="1:14" s="12" customFormat="1" ht="16.5">
      <c r="A7" s="357" t="s">
        <v>2</v>
      </c>
      <c r="B7" s="358" t="s">
        <v>3</v>
      </c>
      <c r="C7" s="315" t="s">
        <v>27</v>
      </c>
      <c r="D7" s="355" t="s">
        <v>4</v>
      </c>
      <c r="E7" s="361"/>
      <c r="F7" s="347"/>
      <c r="G7" s="355" t="s">
        <v>5</v>
      </c>
      <c r="H7" s="356"/>
      <c r="I7" s="355" t="s">
        <v>6</v>
      </c>
      <c r="J7" s="365"/>
      <c r="K7" s="355" t="s">
        <v>7</v>
      </c>
      <c r="L7" s="365"/>
      <c r="M7" s="353" t="s">
        <v>8</v>
      </c>
      <c r="N7" s="344" t="s">
        <v>210</v>
      </c>
    </row>
    <row r="8" spans="1:14" s="12" customFormat="1" ht="16.5">
      <c r="A8" s="335"/>
      <c r="B8" s="359"/>
      <c r="C8" s="316"/>
      <c r="D8" s="351"/>
      <c r="E8" s="362"/>
      <c r="F8" s="363"/>
      <c r="G8" s="364"/>
      <c r="H8" s="352"/>
      <c r="I8" s="364"/>
      <c r="J8" s="366"/>
      <c r="K8" s="351" t="s">
        <v>9</v>
      </c>
      <c r="L8" s="366"/>
      <c r="M8" s="349"/>
      <c r="N8" s="345"/>
    </row>
    <row r="9" spans="1:14" s="12" customFormat="1" ht="16.5">
      <c r="A9" s="335"/>
      <c r="B9" s="359"/>
      <c r="C9" s="316"/>
      <c r="D9" s="353" t="s">
        <v>10</v>
      </c>
      <c r="E9" s="353" t="s">
        <v>11</v>
      </c>
      <c r="F9" s="353" t="s">
        <v>12</v>
      </c>
      <c r="G9" s="25" t="s">
        <v>11</v>
      </c>
      <c r="H9" s="353" t="s">
        <v>12</v>
      </c>
      <c r="I9" s="25" t="s">
        <v>11</v>
      </c>
      <c r="J9" s="353" t="s">
        <v>12</v>
      </c>
      <c r="K9" s="25" t="s">
        <v>11</v>
      </c>
      <c r="L9" s="355" t="s">
        <v>12</v>
      </c>
      <c r="M9" s="349"/>
      <c r="N9" s="345"/>
    </row>
    <row r="10" spans="1:14" s="12" customFormat="1" ht="16.5">
      <c r="A10" s="336"/>
      <c r="B10" s="360"/>
      <c r="C10" s="317"/>
      <c r="D10" s="354"/>
      <c r="E10" s="354"/>
      <c r="F10" s="354"/>
      <c r="G10" s="27" t="s">
        <v>13</v>
      </c>
      <c r="H10" s="354"/>
      <c r="I10" s="27" t="s">
        <v>13</v>
      </c>
      <c r="J10" s="354"/>
      <c r="K10" s="27" t="s">
        <v>13</v>
      </c>
      <c r="L10" s="351"/>
      <c r="M10" s="350"/>
      <c r="N10" s="346"/>
    </row>
    <row r="11" spans="1:14" s="12" customFormat="1" ht="16.5">
      <c r="A11" s="58" t="s">
        <v>14</v>
      </c>
      <c r="B11" s="59" t="s">
        <v>15</v>
      </c>
      <c r="C11" s="60" t="s">
        <v>16</v>
      </c>
      <c r="D11" s="61" t="s">
        <v>17</v>
      </c>
      <c r="E11" s="62" t="s">
        <v>18</v>
      </c>
      <c r="F11" s="63" t="s">
        <v>19</v>
      </c>
      <c r="G11" s="64" t="s">
        <v>20</v>
      </c>
      <c r="H11" s="61" t="s">
        <v>21</v>
      </c>
      <c r="I11" s="62" t="s">
        <v>22</v>
      </c>
      <c r="J11" s="64" t="s">
        <v>23</v>
      </c>
      <c r="K11" s="62" t="s">
        <v>24</v>
      </c>
      <c r="L11" s="61" t="s">
        <v>25</v>
      </c>
      <c r="M11" s="62" t="s">
        <v>26</v>
      </c>
      <c r="N11" s="253">
        <v>14</v>
      </c>
    </row>
    <row r="12" spans="1:14" s="12" customFormat="1" ht="51.75">
      <c r="A12" s="49">
        <v>1</v>
      </c>
      <c r="B12" s="244" t="s">
        <v>183</v>
      </c>
      <c r="C12" s="28" t="s">
        <v>190</v>
      </c>
      <c r="D12" s="196" t="s">
        <v>105</v>
      </c>
      <c r="E12" s="200"/>
      <c r="F12" s="10">
        <v>2.2</v>
      </c>
      <c r="G12" s="245"/>
      <c r="H12" s="15"/>
      <c r="I12" s="15"/>
      <c r="J12" s="15"/>
      <c r="K12" s="15"/>
      <c r="L12" s="15"/>
      <c r="M12" s="246"/>
      <c r="N12" s="252"/>
    </row>
    <row r="13" spans="1:14" s="12" customFormat="1" ht="17.25">
      <c r="A13" s="184"/>
      <c r="B13" s="34"/>
      <c r="C13" s="23" t="s">
        <v>29</v>
      </c>
      <c r="D13" s="15" t="s">
        <v>30</v>
      </c>
      <c r="E13" s="11">
        <v>2.81</v>
      </c>
      <c r="F13" s="25">
        <f>E13*F12</f>
        <v>6.182</v>
      </c>
      <c r="G13" s="11"/>
      <c r="H13" s="11"/>
      <c r="I13" s="11"/>
      <c r="J13" s="11"/>
      <c r="K13" s="11"/>
      <c r="L13" s="11"/>
      <c r="M13" s="11"/>
      <c r="N13" s="252"/>
    </row>
    <row r="14" spans="1:14" s="12" customFormat="1" ht="17.25">
      <c r="A14" s="184"/>
      <c r="B14" s="34"/>
      <c r="C14" s="247" t="s">
        <v>71</v>
      </c>
      <c r="D14" s="15" t="s">
        <v>34</v>
      </c>
      <c r="E14" s="51">
        <v>0.33</v>
      </c>
      <c r="F14" s="15">
        <f>E14*F12</f>
        <v>0.7260000000000001</v>
      </c>
      <c r="G14" s="16"/>
      <c r="H14" s="16"/>
      <c r="I14" s="16"/>
      <c r="J14" s="16"/>
      <c r="K14" s="16"/>
      <c r="L14" s="16"/>
      <c r="M14" s="16"/>
      <c r="N14" s="252"/>
    </row>
    <row r="15" spans="1:14" s="12" customFormat="1" ht="20.25">
      <c r="A15" s="184"/>
      <c r="B15" s="34"/>
      <c r="C15" s="23" t="s">
        <v>130</v>
      </c>
      <c r="D15" s="15" t="s">
        <v>106</v>
      </c>
      <c r="E15" s="51">
        <v>1.02</v>
      </c>
      <c r="F15" s="15">
        <f>E15*F12</f>
        <v>2.244</v>
      </c>
      <c r="G15" s="16"/>
      <c r="H15" s="16"/>
      <c r="I15" s="25"/>
      <c r="J15" s="16"/>
      <c r="K15" s="16"/>
      <c r="L15" s="16"/>
      <c r="M15" s="16"/>
      <c r="N15" s="252"/>
    </row>
    <row r="16" spans="1:14" s="12" customFormat="1" ht="20.25">
      <c r="A16" s="184"/>
      <c r="B16" s="34"/>
      <c r="C16" s="23" t="s">
        <v>184</v>
      </c>
      <c r="D16" s="15" t="s">
        <v>185</v>
      </c>
      <c r="E16" s="51">
        <v>0.717</v>
      </c>
      <c r="F16" s="15">
        <f>E16*F12</f>
        <v>1.5774000000000001</v>
      </c>
      <c r="G16" s="16"/>
      <c r="H16" s="16"/>
      <c r="I16" s="25"/>
      <c r="J16" s="16"/>
      <c r="K16" s="16"/>
      <c r="L16" s="16"/>
      <c r="M16" s="16"/>
      <c r="N16" s="252"/>
    </row>
    <row r="17" spans="1:14" s="12" customFormat="1" ht="20.25">
      <c r="A17" s="184"/>
      <c r="B17" s="34"/>
      <c r="C17" s="23" t="s">
        <v>186</v>
      </c>
      <c r="D17" s="15" t="s">
        <v>187</v>
      </c>
      <c r="E17" s="51">
        <f>0.13/100</f>
        <v>0.0013</v>
      </c>
      <c r="F17" s="39">
        <f>E17*F12</f>
        <v>0.00286</v>
      </c>
      <c r="G17" s="16"/>
      <c r="H17" s="16"/>
      <c r="I17" s="25"/>
      <c r="J17" s="16"/>
      <c r="K17" s="16"/>
      <c r="L17" s="16"/>
      <c r="M17" s="16"/>
      <c r="N17" s="252"/>
    </row>
    <row r="18" spans="1:14" s="12" customFormat="1" ht="20.25">
      <c r="A18" s="184"/>
      <c r="B18" s="13"/>
      <c r="C18" s="23" t="s">
        <v>188</v>
      </c>
      <c r="D18" s="15" t="s">
        <v>187</v>
      </c>
      <c r="E18" s="39">
        <f>1.52/100</f>
        <v>0.0152</v>
      </c>
      <c r="F18" s="39">
        <f>E18*F12</f>
        <v>0.033440000000000004</v>
      </c>
      <c r="G18" s="16"/>
      <c r="H18" s="16"/>
      <c r="I18" s="25"/>
      <c r="J18" s="15"/>
      <c r="K18" s="15"/>
      <c r="L18" s="15"/>
      <c r="M18" s="15"/>
      <c r="N18" s="252"/>
    </row>
    <row r="19" spans="1:14" s="12" customFormat="1" ht="17.25">
      <c r="A19" s="184"/>
      <c r="B19" s="34"/>
      <c r="C19" s="29" t="s">
        <v>189</v>
      </c>
      <c r="D19" s="33" t="s">
        <v>35</v>
      </c>
      <c r="E19" s="51">
        <f>0.09/100</f>
        <v>0.0009</v>
      </c>
      <c r="F19" s="39">
        <f>E19*F12</f>
        <v>0.00198</v>
      </c>
      <c r="G19" s="16"/>
      <c r="H19" s="16"/>
      <c r="I19" s="16"/>
      <c r="J19" s="16"/>
      <c r="K19" s="16"/>
      <c r="L19" s="16"/>
      <c r="M19" s="16"/>
      <c r="N19" s="252"/>
    </row>
    <row r="20" spans="1:14" s="12" customFormat="1" ht="17.25">
      <c r="A20" s="185"/>
      <c r="B20" s="38"/>
      <c r="C20" s="30" t="s">
        <v>57</v>
      </c>
      <c r="D20" s="37" t="s">
        <v>34</v>
      </c>
      <c r="E20" s="52">
        <v>0.16</v>
      </c>
      <c r="F20" s="17">
        <f>E20*F12</f>
        <v>0.35200000000000004</v>
      </c>
      <c r="G20" s="18"/>
      <c r="H20" s="18"/>
      <c r="I20" s="18"/>
      <c r="J20" s="18"/>
      <c r="K20" s="18"/>
      <c r="L20" s="18"/>
      <c r="M20" s="18"/>
      <c r="N20" s="252"/>
    </row>
    <row r="21" spans="1:14" s="12" customFormat="1" ht="16.5">
      <c r="A21" s="100"/>
      <c r="B21" s="177"/>
      <c r="C21" s="178" t="s">
        <v>129</v>
      </c>
      <c r="D21" s="149" t="s">
        <v>35</v>
      </c>
      <c r="E21" s="27">
        <v>2.4</v>
      </c>
      <c r="F21" s="62">
        <f>E21*F15</f>
        <v>5.3856</v>
      </c>
      <c r="G21" s="150"/>
      <c r="H21" s="149"/>
      <c r="I21" s="27"/>
      <c r="J21" s="150"/>
      <c r="K21" s="27"/>
      <c r="L21" s="149"/>
      <c r="M21" s="27"/>
      <c r="N21" s="252"/>
    </row>
    <row r="22" spans="1:14" ht="20.25">
      <c r="A22" s="31">
        <v>2</v>
      </c>
      <c r="B22" s="48" t="s">
        <v>191</v>
      </c>
      <c r="C22" s="175" t="s">
        <v>195</v>
      </c>
      <c r="D22" s="94" t="s">
        <v>111</v>
      </c>
      <c r="E22" s="32"/>
      <c r="F22" s="208">
        <v>17</v>
      </c>
      <c r="G22" s="26"/>
      <c r="H22" s="24"/>
      <c r="I22" s="25"/>
      <c r="J22" s="26"/>
      <c r="K22" s="25"/>
      <c r="L22" s="24"/>
      <c r="M22" s="194"/>
      <c r="N22" s="267"/>
    </row>
    <row r="23" spans="1:14" ht="16.5">
      <c r="A23" s="36"/>
      <c r="B23" s="225"/>
      <c r="C23" s="23" t="s">
        <v>29</v>
      </c>
      <c r="D23" s="15" t="s">
        <v>30</v>
      </c>
      <c r="E23" s="25">
        <v>0.68</v>
      </c>
      <c r="F23" s="206">
        <f>E23*F22</f>
        <v>11.56</v>
      </c>
      <c r="G23" s="26"/>
      <c r="H23" s="24"/>
      <c r="I23" s="25"/>
      <c r="J23" s="26"/>
      <c r="K23" s="25"/>
      <c r="L23" s="24"/>
      <c r="M23" s="25"/>
      <c r="N23" s="267"/>
    </row>
    <row r="24" spans="1:14" ht="16.5">
      <c r="A24" s="36"/>
      <c r="B24" s="225"/>
      <c r="C24" s="176" t="s">
        <v>37</v>
      </c>
      <c r="D24" s="22" t="s">
        <v>34</v>
      </c>
      <c r="E24" s="187">
        <v>0.0003</v>
      </c>
      <c r="F24" s="206">
        <f>E24*F22</f>
        <v>0.0050999999999999995</v>
      </c>
      <c r="G24" s="26"/>
      <c r="H24" s="24"/>
      <c r="I24" s="25"/>
      <c r="J24" s="26"/>
      <c r="K24" s="25"/>
      <c r="L24" s="248"/>
      <c r="M24" s="25"/>
      <c r="N24" s="267"/>
    </row>
    <row r="25" spans="1:14" ht="16.5">
      <c r="A25" s="36"/>
      <c r="B25" s="225"/>
      <c r="C25" s="176" t="s">
        <v>192</v>
      </c>
      <c r="D25" s="24" t="s">
        <v>101</v>
      </c>
      <c r="E25" s="188">
        <v>0.251</v>
      </c>
      <c r="F25" s="206">
        <f>E25*F22</f>
        <v>4.267</v>
      </c>
      <c r="G25" s="26"/>
      <c r="H25" s="24"/>
      <c r="I25" s="25"/>
      <c r="J25" s="26"/>
      <c r="K25" s="25"/>
      <c r="L25" s="24"/>
      <c r="M25" s="25"/>
      <c r="N25" s="267"/>
    </row>
    <row r="26" spans="1:14" ht="16.5">
      <c r="A26" s="36"/>
      <c r="B26" s="225"/>
      <c r="C26" s="176" t="s">
        <v>193</v>
      </c>
      <c r="D26" s="24" t="s">
        <v>101</v>
      </c>
      <c r="E26" s="188">
        <v>0.002</v>
      </c>
      <c r="F26" s="206">
        <f>E26*F22</f>
        <v>0.034</v>
      </c>
      <c r="G26" s="26"/>
      <c r="H26" s="24"/>
      <c r="I26" s="25"/>
      <c r="J26" s="26"/>
      <c r="K26" s="25"/>
      <c r="L26" s="24"/>
      <c r="M26" s="25"/>
      <c r="N26" s="267"/>
    </row>
    <row r="27" spans="1:14" ht="16.5">
      <c r="A27" s="36"/>
      <c r="B27" s="225"/>
      <c r="C27" s="176" t="s">
        <v>194</v>
      </c>
      <c r="D27" s="24" t="s">
        <v>101</v>
      </c>
      <c r="E27" s="188">
        <v>0.027</v>
      </c>
      <c r="F27" s="206">
        <f>E27*F22</f>
        <v>0.459</v>
      </c>
      <c r="G27" s="26"/>
      <c r="H27" s="24"/>
      <c r="I27" s="25"/>
      <c r="J27" s="26"/>
      <c r="K27" s="25"/>
      <c r="L27" s="24"/>
      <c r="M27" s="25"/>
      <c r="N27" s="267"/>
    </row>
    <row r="28" spans="1:14" ht="16.5">
      <c r="A28" s="46"/>
      <c r="B28" s="177"/>
      <c r="C28" s="178" t="s">
        <v>38</v>
      </c>
      <c r="D28" s="149" t="s">
        <v>34</v>
      </c>
      <c r="E28" s="229">
        <v>0.0019</v>
      </c>
      <c r="F28" s="202">
        <f>E28*F22</f>
        <v>0.0323</v>
      </c>
      <c r="G28" s="150"/>
      <c r="H28" s="149"/>
      <c r="I28" s="27"/>
      <c r="J28" s="150"/>
      <c r="K28" s="27"/>
      <c r="L28" s="149"/>
      <c r="M28" s="27"/>
      <c r="N28" s="267"/>
    </row>
    <row r="29" spans="1:14" s="12" customFormat="1" ht="44.25" customHeight="1">
      <c r="A29" s="153" t="s">
        <v>208</v>
      </c>
      <c r="B29" s="251" t="s">
        <v>196</v>
      </c>
      <c r="C29" s="148" t="s">
        <v>198</v>
      </c>
      <c r="D29" s="19" t="s">
        <v>105</v>
      </c>
      <c r="E29" s="19"/>
      <c r="F29" s="19">
        <v>0.6</v>
      </c>
      <c r="G29" s="65"/>
      <c r="H29" s="216"/>
      <c r="I29" s="249"/>
      <c r="J29" s="65"/>
      <c r="K29" s="65"/>
      <c r="L29" s="65"/>
      <c r="M29" s="65"/>
      <c r="N29" s="252"/>
    </row>
    <row r="30" spans="1:14" s="12" customFormat="1" ht="33">
      <c r="A30" s="13"/>
      <c r="B30" s="23" t="s">
        <v>196</v>
      </c>
      <c r="C30" s="35" t="s">
        <v>29</v>
      </c>
      <c r="D30" s="15" t="s">
        <v>30</v>
      </c>
      <c r="E30" s="15">
        <v>1</v>
      </c>
      <c r="F30" s="15">
        <f>E30*F29</f>
        <v>0.6</v>
      </c>
      <c r="G30" s="15"/>
      <c r="H30" s="152"/>
      <c r="J30" s="250"/>
      <c r="K30" s="15"/>
      <c r="L30" s="15"/>
      <c r="M30" s="15"/>
      <c r="N30" s="252"/>
    </row>
    <row r="31" spans="1:14" s="12" customFormat="1" ht="16.5">
      <c r="A31" s="13"/>
      <c r="B31" s="23"/>
      <c r="C31" s="51" t="s">
        <v>112</v>
      </c>
      <c r="D31" s="15" t="s">
        <v>197</v>
      </c>
      <c r="E31" s="15">
        <v>1.02</v>
      </c>
      <c r="F31" s="15">
        <f>E31*F29</f>
        <v>0.612</v>
      </c>
      <c r="G31" s="250"/>
      <c r="I31" s="22"/>
      <c r="J31" s="15"/>
      <c r="K31" s="15"/>
      <c r="L31" s="15"/>
      <c r="M31" s="15"/>
      <c r="N31" s="252"/>
    </row>
    <row r="32" spans="1:14" s="12" customFormat="1" ht="16.5">
      <c r="A32" s="158"/>
      <c r="B32" s="159"/>
      <c r="C32" s="147" t="s">
        <v>37</v>
      </c>
      <c r="D32" s="22" t="s">
        <v>34</v>
      </c>
      <c r="E32" s="17">
        <v>1</v>
      </c>
      <c r="F32" s="17">
        <f>E32*F29</f>
        <v>0.6</v>
      </c>
      <c r="G32" s="17"/>
      <c r="H32" s="151"/>
      <c r="I32" s="47"/>
      <c r="J32" s="17"/>
      <c r="K32" s="17"/>
      <c r="L32" s="17"/>
      <c r="M32" s="17"/>
      <c r="N32" s="252"/>
    </row>
    <row r="33" spans="1:14" s="12" customFormat="1" ht="16.5">
      <c r="A33" s="100"/>
      <c r="B33" s="177"/>
      <c r="C33" s="178" t="s">
        <v>129</v>
      </c>
      <c r="D33" s="149" t="s">
        <v>35</v>
      </c>
      <c r="E33" s="27">
        <v>2.4</v>
      </c>
      <c r="F33" s="62">
        <f>E33*F31</f>
        <v>1.4687999999999999</v>
      </c>
      <c r="G33" s="150"/>
      <c r="H33" s="149"/>
      <c r="I33" s="27"/>
      <c r="J33" s="150"/>
      <c r="K33" s="27"/>
      <c r="L33" s="149"/>
      <c r="M33" s="27"/>
      <c r="N33" s="252"/>
    </row>
    <row r="34" spans="1:14" s="12" customFormat="1" ht="44.25" customHeight="1">
      <c r="A34" s="153" t="s">
        <v>113</v>
      </c>
      <c r="B34" s="251" t="s">
        <v>196</v>
      </c>
      <c r="C34" s="148" t="s">
        <v>200</v>
      </c>
      <c r="D34" s="19" t="s">
        <v>199</v>
      </c>
      <c r="E34" s="19"/>
      <c r="F34" s="19">
        <v>1</v>
      </c>
      <c r="G34" s="65"/>
      <c r="H34" s="216"/>
      <c r="I34" s="249"/>
      <c r="J34" s="65"/>
      <c r="K34" s="65"/>
      <c r="L34" s="65"/>
      <c r="M34" s="65"/>
      <c r="N34" s="252"/>
    </row>
    <row r="35" spans="1:14" s="12" customFormat="1" ht="33">
      <c r="A35" s="13"/>
      <c r="B35" s="23" t="s">
        <v>196</v>
      </c>
      <c r="C35" s="35" t="s">
        <v>29</v>
      </c>
      <c r="D35" s="15" t="s">
        <v>30</v>
      </c>
      <c r="E35" s="15">
        <v>5</v>
      </c>
      <c r="F35" s="15">
        <f>E35*F34</f>
        <v>5</v>
      </c>
      <c r="G35" s="15"/>
      <c r="H35" s="152"/>
      <c r="J35" s="250"/>
      <c r="K35" s="15"/>
      <c r="L35" s="15"/>
      <c r="M35" s="15"/>
      <c r="N35" s="252"/>
    </row>
    <row r="36" spans="1:14" s="12" customFormat="1" ht="16.5">
      <c r="A36" s="158"/>
      <c r="B36" s="159"/>
      <c r="C36" s="147" t="s">
        <v>37</v>
      </c>
      <c r="D36" s="22" t="s">
        <v>34</v>
      </c>
      <c r="E36" s="17">
        <v>1</v>
      </c>
      <c r="F36" s="17">
        <f>E36*F34</f>
        <v>1</v>
      </c>
      <c r="G36" s="17"/>
      <c r="H36" s="151"/>
      <c r="I36" s="47"/>
      <c r="J36" s="17"/>
      <c r="K36" s="17"/>
      <c r="L36" s="17"/>
      <c r="M36" s="17"/>
      <c r="N36" s="252"/>
    </row>
    <row r="37" spans="1:14" s="12" customFormat="1" ht="17.25">
      <c r="A37" s="203"/>
      <c r="B37" s="90"/>
      <c r="C37" s="284" t="s">
        <v>12</v>
      </c>
      <c r="D37" s="90" t="s">
        <v>34</v>
      </c>
      <c r="E37" s="90"/>
      <c r="F37" s="90"/>
      <c r="G37" s="90"/>
      <c r="H37" s="40"/>
      <c r="I37" s="40"/>
      <c r="J37" s="40"/>
      <c r="K37" s="40"/>
      <c r="L37" s="40"/>
      <c r="M37" s="40"/>
      <c r="N37" s="252">
        <v>806.98</v>
      </c>
    </row>
    <row r="38" spans="1:14" s="12" customFormat="1" ht="28.5" customHeight="1">
      <c r="A38" s="189"/>
      <c r="B38" s="13"/>
      <c r="C38" s="67" t="s">
        <v>218</v>
      </c>
      <c r="D38" s="68" t="s">
        <v>34</v>
      </c>
      <c r="E38" s="15"/>
      <c r="F38" s="15"/>
      <c r="G38" s="15"/>
      <c r="H38" s="15"/>
      <c r="I38" s="15"/>
      <c r="J38" s="15"/>
      <c r="K38" s="14"/>
      <c r="L38" s="22"/>
      <c r="M38" s="15"/>
      <c r="N38" s="272"/>
    </row>
    <row r="39" spans="1:14" s="12" customFormat="1" ht="17.25">
      <c r="A39" s="189"/>
      <c r="B39" s="13"/>
      <c r="C39" s="69" t="s">
        <v>12</v>
      </c>
      <c r="D39" s="68" t="s">
        <v>34</v>
      </c>
      <c r="E39" s="15"/>
      <c r="F39" s="15"/>
      <c r="G39" s="15"/>
      <c r="H39" s="15"/>
      <c r="I39" s="15"/>
      <c r="J39" s="15"/>
      <c r="K39" s="14"/>
      <c r="L39" s="22"/>
      <c r="M39" s="15"/>
      <c r="N39" s="252"/>
    </row>
    <row r="40" spans="1:14" s="12" customFormat="1" ht="17.25">
      <c r="A40" s="190"/>
      <c r="B40" s="71"/>
      <c r="C40" s="72" t="s">
        <v>213</v>
      </c>
      <c r="D40" s="68" t="s">
        <v>34</v>
      </c>
      <c r="E40" s="73"/>
      <c r="F40" s="74"/>
      <c r="G40" s="75"/>
      <c r="H40" s="73"/>
      <c r="I40" s="73"/>
      <c r="J40" s="73"/>
      <c r="K40" s="73"/>
      <c r="L40" s="76"/>
      <c r="M40" s="73"/>
      <c r="N40" s="252"/>
    </row>
    <row r="41" spans="1:14" s="12" customFormat="1" ht="17.25">
      <c r="A41" s="191"/>
      <c r="B41" s="71"/>
      <c r="C41" s="69" t="s">
        <v>12</v>
      </c>
      <c r="D41" s="68" t="s">
        <v>34</v>
      </c>
      <c r="E41" s="78"/>
      <c r="F41" s="69"/>
      <c r="G41" s="69"/>
      <c r="H41" s="78"/>
      <c r="I41" s="78"/>
      <c r="J41" s="78"/>
      <c r="K41" s="78"/>
      <c r="L41" s="79"/>
      <c r="M41" s="78"/>
      <c r="N41" s="252"/>
    </row>
    <row r="42" spans="1:14" s="12" customFormat="1" ht="17.25">
      <c r="A42" s="190"/>
      <c r="B42" s="71"/>
      <c r="C42" s="67" t="s">
        <v>214</v>
      </c>
      <c r="D42" s="68" t="s">
        <v>34</v>
      </c>
      <c r="E42" s="73"/>
      <c r="F42" s="80"/>
      <c r="G42" s="73"/>
      <c r="H42" s="73"/>
      <c r="I42" s="73"/>
      <c r="J42" s="73"/>
      <c r="K42" s="73"/>
      <c r="L42" s="76"/>
      <c r="M42" s="73"/>
      <c r="N42" s="271"/>
    </row>
    <row r="43" spans="1:14" s="12" customFormat="1" ht="17.25">
      <c r="A43" s="283"/>
      <c r="B43" s="278"/>
      <c r="C43" s="284" t="s">
        <v>12</v>
      </c>
      <c r="D43" s="280" t="s">
        <v>34</v>
      </c>
      <c r="E43" s="284"/>
      <c r="F43" s="284"/>
      <c r="G43" s="284"/>
      <c r="H43" s="285"/>
      <c r="I43" s="285"/>
      <c r="J43" s="285"/>
      <c r="K43" s="285"/>
      <c r="L43" s="285"/>
      <c r="M43" s="286"/>
      <c r="N43" s="273">
        <v>964.8</v>
      </c>
    </row>
    <row r="46" spans="3:12" ht="16.5">
      <c r="C46" s="373"/>
      <c r="D46" s="373"/>
      <c r="E46" s="373"/>
      <c r="F46" s="373"/>
      <c r="G46" s="373"/>
      <c r="H46" s="373"/>
      <c r="I46" s="373"/>
      <c r="J46" s="373"/>
      <c r="K46" s="373"/>
      <c r="L46" s="373"/>
    </row>
    <row r="47" spans="3:12" ht="16.5">
      <c r="C47" s="85"/>
      <c r="D47" s="86"/>
      <c r="E47" s="86"/>
      <c r="F47" s="86"/>
      <c r="G47" s="86"/>
      <c r="H47" s="86"/>
      <c r="I47" s="86"/>
      <c r="J47" s="86"/>
      <c r="K47" s="86"/>
      <c r="L47" s="86"/>
    </row>
    <row r="48" spans="3:12" ht="16.5">
      <c r="C48" s="373"/>
      <c r="D48" s="373"/>
      <c r="E48" s="373"/>
      <c r="F48" s="373"/>
      <c r="G48" s="373"/>
      <c r="H48" s="373"/>
      <c r="I48" s="373"/>
      <c r="J48" s="373"/>
      <c r="K48" s="373"/>
      <c r="L48" s="373"/>
    </row>
    <row r="49" spans="3:12" ht="16.5">
      <c r="C49" s="87"/>
      <c r="D49" s="87"/>
      <c r="E49" s="87"/>
      <c r="F49" s="87"/>
      <c r="G49" s="87"/>
      <c r="H49" s="87"/>
      <c r="I49" s="87"/>
      <c r="J49" s="87"/>
      <c r="K49" s="87"/>
      <c r="L49" s="87"/>
    </row>
  </sheetData>
  <sheetProtection/>
  <mergeCells count="25">
    <mergeCell ref="C48:L48"/>
    <mergeCell ref="K7:L7"/>
    <mergeCell ref="M7:M10"/>
    <mergeCell ref="K8:L8"/>
    <mergeCell ref="D9:D10"/>
    <mergeCell ref="E9:E10"/>
    <mergeCell ref="F9:F10"/>
    <mergeCell ref="H9:H10"/>
    <mergeCell ref="J9:J10"/>
    <mergeCell ref="B7:B10"/>
    <mergeCell ref="C7:C10"/>
    <mergeCell ref="D7:F8"/>
    <mergeCell ref="G7:H8"/>
    <mergeCell ref="I7:J8"/>
    <mergeCell ref="C46:L46"/>
    <mergeCell ref="N7:N10"/>
    <mergeCell ref="A1:M1"/>
    <mergeCell ref="A2:M2"/>
    <mergeCell ref="A3:M3"/>
    <mergeCell ref="B4:D4"/>
    <mergeCell ref="F4:I4"/>
    <mergeCell ref="B5:C5"/>
    <mergeCell ref="F5:I5"/>
    <mergeCell ref="L9:L10"/>
    <mergeCell ref="A7:A10"/>
  </mergeCells>
  <conditionalFormatting sqref="D37:D43">
    <cfRule type="cellIs" priority="8" dxfId="0" operator="equal" stopIfTrue="1">
      <formula>8223.307275</formula>
    </cfRule>
  </conditionalFormatting>
  <conditionalFormatting sqref="D12:D21">
    <cfRule type="cellIs" priority="4" dxfId="0" operator="equal" stopIfTrue="1">
      <formula>8223.307275</formula>
    </cfRule>
  </conditionalFormatting>
  <conditionalFormatting sqref="B22:C28">
    <cfRule type="cellIs" priority="3" dxfId="3" operator="equal">
      <formula>0</formula>
    </cfRule>
  </conditionalFormatting>
  <conditionalFormatting sqref="D33">
    <cfRule type="cellIs" priority="2" dxfId="0" operator="equal" stopIfTrue="1">
      <formula>8223.307275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85" zoomScaleSheetLayoutView="85" zoomScalePageLayoutView="0" workbookViewId="0" topLeftCell="A1">
      <selection activeCell="F24" sqref="F24"/>
    </sheetView>
  </sheetViews>
  <sheetFormatPr defaultColWidth="9.00390625" defaultRowHeight="12.75"/>
  <cols>
    <col min="1" max="1" width="3.8515625" style="82" customWidth="1"/>
    <col min="2" max="2" width="8.7109375" style="83" customWidth="1"/>
    <col min="3" max="3" width="68.57421875" style="83" customWidth="1"/>
    <col min="4" max="4" width="12.28125" style="84" customWidth="1"/>
    <col min="5" max="5" width="9.8515625" style="84" customWidth="1"/>
    <col min="6" max="7" width="9.140625" style="84" customWidth="1"/>
    <col min="8" max="8" width="8.28125" style="84" customWidth="1"/>
    <col min="9" max="9" width="11.7109375" style="84" customWidth="1"/>
    <col min="10" max="10" width="11.57421875" style="84" customWidth="1"/>
    <col min="11" max="11" width="8.8515625" style="84" customWidth="1"/>
    <col min="12" max="12" width="11.140625" style="84" customWidth="1"/>
    <col min="13" max="13" width="14.140625" style="84" customWidth="1"/>
    <col min="14" max="14" width="11.8515625" style="269" bestFit="1" customWidth="1"/>
    <col min="15" max="15" width="9.8515625" style="43" customWidth="1"/>
    <col min="16" max="16" width="3.28125" style="43" customWidth="1"/>
    <col min="17" max="17" width="4.140625" style="43" customWidth="1"/>
    <col min="18" max="18" width="13.421875" style="43" customWidth="1"/>
    <col min="19" max="20" width="9.00390625" style="43" customWidth="1"/>
    <col min="21" max="21" width="5.421875" style="43" customWidth="1"/>
    <col min="22" max="16384" width="9.00390625" style="43" customWidth="1"/>
  </cols>
  <sheetData>
    <row r="1" spans="1:14" s="12" customFormat="1" ht="60.75" customHeight="1">
      <c r="A1" s="302" t="str">
        <f>'nakrebi lari'!A4:N4</f>
        <v>siRnaRis municipalitetSi, q. siRnaRSi evdoSvilis II Sesaxvevis,  kvernaZis quCis bolo monakveTis, erekle II-s II Cixis, rusTavelis Cixis da “ormila”-s wyarosTan misasvleli  gzebis sareabilitacio samuSaoebi 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263"/>
    </row>
    <row r="2" spans="1:14" s="12" customFormat="1" ht="21" customHeight="1">
      <c r="A2" s="374" t="s">
        <v>90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262"/>
    </row>
    <row r="3" spans="1:14" s="12" customFormat="1" ht="21" customHeight="1">
      <c r="A3" s="367" t="s">
        <v>201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262"/>
    </row>
    <row r="4" spans="1:14" s="12" customFormat="1" ht="34.5" customHeight="1">
      <c r="A4" s="54"/>
      <c r="B4" s="384" t="s">
        <v>28</v>
      </c>
      <c r="C4" s="384"/>
      <c r="D4" s="385"/>
      <c r="E4" s="44"/>
      <c r="F4" s="386" t="s">
        <v>1</v>
      </c>
      <c r="G4" s="386"/>
      <c r="H4" s="386"/>
      <c r="I4" s="386"/>
      <c r="J4" s="145">
        <f>M29/1000</f>
        <v>0</v>
      </c>
      <c r="K4" s="146" t="s">
        <v>0</v>
      </c>
      <c r="L4" s="44"/>
      <c r="M4" s="44"/>
      <c r="N4" s="262"/>
    </row>
    <row r="5" spans="1:14" s="12" customFormat="1" ht="15.75" customHeight="1">
      <c r="A5" s="54"/>
      <c r="B5" s="370" t="s">
        <v>131</v>
      </c>
      <c r="C5" s="370"/>
      <c r="D5" s="44"/>
      <c r="E5" s="44"/>
      <c r="F5" s="372"/>
      <c r="G5" s="372"/>
      <c r="H5" s="372"/>
      <c r="I5" s="372"/>
      <c r="J5" s="44"/>
      <c r="K5" s="44"/>
      <c r="L5" s="44"/>
      <c r="M5" s="44"/>
      <c r="N5" s="262"/>
    </row>
    <row r="6" spans="1:14" s="12" customFormat="1" ht="14.25" customHeight="1">
      <c r="A6" s="54"/>
      <c r="B6" s="55"/>
      <c r="C6" s="55"/>
      <c r="D6" s="44"/>
      <c r="E6" s="44"/>
      <c r="F6" s="44"/>
      <c r="G6" s="44"/>
      <c r="H6" s="44"/>
      <c r="I6" s="44"/>
      <c r="J6" s="44"/>
      <c r="K6" s="44"/>
      <c r="L6" s="44"/>
      <c r="M6" s="44"/>
      <c r="N6" s="262"/>
    </row>
    <row r="7" spans="1:14" s="12" customFormat="1" ht="16.5">
      <c r="A7" s="357" t="s">
        <v>2</v>
      </c>
      <c r="B7" s="358" t="s">
        <v>3</v>
      </c>
      <c r="C7" s="315" t="s">
        <v>27</v>
      </c>
      <c r="D7" s="355" t="s">
        <v>4</v>
      </c>
      <c r="E7" s="361"/>
      <c r="F7" s="347"/>
      <c r="G7" s="355" t="s">
        <v>5</v>
      </c>
      <c r="H7" s="356"/>
      <c r="I7" s="355" t="s">
        <v>6</v>
      </c>
      <c r="J7" s="365"/>
      <c r="K7" s="355" t="s">
        <v>7</v>
      </c>
      <c r="L7" s="365"/>
      <c r="M7" s="353" t="s">
        <v>8</v>
      </c>
      <c r="N7" s="344" t="s">
        <v>210</v>
      </c>
    </row>
    <row r="8" spans="1:14" s="12" customFormat="1" ht="16.5">
      <c r="A8" s="335"/>
      <c r="B8" s="359"/>
      <c r="C8" s="316"/>
      <c r="D8" s="351"/>
      <c r="E8" s="362"/>
      <c r="F8" s="363"/>
      <c r="G8" s="364"/>
      <c r="H8" s="352"/>
      <c r="I8" s="364"/>
      <c r="J8" s="366"/>
      <c r="K8" s="351" t="s">
        <v>9</v>
      </c>
      <c r="L8" s="366"/>
      <c r="M8" s="349"/>
      <c r="N8" s="345"/>
    </row>
    <row r="9" spans="1:14" s="12" customFormat="1" ht="16.5">
      <c r="A9" s="335"/>
      <c r="B9" s="359"/>
      <c r="C9" s="316"/>
      <c r="D9" s="353" t="s">
        <v>10</v>
      </c>
      <c r="E9" s="353" t="s">
        <v>11</v>
      </c>
      <c r="F9" s="353" t="s">
        <v>12</v>
      </c>
      <c r="G9" s="25" t="s">
        <v>11</v>
      </c>
      <c r="H9" s="353" t="s">
        <v>12</v>
      </c>
      <c r="I9" s="25" t="s">
        <v>11</v>
      </c>
      <c r="J9" s="353" t="s">
        <v>12</v>
      </c>
      <c r="K9" s="25" t="s">
        <v>11</v>
      </c>
      <c r="L9" s="355" t="s">
        <v>12</v>
      </c>
      <c r="M9" s="349"/>
      <c r="N9" s="345"/>
    </row>
    <row r="10" spans="1:14" s="12" customFormat="1" ht="24.75" customHeight="1">
      <c r="A10" s="336"/>
      <c r="B10" s="360"/>
      <c r="C10" s="317"/>
      <c r="D10" s="354"/>
      <c r="E10" s="354"/>
      <c r="F10" s="354"/>
      <c r="G10" s="27" t="s">
        <v>13</v>
      </c>
      <c r="H10" s="354"/>
      <c r="I10" s="27" t="s">
        <v>13</v>
      </c>
      <c r="J10" s="354"/>
      <c r="K10" s="27" t="s">
        <v>13</v>
      </c>
      <c r="L10" s="351"/>
      <c r="M10" s="350"/>
      <c r="N10" s="346"/>
    </row>
    <row r="11" spans="1:14" s="12" customFormat="1" ht="16.5">
      <c r="A11" s="58" t="s">
        <v>14</v>
      </c>
      <c r="B11" s="59" t="s">
        <v>15</v>
      </c>
      <c r="C11" s="60" t="s">
        <v>16</v>
      </c>
      <c r="D11" s="61" t="s">
        <v>17</v>
      </c>
      <c r="E11" s="62" t="s">
        <v>18</v>
      </c>
      <c r="F11" s="63" t="s">
        <v>19</v>
      </c>
      <c r="G11" s="64" t="s">
        <v>20</v>
      </c>
      <c r="H11" s="61" t="s">
        <v>21</v>
      </c>
      <c r="I11" s="62" t="s">
        <v>22</v>
      </c>
      <c r="J11" s="64" t="s">
        <v>23</v>
      </c>
      <c r="K11" s="62" t="s">
        <v>24</v>
      </c>
      <c r="L11" s="61" t="s">
        <v>25</v>
      </c>
      <c r="M11" s="62" t="s">
        <v>26</v>
      </c>
      <c r="N11" s="253">
        <v>14</v>
      </c>
    </row>
    <row r="12" spans="1:14" s="12" customFormat="1" ht="51.75">
      <c r="A12" s="49">
        <v>1</v>
      </c>
      <c r="B12" s="49" t="s">
        <v>136</v>
      </c>
      <c r="C12" s="50" t="s">
        <v>137</v>
      </c>
      <c r="D12" s="49" t="s">
        <v>135</v>
      </c>
      <c r="E12" s="49"/>
      <c r="F12" s="209">
        <v>2</v>
      </c>
      <c r="G12" s="181"/>
      <c r="H12" s="181"/>
      <c r="I12" s="181"/>
      <c r="J12" s="212"/>
      <c r="K12" s="181"/>
      <c r="L12" s="213"/>
      <c r="M12" s="19"/>
      <c r="N12" s="253"/>
    </row>
    <row r="13" spans="1:14" s="12" customFormat="1" ht="16.5">
      <c r="A13" s="21"/>
      <c r="B13" s="21"/>
      <c r="C13" s="35" t="s">
        <v>29</v>
      </c>
      <c r="D13" s="15" t="s">
        <v>30</v>
      </c>
      <c r="E13" s="14">
        <v>3.23</v>
      </c>
      <c r="F13" s="14">
        <f>E13*F12</f>
        <v>6.46</v>
      </c>
      <c r="G13" s="15"/>
      <c r="H13" s="15"/>
      <c r="I13" s="15"/>
      <c r="J13" s="15"/>
      <c r="K13" s="15"/>
      <c r="L13" s="22"/>
      <c r="M13" s="15"/>
      <c r="N13" s="253"/>
    </row>
    <row r="14" spans="1:14" s="12" customFormat="1" ht="16.5">
      <c r="A14" s="21"/>
      <c r="B14" s="13"/>
      <c r="C14" s="29" t="s">
        <v>138</v>
      </c>
      <c r="D14" s="15" t="s">
        <v>31</v>
      </c>
      <c r="E14" s="14">
        <v>0.15</v>
      </c>
      <c r="F14" s="15">
        <f>E14*F12</f>
        <v>0.3</v>
      </c>
      <c r="G14" s="15"/>
      <c r="H14" s="15"/>
      <c r="I14" s="15"/>
      <c r="J14" s="15"/>
      <c r="K14" s="78"/>
      <c r="L14" s="22"/>
      <c r="M14" s="15"/>
      <c r="N14" s="253"/>
    </row>
    <row r="15" spans="1:14" s="12" customFormat="1" ht="16.5">
      <c r="A15" s="21"/>
      <c r="B15" s="21"/>
      <c r="C15" s="35" t="s">
        <v>32</v>
      </c>
      <c r="D15" s="15" t="s">
        <v>30</v>
      </c>
      <c r="E15" s="14"/>
      <c r="F15" s="15">
        <f>F14</f>
        <v>0.3</v>
      </c>
      <c r="G15" s="15"/>
      <c r="H15" s="15"/>
      <c r="I15" s="15"/>
      <c r="J15" s="15"/>
      <c r="K15" s="15"/>
      <c r="L15" s="22"/>
      <c r="M15" s="15"/>
      <c r="N15" s="253"/>
    </row>
    <row r="16" spans="1:14" s="12" customFormat="1" ht="16.5">
      <c r="A16" s="21"/>
      <c r="B16" s="13"/>
      <c r="C16" s="35" t="s">
        <v>139</v>
      </c>
      <c r="D16" s="15" t="s">
        <v>31</v>
      </c>
      <c r="E16" s="14">
        <v>0.286</v>
      </c>
      <c r="F16" s="15">
        <f>E16*F12</f>
        <v>0.572</v>
      </c>
      <c r="G16" s="15"/>
      <c r="H16" s="15"/>
      <c r="I16" s="15"/>
      <c r="J16" s="15"/>
      <c r="K16" s="78"/>
      <c r="L16" s="22"/>
      <c r="M16" s="15"/>
      <c r="N16" s="253"/>
    </row>
    <row r="17" spans="1:14" s="12" customFormat="1" ht="16.5">
      <c r="A17" s="21"/>
      <c r="B17" s="21"/>
      <c r="C17" s="35" t="s">
        <v>32</v>
      </c>
      <c r="D17" s="15" t="s">
        <v>30</v>
      </c>
      <c r="E17" s="14"/>
      <c r="F17" s="15">
        <f>F16</f>
        <v>0.572</v>
      </c>
      <c r="G17" s="78"/>
      <c r="H17" s="15"/>
      <c r="I17" s="15"/>
      <c r="J17" s="15"/>
      <c r="K17" s="15"/>
      <c r="L17" s="22"/>
      <c r="M17" s="15"/>
      <c r="N17" s="253"/>
    </row>
    <row r="18" spans="1:14" s="12" customFormat="1" ht="20.25">
      <c r="A18" s="21"/>
      <c r="B18" s="92"/>
      <c r="C18" s="51" t="s">
        <v>140</v>
      </c>
      <c r="D18" s="14" t="s">
        <v>106</v>
      </c>
      <c r="E18" s="14">
        <v>0.34</v>
      </c>
      <c r="F18" s="15">
        <f>E18*F12</f>
        <v>0.68</v>
      </c>
      <c r="G18" s="15"/>
      <c r="H18" s="15"/>
      <c r="I18" s="25"/>
      <c r="J18" s="15"/>
      <c r="K18" s="15"/>
      <c r="L18" s="22"/>
      <c r="M18" s="15"/>
      <c r="N18" s="253"/>
    </row>
    <row r="19" spans="1:14" s="12" customFormat="1" ht="16.5">
      <c r="A19" s="21"/>
      <c r="B19" s="21"/>
      <c r="C19" s="29" t="s">
        <v>141</v>
      </c>
      <c r="D19" s="14" t="s">
        <v>135</v>
      </c>
      <c r="E19" s="211" t="s">
        <v>133</v>
      </c>
      <c r="F19" s="15">
        <f>F12</f>
        <v>2</v>
      </c>
      <c r="G19" s="15"/>
      <c r="H19" s="15"/>
      <c r="I19" s="15"/>
      <c r="J19" s="15"/>
      <c r="K19" s="15"/>
      <c r="L19" s="22"/>
      <c r="M19" s="15"/>
      <c r="N19" s="253"/>
    </row>
    <row r="20" spans="1:14" s="12" customFormat="1" ht="16.5">
      <c r="A20" s="93"/>
      <c r="B20" s="93"/>
      <c r="C20" s="52" t="s">
        <v>57</v>
      </c>
      <c r="D20" s="182" t="s">
        <v>34</v>
      </c>
      <c r="E20" s="182">
        <v>0.649</v>
      </c>
      <c r="F20" s="17">
        <f>E20*F12</f>
        <v>1.298</v>
      </c>
      <c r="G20" s="17"/>
      <c r="H20" s="17"/>
      <c r="I20" s="17"/>
      <c r="J20" s="17"/>
      <c r="K20" s="17"/>
      <c r="L20" s="47"/>
      <c r="M20" s="17"/>
      <c r="N20" s="253"/>
    </row>
    <row r="21" spans="1:14" s="12" customFormat="1" ht="16.5">
      <c r="A21" s="100"/>
      <c r="B21" s="177"/>
      <c r="C21" s="178" t="s">
        <v>129</v>
      </c>
      <c r="D21" s="149" t="s">
        <v>35</v>
      </c>
      <c r="E21" s="27">
        <v>2.4</v>
      </c>
      <c r="F21" s="62">
        <f>E21*F18</f>
        <v>1.6320000000000001</v>
      </c>
      <c r="G21" s="150"/>
      <c r="H21" s="149"/>
      <c r="I21" s="27"/>
      <c r="J21" s="150"/>
      <c r="K21" s="27"/>
      <c r="L21" s="149"/>
      <c r="M21" s="27"/>
      <c r="N21" s="253"/>
    </row>
    <row r="22" spans="1:14" s="12" customFormat="1" ht="17.25">
      <c r="A22" s="31">
        <v>2</v>
      </c>
      <c r="B22" s="48"/>
      <c r="C22" s="214" t="s">
        <v>142</v>
      </c>
      <c r="D22" s="94" t="s">
        <v>135</v>
      </c>
      <c r="E22" s="32"/>
      <c r="F22" s="215">
        <v>2</v>
      </c>
      <c r="G22" s="26"/>
      <c r="H22" s="24"/>
      <c r="I22" s="25"/>
      <c r="J22" s="26"/>
      <c r="K22" s="25"/>
      <c r="L22" s="24"/>
      <c r="M22" s="25"/>
      <c r="N22" s="253"/>
    </row>
    <row r="23" spans="1:14" s="12" customFormat="1" ht="17.25">
      <c r="A23" s="203"/>
      <c r="B23" s="90"/>
      <c r="C23" s="284" t="s">
        <v>12</v>
      </c>
      <c r="D23" s="90" t="s">
        <v>34</v>
      </c>
      <c r="E23" s="90"/>
      <c r="F23" s="90"/>
      <c r="G23" s="90"/>
      <c r="H23" s="40"/>
      <c r="I23" s="40"/>
      <c r="J23" s="40"/>
      <c r="K23" s="40"/>
      <c r="L23" s="40"/>
      <c r="M23" s="40"/>
      <c r="N23" s="253">
        <v>552.94</v>
      </c>
    </row>
    <row r="24" spans="1:14" s="12" customFormat="1" ht="17.25">
      <c r="A24" s="189"/>
      <c r="B24" s="13"/>
      <c r="C24" s="67" t="s">
        <v>218</v>
      </c>
      <c r="D24" s="68" t="s">
        <v>34</v>
      </c>
      <c r="E24" s="15"/>
      <c r="F24" s="15"/>
      <c r="G24" s="15"/>
      <c r="H24" s="15"/>
      <c r="I24" s="15"/>
      <c r="J24" s="15"/>
      <c r="K24" s="14"/>
      <c r="L24" s="22"/>
      <c r="M24" s="15"/>
      <c r="N24" s="288"/>
    </row>
    <row r="25" spans="1:14" s="12" customFormat="1" ht="17.25">
      <c r="A25" s="189"/>
      <c r="B25" s="13"/>
      <c r="C25" s="69" t="s">
        <v>12</v>
      </c>
      <c r="D25" s="68" t="s">
        <v>34</v>
      </c>
      <c r="E25" s="15"/>
      <c r="F25" s="15"/>
      <c r="G25" s="15"/>
      <c r="H25" s="15"/>
      <c r="I25" s="15"/>
      <c r="J25" s="15"/>
      <c r="K25" s="14"/>
      <c r="L25" s="22"/>
      <c r="M25" s="15"/>
      <c r="N25" s="253"/>
    </row>
    <row r="26" spans="1:14" s="12" customFormat="1" ht="17.25">
      <c r="A26" s="190"/>
      <c r="B26" s="71"/>
      <c r="C26" s="72" t="s">
        <v>215</v>
      </c>
      <c r="D26" s="68" t="s">
        <v>34</v>
      </c>
      <c r="E26" s="73"/>
      <c r="F26" s="74"/>
      <c r="G26" s="75"/>
      <c r="H26" s="73"/>
      <c r="I26" s="73"/>
      <c r="J26" s="73"/>
      <c r="K26" s="73"/>
      <c r="L26" s="76"/>
      <c r="M26" s="73"/>
      <c r="N26" s="253"/>
    </row>
    <row r="27" spans="1:14" s="12" customFormat="1" ht="17.25">
      <c r="A27" s="191"/>
      <c r="B27" s="71"/>
      <c r="C27" s="69" t="s">
        <v>12</v>
      </c>
      <c r="D27" s="68" t="s">
        <v>34</v>
      </c>
      <c r="E27" s="78"/>
      <c r="F27" s="69"/>
      <c r="G27" s="69"/>
      <c r="H27" s="78"/>
      <c r="I27" s="78"/>
      <c r="J27" s="78"/>
      <c r="K27" s="78"/>
      <c r="L27" s="79"/>
      <c r="M27" s="78"/>
      <c r="N27" s="253"/>
    </row>
    <row r="28" spans="1:14" s="12" customFormat="1" ht="17.25">
      <c r="A28" s="190"/>
      <c r="B28" s="71"/>
      <c r="C28" s="67" t="s">
        <v>214</v>
      </c>
      <c r="D28" s="68" t="s">
        <v>34</v>
      </c>
      <c r="E28" s="73"/>
      <c r="F28" s="80"/>
      <c r="G28" s="73"/>
      <c r="H28" s="73"/>
      <c r="I28" s="73"/>
      <c r="J28" s="73"/>
      <c r="K28" s="73"/>
      <c r="L28" s="76"/>
      <c r="M28" s="73"/>
      <c r="N28" s="287"/>
    </row>
    <row r="29" spans="1:14" s="12" customFormat="1" ht="17.25">
      <c r="A29" s="283"/>
      <c r="B29" s="278"/>
      <c r="C29" s="284" t="s">
        <v>12</v>
      </c>
      <c r="D29" s="280" t="s">
        <v>34</v>
      </c>
      <c r="E29" s="284"/>
      <c r="F29" s="284"/>
      <c r="G29" s="284"/>
      <c r="H29" s="285"/>
      <c r="I29" s="285"/>
      <c r="J29" s="285"/>
      <c r="K29" s="285"/>
      <c r="L29" s="285"/>
      <c r="M29" s="286"/>
      <c r="N29" s="253">
        <v>677.77</v>
      </c>
    </row>
    <row r="32" spans="3:12" ht="16.5">
      <c r="C32" s="373"/>
      <c r="D32" s="373"/>
      <c r="E32" s="373"/>
      <c r="F32" s="373"/>
      <c r="G32" s="373"/>
      <c r="H32" s="373"/>
      <c r="I32" s="373"/>
      <c r="J32" s="373"/>
      <c r="K32" s="373"/>
      <c r="L32" s="373"/>
    </row>
    <row r="33" spans="3:12" ht="16.5">
      <c r="C33" s="85"/>
      <c r="D33" s="86"/>
      <c r="E33" s="86"/>
      <c r="F33" s="86"/>
      <c r="G33" s="86"/>
      <c r="H33" s="86"/>
      <c r="I33" s="86"/>
      <c r="J33" s="86"/>
      <c r="K33" s="86"/>
      <c r="L33" s="86"/>
    </row>
    <row r="34" spans="3:12" ht="16.5">
      <c r="C34" s="373"/>
      <c r="D34" s="373"/>
      <c r="E34" s="373"/>
      <c r="F34" s="373"/>
      <c r="G34" s="373"/>
      <c r="H34" s="373"/>
      <c r="I34" s="373"/>
      <c r="J34" s="373"/>
      <c r="K34" s="373"/>
      <c r="L34" s="373"/>
    </row>
    <row r="35" spans="3:12" ht="16.5">
      <c r="C35" s="87"/>
      <c r="D35" s="87"/>
      <c r="E35" s="87"/>
      <c r="F35" s="87"/>
      <c r="G35" s="87"/>
      <c r="H35" s="87"/>
      <c r="I35" s="87"/>
      <c r="J35" s="87"/>
      <c r="K35" s="87"/>
      <c r="L35" s="87"/>
    </row>
  </sheetData>
  <sheetProtection/>
  <mergeCells count="25">
    <mergeCell ref="C34:L34"/>
    <mergeCell ref="K7:L7"/>
    <mergeCell ref="M7:M10"/>
    <mergeCell ref="K8:L8"/>
    <mergeCell ref="D9:D10"/>
    <mergeCell ref="E9:E10"/>
    <mergeCell ref="F9:F10"/>
    <mergeCell ref="H9:H10"/>
    <mergeCell ref="J9:J10"/>
    <mergeCell ref="B7:B10"/>
    <mergeCell ref="C7:C10"/>
    <mergeCell ref="D7:F8"/>
    <mergeCell ref="G7:H8"/>
    <mergeCell ref="I7:J8"/>
    <mergeCell ref="C32:L32"/>
    <mergeCell ref="N7:N10"/>
    <mergeCell ref="A1:M1"/>
    <mergeCell ref="A2:M2"/>
    <mergeCell ref="A3:M3"/>
    <mergeCell ref="B4:D4"/>
    <mergeCell ref="F4:I4"/>
    <mergeCell ref="B5:C5"/>
    <mergeCell ref="F5:I5"/>
    <mergeCell ref="L9:L10"/>
    <mergeCell ref="A7:A10"/>
  </mergeCells>
  <conditionalFormatting sqref="D23:D29">
    <cfRule type="cellIs" priority="3" dxfId="0" operator="equal" stopIfTrue="1">
      <formula>8223.307275</formula>
    </cfRule>
  </conditionalFormatting>
  <conditionalFormatting sqref="D21">
    <cfRule type="cellIs" priority="2" dxfId="0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Ucha</cp:lastModifiedBy>
  <cp:lastPrinted>2022-12-05T12:26:06Z</cp:lastPrinted>
  <dcterms:created xsi:type="dcterms:W3CDTF">1996-10-08T23:32:33Z</dcterms:created>
  <dcterms:modified xsi:type="dcterms:W3CDTF">2024-01-05T10:55:14Z</dcterms:modified>
  <cp:category/>
  <cp:version/>
  <cp:contentType/>
  <cp:contentStatus/>
</cp:coreProperties>
</file>