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ka.merlani\Desktop\2024 წლის ტენდერები\იელის გზა\"/>
    </mc:Choice>
  </mc:AlternateContent>
  <bookViews>
    <workbookView xWindow="0" yWindow="0" windowWidth="20490" windowHeight="8940"/>
  </bookViews>
  <sheets>
    <sheet name="kreb" sheetId="10" r:id="rId1"/>
    <sheet name="mosam" sheetId="11" r:id="rId2"/>
    <sheet name="miwa" sheetId="27" r:id="rId3"/>
    <sheet name="Rari" sheetId="13" r:id="rId4"/>
    <sheet name="mili d-1,5m" sheetId="14" r:id="rId5"/>
    <sheet name="kedeli" sheetId="28" r:id="rId6"/>
    <sheet name="gab. kedeli " sheetId="29" r:id="rId7"/>
    <sheet name="samosi" sheetId="20" r:id="rId8"/>
    <sheet name="mierT" sheetId="21" r:id="rId9"/>
    <sheet name="ezoSi Sesasv." sheetId="22" r:id="rId10"/>
    <sheet name="niSnebi" sheetId="23" r:id="rId11"/>
    <sheet name="Semof." sheetId="24" r:id="rId12"/>
    <sheet name="Лист3" sheetId="30" r:id="rId13"/>
  </sheets>
  <definedNames>
    <definedName name="_xlnm.Print_Area" localSheetId="9">'ezoSi Sesasv.'!$A$1:$M$136</definedName>
    <definedName name="_xlnm.Print_Area" localSheetId="6">'gab. kedeli '!$A$1:$M$76</definedName>
    <definedName name="_xlnm.Print_Area" localSheetId="5">kedeli!$A$1:$M$123</definedName>
    <definedName name="_xlnm.Print_Area" localSheetId="0">kreb!$A$1:$H$62</definedName>
    <definedName name="_xlnm.Print_Area" localSheetId="8">mierT!$A$1:$M$162</definedName>
    <definedName name="_xlnm.Print_Area" localSheetId="4">'mili d-1,5m'!$A$1:$M$168</definedName>
    <definedName name="_xlnm.Print_Area" localSheetId="2">miwa!$A$1:$M$78</definedName>
    <definedName name="_xlnm.Print_Area" localSheetId="1">mosam!$A$1:$M$75</definedName>
    <definedName name="_xlnm.Print_Area" localSheetId="10">niSnebi!$A$1:$M$46</definedName>
    <definedName name="_xlnm.Print_Area" localSheetId="3">Rari!$A$1:$M$160</definedName>
    <definedName name="_xlnm.Print_Area" localSheetId="7">samosi!$A$1:$M$90</definedName>
    <definedName name="_xlnm.Print_Area" localSheetId="11">Semof.!$A$1:$M$83</definedName>
    <definedName name="_xlnm.Print_Titles" localSheetId="9">'ezoSi Sesasv.'!$9:$9</definedName>
    <definedName name="_xlnm.Print_Titles" localSheetId="6">'gab. kedeli '!$9:$9</definedName>
    <definedName name="_xlnm.Print_Titles" localSheetId="5">kedeli!$9:$9</definedName>
    <definedName name="_xlnm.Print_Titles" localSheetId="0">kreb!$14:$14</definedName>
    <definedName name="_xlnm.Print_Titles" localSheetId="8">mierT!$9:$9</definedName>
    <definedName name="_xlnm.Print_Titles" localSheetId="4">'mili d-1,5m'!$9:$9</definedName>
    <definedName name="_xlnm.Print_Titles" localSheetId="2">miwa!$9:$9</definedName>
    <definedName name="_xlnm.Print_Titles" localSheetId="1">mosam!$9:$9</definedName>
    <definedName name="_xlnm.Print_Titles" localSheetId="10">niSnebi!$9:$9</definedName>
    <definedName name="_xlnm.Print_Titles" localSheetId="3">Rari!$9:$9</definedName>
    <definedName name="_xlnm.Print_Titles" localSheetId="7">samosi!$9:$9</definedName>
    <definedName name="_xlnm.Print_Titles" localSheetId="11">Semof.!$9:$9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24" l="1"/>
  <c r="E60" i="24"/>
  <c r="E51" i="24"/>
  <c r="E44" i="24"/>
  <c r="E35" i="24"/>
  <c r="E30" i="24"/>
  <c r="E29" i="24"/>
  <c r="E22" i="24"/>
  <c r="E21" i="24"/>
  <c r="E20" i="24"/>
  <c r="E13" i="24"/>
  <c r="E25" i="23"/>
  <c r="E22" i="23"/>
  <c r="E21" i="23"/>
  <c r="E20" i="23"/>
  <c r="E13" i="23"/>
  <c r="E117" i="22"/>
  <c r="E108" i="22"/>
  <c r="E107" i="22"/>
  <c r="E103" i="22"/>
  <c r="E102" i="22"/>
  <c r="E101" i="22"/>
  <c r="E100" i="22"/>
  <c r="E99" i="22"/>
  <c r="E98" i="22"/>
  <c r="E97" i="22"/>
  <c r="E93" i="22"/>
  <c r="E92" i="22"/>
  <c r="E91" i="22"/>
  <c r="E90" i="22"/>
  <c r="E87" i="22"/>
  <c r="E83" i="22"/>
  <c r="E78" i="22"/>
  <c r="E77" i="22"/>
  <c r="E73" i="22"/>
  <c r="E68" i="22"/>
  <c r="E60" i="22"/>
  <c r="E59" i="22"/>
  <c r="E58" i="22"/>
  <c r="E56" i="22"/>
  <c r="E55" i="22"/>
  <c r="E48" i="22"/>
  <c r="E38" i="22"/>
  <c r="E37" i="22"/>
  <c r="E32" i="22"/>
  <c r="E29" i="22"/>
  <c r="E24" i="22"/>
  <c r="E26" i="22"/>
  <c r="E16" i="22"/>
  <c r="E15" i="22"/>
  <c r="E13" i="22"/>
  <c r="E142" i="21"/>
  <c r="E138" i="21"/>
  <c r="E137" i="21"/>
  <c r="E136" i="21"/>
  <c r="E135" i="21"/>
  <c r="E127" i="21"/>
  <c r="E126" i="21"/>
  <c r="E125" i="21"/>
  <c r="E124" i="21"/>
  <c r="E123" i="21"/>
  <c r="E120" i="21"/>
  <c r="E113" i="21"/>
  <c r="E112" i="21"/>
  <c r="E111" i="21"/>
  <c r="E110" i="21"/>
  <c r="E109" i="21"/>
  <c r="E108" i="21"/>
  <c r="E107" i="21"/>
  <c r="E103" i="21"/>
  <c r="E102" i="21"/>
  <c r="E101" i="21"/>
  <c r="E100" i="21"/>
  <c r="E99" i="21"/>
  <c r="E98" i="21"/>
  <c r="E97" i="21"/>
  <c r="E19" i="20"/>
  <c r="E93" i="21"/>
  <c r="E92" i="21"/>
  <c r="E91" i="21"/>
  <c r="E90" i="21"/>
  <c r="E87" i="21"/>
  <c r="E83" i="21"/>
  <c r="E73" i="21"/>
  <c r="E69" i="21"/>
  <c r="E66" i="21"/>
  <c r="E67" i="21"/>
  <c r="E71" i="21"/>
  <c r="E64" i="21"/>
  <c r="E60" i="21"/>
  <c r="E59" i="21"/>
  <c r="E56" i="21"/>
  <c r="E55" i="21"/>
  <c r="E48" i="21"/>
  <c r="E38" i="21"/>
  <c r="E37" i="21"/>
  <c r="E32" i="21"/>
  <c r="E29" i="21"/>
  <c r="E26" i="21"/>
  <c r="E24" i="21"/>
  <c r="E22" i="21"/>
  <c r="E20" i="21"/>
  <c r="E19" i="21"/>
  <c r="E16" i="21"/>
  <c r="E15" i="21"/>
  <c r="E13" i="21"/>
  <c r="E65" i="20"/>
  <c r="E64" i="20"/>
  <c r="E63" i="20"/>
  <c r="E62" i="20"/>
  <c r="E57" i="20"/>
  <c r="E46" i="20"/>
  <c r="E47" i="20"/>
  <c r="E48" i="20"/>
  <c r="E49" i="20"/>
  <c r="E45" i="20"/>
  <c r="E42" i="20"/>
  <c r="E35" i="20"/>
  <c r="E34" i="20"/>
  <c r="E33" i="20"/>
  <c r="E32" i="20"/>
  <c r="E31" i="20"/>
  <c r="E30" i="20"/>
  <c r="E29" i="20"/>
  <c r="E20" i="20"/>
  <c r="E21" i="20"/>
  <c r="E22" i="20"/>
  <c r="E23" i="20"/>
  <c r="E24" i="20"/>
  <c r="E25" i="20"/>
  <c r="E15" i="20"/>
  <c r="E14" i="20"/>
  <c r="E13" i="20"/>
  <c r="E12" i="20"/>
  <c r="E57" i="29"/>
  <c r="E53" i="29"/>
  <c r="E51" i="29"/>
  <c r="E50" i="29"/>
  <c r="E47" i="29"/>
  <c r="E48" i="29"/>
  <c r="E38" i="29"/>
  <c r="E32" i="29"/>
  <c r="E28" i="29"/>
  <c r="E25" i="29"/>
  <c r="E23" i="29"/>
  <c r="E21" i="29"/>
  <c r="E19" i="29"/>
  <c r="E18" i="29"/>
  <c r="E15" i="29"/>
  <c r="E14" i="29"/>
  <c r="E12" i="29"/>
  <c r="E104" i="28"/>
  <c r="E100" i="28"/>
  <c r="E102" i="28"/>
  <c r="E98" i="28"/>
  <c r="E97" i="28"/>
  <c r="E95" i="28"/>
  <c r="E94" i="28"/>
  <c r="E91" i="28"/>
  <c r="E90" i="28"/>
  <c r="E84" i="28"/>
  <c r="E80" i="28"/>
  <c r="E75" i="28"/>
  <c r="E69" i="28"/>
  <c r="E62" i="28"/>
  <c r="E61" i="28"/>
  <c r="E50" i="28"/>
  <c r="E49" i="28"/>
  <c r="E45" i="28"/>
  <c r="E34" i="28"/>
  <c r="E33" i="28"/>
  <c r="E28" i="28"/>
  <c r="E25" i="28"/>
  <c r="E23" i="28"/>
  <c r="E21" i="28"/>
  <c r="E19" i="28"/>
  <c r="E18" i="28"/>
  <c r="E15" i="28"/>
  <c r="E14" i="28"/>
  <c r="E12" i="28"/>
  <c r="E151" i="14"/>
  <c r="E148" i="14"/>
  <c r="E143" i="14"/>
  <c r="F143" i="14" s="1"/>
  <c r="E141" i="14"/>
  <c r="E140" i="14"/>
  <c r="E137" i="14"/>
  <c r="E133" i="14"/>
  <c r="E53" i="27"/>
  <c r="E121" i="13"/>
  <c r="E55" i="13"/>
  <c r="E128" i="14"/>
  <c r="E127" i="14"/>
  <c r="E124" i="14"/>
  <c r="E123" i="14"/>
  <c r="E117" i="14"/>
  <c r="E111" i="14"/>
  <c r="E104" i="14"/>
  <c r="E98" i="14"/>
  <c r="E97" i="14"/>
  <c r="E87" i="14"/>
  <c r="E86" i="14"/>
  <c r="E81" i="14"/>
  <c r="E73" i="14"/>
  <c r="E64" i="14"/>
  <c r="E56" i="14"/>
  <c r="E50" i="14"/>
  <c r="E45" i="14"/>
  <c r="E44" i="14"/>
  <c r="E39" i="14"/>
  <c r="E35" i="14"/>
  <c r="E28" i="14"/>
  <c r="E25" i="14"/>
  <c r="E23" i="14"/>
  <c r="E21" i="14"/>
  <c r="E19" i="14"/>
  <c r="E18" i="14"/>
  <c r="E15" i="14"/>
  <c r="E14" i="14"/>
  <c r="E12" i="14"/>
  <c r="E128" i="13"/>
  <c r="E124" i="13"/>
  <c r="E123" i="13"/>
  <c r="E130" i="13"/>
  <c r="E126" i="13"/>
  <c r="E120" i="13"/>
  <c r="E112" i="13"/>
  <c r="E106" i="13"/>
  <c r="E100" i="13"/>
  <c r="E95" i="13"/>
  <c r="E79" i="13"/>
  <c r="E89" i="13"/>
  <c r="E88" i="13"/>
  <c r="E84" i="13"/>
  <c r="E81" i="13"/>
  <c r="E77" i="13"/>
  <c r="E75" i="13"/>
  <c r="E74" i="13"/>
  <c r="E71" i="13"/>
  <c r="E70" i="13"/>
  <c r="E68" i="13"/>
  <c r="E64" i="13"/>
  <c r="E60" i="13"/>
  <c r="E58" i="13"/>
  <c r="E57" i="13"/>
  <c r="E54" i="13"/>
  <c r="E51" i="13"/>
  <c r="E50" i="13"/>
  <c r="E46" i="13"/>
  <c r="E40" i="13"/>
  <c r="E34" i="13"/>
  <c r="E26" i="13"/>
  <c r="E16" i="13"/>
  <c r="E15" i="13"/>
  <c r="E20" i="13"/>
  <c r="E19" i="13"/>
  <c r="E22" i="13"/>
  <c r="E13" i="13"/>
  <c r="E52" i="27"/>
  <c r="E48" i="27"/>
  <c r="E43" i="27"/>
  <c r="F43" i="27" s="1"/>
  <c r="E36" i="27"/>
  <c r="E35" i="27"/>
  <c r="E34" i="27"/>
  <c r="E32" i="27"/>
  <c r="E30" i="27"/>
  <c r="E29" i="27"/>
  <c r="E27" i="27"/>
  <c r="E26" i="27"/>
  <c r="E22" i="27"/>
  <c r="E18" i="27"/>
  <c r="E13" i="27"/>
  <c r="P44" i="11"/>
  <c r="F41" i="11"/>
  <c r="E39" i="11"/>
  <c r="E34" i="11"/>
  <c r="E27" i="11"/>
  <c r="E26" i="11"/>
  <c r="E25" i="11"/>
  <c r="E22" i="11"/>
  <c r="E17" i="11"/>
  <c r="F17" i="11" s="1"/>
  <c r="E20" i="11"/>
  <c r="E19" i="11"/>
  <c r="E15" i="11"/>
  <c r="E14" i="11"/>
  <c r="F28" i="24" l="1"/>
  <c r="F24" i="24"/>
  <c r="F12" i="24"/>
  <c r="F24" i="23"/>
  <c r="F117" i="22"/>
  <c r="F118" i="22"/>
  <c r="F95" i="22"/>
  <c r="F94" i="22"/>
  <c r="F93" i="22"/>
  <c r="F92" i="22"/>
  <c r="F91" i="22"/>
  <c r="F90" i="22"/>
  <c r="E86" i="22"/>
  <c r="E85" i="22"/>
  <c r="E81" i="22"/>
  <c r="E80" i="22"/>
  <c r="F79" i="22"/>
  <c r="F78" i="22"/>
  <c r="F77" i="22"/>
  <c r="E72" i="22"/>
  <c r="E71" i="22"/>
  <c r="E67" i="22"/>
  <c r="E66" i="22"/>
  <c r="F65" i="22"/>
  <c r="E64" i="22"/>
  <c r="F64" i="22" s="1"/>
  <c r="F56" i="22"/>
  <c r="F55" i="22"/>
  <c r="F34" i="22"/>
  <c r="F142" i="21"/>
  <c r="F145" i="21"/>
  <c r="F143" i="21"/>
  <c r="F122" i="21"/>
  <c r="E86" i="21"/>
  <c r="E85" i="21"/>
  <c r="E81" i="21"/>
  <c r="E80" i="21"/>
  <c r="F79" i="21"/>
  <c r="E78" i="21"/>
  <c r="F78" i="21" s="1"/>
  <c r="E77" i="21"/>
  <c r="F77" i="21" s="1"/>
  <c r="E72" i="21"/>
  <c r="F65" i="21"/>
  <c r="F64" i="21"/>
  <c r="E58" i="21"/>
  <c r="F57" i="21"/>
  <c r="F56" i="21"/>
  <c r="F55" i="21"/>
  <c r="E22" i="22"/>
  <c r="F21" i="22"/>
  <c r="F27" i="22" s="1"/>
  <c r="F21" i="21"/>
  <c r="E20" i="22"/>
  <c r="F20" i="22" s="1"/>
  <c r="E19" i="22"/>
  <c r="F19" i="22" s="1"/>
  <c r="F20" i="21"/>
  <c r="F19" i="21"/>
  <c r="F14" i="22"/>
  <c r="F14" i="21"/>
  <c r="F13" i="22"/>
  <c r="F13" i="21"/>
  <c r="F49" i="29"/>
  <c r="F53" i="29" s="1"/>
  <c r="E56" i="29"/>
  <c r="E55" i="29"/>
  <c r="F51" i="29"/>
  <c r="F54" i="29"/>
  <c r="F57" i="29" s="1"/>
  <c r="E46" i="29"/>
  <c r="F45" i="29"/>
  <c r="E44" i="29"/>
  <c r="F44" i="29" s="1"/>
  <c r="E43" i="29"/>
  <c r="F43" i="29" s="1"/>
  <c r="F40" i="29"/>
  <c r="F39" i="29"/>
  <c r="F38" i="29"/>
  <c r="F84" i="21" l="1"/>
  <c r="F87" i="21" s="1"/>
  <c r="F83" i="21"/>
  <c r="F70" i="21"/>
  <c r="F73" i="21" s="1"/>
  <c r="F69" i="21"/>
  <c r="F74" i="22"/>
  <c r="F68" i="22"/>
  <c r="F84" i="22"/>
  <c r="F87" i="22" s="1"/>
  <c r="F83" i="22"/>
  <c r="F67" i="22"/>
  <c r="F66" i="22"/>
  <c r="F70" i="22"/>
  <c r="F82" i="22"/>
  <c r="F88" i="22"/>
  <c r="F80" i="22"/>
  <c r="F81" i="22"/>
  <c r="F69" i="22"/>
  <c r="F22" i="22"/>
  <c r="F15" i="22"/>
  <c r="F16" i="22"/>
  <c r="F22" i="21"/>
  <c r="F67" i="21"/>
  <c r="F81" i="21"/>
  <c r="F66" i="21"/>
  <c r="F80" i="21"/>
  <c r="F85" i="21"/>
  <c r="F82" i="21"/>
  <c r="F88" i="21"/>
  <c r="F68" i="21"/>
  <c r="F74" i="21"/>
  <c r="F59" i="21"/>
  <c r="F58" i="21"/>
  <c r="F60" i="21"/>
  <c r="F16" i="21"/>
  <c r="F15" i="21"/>
  <c r="F23" i="22"/>
  <c r="F23" i="21"/>
  <c r="F27" i="21"/>
  <c r="F50" i="29"/>
  <c r="F56" i="29"/>
  <c r="F55" i="29"/>
  <c r="F52" i="29"/>
  <c r="F58" i="29"/>
  <c r="F47" i="29"/>
  <c r="F46" i="29"/>
  <c r="F48" i="29"/>
  <c r="F72" i="21" l="1"/>
  <c r="F72" i="22"/>
  <c r="F73" i="22"/>
  <c r="F25" i="22"/>
  <c r="F26" i="22"/>
  <c r="F85" i="22"/>
  <c r="F86" i="22"/>
  <c r="F25" i="21"/>
  <c r="F26" i="21"/>
  <c r="F71" i="21"/>
  <c r="F86" i="21"/>
  <c r="F71" i="22"/>
  <c r="F24" i="22"/>
  <c r="F24" i="21"/>
  <c r="F33" i="29" l="1"/>
  <c r="F32" i="29"/>
  <c r="F30" i="29"/>
  <c r="F29" i="29"/>
  <c r="F28" i="29"/>
  <c r="F20" i="29"/>
  <c r="F21" i="29" s="1"/>
  <c r="F19" i="29"/>
  <c r="F18" i="29"/>
  <c r="F13" i="29"/>
  <c r="F12" i="29"/>
  <c r="F96" i="28"/>
  <c r="F100" i="28" s="1"/>
  <c r="E103" i="28"/>
  <c r="E93" i="28"/>
  <c r="F92" i="28"/>
  <c r="F91" i="28"/>
  <c r="F90" i="28"/>
  <c r="F84" i="28"/>
  <c r="F80" i="28"/>
  <c r="F69" i="28"/>
  <c r="F87" i="28"/>
  <c r="F86" i="28"/>
  <c r="F85" i="28"/>
  <c r="F82" i="28"/>
  <c r="F81" i="28"/>
  <c r="F78" i="28"/>
  <c r="F77" i="28"/>
  <c r="F76" i="28"/>
  <c r="F75" i="28"/>
  <c r="F73" i="28"/>
  <c r="F72" i="28"/>
  <c r="F71" i="28"/>
  <c r="F70" i="28"/>
  <c r="F60" i="28"/>
  <c r="F63" i="28" s="1"/>
  <c r="F59" i="28"/>
  <c r="E57" i="28"/>
  <c r="F55" i="28"/>
  <c r="F54" i="28"/>
  <c r="F53" i="28"/>
  <c r="F52" i="28"/>
  <c r="F51" i="28"/>
  <c r="F50" i="28"/>
  <c r="F49" i="28"/>
  <c r="F58" i="28" s="1"/>
  <c r="F43" i="28"/>
  <c r="F42" i="28"/>
  <c r="F41" i="28"/>
  <c r="F40" i="28"/>
  <c r="F34" i="28"/>
  <c r="F39" i="28"/>
  <c r="F31" i="28"/>
  <c r="F30" i="28"/>
  <c r="F29" i="28"/>
  <c r="F28" i="28"/>
  <c r="F20" i="28"/>
  <c r="F21" i="28" s="1"/>
  <c r="F19" i="28"/>
  <c r="F18" i="28"/>
  <c r="F13" i="28"/>
  <c r="F15" i="28" s="1"/>
  <c r="F12" i="28"/>
  <c r="F60" i="20"/>
  <c r="F58" i="20"/>
  <c r="F57" i="20"/>
  <c r="F101" i="28" l="1"/>
  <c r="F104" i="28" s="1"/>
  <c r="F98" i="28"/>
  <c r="F22" i="29"/>
  <c r="F26" i="29"/>
  <c r="F14" i="29"/>
  <c r="F15" i="29"/>
  <c r="F93" i="28"/>
  <c r="F14" i="28"/>
  <c r="F97" i="28"/>
  <c r="F102" i="28"/>
  <c r="F99" i="28"/>
  <c r="F105" i="28"/>
  <c r="F94" i="28"/>
  <c r="F95" i="28"/>
  <c r="F66" i="28"/>
  <c r="F62" i="28"/>
  <c r="F61" i="28"/>
  <c r="F56" i="28"/>
  <c r="F57" i="28"/>
  <c r="F45" i="28"/>
  <c r="F35" i="28"/>
  <c r="F38" i="28"/>
  <c r="F33" i="28"/>
  <c r="F36" i="28"/>
  <c r="F37" i="28"/>
  <c r="F22" i="28"/>
  <c r="F26" i="28"/>
  <c r="F103" i="28" l="1"/>
  <c r="F24" i="28"/>
  <c r="F25" i="28"/>
  <c r="F24" i="29"/>
  <c r="F25" i="29"/>
  <c r="F23" i="29"/>
  <c r="F23" i="28"/>
  <c r="O109" i="28" l="1"/>
  <c r="O62" i="29" l="1"/>
  <c r="F129" i="14"/>
  <c r="F133" i="14" s="1"/>
  <c r="E136" i="14"/>
  <c r="E135" i="14"/>
  <c r="E131" i="14"/>
  <c r="F131" i="14" s="1"/>
  <c r="E130" i="14"/>
  <c r="F130" i="14" s="1"/>
  <c r="F134" i="14"/>
  <c r="E126" i="14"/>
  <c r="F125" i="14"/>
  <c r="F124" i="14"/>
  <c r="F123" i="14"/>
  <c r="F63" i="14"/>
  <c r="F20" i="14"/>
  <c r="F19" i="14"/>
  <c r="F18" i="14"/>
  <c r="F13" i="14"/>
  <c r="F12" i="14"/>
  <c r="F126" i="13"/>
  <c r="E129" i="13"/>
  <c r="F123" i="13"/>
  <c r="F127" i="13"/>
  <c r="E117" i="13"/>
  <c r="F117" i="13" s="1"/>
  <c r="E116" i="13"/>
  <c r="F116" i="13" s="1"/>
  <c r="F92" i="13"/>
  <c r="F91" i="13"/>
  <c r="F90" i="13"/>
  <c r="F89" i="13"/>
  <c r="F88" i="13"/>
  <c r="F86" i="13"/>
  <c r="F85" i="13"/>
  <c r="F84" i="13"/>
  <c r="F76" i="13"/>
  <c r="F82" i="13" s="1"/>
  <c r="F75" i="13"/>
  <c r="F74" i="13"/>
  <c r="F69" i="13"/>
  <c r="F68" i="13"/>
  <c r="F56" i="13"/>
  <c r="F60" i="13" s="1"/>
  <c r="E63" i="13"/>
  <c r="E62" i="13"/>
  <c r="F52" i="13"/>
  <c r="F54" i="13" s="1"/>
  <c r="E53" i="13"/>
  <c r="F51" i="13"/>
  <c r="F50" i="13"/>
  <c r="F47" i="13"/>
  <c r="F46" i="13"/>
  <c r="F44" i="13"/>
  <c r="F136" i="14" l="1"/>
  <c r="F137" i="14"/>
  <c r="F124" i="13"/>
  <c r="F129" i="13"/>
  <c r="F130" i="13"/>
  <c r="F135" i="14"/>
  <c r="F132" i="14"/>
  <c r="F138" i="14"/>
  <c r="F126" i="14"/>
  <c r="F21" i="14"/>
  <c r="F127" i="14"/>
  <c r="F128" i="14"/>
  <c r="F14" i="14"/>
  <c r="F15" i="14"/>
  <c r="F22" i="14"/>
  <c r="F26" i="14"/>
  <c r="F128" i="13"/>
  <c r="F125" i="13"/>
  <c r="F131" i="13"/>
  <c r="F53" i="13"/>
  <c r="F78" i="13"/>
  <c r="F79" i="13" s="1"/>
  <c r="F77" i="13"/>
  <c r="F70" i="13"/>
  <c r="F71" i="13"/>
  <c r="F61" i="13"/>
  <c r="F64" i="13" s="1"/>
  <c r="F58" i="13"/>
  <c r="F57" i="13"/>
  <c r="F59" i="13"/>
  <c r="F65" i="13"/>
  <c r="F55" i="13"/>
  <c r="F41" i="13"/>
  <c r="F43" i="13"/>
  <c r="F40" i="13"/>
  <c r="F42" i="13"/>
  <c r="F63" i="13" l="1"/>
  <c r="F62" i="13"/>
  <c r="F24" i="14"/>
  <c r="F25" i="14"/>
  <c r="F80" i="13"/>
  <c r="F81" i="13"/>
  <c r="F23" i="14"/>
  <c r="L5" i="29" l="1"/>
  <c r="D28" i="10" s="1"/>
  <c r="H28" i="10" s="1"/>
  <c r="L5" i="28" l="1"/>
  <c r="D27" i="10" s="1"/>
  <c r="H27" i="10" s="1"/>
  <c r="E29" i="13"/>
  <c r="F29" i="13" s="1"/>
  <c r="F30" i="13"/>
  <c r="F31" i="13"/>
  <c r="F21" i="13"/>
  <c r="F27" i="13" s="1"/>
  <c r="F32" i="13"/>
  <c r="F20" i="13"/>
  <c r="F19" i="13"/>
  <c r="F14" i="13" l="1"/>
  <c r="F13" i="13"/>
  <c r="P25" i="27"/>
  <c r="E47" i="11" l="1"/>
  <c r="E104" i="21"/>
  <c r="F151" i="14"/>
  <c r="E146" i="14"/>
  <c r="E145" i="14"/>
  <c r="E142" i="14"/>
  <c r="E119" i="13"/>
  <c r="E35" i="13"/>
  <c r="E24" i="13"/>
  <c r="E46" i="27"/>
  <c r="E45" i="27"/>
  <c r="E42" i="27"/>
  <c r="E41" i="27"/>
  <c r="E40" i="27"/>
  <c r="E20" i="27"/>
  <c r="E16" i="27"/>
  <c r="E15" i="27"/>
  <c r="F59" i="24" l="1"/>
  <c r="F62" i="24" s="1"/>
  <c r="F60" i="24"/>
  <c r="F58" i="24"/>
  <c r="F57" i="24"/>
  <c r="F55" i="24"/>
  <c r="F53" i="24"/>
  <c r="F51" i="24"/>
  <c r="F56" i="24"/>
  <c r="F49" i="24"/>
  <c r="F48" i="24"/>
  <c r="F47" i="24"/>
  <c r="F46" i="24"/>
  <c r="F45" i="24"/>
  <c r="F44" i="24"/>
  <c r="F39" i="24"/>
  <c r="F38" i="24"/>
  <c r="F37" i="24"/>
  <c r="F36" i="24"/>
  <c r="F35" i="24"/>
  <c r="F33" i="24"/>
  <c r="F29" i="24"/>
  <c r="F27" i="24"/>
  <c r="F23" i="24"/>
  <c r="F22" i="24"/>
  <c r="F21" i="24"/>
  <c r="F20" i="24"/>
  <c r="F18" i="24"/>
  <c r="F18" i="23"/>
  <c r="F17" i="23"/>
  <c r="F16" i="23"/>
  <c r="F15" i="23"/>
  <c r="F14" i="23"/>
  <c r="F13" i="23"/>
  <c r="F26" i="23"/>
  <c r="F25" i="23"/>
  <c r="F23" i="23"/>
  <c r="F22" i="23"/>
  <c r="F21" i="23"/>
  <c r="F20" i="23"/>
  <c r="O106" i="22"/>
  <c r="E115" i="22"/>
  <c r="F115" i="22" s="1"/>
  <c r="F114" i="22"/>
  <c r="E113" i="22"/>
  <c r="F113" i="22" s="1"/>
  <c r="F112" i="22"/>
  <c r="E111" i="22"/>
  <c r="F111" i="22" s="1"/>
  <c r="E110" i="22"/>
  <c r="F110" i="22" s="1"/>
  <c r="E109" i="22"/>
  <c r="F109" i="22" s="1"/>
  <c r="F108" i="22"/>
  <c r="F107" i="22"/>
  <c r="F105" i="22"/>
  <c r="E104" i="22"/>
  <c r="F104" i="22" s="1"/>
  <c r="F103" i="22"/>
  <c r="F102" i="22"/>
  <c r="F101" i="22"/>
  <c r="F100" i="22"/>
  <c r="F99" i="22"/>
  <c r="F98" i="22"/>
  <c r="F97" i="22"/>
  <c r="F52" i="22"/>
  <c r="F51" i="22"/>
  <c r="F50" i="22"/>
  <c r="F49" i="22"/>
  <c r="F48" i="22"/>
  <c r="F43" i="22"/>
  <c r="F42" i="22"/>
  <c r="F41" i="22"/>
  <c r="F40" i="22"/>
  <c r="F39" i="22"/>
  <c r="F38" i="22"/>
  <c r="F37" i="22"/>
  <c r="F63" i="24" l="1"/>
  <c r="F61" i="24"/>
  <c r="F52" i="24"/>
  <c r="F54" i="24"/>
  <c r="F30" i="24"/>
  <c r="F32" i="24"/>
  <c r="F31" i="24"/>
  <c r="F13" i="24"/>
  <c r="F15" i="24"/>
  <c r="F17" i="24"/>
  <c r="F14" i="24"/>
  <c r="F16" i="24"/>
  <c r="F58" i="22"/>
  <c r="F59" i="22"/>
  <c r="F60" i="22"/>
  <c r="F35" i="22" l="1"/>
  <c r="F33" i="22"/>
  <c r="F32" i="22"/>
  <c r="F30" i="22"/>
  <c r="F29" i="22"/>
  <c r="O32" i="23" l="1"/>
  <c r="O68" i="24" l="1"/>
  <c r="O122" i="22" l="1"/>
  <c r="F140" i="21"/>
  <c r="F139" i="21"/>
  <c r="F138" i="21"/>
  <c r="F137" i="21"/>
  <c r="F136" i="21"/>
  <c r="F135" i="21"/>
  <c r="F133" i="21"/>
  <c r="F119" i="21"/>
  <c r="F121" i="21" s="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5" i="21"/>
  <c r="F104" i="21"/>
  <c r="F103" i="21"/>
  <c r="F102" i="21"/>
  <c r="F101" i="21"/>
  <c r="F100" i="21"/>
  <c r="F99" i="21"/>
  <c r="F98" i="21"/>
  <c r="F97" i="21"/>
  <c r="F95" i="21"/>
  <c r="F94" i="21"/>
  <c r="F93" i="21"/>
  <c r="F92" i="21"/>
  <c r="F91" i="21"/>
  <c r="F90" i="21"/>
  <c r="F52" i="21"/>
  <c r="F51" i="21"/>
  <c r="F50" i="21"/>
  <c r="F49" i="21"/>
  <c r="F48" i="21"/>
  <c r="F46" i="21"/>
  <c r="F45" i="21"/>
  <c r="E44" i="21"/>
  <c r="F44" i="21" s="1"/>
  <c r="F43" i="21"/>
  <c r="F42" i="21"/>
  <c r="F41" i="21"/>
  <c r="F40" i="21"/>
  <c r="F39" i="21"/>
  <c r="F38" i="21"/>
  <c r="F37" i="21"/>
  <c r="F35" i="21"/>
  <c r="F34" i="21"/>
  <c r="F33" i="21"/>
  <c r="F32" i="21"/>
  <c r="F30" i="21"/>
  <c r="F29" i="21"/>
  <c r="F67" i="20"/>
  <c r="F66" i="20"/>
  <c r="F65" i="20"/>
  <c r="F64" i="20"/>
  <c r="F63" i="20"/>
  <c r="F62" i="20"/>
  <c r="F55" i="20"/>
  <c r="F41" i="20"/>
  <c r="F43" i="20" s="1"/>
  <c r="F40" i="20"/>
  <c r="F39" i="20"/>
  <c r="F38" i="20"/>
  <c r="F37" i="20"/>
  <c r="F36" i="20"/>
  <c r="F35" i="20"/>
  <c r="F34" i="20"/>
  <c r="F33" i="20"/>
  <c r="F32" i="20"/>
  <c r="F31" i="20"/>
  <c r="F30" i="20"/>
  <c r="F29" i="20"/>
  <c r="F27" i="20"/>
  <c r="E26" i="20"/>
  <c r="F26" i="20" s="1"/>
  <c r="F25" i="20"/>
  <c r="F24" i="20"/>
  <c r="F23" i="20"/>
  <c r="F22" i="20"/>
  <c r="F21" i="20"/>
  <c r="F20" i="20"/>
  <c r="F19" i="20"/>
  <c r="F17" i="20"/>
  <c r="F16" i="20"/>
  <c r="F15" i="20"/>
  <c r="F14" i="20"/>
  <c r="F13" i="20"/>
  <c r="F12" i="20"/>
  <c r="F123" i="21" l="1"/>
  <c r="F125" i="21"/>
  <c r="F126" i="21"/>
  <c r="F127" i="21"/>
  <c r="F132" i="21"/>
  <c r="F124" i="21"/>
  <c r="F128" i="21"/>
  <c r="F120" i="21"/>
  <c r="F45" i="20"/>
  <c r="F47" i="20"/>
  <c r="F48" i="20"/>
  <c r="F49" i="20"/>
  <c r="F54" i="20"/>
  <c r="F46" i="20"/>
  <c r="F50" i="20"/>
  <c r="F42" i="20"/>
  <c r="O71" i="20" l="1"/>
  <c r="O149" i="21" l="1"/>
  <c r="F149" i="14"/>
  <c r="F144" i="14"/>
  <c r="F142" i="14"/>
  <c r="F141" i="14"/>
  <c r="F140" i="14"/>
  <c r="F120" i="14"/>
  <c r="F119" i="14"/>
  <c r="F118" i="14"/>
  <c r="F117" i="14"/>
  <c r="F112" i="14"/>
  <c r="F111" i="14"/>
  <c r="F108" i="14"/>
  <c r="F107" i="14"/>
  <c r="F106" i="14"/>
  <c r="F105" i="14"/>
  <c r="F104" i="14"/>
  <c r="E93" i="14"/>
  <c r="F91" i="14"/>
  <c r="F90" i="14"/>
  <c r="F89" i="14"/>
  <c r="F88" i="14"/>
  <c r="F87" i="14"/>
  <c r="F86" i="14"/>
  <c r="F84" i="14"/>
  <c r="F83" i="14"/>
  <c r="F82" i="14"/>
  <c r="F81" i="14"/>
  <c r="F77" i="14"/>
  <c r="F76" i="14"/>
  <c r="F75" i="14"/>
  <c r="F74" i="14"/>
  <c r="F73" i="14"/>
  <c r="F71" i="14"/>
  <c r="F66" i="14"/>
  <c r="F64" i="14"/>
  <c r="F61" i="14"/>
  <c r="F60" i="14"/>
  <c r="F59" i="14"/>
  <c r="F58" i="14"/>
  <c r="F57" i="14"/>
  <c r="F56" i="14"/>
  <c r="F54" i="14"/>
  <c r="F53" i="14"/>
  <c r="F52" i="14"/>
  <c r="F51" i="14"/>
  <c r="F50" i="14"/>
  <c r="F47" i="14"/>
  <c r="F45" i="14"/>
  <c r="F44" i="14"/>
  <c r="F32" i="14"/>
  <c r="F31" i="14"/>
  <c r="F30" i="14"/>
  <c r="F29" i="14"/>
  <c r="F28" i="14"/>
  <c r="F147" i="14" l="1"/>
  <c r="F148" i="14"/>
  <c r="F93" i="14"/>
  <c r="F92" i="14"/>
  <c r="F65" i="14"/>
  <c r="F67" i="14"/>
  <c r="F70" i="14"/>
  <c r="F94" i="14"/>
  <c r="F95" i="14"/>
  <c r="F97" i="14"/>
  <c r="F146" i="14"/>
  <c r="F145" i="14"/>
  <c r="F99" i="14" l="1"/>
  <c r="F102" i="14"/>
  <c r="F98" i="14"/>
  <c r="F113" i="13" l="1"/>
  <c r="F112" i="13"/>
  <c r="F110" i="13"/>
  <c r="F109" i="13"/>
  <c r="F108" i="13"/>
  <c r="F107" i="13"/>
  <c r="F106" i="13"/>
  <c r="F97" i="13" l="1"/>
  <c r="F96" i="13"/>
  <c r="F98" i="13" l="1"/>
  <c r="F95" i="13"/>
  <c r="F102" i="13" l="1"/>
  <c r="F99" i="13"/>
  <c r="F104" i="13" l="1"/>
  <c r="F100" i="13"/>
  <c r="F103" i="13"/>
  <c r="F101" i="13"/>
  <c r="F38" i="13"/>
  <c r="F37" i="13"/>
  <c r="F36" i="13"/>
  <c r="F35" i="13"/>
  <c r="F34" i="13"/>
  <c r="F37" i="14"/>
  <c r="F36" i="14"/>
  <c r="F35" i="14"/>
  <c r="E51" i="27"/>
  <c r="F50" i="27"/>
  <c r="F53" i="27" s="1"/>
  <c r="F49" i="27"/>
  <c r="F44" i="27"/>
  <c r="F42" i="27"/>
  <c r="F41" i="27"/>
  <c r="F40" i="27"/>
  <c r="F28" i="27"/>
  <c r="F27" i="27"/>
  <c r="F26" i="27"/>
  <c r="E21" i="27"/>
  <c r="F14" i="27"/>
  <c r="F18" i="27" s="1"/>
  <c r="F13" i="27"/>
  <c r="F37" i="27" l="1"/>
  <c r="F31" i="27"/>
  <c r="F32" i="27"/>
  <c r="F29" i="27"/>
  <c r="F30" i="27"/>
  <c r="F47" i="27"/>
  <c r="F48" i="27"/>
  <c r="F23" i="27"/>
  <c r="F52" i="27"/>
  <c r="F51" i="27"/>
  <c r="F16" i="27"/>
  <c r="F46" i="27"/>
  <c r="F45" i="27"/>
  <c r="F33" i="27"/>
  <c r="F15" i="27"/>
  <c r="F17" i="27"/>
  <c r="F19" i="27"/>
  <c r="F34" i="27" l="1"/>
  <c r="F36" i="27"/>
  <c r="F35" i="27"/>
  <c r="F20" i="27"/>
  <c r="F22" i="27"/>
  <c r="F21" i="27"/>
  <c r="O57" i="27" l="1"/>
  <c r="F53" i="11"/>
  <c r="F54" i="11"/>
  <c r="F52" i="11"/>
  <c r="F50" i="11"/>
  <c r="F49" i="11"/>
  <c r="F45" i="11"/>
  <c r="F44" i="11"/>
  <c r="F42" i="11"/>
  <c r="F40" i="11"/>
  <c r="F39" i="11"/>
  <c r="F37" i="11"/>
  <c r="F36" i="11"/>
  <c r="F35" i="11"/>
  <c r="F34" i="11"/>
  <c r="F32" i="11"/>
  <c r="F31" i="11"/>
  <c r="F29" i="11"/>
  <c r="F28" i="11"/>
  <c r="F27" i="11"/>
  <c r="F26" i="11"/>
  <c r="F25" i="11"/>
  <c r="F42" i="14" l="1"/>
  <c r="F41" i="14"/>
  <c r="F40" i="14"/>
  <c r="F39" i="14"/>
  <c r="F118" i="13"/>
  <c r="F23" i="13"/>
  <c r="F22" i="13"/>
  <c r="F16" i="13"/>
  <c r="F15" i="13"/>
  <c r="F58" i="11"/>
  <c r="F57" i="11"/>
  <c r="F56" i="11"/>
  <c r="F48" i="11"/>
  <c r="F47" i="11"/>
  <c r="F23" i="11"/>
  <c r="F18" i="11"/>
  <c r="E16" i="11"/>
  <c r="F16" i="11" s="1"/>
  <c r="F15" i="11"/>
  <c r="F14" i="11"/>
  <c r="G18" i="10"/>
  <c r="G44" i="10" s="1"/>
  <c r="G49" i="10" s="1"/>
  <c r="F20" i="11" l="1"/>
  <c r="F22" i="11"/>
  <c r="F24" i="13"/>
  <c r="F26" i="13"/>
  <c r="P149" i="21"/>
  <c r="F120" i="13"/>
  <c r="F119" i="13"/>
  <c r="F121" i="13"/>
  <c r="F25" i="13"/>
  <c r="P57" i="27"/>
  <c r="F19" i="11"/>
  <c r="F21" i="11"/>
  <c r="O62" i="11" l="1"/>
  <c r="O135" i="13"/>
  <c r="O155" i="14"/>
  <c r="L5" i="23"/>
  <c r="D40" i="10" s="1"/>
  <c r="H40" i="10" s="1"/>
  <c r="P155" i="14" l="1"/>
  <c r="L5" i="24"/>
  <c r="D41" i="10" s="1"/>
  <c r="H41" i="10" s="1"/>
  <c r="L5" i="22"/>
  <c r="D36" i="10" s="1"/>
  <c r="H36" i="10" s="1"/>
  <c r="L5" i="21"/>
  <c r="D35" i="10" s="1"/>
  <c r="L5" i="20"/>
  <c r="D32" i="10" s="1"/>
  <c r="L5" i="27"/>
  <c r="D21" i="10" s="1"/>
  <c r="P62" i="11"/>
  <c r="D42" i="10" l="1"/>
  <c r="H42" i="10" s="1"/>
  <c r="D37" i="10"/>
  <c r="H37" i="10" s="1"/>
  <c r="H35" i="10"/>
  <c r="D33" i="10"/>
  <c r="H33" i="10" s="1"/>
  <c r="H32" i="10"/>
  <c r="L5" i="14"/>
  <c r="D26" i="10" s="1"/>
  <c r="D22" i="10"/>
  <c r="H22" i="10" s="1"/>
  <c r="H21" i="10"/>
  <c r="H26" i="10" l="1"/>
  <c r="L5" i="11" l="1"/>
  <c r="D17" i="10" s="1"/>
  <c r="H17" i="10" s="1"/>
  <c r="D18" i="10" l="1"/>
  <c r="L5" i="13"/>
  <c r="D25" i="10" s="1"/>
  <c r="H25" i="10" l="1"/>
  <c r="D29" i="10"/>
  <c r="D44" i="10" s="1"/>
  <c r="H18" i="10"/>
  <c r="H29" i="10" l="1"/>
  <c r="D49" i="10" l="1"/>
  <c r="H44" i="10"/>
  <c r="H49" i="10" l="1"/>
  <c r="G50" i="10" s="1"/>
  <c r="D51" i="10"/>
  <c r="D53" i="10" s="1"/>
  <c r="G51" i="10" l="1"/>
  <c r="H51" i="10" s="1"/>
  <c r="G52" i="10" s="1"/>
  <c r="H52" i="10" s="1"/>
  <c r="H53" i="10" s="1"/>
  <c r="H50" i="10"/>
  <c r="D4" i="10" l="1"/>
  <c r="G53" i="10"/>
</calcChain>
</file>

<file path=xl/sharedStrings.xml><?xml version="1.0" encoding="utf-8"?>
<sst xmlns="http://schemas.openxmlformats.org/spreadsheetml/2006/main" count="2889" uniqueCount="616">
  <si>
    <t>lokalur_resursuri xarjTaRricxva #1</t>
  </si>
  <si>
    <t>safuZveli:  samuSaoTa moculobebis uwyisi</t>
  </si>
  <si>
    <t xml:space="preserve">                                                                            saxarjTaRricxvo Rirebuleba:  .</t>
  </si>
  <si>
    <t>#</t>
  </si>
  <si>
    <t>Sifri</t>
  </si>
  <si>
    <t>samuSaoebis da danaxarjebis dasaxeleba</t>
  </si>
  <si>
    <t>ganz. erT.</t>
  </si>
  <si>
    <t>raodenoba</t>
  </si>
  <si>
    <t>masalebi</t>
  </si>
  <si>
    <t>xelfasi</t>
  </si>
  <si>
    <t>manqana-meqanizmebi da transporti</t>
  </si>
  <si>
    <t>sul</t>
  </si>
  <si>
    <t>normat.
erTeul-ze</t>
  </si>
  <si>
    <t>erT. fasi</t>
  </si>
  <si>
    <t>1</t>
  </si>
  <si>
    <t>kac-sT</t>
  </si>
  <si>
    <t>lari</t>
  </si>
  <si>
    <t>t</t>
  </si>
  <si>
    <t>3</t>
  </si>
  <si>
    <t>Sromis danaxarji</t>
  </si>
  <si>
    <t>manq-sT</t>
  </si>
  <si>
    <t>4</t>
  </si>
  <si>
    <t>6</t>
  </si>
  <si>
    <t>sxva masala</t>
  </si>
  <si>
    <r>
      <t>m</t>
    </r>
    <r>
      <rPr>
        <vertAlign val="superscript"/>
        <sz val="10"/>
        <rFont val="AcadNusx"/>
      </rPr>
      <t>2</t>
    </r>
  </si>
  <si>
    <t>zednadebi xarjebi</t>
  </si>
  <si>
    <t>%</t>
  </si>
  <si>
    <t>saxarjTaRricxvo mogeba</t>
  </si>
  <si>
    <t>sxva manqana</t>
  </si>
  <si>
    <t>mosamzadebeli samuSaoebi</t>
  </si>
  <si>
    <t>lokalur_resursuri xarjTaRricxva #2</t>
  </si>
  <si>
    <t>miwis vakisis mowyoba</t>
  </si>
  <si>
    <t xml:space="preserve">nakrebi saxarjTaRricxvo saorientacio Rirebuleba TanxiT   </t>
  </si>
  <si>
    <t>m.S. dasabrunebeli Tanxa</t>
  </si>
  <si>
    <t>nakrebi saxarjTaRricxvo  Rirebulebis angariSi</t>
  </si>
  <si>
    <t># rig-ze</t>
  </si>
  <si>
    <t>xarjTaR-ricxvis nomeri</t>
  </si>
  <si>
    <t>Tavebis, obieqtebis, samuSaoebis 
da danaxarjebis raodenoba</t>
  </si>
  <si>
    <t>samSeneblo samuSaoebi</t>
  </si>
  <si>
    <t>samontaJo samuSaoebi</t>
  </si>
  <si>
    <t>mowyobiloba inventari</t>
  </si>
  <si>
    <t>sxva danaxarjebi</t>
  </si>
  <si>
    <t>saerTo saxarjTaR. Rirebuleba aTasi lari</t>
  </si>
  <si>
    <t>Tavi I. mosamzadebeli samuSaoebi</t>
  </si>
  <si>
    <t>lok. #1</t>
  </si>
  <si>
    <t>jami I Tavi</t>
  </si>
  <si>
    <t xml:space="preserve"> Tavi II. miwis samuSaoebi</t>
  </si>
  <si>
    <t>lok. #2</t>
  </si>
  <si>
    <t>lok. #3</t>
  </si>
  <si>
    <t>jami II Tavi</t>
  </si>
  <si>
    <t>Tavi III. xelovnuri nagebobebi</t>
  </si>
  <si>
    <t>lok. #4</t>
  </si>
  <si>
    <t>lok. #5</t>
  </si>
  <si>
    <t>lok. #6</t>
  </si>
  <si>
    <t>lok. #7</t>
  </si>
  <si>
    <t>jami III Tavi</t>
  </si>
  <si>
    <t>Tavi  IV. gzis samosi</t>
  </si>
  <si>
    <t>gzis samosis mowyoba</t>
  </si>
  <si>
    <t>jami IV Tavi</t>
  </si>
  <si>
    <t>Tavi V. mierTebebi</t>
  </si>
  <si>
    <t xml:space="preserve">mierTebebis mowyoba </t>
  </si>
  <si>
    <t>jami V Tavi</t>
  </si>
  <si>
    <t>Tavi  VI. sagzao mowyobiloba</t>
  </si>
  <si>
    <t>sagzao niSnebis dayeneba</t>
  </si>
  <si>
    <t>gzis Semofargvla</t>
  </si>
  <si>
    <t>jami VI Tavi</t>
  </si>
  <si>
    <t>jami I-VI Tavebi</t>
  </si>
  <si>
    <t>Tavi XII</t>
  </si>
  <si>
    <t>saproeqto-sagamokvlevo samuSaoebi</t>
  </si>
  <si>
    <t>jami I-XII Tavebi</t>
  </si>
  <si>
    <t xml:space="preserve">depar. wer. 
 N04-05/762   </t>
  </si>
  <si>
    <t xml:space="preserve">gauTvaliswinebeli xarjebi - 5%        </t>
  </si>
  <si>
    <t xml:space="preserve">jami </t>
  </si>
  <si>
    <t xml:space="preserve">damatebiTi Rirebulebis gadasaxadi (d.R.g.) - 18%               </t>
  </si>
  <si>
    <t xml:space="preserve">sul saxarjTaRricxvo Rirebuleba </t>
  </si>
  <si>
    <t>2</t>
  </si>
  <si>
    <t>samSeneblo moednis mowyoba</t>
  </si>
  <si>
    <t>grZ.m</t>
  </si>
  <si>
    <t xml:space="preserve">sxva manqana </t>
  </si>
  <si>
    <t>mrgvali xe</t>
  </si>
  <si>
    <r>
      <t>m</t>
    </r>
    <r>
      <rPr>
        <vertAlign val="superscript"/>
        <sz val="10"/>
        <rFont val="AcadNusx"/>
      </rPr>
      <t>3</t>
    </r>
  </si>
  <si>
    <t>kg</t>
  </si>
  <si>
    <t>s.r.f</t>
  </si>
  <si>
    <t>5</t>
  </si>
  <si>
    <t>7</t>
  </si>
  <si>
    <t>man-sT</t>
  </si>
  <si>
    <t>eqskavatori V-1,0 m3</t>
  </si>
  <si>
    <t>muSaoba nayarSi</t>
  </si>
  <si>
    <t>buldozeri 79kvt</t>
  </si>
  <si>
    <t>gruntis gatana nayarSi 5 km-ze</t>
  </si>
  <si>
    <t>lokalur_resursuri xarjTaRricxva #3</t>
  </si>
  <si>
    <t>lokalur_resursuri xarjTaRricxva #5</t>
  </si>
  <si>
    <t>lokalur_resursuri xarjTaRricxva #6</t>
  </si>
  <si>
    <t>sagzao samosis mowyoba</t>
  </si>
  <si>
    <t>mierTebebis  mowyoba</t>
  </si>
  <si>
    <t>sagzao niSnebis mowyoba</t>
  </si>
  <si>
    <t xml:space="preserve"> lari</t>
  </si>
  <si>
    <t xml:space="preserve">Sromis danaxarji </t>
  </si>
  <si>
    <t>1-22-2</t>
  </si>
  <si>
    <r>
      <t>karierSi gruntis damuSaveba eqskavatoriT V-1,0 m</t>
    </r>
    <r>
      <rPr>
        <vertAlign val="superscript"/>
        <sz val="10"/>
        <rFont val="AcadNusx"/>
      </rPr>
      <t xml:space="preserve">3 </t>
    </r>
    <r>
      <rPr>
        <sz val="10"/>
        <rFont val="AcadNusx"/>
      </rPr>
      <t>datvirTviT TviTmclelebze</t>
    </r>
  </si>
  <si>
    <t>12-107</t>
  </si>
  <si>
    <t>1-25-2</t>
  </si>
  <si>
    <t>12-118</t>
  </si>
  <si>
    <t>mSeneblobis periodSi gzis inventaruli niSnebiT aRWurva:</t>
  </si>
  <si>
    <t>scpg-I</t>
  </si>
  <si>
    <t>27-47</t>
  </si>
  <si>
    <t>cali</t>
  </si>
  <si>
    <t>1.9-29</t>
  </si>
  <si>
    <t>naWedi</t>
  </si>
  <si>
    <t xml:space="preserve">inventaruli sagzao niSnebis farebis da liTonis dgarebis datvirTva da gadmotvirTva bazaze </t>
  </si>
  <si>
    <t>betonis qvesadgami</t>
  </si>
  <si>
    <t>betonis qvesadgamebis datvirTva, gadmotvirTva transportirebisaTvis</t>
  </si>
  <si>
    <t xml:space="preserve">inventaruli SesaRobi mowyobiloba </t>
  </si>
  <si>
    <t>inventaruli SesaRobi mowyobilobis tipi-1,2.3  da sasignalo fanrebis konusebis datvirTva, gadmotvirTva transportirebisaTvis</t>
  </si>
  <si>
    <t>1-22-3</t>
  </si>
  <si>
    <t>6-1-1</t>
  </si>
  <si>
    <t>betoni</t>
  </si>
  <si>
    <t>1-118-5</t>
  </si>
  <si>
    <t>gruntis datkepna fenebad
 vibrosatkepnebiT 4-jer. gavliT</t>
  </si>
  <si>
    <t>12-181</t>
  </si>
  <si>
    <t>vibrosatkepni 6t 1.85*4*0.001</t>
  </si>
  <si>
    <t>buldozeri 79 kvt</t>
  </si>
  <si>
    <t>12-6</t>
  </si>
  <si>
    <t>30-3-2</t>
  </si>
  <si>
    <t>qviSa-xreSovani masala</t>
  </si>
  <si>
    <t>8</t>
  </si>
  <si>
    <t>30-51-3</t>
  </si>
  <si>
    <t>wasacxebi hidroizolacia (2 jerad)</t>
  </si>
  <si>
    <t>bitumi</t>
  </si>
  <si>
    <t>cementis xsnari</t>
  </si>
  <si>
    <t>s.f.r</t>
  </si>
  <si>
    <t>amwe muxluxa svlaze 10t</t>
  </si>
  <si>
    <t>12-39</t>
  </si>
  <si>
    <t>damkveTi:mestiis municipaliteti</t>
  </si>
  <si>
    <t>damtkicebulia  "  " --------------------------  2023 w.</t>
  </si>
  <si>
    <t>saxarjTaRricxvo Rirebuleba ( lari)</t>
  </si>
  <si>
    <t>1.1</t>
  </si>
  <si>
    <t>1.2</t>
  </si>
  <si>
    <t>27-50-9</t>
  </si>
  <si>
    <t>samSeneblo moednis Semofargvla mavTulbadiT, xis boZebze</t>
  </si>
  <si>
    <t>12-270</t>
  </si>
  <si>
    <t>12-35</t>
  </si>
  <si>
    <t>mavTulbade</t>
  </si>
  <si>
    <t>mavTuli</t>
  </si>
  <si>
    <t>22-8-8</t>
  </si>
  <si>
    <r>
      <t xml:space="preserve">sakanalizacio polieTilinis mili </t>
    </r>
    <r>
      <rPr>
        <sz val="10"/>
        <rFont val="Arial"/>
        <family val="2"/>
        <charset val="204"/>
      </rPr>
      <t>Ø</t>
    </r>
    <r>
      <rPr>
        <sz val="10"/>
        <rFont val="AcadNusx"/>
      </rPr>
      <t>300mm</t>
    </r>
  </si>
  <si>
    <t>gv.24. p66</t>
  </si>
  <si>
    <t>mili</t>
  </si>
  <si>
    <t>1.3</t>
  </si>
  <si>
    <t>30-11-2</t>
  </si>
  <si>
    <t>arsebuli dazianebuli betonis portaluri kedlebis, milebisa da  sxvadasxva konstruqciebis daSla sangrevi CaquCebiT datvirTva da gatana nayarSi</t>
  </si>
  <si>
    <t>narCenebis gatana nayarSi 5km-ze</t>
  </si>
  <si>
    <t>3.1</t>
  </si>
  <si>
    <t>3.2</t>
  </si>
  <si>
    <t>3.3</t>
  </si>
  <si>
    <t>3.4</t>
  </si>
  <si>
    <t>3.5</t>
  </si>
  <si>
    <t xml:space="preserve">inventaruli sagzao niSnebis dayeneba liTonis dgarebze erT sayrdenze
ld-5 20-jeradi gamoyenebiT </t>
  </si>
  <si>
    <t>inventaruli  sagzao niSnebis farebis da liTonis dgarebis datvirTva da gadmotvirTva obieqtze 20*15,7/1000+0,25</t>
  </si>
  <si>
    <t>3.6</t>
  </si>
  <si>
    <t xml:space="preserve">betonis qvesadgamebis datvirTva, gadmotvirTva-dayeneba, moxsna 
20-jeradi gamoyenebiT </t>
  </si>
  <si>
    <t>3.7</t>
  </si>
  <si>
    <t xml:space="preserve">inventaruli SesaRobi mowyobilobis tipi-1,2.3  da sasignalo fanrebis konusebis datvirTva, gadmotvirTva-dayeneba, moxsna 20-jeradi gamoyenebiT </t>
  </si>
  <si>
    <t>mestiis municipalitetSi, wvirmis administraciul erTeulSi sofel ielis saavtomobilo gzis reabilitacia</t>
  </si>
  <si>
    <t>gruntis motana karieridan 5 km-ze</t>
  </si>
  <si>
    <t xml:space="preserve">Гэсн 01-02-094-01 
</t>
  </si>
  <si>
    <t>13-107</t>
  </si>
  <si>
    <t>1-22-6</t>
  </si>
  <si>
    <r>
      <t>gafxvierebuli gruntis datvirTva eqskavatoriT V-1,0 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TviTmclelebze da gatana nayarSi</t>
    </r>
  </si>
  <si>
    <t>1-25-4</t>
  </si>
  <si>
    <t>13-118</t>
  </si>
  <si>
    <t>1-84-5</t>
  </si>
  <si>
    <t>13-305</t>
  </si>
  <si>
    <t>gruntis datkepna fenebad
 vibrosatkepnebiT 6-jer. gavliT</t>
  </si>
  <si>
    <t>vibrosatkepni 6t 1.85*6*0.001</t>
  </si>
  <si>
    <t>37-65-3</t>
  </si>
  <si>
    <t xml:space="preserve">anakrebi rkinabetonis Raris mowyoba </t>
  </si>
  <si>
    <t>3.1-196</t>
  </si>
  <si>
    <t>3.1-391</t>
  </si>
  <si>
    <t>anakrebi Rari</t>
  </si>
  <si>
    <t>liTonis cxauris damzadeba, transportireba da montaJi amwiT</t>
  </si>
  <si>
    <t>7-17-3</t>
  </si>
  <si>
    <t>liTonis cxauris damzadeba</t>
  </si>
  <si>
    <t>eleqtrodi</t>
  </si>
  <si>
    <t>8-7-5</t>
  </si>
  <si>
    <t>liTonis cxauris montaJi</t>
  </si>
  <si>
    <t>cementis xsnari 1:3</t>
  </si>
  <si>
    <t>naJedi</t>
  </si>
  <si>
    <t>1.4-32</t>
  </si>
  <si>
    <t>3.3-4</t>
  </si>
  <si>
    <t>Txevadi bitumis mosxma betonis Raris nawiburze (0.35l 1 grZ.m-ze)</t>
  </si>
  <si>
    <t>27-63-1</t>
  </si>
  <si>
    <t>12-173</t>
  </si>
  <si>
    <t>8.1</t>
  </si>
  <si>
    <t>8.2</t>
  </si>
  <si>
    <t>lokalur_resursuri xarjTaRricxva #4</t>
  </si>
  <si>
    <r>
      <t xml:space="preserve">rkinabetonis mrgvali milebis </t>
    </r>
    <r>
      <rPr>
        <sz val="10"/>
        <rFont val="Arial"/>
        <family val="2"/>
        <charset val="204"/>
      </rPr>
      <t>d</t>
    </r>
    <r>
      <rPr>
        <sz val="10"/>
        <rFont val="AcadNusx"/>
      </rPr>
      <t>=1.5m mowyoba</t>
    </r>
  </si>
  <si>
    <t>1-87-1</t>
  </si>
  <si>
    <t>Wrilis ferdos droebiTi gamagreba xis masaliT</t>
  </si>
  <si>
    <t>4-9</t>
  </si>
  <si>
    <t xml:space="preserve">mrgvali xe </t>
  </si>
  <si>
    <t>4-15</t>
  </si>
  <si>
    <t xml:space="preserve">xis ficari IV xar. 40-60mm </t>
  </si>
  <si>
    <t>milis tanis mowyoba</t>
  </si>
  <si>
    <r>
      <t xml:space="preserve">xreSovani sagebi </t>
    </r>
    <r>
      <rPr>
        <sz val="10"/>
        <rFont val="Times New Roman"/>
        <family val="1"/>
      </rPr>
      <t>h-60</t>
    </r>
    <r>
      <rPr>
        <sz val="10"/>
        <rFont val="AcadNusx"/>
      </rPr>
      <t xml:space="preserve"> sm</t>
    </r>
  </si>
  <si>
    <r>
      <t>betonis sagebi</t>
    </r>
    <r>
      <rPr>
        <sz val="10"/>
        <color indexed="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h</t>
    </r>
    <r>
      <rPr>
        <vertAlign val="subscript"/>
        <sz val="10"/>
        <rFont val="Arial"/>
        <family val="2"/>
        <charset val="204"/>
      </rPr>
      <t>saS</t>
    </r>
    <r>
      <rPr>
        <sz val="10"/>
        <rFont val="Arial"/>
        <family val="2"/>
        <charset val="204"/>
      </rPr>
      <t xml:space="preserve">. - </t>
    </r>
    <r>
      <rPr>
        <sz val="10"/>
        <rFont val="AcadNusx"/>
      </rPr>
      <t>46sm</t>
    </r>
    <r>
      <rPr>
        <sz val="10"/>
        <rFont val="Arial"/>
        <family val="2"/>
        <charset val="204"/>
      </rPr>
      <t xml:space="preserve"> B20</t>
    </r>
  </si>
  <si>
    <r>
      <t xml:space="preserve">rkinabetonis anakrebi rgolebis </t>
    </r>
    <r>
      <rPr>
        <sz val="10"/>
        <color indexed="8"/>
        <rFont val="Arial"/>
        <family val="2"/>
        <charset val="204"/>
      </rPr>
      <t>d</t>
    </r>
    <r>
      <rPr>
        <sz val="10"/>
        <color indexed="8"/>
        <rFont val="AcadNusx"/>
      </rPr>
      <t>-1.5m, montaJi amwiT</t>
    </r>
  </si>
  <si>
    <t>30-39-8</t>
  </si>
  <si>
    <t xml:space="preserve">milis rgoli </t>
  </si>
  <si>
    <t>3.1-125</t>
  </si>
  <si>
    <t>milis tanze hidroizolaciis mowyoba:</t>
  </si>
  <si>
    <t>9</t>
  </si>
  <si>
    <t>9.1</t>
  </si>
  <si>
    <t>9.2</t>
  </si>
  <si>
    <t>30-51-2</t>
  </si>
  <si>
    <t>asakravi hidroizolacia</t>
  </si>
  <si>
    <t>djuti</t>
  </si>
  <si>
    <t>10</t>
  </si>
  <si>
    <t>milis Sesasvleli saTavisis mowyoba</t>
  </si>
  <si>
    <t>10.1</t>
  </si>
  <si>
    <t>23-15-1</t>
  </si>
  <si>
    <t>monoliTuri wyalmimRebi rkinabetonis Webis mowyoba, xreSovani sagebis mowyobiT, armaturis  dayenebiT</t>
  </si>
  <si>
    <t>1.1-25</t>
  </si>
  <si>
    <t>4-12</t>
  </si>
  <si>
    <t xml:space="preserve"> xis ficari 25-32mm III xar</t>
  </si>
  <si>
    <t>sabazro</t>
  </si>
  <si>
    <t>10.2</t>
  </si>
  <si>
    <t>11</t>
  </si>
  <si>
    <t>milis gasasvleli saTavisis mowyoba</t>
  </si>
  <si>
    <t>11.1</t>
  </si>
  <si>
    <t>monoliTuri rkinabetonis portaluri saTavisis mowyoba:</t>
  </si>
  <si>
    <r>
      <t xml:space="preserve">betonis mosamzadebeli fenis </t>
    </r>
    <r>
      <rPr>
        <sz val="10"/>
        <color indexed="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h-</t>
    </r>
    <r>
      <rPr>
        <sz val="10"/>
        <rFont val="AcadNusx"/>
      </rPr>
      <t xml:space="preserve">10sm mowyoba </t>
    </r>
    <r>
      <rPr>
        <sz val="10"/>
        <rFont val="Arial"/>
        <family val="2"/>
        <charset val="204"/>
      </rPr>
      <t xml:space="preserve"> B20</t>
    </r>
  </si>
  <si>
    <t>37-64-4</t>
  </si>
  <si>
    <t>13-39</t>
  </si>
  <si>
    <t>xis yalibi 25mm</t>
  </si>
  <si>
    <r>
      <t xml:space="preserve">monoliTuri rkinabetonis portaluri saTavisis  mowyoba, betoni </t>
    </r>
    <r>
      <rPr>
        <sz val="10"/>
        <rFont val="Times New Roman"/>
        <family val="1"/>
        <charset val="204"/>
      </rPr>
      <t>B30F200 W6</t>
    </r>
  </si>
  <si>
    <t>4-14</t>
  </si>
  <si>
    <t>xis ficari II xar. 130mm</t>
  </si>
  <si>
    <t>xis ficari III-IV xar. 40-60mm</t>
  </si>
  <si>
    <t>WanWiki</t>
  </si>
  <si>
    <t>37-66-2</t>
  </si>
  <si>
    <t>armaturis dayeneba</t>
  </si>
  <si>
    <t>1.1-27</t>
  </si>
  <si>
    <t>12</t>
  </si>
  <si>
    <t>nakadCamqrobis mowyoba gabionis yuTebiT:</t>
  </si>
  <si>
    <t>$В12-3-63</t>
  </si>
  <si>
    <t>gabionis YyuTebis dayeneba qvis 
CawyobiT</t>
  </si>
  <si>
    <t>qva</t>
  </si>
  <si>
    <r>
      <t>gabionis yuTi zomiT 1,5</t>
    </r>
    <r>
      <rPr>
        <sz val="8"/>
        <color indexed="8"/>
        <rFont val="AcadNusx"/>
      </rPr>
      <t>X</t>
    </r>
    <r>
      <rPr>
        <sz val="10"/>
        <color indexed="8"/>
        <rFont val="AcadNusx"/>
      </rPr>
      <t>1,0</t>
    </r>
    <r>
      <rPr>
        <sz val="8"/>
        <color indexed="8"/>
        <rFont val="AcadNusx"/>
      </rPr>
      <t>X</t>
    </r>
    <r>
      <rPr>
        <sz val="10"/>
        <color indexed="8"/>
        <rFont val="AcadNusx"/>
      </rPr>
      <t>1,0 m</t>
    </r>
  </si>
  <si>
    <r>
      <t>gabionis yuTi zomiT 2,0</t>
    </r>
    <r>
      <rPr>
        <sz val="8"/>
        <color indexed="8"/>
        <rFont val="AcadNusx"/>
      </rPr>
      <t>X</t>
    </r>
    <r>
      <rPr>
        <sz val="10"/>
        <color indexed="8"/>
        <rFont val="AcadNusx"/>
      </rPr>
      <t>1,0</t>
    </r>
    <r>
      <rPr>
        <sz val="8"/>
        <color indexed="8"/>
        <rFont val="AcadNusx"/>
      </rPr>
      <t>X</t>
    </r>
    <r>
      <rPr>
        <sz val="10"/>
        <color indexed="8"/>
        <rFont val="AcadNusx"/>
      </rPr>
      <t>1,0 m</t>
    </r>
  </si>
  <si>
    <r>
      <t xml:space="preserve">Sesakravi mavTuli </t>
    </r>
    <r>
      <rPr>
        <sz val="10"/>
        <color indexed="8"/>
        <rFont val="Arial"/>
        <family val="2"/>
        <charset val="204"/>
      </rPr>
      <t>d</t>
    </r>
    <r>
      <rPr>
        <sz val="10"/>
        <color indexed="8"/>
        <rFont val="AcadNusx"/>
      </rPr>
      <t>-2,2mm</t>
    </r>
  </si>
  <si>
    <t>12.1</t>
  </si>
  <si>
    <t>12.2</t>
  </si>
  <si>
    <r>
      <t xml:space="preserve">gabionis zedapiris mobetoneba monoliTuri betoniT </t>
    </r>
    <r>
      <rPr>
        <sz val="10"/>
        <color indexed="8"/>
        <rFont val="Arial"/>
        <family val="2"/>
        <charset val="204"/>
      </rPr>
      <t>h</t>
    </r>
    <r>
      <rPr>
        <vertAlign val="subscript"/>
        <sz val="10"/>
        <color indexed="8"/>
        <rFont val="AcadNusx"/>
      </rPr>
      <t>saS</t>
    </r>
    <r>
      <rPr>
        <sz val="10"/>
        <color indexed="8"/>
        <rFont val="AcadNusx"/>
      </rPr>
      <t xml:space="preserve">-15sm </t>
    </r>
    <r>
      <rPr>
        <sz val="10"/>
        <color indexed="8"/>
        <rFont val="Arial"/>
        <family val="2"/>
        <charset val="204"/>
      </rPr>
      <t>B</t>
    </r>
    <r>
      <rPr>
        <sz val="10"/>
        <color indexed="8"/>
        <rFont val="AcadNusx"/>
      </rPr>
      <t xml:space="preserve">22.5 </t>
    </r>
    <r>
      <rPr>
        <sz val="10"/>
        <color indexed="8"/>
        <rFont val="Arial"/>
        <family val="2"/>
        <charset val="204"/>
      </rPr>
      <t>F</t>
    </r>
    <r>
      <rPr>
        <sz val="10"/>
        <color indexed="8"/>
        <rFont val="AcadNusx"/>
      </rPr>
      <t xml:space="preserve">200 </t>
    </r>
    <r>
      <rPr>
        <sz val="10"/>
        <color indexed="8"/>
        <rFont val="Arial"/>
        <family val="2"/>
        <charset val="204"/>
      </rPr>
      <t>W</t>
    </r>
    <r>
      <rPr>
        <sz val="10"/>
        <color indexed="8"/>
        <rFont val="AcadNusx"/>
      </rPr>
      <t>6</t>
    </r>
  </si>
  <si>
    <t>13</t>
  </si>
  <si>
    <t>14</t>
  </si>
  <si>
    <t>15</t>
  </si>
  <si>
    <t>27-7-2</t>
  </si>
  <si>
    <t>qvesagebi fena - qviSa-xreSovani narevi, fraqciiT 0-70 mm sisqiT 20 sm</t>
  </si>
  <si>
    <t>12-175</t>
  </si>
  <si>
    <t>avtogreideri 79kvt</t>
  </si>
  <si>
    <t>12-194</t>
  </si>
  <si>
    <t xml:space="preserve">satkepni pnevmosvlaze 18t </t>
  </si>
  <si>
    <t>12-201</t>
  </si>
  <si>
    <t>mosarwyav-mosarecxi manqana</t>
  </si>
  <si>
    <t>3.1-254</t>
  </si>
  <si>
    <t>wyali</t>
  </si>
  <si>
    <t>27-11-2
27-11-3
27-11-4</t>
  </si>
  <si>
    <r>
      <t xml:space="preserve">safuZvlis mowyoba RorRiT fraqciiT 0-40 mm, </t>
    </r>
    <r>
      <rPr>
        <sz val="10"/>
        <rFont val="Times New Roman"/>
        <family val="1"/>
      </rPr>
      <t>h</t>
    </r>
    <r>
      <rPr>
        <sz val="10"/>
        <rFont val="AcadNusx"/>
      </rPr>
      <t>-20sm.</t>
    </r>
  </si>
  <si>
    <t>12-190</t>
  </si>
  <si>
    <t>satkepni TviTmavali gluvi 5t</t>
  </si>
  <si>
    <t>12-191</t>
  </si>
  <si>
    <t>satkepni TviTmavali gluvi 10t</t>
  </si>
  <si>
    <t>12-202</t>
  </si>
  <si>
    <t>qvis namtvrevebis manawilebeli</t>
  </si>
  <si>
    <t xml:space="preserve">RorRi 0-40 mm </t>
  </si>
  <si>
    <t>27-24-3</t>
  </si>
  <si>
    <r>
      <t xml:space="preserve">cementbetonis safaris mowyoba sisqiT 18 sm, betoni </t>
    </r>
    <r>
      <rPr>
        <sz val="10"/>
        <rFont val="Times New Roman"/>
        <family val="1"/>
        <charset val="204"/>
      </rPr>
      <t>B35 F200 W6,</t>
    </r>
    <r>
      <rPr>
        <sz val="10"/>
        <rFont val="AcadNusx"/>
      </rPr>
      <t xml:space="preserve"> misi movliT</t>
    </r>
  </si>
  <si>
    <t>cementobetonis gamanawilebeli 
0,0066*1,15</t>
  </si>
  <si>
    <t>cementobetonis gamasworebel-mosapirkeTebeli 0,0066*1,15</t>
  </si>
  <si>
    <t xml:space="preserve">maprofilebeli </t>
  </si>
  <si>
    <t>apkwarmomqmneli masalis gamanawilebeli agregati 0,0066*1,15</t>
  </si>
  <si>
    <t>amwe saavtomobilo svlaze 5t 0,0186*1,15</t>
  </si>
  <si>
    <t>12-5</t>
  </si>
  <si>
    <t xml:space="preserve">traqtori 40kvt </t>
  </si>
  <si>
    <t>relsforma</t>
  </si>
  <si>
    <t>bitumis emulsia</t>
  </si>
  <si>
    <t>27-29</t>
  </si>
  <si>
    <r>
      <t>bazaltoplastikuri armaturis badis</t>
    </r>
    <r>
      <rPr>
        <sz val="10"/>
        <rFont val="Times New Roman"/>
        <family val="1"/>
        <charset val="204"/>
      </rPr>
      <t xml:space="preserve"> Ø</t>
    </r>
    <r>
      <rPr>
        <sz val="10"/>
        <rFont val="AcadNusx"/>
      </rPr>
      <t xml:space="preserve">6 mm, ujredis biji </t>
    </r>
    <r>
      <rPr>
        <sz val="10"/>
        <rFont val="Times New Roman"/>
        <family val="1"/>
        <charset val="204"/>
      </rPr>
      <t>20x20</t>
    </r>
    <r>
      <rPr>
        <sz val="10"/>
        <rFont val="AcadNusx"/>
      </rPr>
      <t xml:space="preserve"> sm dayeneba</t>
    </r>
  </si>
  <si>
    <r>
      <t xml:space="preserve">bazaltoplastikuri armaturis bade </t>
    </r>
    <r>
      <rPr>
        <sz val="10"/>
        <rFont val="Arial"/>
        <family val="2"/>
        <charset val="204"/>
      </rPr>
      <t>d</t>
    </r>
    <r>
      <rPr>
        <sz val="10"/>
        <rFont val="AcadNusx"/>
      </rPr>
      <t>=6 mm biji 20</t>
    </r>
    <r>
      <rPr>
        <sz val="10"/>
        <rFont val="Arial"/>
        <family val="2"/>
        <charset val="204"/>
      </rPr>
      <t>x</t>
    </r>
    <r>
      <rPr>
        <sz val="10"/>
        <rFont val="AcadNusx"/>
      </rPr>
      <t>20 sm</t>
    </r>
  </si>
  <si>
    <t>27-28-1</t>
  </si>
  <si>
    <t>grZivi da ganivi nakerebis mowyoba</t>
  </si>
  <si>
    <t>grZ,m</t>
  </si>
  <si>
    <t>nakerebis CamWreli</t>
  </si>
  <si>
    <t>12-180</t>
  </si>
  <si>
    <t>nakerebis Camsmeli</t>
  </si>
  <si>
    <t xml:space="preserve">traqtori 59kvt </t>
  </si>
  <si>
    <t>1.3-8</t>
  </si>
  <si>
    <t>3.7-84</t>
  </si>
  <si>
    <t>polieTilenis garsacmi</t>
  </si>
  <si>
    <t>3.3-6</t>
  </si>
  <si>
    <t>bitumis mastika</t>
  </si>
  <si>
    <r>
      <t xml:space="preserve">bazaltoplastikuri armaturis Rero 
</t>
    </r>
    <r>
      <rPr>
        <sz val="10"/>
        <rFont val="Arial"/>
        <family val="2"/>
        <charset val="204"/>
      </rPr>
      <t>d</t>
    </r>
    <r>
      <rPr>
        <sz val="10"/>
        <rFont val="AcadNusx"/>
      </rPr>
      <t>-16mm</t>
    </r>
  </si>
  <si>
    <t>avtogreideri 79kvt 0,0216*1,15</t>
  </si>
  <si>
    <t>satkepni pnevmosvlaze 18t 0,0273*1,15</t>
  </si>
  <si>
    <t>mosarwyav-mosarecxi manqana 0,0097*1,15</t>
  </si>
  <si>
    <t>misayreli gverdulebis mowyoba qviSa-xreSovani nareviT</t>
  </si>
  <si>
    <t>foladis milis mowyoba</t>
  </si>
  <si>
    <t>23-1-3</t>
  </si>
  <si>
    <r>
      <t xml:space="preserve">qviSa-xreSovani sagebi </t>
    </r>
    <r>
      <rPr>
        <sz val="10"/>
        <color indexed="8"/>
        <rFont val="Arial"/>
        <family val="2"/>
        <charset val="204"/>
      </rPr>
      <t>h</t>
    </r>
    <r>
      <rPr>
        <sz val="10"/>
        <color indexed="8"/>
        <rFont val="AcadNusx"/>
      </rPr>
      <t>=10sm</t>
    </r>
  </si>
  <si>
    <t>22-5-10</t>
  </si>
  <si>
    <r>
      <t xml:space="preserve">foladis milis </t>
    </r>
    <r>
      <rPr>
        <sz val="10"/>
        <color indexed="8"/>
        <rFont val="Arial"/>
        <family val="2"/>
        <charset val="204"/>
      </rPr>
      <t>d</t>
    </r>
    <r>
      <rPr>
        <sz val="10"/>
        <color indexed="8"/>
        <rFont val="AcadNusx"/>
      </rPr>
      <t>-426m dayeneba</t>
    </r>
  </si>
  <si>
    <r>
      <t xml:space="preserve">monoliTuri betonis portaluri saTavisis  mowyoba, betoni </t>
    </r>
    <r>
      <rPr>
        <sz val="10"/>
        <rFont val="Times New Roman"/>
        <family val="1"/>
        <charset val="204"/>
      </rPr>
      <t>B30F200 W6</t>
    </r>
  </si>
  <si>
    <t>15-164-7</t>
  </si>
  <si>
    <t>milebis gare zedapiris SeRebva antikoroziuli saRebaviT</t>
  </si>
  <si>
    <t>3.4-37</t>
  </si>
  <si>
    <t>saRebavi</t>
  </si>
  <si>
    <t>3.4-16</t>
  </si>
  <si>
    <t>olifa</t>
  </si>
  <si>
    <t>7.1</t>
  </si>
  <si>
    <t>7.2</t>
  </si>
  <si>
    <t>safaris mowyoba</t>
  </si>
  <si>
    <t>lokalur_resursuri xarjTaRricxva #7</t>
  </si>
  <si>
    <t>ezoSi Sesasvlelebis mowyoba</t>
  </si>
  <si>
    <t>lokalur_resursuri xarjTaRricxva #8</t>
  </si>
  <si>
    <t>lokalur_resursuri xarjTaRricxva #9</t>
  </si>
  <si>
    <t>3.1-369</t>
  </si>
  <si>
    <t>m3</t>
  </si>
  <si>
    <t>27-11-1
27-11-4</t>
  </si>
  <si>
    <r>
      <t xml:space="preserve">safuZvlis mowyoba RorRiT fraqciiT 0-40 mm, </t>
    </r>
    <r>
      <rPr>
        <sz val="10"/>
        <rFont val="Times New Roman"/>
        <family val="1"/>
      </rPr>
      <t>h</t>
    </r>
    <r>
      <rPr>
        <sz val="10"/>
        <rFont val="AcadNusx"/>
      </rPr>
      <t>-10sm.</t>
    </r>
  </si>
  <si>
    <t>RorRi 0-40 mm (189-12,6*5)*0,001</t>
  </si>
  <si>
    <t>27-24-17
27-24-18</t>
  </si>
  <si>
    <r>
      <t xml:space="preserve">cementbetonis safaris mowyoba sisqiT 12 sm, betoni </t>
    </r>
    <r>
      <rPr>
        <sz val="10"/>
        <rFont val="Times New Roman"/>
        <family val="1"/>
        <charset val="204"/>
      </rPr>
      <t>B35 F200 W6</t>
    </r>
  </si>
  <si>
    <t>betoni 0,204-0,0102*8</t>
  </si>
  <si>
    <t>bitumis mastika (0,23-0,01*8)*0,001</t>
  </si>
  <si>
    <t>qviSa</t>
  </si>
  <si>
    <t>sxva masala (6,4-0,19*8)*0,001</t>
  </si>
  <si>
    <t>lsri</t>
  </si>
  <si>
    <t>27-46-3</t>
  </si>
  <si>
    <t>standartuli sagzao niSnebis dayeneba liTonis dgarebze erT sayrdenze 
ld-5</t>
  </si>
  <si>
    <t xml:space="preserve">damatebiTi sagzao niSnebis dayeneba liTonis dgarebze </t>
  </si>
  <si>
    <t>6-1-2</t>
  </si>
  <si>
    <r>
      <t>standartuli niSnebisaTvis</t>
    </r>
    <r>
      <rPr>
        <sz val="10"/>
        <rFont val="AcadNusx"/>
      </rPr>
      <t xml:space="preserve"> dgarebis fundamentis mowyoba, betoni  </t>
    </r>
    <r>
      <rPr>
        <sz val="10"/>
        <rFont val="Times New Roman"/>
        <family val="1"/>
      </rPr>
      <t>B25 F</t>
    </r>
    <r>
      <rPr>
        <sz val="10"/>
        <rFont val="AcadNusx"/>
      </rPr>
      <t>200</t>
    </r>
    <r>
      <rPr>
        <sz val="10"/>
        <rFont val="Times New Roman"/>
        <family val="1"/>
      </rPr>
      <t xml:space="preserve">W6 </t>
    </r>
  </si>
  <si>
    <t>4.15</t>
  </si>
  <si>
    <t>xis ficari III xar. 40-60mm</t>
  </si>
  <si>
    <r>
      <t>m</t>
    </r>
    <r>
      <rPr>
        <vertAlign val="superscript"/>
        <sz val="10"/>
        <rFont val="AcadNusx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</si>
  <si>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standartuli Suqamrekli sagzao niSnebi, dafaruli maRali intensivobis prizmuli sistemis IV klasis webovani firiT</t>
  </si>
  <si>
    <t>S.p.s
"gzajvaredini"</t>
  </si>
  <si>
    <r>
      <t xml:space="preserve">liTonis dgaris ld-5/1,5 </t>
    </r>
    <r>
      <rPr>
        <sz val="10"/>
        <rFont val="Arial"/>
        <family val="2"/>
        <charset val="204"/>
      </rPr>
      <t>d</t>
    </r>
    <r>
      <rPr>
        <sz val="10"/>
        <rFont val="AcadNusx"/>
      </rPr>
      <t>-60mm; Rirebuleba</t>
    </r>
  </si>
  <si>
    <t>_"_</t>
  </si>
  <si>
    <t xml:space="preserve">sagzao niSnis marTxuTxa 400X20mm mm Rirebuleba </t>
  </si>
  <si>
    <t>Semofargvlis mowyoba</t>
  </si>
  <si>
    <r>
      <t>zRudaris mowyoba foladis bagiriT 11D</t>
    </r>
    <r>
      <rPr>
        <sz val="10"/>
        <rFont val="Arial"/>
        <family val="2"/>
        <charset val="204"/>
      </rPr>
      <t>DO</t>
    </r>
    <r>
      <rPr>
        <sz val="10"/>
        <rFont val="AcadNusx"/>
      </rPr>
      <t>-</t>
    </r>
    <r>
      <rPr>
        <sz val="10"/>
        <rFont val="Arial"/>
        <family val="2"/>
        <charset val="204"/>
      </rPr>
      <t>TM</t>
    </r>
    <r>
      <rPr>
        <sz val="10"/>
        <rFont val="AcadNusx"/>
      </rPr>
      <t xml:space="preserve">                                                  </t>
    </r>
  </si>
  <si>
    <r>
      <t xml:space="preserve">fundamentis da sabjenebis  monoliTuri betoni </t>
    </r>
    <r>
      <rPr>
        <sz val="10"/>
        <rFont val="Times New Roman"/>
        <family val="1"/>
        <charset val="204"/>
      </rPr>
      <t>B25 F200 W6</t>
    </r>
  </si>
  <si>
    <t>xis yalibi</t>
  </si>
  <si>
    <t>ficari  sisq. 40-60mm III xarisxiT</t>
  </si>
  <si>
    <t>27-50-8</t>
  </si>
  <si>
    <t>avtoamwe saburRi</t>
  </si>
  <si>
    <t>amwe saavtomobolo svlaze 3t</t>
  </si>
  <si>
    <t xml:space="preserve">sxva manqana  </t>
  </si>
  <si>
    <t>2.4-1</t>
  </si>
  <si>
    <t>dgari СД-6, СД-7, СД-8 (liTonis kvadratula)</t>
  </si>
  <si>
    <r>
      <t>foladis bagiri</t>
    </r>
    <r>
      <rPr>
        <sz val="10"/>
        <rFont val="Times New Roman"/>
        <family val="1"/>
        <charset val="204"/>
      </rPr>
      <t xml:space="preserve"> KH Ø19.5 </t>
    </r>
    <r>
      <rPr>
        <sz val="10"/>
        <rFont val="AcadNusx"/>
      </rPr>
      <t>mm</t>
    </r>
  </si>
  <si>
    <t>samagri elementebi</t>
  </si>
  <si>
    <t>5-107</t>
  </si>
  <si>
    <r>
      <t xml:space="preserve">dgarebis СД-6, СД-7, СД-8 Sevseba monoliTuri betoniT </t>
    </r>
    <r>
      <rPr>
        <sz val="10"/>
        <color indexed="8"/>
        <rFont val="Arial"/>
        <family val="2"/>
        <charset val="204"/>
      </rPr>
      <t>B25F200W6</t>
    </r>
  </si>
  <si>
    <t>anwe muxluxa svlaze 16t</t>
  </si>
  <si>
    <t>dgarebis wasacxebi hidroizolacia
 (2 jerad)</t>
  </si>
  <si>
    <t>dgarebze I tipis Suqamreklebis mowyoba, dafaruli maRali intensivobis prizmul-optikuri sistemis „IV“ klasis webovani firiT</t>
  </si>
  <si>
    <t>10.3-15</t>
  </si>
  <si>
    <t>zRudarebis dasawyisTan miaxloebisas VI tipis Suqdamabruneblebis mowyoba</t>
  </si>
  <si>
    <t>specprofilis betonis (calmxrivi 3m) parapetis mowyoba lentur saZirkvelze</t>
  </si>
  <si>
    <t>6-1-20</t>
  </si>
  <si>
    <r>
      <t xml:space="preserve">lenturi betonis saZirkvelis mowyoba
</t>
    </r>
    <r>
      <rPr>
        <sz val="10"/>
        <rFont val="Arial"/>
        <family val="2"/>
        <charset val="204"/>
      </rPr>
      <t>B30F200W6</t>
    </r>
  </si>
  <si>
    <t>6-13-4</t>
  </si>
  <si>
    <t>specprofilis betonis  parapetis damzadeba bazaze</t>
  </si>
  <si>
    <t>7.3</t>
  </si>
  <si>
    <t>7.4</t>
  </si>
  <si>
    <t>42-14-2</t>
  </si>
  <si>
    <t>specprofili parapetis dayeneba</t>
  </si>
  <si>
    <t>Sromis danaxarJi</t>
  </si>
  <si>
    <t>amwe muxluxa svlaze 16t</t>
  </si>
  <si>
    <t>7.5</t>
  </si>
  <si>
    <t>Suqdamabrunebeli niSani</t>
  </si>
  <si>
    <t>ezoSi Sesasvlelebi</t>
  </si>
  <si>
    <t>inventaruli  sagzao niSnebis farebis da liTonis dgarebis transporti 
5km-ze obieqtidan bazaze</t>
  </si>
  <si>
    <t>inventaruli betonis qvesadgomebis transporti 5 km-ze bazidan obieqtamde da ukan bazamde</t>
  </si>
  <si>
    <t>inventaruli sagzao niSnebis farebis da liTonis dgarebis transporti 
5 km-ze  obieqtze</t>
  </si>
  <si>
    <t>inventaruli SesaRobi mowyobilobis transporti 5 km-ze bazidan obieqtamde da ukan bazamde</t>
  </si>
  <si>
    <r>
      <t>eqskavatori V_1,0m</t>
    </r>
    <r>
      <rPr>
        <vertAlign val="superscript"/>
        <sz val="10"/>
        <rFont val="AcadNusx"/>
      </rPr>
      <t xml:space="preserve">3 </t>
    </r>
    <r>
      <rPr>
        <sz val="10"/>
        <rFont val="AcadNusx"/>
      </rPr>
      <t>0,1633*1,15</t>
    </r>
  </si>
  <si>
    <t>eqskavatori V-1,0 m3 0,042*1,15</t>
  </si>
  <si>
    <t>Sromis danaxarji 0,0188*1,05</t>
  </si>
  <si>
    <t>buldozeri 79kvt 0,0104*1,15</t>
  </si>
  <si>
    <t xml:space="preserve">buldozeri 79 kvt </t>
  </si>
  <si>
    <t>Sromis danaxarji 5,65*1,05</t>
  </si>
  <si>
    <t>amwe muxluxa svlaze 10t 0,82*1,15</t>
  </si>
  <si>
    <t>mza cxauris transportireba bazidan obieqaze 20km-ze</t>
  </si>
  <si>
    <t>satkepni TviTmavali gluvi 5t 0,0188*1,15</t>
  </si>
  <si>
    <t>satkepni TviTmavali gluvi 10t 0,0399*1,15</t>
  </si>
  <si>
    <t>qvis namtvrevebis manawilebeli 0,00053*1,15</t>
  </si>
  <si>
    <t xml:space="preserve">mosarwyav-mosarecxi manqana </t>
  </si>
  <si>
    <t>Sromis danaxarji 0,494*1,5*20*1,05</t>
  </si>
  <si>
    <t>damzadebuli parapetis motana bazidan 20km-ze</t>
  </si>
  <si>
    <t>trasis aRdgena da damagreba  536*10,038</t>
  </si>
  <si>
    <t xml:space="preserve">  Sedgenilia  2023wlis  II kv. fasebSi</t>
  </si>
  <si>
    <t>1.2-56</t>
  </si>
  <si>
    <t>1.9-33</t>
  </si>
  <si>
    <t>kldovani gruntis (31v) damuSaveba eqskavatoris bazaze damontaJebuli hidroCaquCebiT (kodala), datvirTva avtoTviTmclelebze da gatana nayarSi</t>
  </si>
  <si>
    <t xml:space="preserve">kldovani gruntis (31v) damuSaveba (gafxviereba) eqskavatoris bazaze damontaJebuli hidroCaquCebiT (kodala) </t>
  </si>
  <si>
    <t xml:space="preserve">kldovani gruntis gafxviereba-CamosufTaveba xeliT sangrevi CaquCebiT, datvirTva da gatana nayarSi </t>
  </si>
  <si>
    <t>kldovani gruntis (31v) gafxviereba-CamosufTaveba xeliT sangrevi CaquCebiT</t>
  </si>
  <si>
    <t>2.1</t>
  </si>
  <si>
    <t>2.2</t>
  </si>
  <si>
    <t>dafxvierebuli gruntis damuSaveba eqskavatoriT, gverdze dayriT Semdgomi gamoyenebisTvis</t>
  </si>
  <si>
    <t>1-11-6</t>
  </si>
  <si>
    <t>eniri
$2-1-54 cx.2 p.3.e</t>
  </si>
  <si>
    <t>anakrebi rkinabetonis Raris mowyoba (tipi I da tipi II)</t>
  </si>
  <si>
    <r>
      <t>betonis sagebi</t>
    </r>
    <r>
      <rPr>
        <sz val="10"/>
        <color indexed="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h -</t>
    </r>
    <r>
      <rPr>
        <sz val="10"/>
        <rFont val="AcadNusx"/>
      </rPr>
      <t xml:space="preserve">10sm </t>
    </r>
    <r>
      <rPr>
        <sz val="10"/>
        <rFont val="Arial"/>
        <family val="2"/>
        <charset val="204"/>
      </rPr>
      <t xml:space="preserve"> B20</t>
    </r>
  </si>
  <si>
    <t>wigniseburi Rari tipi I</t>
  </si>
  <si>
    <t>3.1-392</t>
  </si>
  <si>
    <t>3,3-4</t>
  </si>
  <si>
    <t>ukuSevseba eqskavatoriT adgilobrivi gruntiT (31v) da datkepna fenad</t>
  </si>
  <si>
    <t>ukuSevseba eqskavatotiT adgilobrivi gruntiT</t>
  </si>
  <si>
    <r>
      <t>darCenili gruntis datvirTva eqskavatoriT V-1,0 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TviTmclelebze da gatana nayarSi</t>
    </r>
  </si>
  <si>
    <t>Rari kveTiT 0,4X0,4 tipi II</t>
  </si>
  <si>
    <t xml:space="preserve">gruntis datvirTva xeliT avtoTviTmclelebze da gatana nayarSi </t>
  </si>
  <si>
    <r>
      <t xml:space="preserve">xreSovani sagebi </t>
    </r>
    <r>
      <rPr>
        <sz val="10"/>
        <rFont val="Times New Roman"/>
        <family val="1"/>
      </rPr>
      <t>h-10</t>
    </r>
    <r>
      <rPr>
        <sz val="10"/>
        <rFont val="AcadNusx"/>
      </rPr>
      <t>sm</t>
    </r>
  </si>
  <si>
    <t>15.1</t>
  </si>
  <si>
    <t>15.2</t>
  </si>
  <si>
    <t>15.3</t>
  </si>
  <si>
    <t>1.10-22</t>
  </si>
  <si>
    <t>3.1-401</t>
  </si>
  <si>
    <t>1.10-31</t>
  </si>
  <si>
    <t>16</t>
  </si>
  <si>
    <t>17</t>
  </si>
  <si>
    <t>18</t>
  </si>
  <si>
    <t>18.1</t>
  </si>
  <si>
    <t>18.2</t>
  </si>
  <si>
    <t>19</t>
  </si>
  <si>
    <t>1.1-23</t>
  </si>
  <si>
    <t>4-120</t>
  </si>
  <si>
    <t>1.10-26</t>
  </si>
  <si>
    <t>3.1-271</t>
  </si>
  <si>
    <t>1.8-2</t>
  </si>
  <si>
    <t>1.8-3</t>
  </si>
  <si>
    <t>10.3</t>
  </si>
  <si>
    <t>11.2</t>
  </si>
  <si>
    <t>anakrebi rkinabetonis Rarebis mowyoba</t>
  </si>
  <si>
    <t>Sesrulebulia 2023 wlis II kv fasebSi</t>
  </si>
  <si>
    <t>rkinabetonis qveda sayrdeni kedlebis mowyoba</t>
  </si>
  <si>
    <t>gabionis zeda sayrdeni kedlebis mowyoba</t>
  </si>
  <si>
    <t>lokalur_resursuri xarjTaRricxva #10</t>
  </si>
  <si>
    <t>lokalur_resursuri xarjTaRricxva #11</t>
  </si>
  <si>
    <t>3.1-255</t>
  </si>
  <si>
    <t>3.3-5</t>
  </si>
  <si>
    <t>1.4-3</t>
  </si>
  <si>
    <t>3-255</t>
  </si>
  <si>
    <t>13-3-40</t>
  </si>
  <si>
    <r>
      <t>zedapiris damuSaveba dispersiuli masaliT (Txevadi parafini an analogi) orjer (0,4 kg/m</t>
    </r>
    <r>
      <rPr>
        <vertAlign val="superscript"/>
        <sz val="10"/>
        <color indexed="8"/>
        <rFont val="AcadNusx"/>
      </rPr>
      <t>2</t>
    </r>
    <r>
      <rPr>
        <sz val="10"/>
        <color indexed="8"/>
        <rFont val="AcadNusx"/>
      </rPr>
      <t>)</t>
    </r>
  </si>
  <si>
    <t>3.2-47</t>
  </si>
  <si>
    <t>bitum-emulsuiuri praimeri</t>
  </si>
  <si>
    <t>lok. #8</t>
  </si>
  <si>
    <t>lok. #9</t>
  </si>
  <si>
    <t>lok. #10</t>
  </si>
  <si>
    <t>lok. #11</t>
  </si>
  <si>
    <t>30-5-1</t>
  </si>
  <si>
    <r>
      <t xml:space="preserve">monoliTuri rkinabetonis kedlis saZirkvlis mowyoba, betoni </t>
    </r>
    <r>
      <rPr>
        <sz val="10"/>
        <rFont val="Times New Roman"/>
        <family val="1"/>
        <charset val="204"/>
      </rPr>
      <t xml:space="preserve"> B30F200W6</t>
    </r>
  </si>
  <si>
    <t>12-55</t>
  </si>
  <si>
    <t>ficari 70mm II xar</t>
  </si>
  <si>
    <t>ficari 40-60mm II xar</t>
  </si>
  <si>
    <t>ficari 40-60mm III xar</t>
  </si>
  <si>
    <t>30-5-2</t>
  </si>
  <si>
    <t xml:space="preserve">armaturis dayeneba </t>
  </si>
  <si>
    <t>37-64-3</t>
  </si>
  <si>
    <r>
      <t xml:space="preserve">monoliTuri rkinabetonis kedlis tanis mowyoba, betoni </t>
    </r>
    <r>
      <rPr>
        <sz val="10"/>
        <color theme="1"/>
        <rFont val="Arial"/>
        <family val="2"/>
        <charset val="204"/>
      </rPr>
      <t>B</t>
    </r>
    <r>
      <rPr>
        <sz val="10"/>
        <color theme="1"/>
        <rFont val="AcadNusx"/>
      </rPr>
      <t xml:space="preserve">30 </t>
    </r>
    <r>
      <rPr>
        <sz val="10"/>
        <color theme="1"/>
        <rFont val="Arial"/>
        <family val="2"/>
        <charset val="204"/>
      </rPr>
      <t>F</t>
    </r>
    <r>
      <rPr>
        <sz val="10"/>
        <color theme="1"/>
        <rFont val="AcadNusx"/>
      </rPr>
      <t xml:space="preserve">200 </t>
    </r>
    <r>
      <rPr>
        <sz val="10"/>
        <color theme="1"/>
        <rFont val="Arial"/>
        <family val="2"/>
        <charset val="204"/>
      </rPr>
      <t>W</t>
    </r>
    <r>
      <rPr>
        <sz val="10"/>
        <color theme="1"/>
        <rFont val="AcadNusx"/>
      </rPr>
      <t>6</t>
    </r>
  </si>
  <si>
    <t>xis ficari IV xar. 25-32mm</t>
  </si>
  <si>
    <t>xis ficari III-IVxar. 40-60mm; 70mm</t>
  </si>
  <si>
    <t>kedlis ukan hidroizolaciis da drenaJis mowyoba:</t>
  </si>
  <si>
    <t>8-4-8</t>
  </si>
  <si>
    <t>msuye Tixis ekrani</t>
  </si>
  <si>
    <t>3.1-247</t>
  </si>
  <si>
    <t>Tixa</t>
  </si>
  <si>
    <t>1-123-8</t>
  </si>
  <si>
    <r>
      <t xml:space="preserve">riyis qva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>=20-30 sm</t>
    </r>
  </si>
  <si>
    <t>22-8-5</t>
  </si>
  <si>
    <r>
      <t xml:space="preserve">sadrenaJe plastmasis </t>
    </r>
    <r>
      <rPr>
        <sz val="10"/>
        <rFont val="Arial"/>
        <family val="2"/>
        <charset val="204"/>
      </rPr>
      <t>d</t>
    </r>
    <r>
      <rPr>
        <sz val="10"/>
        <rFont val="AcadNusx"/>
      </rPr>
      <t>-150 mm dayeneba</t>
    </r>
  </si>
  <si>
    <t>gv24-43</t>
  </si>
  <si>
    <r>
      <t>geoteqstili minimum 250gr/m</t>
    </r>
    <r>
      <rPr>
        <vertAlign val="superscript"/>
        <sz val="10"/>
        <color theme="1"/>
        <rFont val="AcadNusx"/>
      </rPr>
      <t>2</t>
    </r>
  </si>
  <si>
    <t>samagrebi elementebi</t>
  </si>
  <si>
    <r>
      <t>kedelze geoteqstilis akvra minimum 250gr/m</t>
    </r>
    <r>
      <rPr>
        <vertAlign val="superscript"/>
        <sz val="10"/>
        <color theme="1"/>
        <rFont val="AcadNusx"/>
      </rPr>
      <t>2</t>
    </r>
  </si>
  <si>
    <t>ГЭСН 
27-04-016-
02</t>
  </si>
  <si>
    <t>3.2-38</t>
  </si>
  <si>
    <t>2.3-36</t>
  </si>
  <si>
    <t>1.4-8</t>
  </si>
  <si>
    <t>9.3</t>
  </si>
  <si>
    <t>3.1-259</t>
  </si>
  <si>
    <t>1.10-39</t>
  </si>
  <si>
    <t>1.0-26</t>
  </si>
  <si>
    <t xml:space="preserve">betoni </t>
  </si>
  <si>
    <t xml:space="preserve">qviSa-xreSovani masala </t>
  </si>
  <si>
    <t xml:space="preserve">kuTxovana 70X70X6 </t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</si>
  <si>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cadNusx"/>
      </rPr>
      <t>25</t>
    </r>
  </si>
  <si>
    <r>
      <t xml:space="preserve">armatura </t>
    </r>
    <r>
      <rPr>
        <sz val="10"/>
        <rFont val="Arial"/>
        <family val="2"/>
        <charset val="204"/>
      </rPr>
      <t>d</t>
    </r>
    <r>
      <rPr>
        <sz val="10"/>
        <rFont val="AcadNusx"/>
      </rPr>
      <t>=8mm</t>
    </r>
  </si>
  <si>
    <r>
      <t xml:space="preserve">armatura </t>
    </r>
    <r>
      <rPr>
        <sz val="10"/>
        <rFont val="Arial"/>
        <family val="2"/>
        <charset val="204"/>
      </rPr>
      <t>d</t>
    </r>
    <r>
      <rPr>
        <sz val="10"/>
        <rFont val="AcadNusx"/>
      </rPr>
      <t xml:space="preserve">=10mm </t>
    </r>
  </si>
  <si>
    <r>
      <t xml:space="preserve">armatura </t>
    </r>
    <r>
      <rPr>
        <sz val="10"/>
        <color indexed="8"/>
        <rFont val="Arial"/>
        <family val="2"/>
        <charset val="204"/>
      </rPr>
      <t>d</t>
    </r>
    <r>
      <rPr>
        <sz val="10"/>
        <color indexed="8"/>
        <rFont val="AcadNusx"/>
      </rPr>
      <t xml:space="preserve">-10mm </t>
    </r>
  </si>
  <si>
    <r>
      <t xml:space="preserve">armatura </t>
    </r>
    <r>
      <rPr>
        <sz val="10"/>
        <color indexed="8"/>
        <rFont val="Arial"/>
        <family val="2"/>
        <charset val="204"/>
      </rPr>
      <t>d</t>
    </r>
    <r>
      <rPr>
        <sz val="10"/>
        <color indexed="8"/>
        <rFont val="AcadNusx"/>
      </rPr>
      <t xml:space="preserve">-12-16mm </t>
    </r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</si>
  <si>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cadNusx"/>
      </rPr>
      <t>30</t>
    </r>
  </si>
  <si>
    <r>
      <t xml:space="preserve">armatura </t>
    </r>
    <r>
      <rPr>
        <sz val="10"/>
        <color indexed="8"/>
        <rFont val="Arial"/>
        <family val="2"/>
        <charset val="204"/>
      </rPr>
      <t>d</t>
    </r>
    <r>
      <rPr>
        <sz val="10"/>
        <color indexed="8"/>
        <rFont val="AcadNusx"/>
      </rPr>
      <t>-12-28mm</t>
    </r>
  </si>
  <si>
    <r>
      <t xml:space="preserve">armatura </t>
    </r>
    <r>
      <rPr>
        <sz val="10"/>
        <color indexed="8"/>
        <rFont val="Arial"/>
        <family val="2"/>
        <charset val="204"/>
      </rPr>
      <t>d</t>
    </r>
    <r>
      <rPr>
        <sz val="10"/>
        <color indexed="8"/>
        <rFont val="AcadNusx"/>
      </rPr>
      <t xml:space="preserve">-12-28mm </t>
    </r>
  </si>
  <si>
    <r>
      <t xml:space="preserve">betoni </t>
    </r>
    <r>
      <rPr>
        <sz val="10"/>
        <rFont val="Arial"/>
        <family val="2"/>
        <charset val="204"/>
      </rPr>
      <t/>
    </r>
  </si>
  <si>
    <t>Sromis danaxarji 0,00725*1,15</t>
  </si>
  <si>
    <t>eqskavatori V-1,0 m3 0,0162*1,05</t>
  </si>
  <si>
    <t>Sromis danaxarji 0,00323*1,15</t>
  </si>
  <si>
    <t>buldozeri 79kvt 0,00362*1,05</t>
  </si>
  <si>
    <t>RorRo</t>
  </si>
  <si>
    <t>Sromis danaxarji 0,655*1,15</t>
  </si>
  <si>
    <t>avtoamwe saburRi 0,0467*1,05</t>
  </si>
  <si>
    <t>amwe saavtomobilo svlaze 3t 0,0429*1,05</t>
  </si>
  <si>
    <t>Sromis danaxarji 0,403*1,15</t>
  </si>
  <si>
    <t>Sromis danaxarji 10,20*1,15</t>
  </si>
  <si>
    <t>scpg-I p,29</t>
  </si>
  <si>
    <t>Seasrula</t>
  </si>
  <si>
    <t>s. egorova</t>
  </si>
  <si>
    <r>
      <t>eqskavatori V_1,0m</t>
    </r>
    <r>
      <rPr>
        <vertAlign val="superscript"/>
        <sz val="10"/>
        <rFont val="AcadNusx"/>
      </rPr>
      <t xml:space="preserve">3 </t>
    </r>
    <r>
      <rPr>
        <sz val="10"/>
        <rFont val="AcadNusx"/>
      </rPr>
      <t>0,1633*1,05</t>
    </r>
  </si>
  <si>
    <t xml:space="preserve">k-1,15 xelfasze da k-1,05 meqanizmebze gaTvaliswinebuli aris maRalmiani dasaxlebis punqtis ganlagebuli 1500m-dan da meti simaRleze zRvis donidan) </t>
  </si>
  <si>
    <t>samSeneblo moednis moxreSva-moSandakeba karieridan moziduli qviSa-xreSovani me-2jg. gruntiT (6b)</t>
  </si>
  <si>
    <t>Sromis danaxarji 0,0188*1,15</t>
  </si>
  <si>
    <t>eqskavatori V-1,0 m3 0,042*1,05</t>
  </si>
  <si>
    <t>buldozeri 79kvt 0,0104*1,05</t>
  </si>
  <si>
    <t>Sromis danaxarji 8,60*1,15</t>
  </si>
  <si>
    <t>sangrevi CaquCebi 6,70*1,05</t>
  </si>
  <si>
    <t>yrilis mowyoba karieridan moziduli xreSovani me-2 jg. gruntiT  da datkepna fenebad (6b)</t>
  </si>
  <si>
    <t>kldovani gruntis me-6 jg. (31v) damuSaveba eqskavatoris bazaze damontaJebuli hidroCaquCebiT (kodala), datvirTva avtoTviTmclelebze da gatana nayarSi</t>
  </si>
  <si>
    <t>kldovani me-6jg. gruntis gafxviereba-CamosufTaveba xeliT sangrevi CaquCebiT, datvirTva da gatana nayarSi (kiuvetis CaTvliT)</t>
  </si>
  <si>
    <t>Sromis danaxarji 0,016*1,15</t>
  </si>
  <si>
    <t>eqskavatori V-1,0 m3 0,0359*1,05</t>
  </si>
  <si>
    <t xml:space="preserve">kldovani me-6 jg. gruntis (31v) damuSaveba (gafxviereba) eqskavatoris bazaze damontaJebuli hidroCaquCebiT (kodala) </t>
  </si>
  <si>
    <t>Sromis danaxarji  1,20*1,15</t>
  </si>
  <si>
    <t>Sromis danaxarji 1,37*1,15</t>
  </si>
  <si>
    <t>Sromis danaxarji 0,564*1,15</t>
  </si>
  <si>
    <t>avtogudronatori 3500l 0,3*1,05</t>
  </si>
  <si>
    <t>Sromis danaxarji 5,65*1,15</t>
  </si>
  <si>
    <t>amwe muxluxa svlaze 10t 0,82*1,05</t>
  </si>
  <si>
    <t>Sromis danaxarji 13,30*1,15</t>
  </si>
  <si>
    <t>Sromis danaxarji 37,40*1,15</t>
  </si>
  <si>
    <t>amwe muxluxa svlaze 10t 1,31*1,05</t>
  </si>
  <si>
    <t>Sromis danaxarji 0,442*1,15</t>
  </si>
  <si>
    <t>Sromis danaxarji 5,56*1,15</t>
  </si>
  <si>
    <t>Sromis danaxarji 1,16*1,15</t>
  </si>
  <si>
    <t>Sromis danaxarji 25,20*1,15</t>
  </si>
  <si>
    <t>Sromis danaxarji 6,60*1,15</t>
  </si>
  <si>
    <t>amwe muxluxa svlaze 10t 0,096*1,05</t>
  </si>
  <si>
    <t>Sromis danaxarji 27,60*1,15</t>
  </si>
  <si>
    <t>amwe muxluxa svlaze 10t 4,74*1,05</t>
  </si>
  <si>
    <t>Sromis danaxarji 2,3*1,5*1,15</t>
  </si>
  <si>
    <t>traqtori 79 kvt 1.85*4*0.001*1,05</t>
  </si>
  <si>
    <t>traqtori 79 kvt 1.85*6*0.001*1,05</t>
  </si>
  <si>
    <t>milis Sesasvlelsa da gasasvlelSi 
me-3 jg. gruntis kalapotis gaWra eqskavatoriT, datvirTva da gatana nayarSi</t>
  </si>
  <si>
    <t>1-79-3</t>
  </si>
  <si>
    <t>Sromis danaxarj 3,37*1,15</t>
  </si>
  <si>
    <t>amwe pnevmosvlaze 25t 0,428*1,05</t>
  </si>
  <si>
    <t>Sromis danaxarji 3,19*1,15</t>
  </si>
  <si>
    <t>Sromis danaxarji 24,40*1,15</t>
  </si>
  <si>
    <t>Sromis danaxarji 5,18*1,15</t>
  </si>
  <si>
    <t>Sromis danaxarji 27,6*1,15</t>
  </si>
  <si>
    <t>Sromis danaxarji  6,5*1,15</t>
  </si>
  <si>
    <t>Sromis danaxarji 2,78*1,15</t>
  </si>
  <si>
    <t>Sromis danaxarji  0,181*1,15</t>
  </si>
  <si>
    <t>Sromis danaxarji 2.12*1,15</t>
  </si>
  <si>
    <t>Sromis danaxarji 0,0412*1,15</t>
  </si>
  <si>
    <t>Sromis danaxarji 0,15*1,15</t>
  </si>
  <si>
    <t>avtogreideri 79kvt 0,0216*1,05</t>
  </si>
  <si>
    <t>satkepni pnevmosvlaze 18t 0,0273*1,05</t>
  </si>
  <si>
    <t>mosarwyav-mosarecxi manqana 0,0097*1,05</t>
  </si>
  <si>
    <t>Sromis danaxarji 0,0616*1,15</t>
  </si>
  <si>
    <t>avtogreideri 79kvt 0,00233*1,05</t>
  </si>
  <si>
    <t>buldozeri 79 kvt 0,00258*1,05</t>
  </si>
  <si>
    <t>mosarwyav-mosarecxi manqana 0,0069*1,05</t>
  </si>
  <si>
    <t>Sromis danaxarji 0,182*1,15</t>
  </si>
  <si>
    <t>cementobetonis gamanawilebeli 
0,0066*1,05</t>
  </si>
  <si>
    <t>cementobetonis gamasworebel-mosapirkeTebeli 0,0066*1,05</t>
  </si>
  <si>
    <t>maprofilebeli 0,0066*1,05</t>
  </si>
  <si>
    <t>apkwarmomqmneli masalis gamanawilebeli agregati 0,0066*1,05</t>
  </si>
  <si>
    <t>amwe saavtomobilo svlaze 5t 0,0186*1,05</t>
  </si>
  <si>
    <t>traqtori 40kvt 0,0067*1,05</t>
  </si>
  <si>
    <t>Sromis danaxarji 0,0117*1,15</t>
  </si>
  <si>
    <t>Sromis danaxarji 0,077*1,15</t>
  </si>
  <si>
    <t>nakerebis CamWreli 0,194*1,05</t>
  </si>
  <si>
    <t>nakerebis Camsmeli 0,0167*1,05</t>
  </si>
  <si>
    <t>traqtori 59kvt  0,02420*1,05</t>
  </si>
  <si>
    <t>mosarwyav-mosarecxi manqana 0,0088*1,05</t>
  </si>
  <si>
    <t>Sromis danaxarji 1,78*1,15</t>
  </si>
  <si>
    <t>Sromis danaxarji 0,745*1,15</t>
  </si>
  <si>
    <t>Sromis danaxarji 6,6*1,15</t>
  </si>
  <si>
    <t>Sromis danaxarji 0,388*1,15</t>
  </si>
  <si>
    <t>Sromis danaxarji (0,406-0,00464*8)*1,15</t>
  </si>
  <si>
    <t>Sromis danaxarji 3,23*1,15</t>
  </si>
  <si>
    <t>avtoamwe saburRi 0,15*1,05</t>
  </si>
  <si>
    <t>amwe saavtomobilo svlaze 3t 0,286*1,05</t>
  </si>
  <si>
    <t>narCenebis datvirTva da gadmotvirTva</t>
  </si>
  <si>
    <r>
      <t>karierSi me-2 jg. gruntis damuSaveba eqskavatoriT V-1,0 m</t>
    </r>
    <r>
      <rPr>
        <vertAlign val="superscript"/>
        <sz val="10"/>
        <rFont val="AcadNusx"/>
      </rPr>
      <t xml:space="preserve">3 </t>
    </r>
    <r>
      <rPr>
        <sz val="10"/>
        <rFont val="AcadNusx"/>
      </rPr>
      <t>datvirTviT TviTmclelebze (6b)</t>
    </r>
  </si>
  <si>
    <t xml:space="preserve">me-6 jg. kldovani gruntis (31v) damuSaveba (gafxviereba) eqskavatoris bazaze damontaJebuli hidroCaquCebiT (kodala) </t>
  </si>
  <si>
    <t xml:space="preserve">me-6 jg. kldovani gruntis gafxviereba-CamosufTaveba xeliT sangrevi CaquCebiT, xeliT  datvirTva da gatana nayarSi </t>
  </si>
  <si>
    <t xml:space="preserve">me-6 jg. kldovani gruntis gafxviereba-CamosufTaveba xeliT sangrevi CaquCebiT, datvirTva da gatana nayarSi </t>
  </si>
  <si>
    <t>ukuSevseba eqskavatotiT adgilobrivi 
me-6 jg. gruntiT</t>
  </si>
  <si>
    <r>
      <t>darCenili me-6 jg. gruntis datvirTva eqskavatoriT V-1,0 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TviTmclelebze da gatana nayarSi</t>
    </r>
  </si>
  <si>
    <t>me-6 jg. kldovani gruntis (31v) gafxviereba-CamosufTaveba xeliT sangrevi CaquCebiT</t>
  </si>
  <si>
    <t>milis Sesasvlelsa da gasasvlelSi 
me-3 jg. gruntis kalapotis formireba xeliT, gverdze dayriT</t>
  </si>
  <si>
    <t>ukuSevseba eqskavatoriT adgilobrivi me-6 jg. gruntiT (31v) da datkepna fenad</t>
  </si>
  <si>
    <t>me-6 jg. kldovani gruntis (31v) damuSaveba eqskavatoris bazaze damontaJebuli hidroCaquCebiT (kodala), datvirTva TviTmclelebze da gatana nayarSi</t>
  </si>
  <si>
    <t xml:space="preserve">me-6 jg. gruntis datvirTva xeliT avtoTviTmclelebze da gatana nayarSi </t>
  </si>
  <si>
    <r>
      <t>gafxvierebuli gruntis datvirTva eqskavatoriT V-1,0 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TviTmclelebze da gatana nayarSi </t>
    </r>
  </si>
  <si>
    <t>kldovani gruntis (31v) gafxviereba-CamosufTaveba xeliT sangrevi CaquCebiT (Sedis gruntis kiuvetis damuSavebac 6 m3)</t>
  </si>
  <si>
    <t>ganivi nakerebis mowyoba</t>
  </si>
  <si>
    <r>
      <rPr>
        <sz val="10"/>
        <color rgb="FFFF0000"/>
        <rFont val="AcadNusx"/>
      </rPr>
      <t xml:space="preserve">arsebuli </t>
    </r>
    <r>
      <rPr>
        <sz val="10"/>
        <rFont val="AcadNusx"/>
      </rPr>
      <t xml:space="preserve">foladis bagiris - </t>
    </r>
    <r>
      <rPr>
        <sz val="10"/>
        <rFont val="Arial"/>
        <family val="2"/>
        <charset val="204"/>
      </rPr>
      <t>11DO-TM</t>
    </r>
    <r>
      <rPr>
        <sz val="10"/>
        <rFont val="AcadNusx"/>
      </rPr>
      <t xml:space="preserve"> zRudaris  montaJi, SeRebviT</t>
    </r>
  </si>
  <si>
    <t>RorRi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</si>
</sst>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-* #,##0.00&quot;р.&quot;_-;\-* #,##0.00&quot;р.&quot;_-;_-* &quot;-&quot;??&quot;р.&quot;_-;_-@_-"/>
    <numFmt numFmtId="165" formatCode="0.000"/>
    <numFmt numFmtId="166" formatCode="0.0"/>
    <numFmt numFmtId="167" formatCode="0.0000"/>
    <numFmt numFmtId="168" formatCode="0.00000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sz val="10"/>
      <color theme="1"/>
      <name val="AcadNusx"/>
    </font>
    <font>
      <sz val="10"/>
      <name val="AcadNusx"/>
    </font>
    <font>
      <sz val="10"/>
      <name val="Arial Cyr"/>
      <family val="2"/>
      <charset val="204"/>
    </font>
    <font>
      <b/>
      <sz val="10"/>
      <name val="AcadNusx"/>
    </font>
    <font>
      <sz val="10"/>
      <name val="Arial"/>
      <family val="2"/>
      <charset val="204"/>
    </font>
    <font>
      <sz val="10"/>
      <name val="Arial"/>
      <family val="2"/>
    </font>
    <font>
      <vertAlign val="superscript"/>
      <sz val="10"/>
      <name val="AcadNusx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</font>
    <font>
      <sz val="10"/>
      <color indexed="8"/>
      <name val="AcadNusx"/>
    </font>
    <font>
      <sz val="11"/>
      <color rgb="FF9C0006"/>
      <name val="Calibri"/>
      <family val="2"/>
      <scheme val="minor"/>
    </font>
    <font>
      <sz val="12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cadMtavr"/>
    </font>
    <font>
      <sz val="11"/>
      <name val="AcadNusx"/>
    </font>
    <font>
      <b/>
      <sz val="11"/>
      <name val="AcadNusx"/>
    </font>
    <font>
      <b/>
      <sz val="10"/>
      <name val="Academiury-ITV-ZC"/>
      <family val="1"/>
    </font>
    <font>
      <b/>
      <sz val="10"/>
      <color theme="1"/>
      <name val="AcadNusx"/>
    </font>
    <font>
      <sz val="10"/>
      <color indexed="8"/>
      <name val="Arial"/>
      <family val="2"/>
      <charset val="204"/>
    </font>
    <font>
      <vertAlign val="subscript"/>
      <sz val="10"/>
      <name val="Arial"/>
      <family val="2"/>
      <charset val="204"/>
    </font>
    <font>
      <sz val="10"/>
      <color rgb="FFFF0000"/>
      <name val="AcadNusx"/>
    </font>
    <font>
      <b/>
      <sz val="10"/>
      <color indexed="8"/>
      <name val="AcadNusx"/>
    </font>
    <font>
      <sz val="8"/>
      <color indexed="8"/>
      <name val="AcadNusx"/>
    </font>
    <font>
      <vertAlign val="subscript"/>
      <sz val="10"/>
      <color indexed="8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indexed="8"/>
      <name val="AcadNusx"/>
    </font>
    <font>
      <sz val="10"/>
      <color theme="1"/>
      <name val="Arial"/>
      <family val="2"/>
      <charset val="204"/>
    </font>
    <font>
      <vertAlign val="superscript"/>
      <sz val="10"/>
      <color theme="1"/>
      <name val="AcadNusx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5" fillId="0" borderId="0"/>
    <xf numFmtId="0" fontId="7" fillId="0" borderId="0"/>
    <xf numFmtId="0" fontId="8" fillId="0" borderId="0"/>
    <xf numFmtId="0" fontId="11" fillId="0" borderId="0"/>
    <xf numFmtId="0" fontId="8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12" fillId="0" borderId="0"/>
    <xf numFmtId="0" fontId="13" fillId="5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1" fillId="0" borderId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6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6" applyNumberFormat="0" applyAlignment="0" applyProtection="0"/>
    <xf numFmtId="0" fontId="24" fillId="0" borderId="11" applyNumberFormat="0" applyFill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7" fillId="23" borderId="12" applyNumberFormat="0" applyFont="0" applyAlignment="0" applyProtection="0"/>
    <xf numFmtId="0" fontId="26" fillId="20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1" fillId="0" borderId="0"/>
    <xf numFmtId="44" fontId="1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2" fillId="0" borderId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32" fillId="24" borderId="0" applyNumberFormat="0" applyBorder="0" applyAlignment="0" applyProtection="0"/>
    <xf numFmtId="0" fontId="5" fillId="0" borderId="0"/>
  </cellStyleXfs>
  <cellXfs count="303">
    <xf numFmtId="0" fontId="0" fillId="0" borderId="0" xfId="0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4" xfId="49" applyNumberFormat="1" applyFont="1" applyBorder="1" applyAlignment="1">
      <alignment vertical="center" wrapText="1"/>
    </xf>
    <xf numFmtId="167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7" fillId="0" borderId="0" xfId="2"/>
    <xf numFmtId="2" fontId="4" fillId="0" borderId="0" xfId="2" applyNumberFormat="1" applyFont="1" applyAlignment="1">
      <alignment horizontal="center"/>
    </xf>
    <xf numFmtId="0" fontId="4" fillId="0" borderId="0" xfId="2" applyFont="1"/>
    <xf numFmtId="0" fontId="4" fillId="0" borderId="4" xfId="2" applyFont="1" applyBorder="1" applyAlignment="1">
      <alignment horizontal="center" vertical="center" wrapText="1"/>
    </xf>
    <xf numFmtId="2" fontId="4" fillId="0" borderId="4" xfId="2" applyNumberFormat="1" applyFont="1" applyBorder="1" applyAlignment="1" applyProtection="1">
      <alignment horizontal="center" vertical="center" wrapText="1"/>
      <protection locked="0"/>
    </xf>
    <xf numFmtId="165" fontId="4" fillId="0" borderId="4" xfId="2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2" fontId="6" fillId="0" borderId="4" xfId="49" applyNumberFormat="1" applyFont="1" applyBorder="1" applyAlignment="1">
      <alignment horizontal="center" vertical="center"/>
    </xf>
    <xf numFmtId="2" fontId="0" fillId="0" borderId="0" xfId="0" applyNumberFormat="1"/>
    <xf numFmtId="166" fontId="4" fillId="0" borderId="4" xfId="49" applyNumberFormat="1" applyFont="1" applyBorder="1" applyAlignment="1">
      <alignment horizontal="center" vertical="center"/>
    </xf>
    <xf numFmtId="165" fontId="4" fillId="0" borderId="4" xfId="49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4" xfId="49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2" fontId="4" fillId="0" borderId="4" xfId="49" applyNumberFormat="1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2" fontId="4" fillId="0" borderId="4" xfId="81" applyNumberFormat="1" applyFont="1" applyBorder="1" applyAlignment="1">
      <alignment horizontal="center" vertical="center" wrapText="1"/>
    </xf>
    <xf numFmtId="2" fontId="4" fillId="0" borderId="4" xfId="81" applyNumberFormat="1" applyFont="1" applyBorder="1" applyAlignment="1">
      <alignment horizontal="center" vertical="center"/>
    </xf>
    <xf numFmtId="49" fontId="4" fillId="0" borderId="4" xfId="82" applyNumberFormat="1" applyFont="1" applyBorder="1" applyAlignment="1">
      <alignment horizontal="center" vertical="center"/>
    </xf>
    <xf numFmtId="0" fontId="6" fillId="0" borderId="4" xfId="49" applyFont="1" applyBorder="1" applyAlignment="1">
      <alignment vertical="center"/>
    </xf>
    <xf numFmtId="49" fontId="4" fillId="0" borderId="4" xfId="49" applyNumberFormat="1" applyFont="1" applyBorder="1" applyAlignment="1">
      <alignment horizontal="left" vertical="center" wrapText="1"/>
    </xf>
    <xf numFmtId="0" fontId="4" fillId="0" borderId="4" xfId="49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49" fontId="31" fillId="0" borderId="4" xfId="0" applyNumberFormat="1" applyFont="1" applyBorder="1" applyAlignment="1">
      <alignment vertical="center" wrapText="1"/>
    </xf>
    <xf numFmtId="2" fontId="31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49" fontId="4" fillId="0" borderId="4" xfId="49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4" xfId="2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3" fillId="0" borderId="0" xfId="88" applyFont="1"/>
    <xf numFmtId="0" fontId="5" fillId="0" borderId="0" xfId="88"/>
    <xf numFmtId="0" fontId="4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center" vertical="center" wrapText="1"/>
    </xf>
    <xf numFmtId="0" fontId="34" fillId="0" borderId="0" xfId="0" applyFont="1"/>
    <xf numFmtId="2" fontId="6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2" fontId="36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2" fontId="36" fillId="0" borderId="4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/>
    </xf>
    <xf numFmtId="2" fontId="37" fillId="0" borderId="4" xfId="0" applyNumberFormat="1" applyFont="1" applyBorder="1" applyAlignment="1">
      <alignment horizontal="center" vertical="center"/>
    </xf>
    <xf numFmtId="2" fontId="36" fillId="0" borderId="4" xfId="0" applyNumberFormat="1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166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166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4" xfId="49" applyFont="1" applyBorder="1" applyAlignment="1">
      <alignment vertical="center" wrapText="1"/>
    </xf>
    <xf numFmtId="0" fontId="30" fillId="0" borderId="4" xfId="49" applyFont="1" applyBorder="1" applyAlignment="1">
      <alignment horizontal="center" vertical="center" wrapText="1"/>
    </xf>
    <xf numFmtId="166" fontId="4" fillId="25" borderId="4" xfId="49" applyNumberFormat="1" applyFont="1" applyFill="1" applyBorder="1" applyAlignment="1">
      <alignment horizontal="center" vertical="center"/>
    </xf>
    <xf numFmtId="1" fontId="10" fillId="0" borderId="4" xfId="49" applyNumberFormat="1" applyFont="1" applyBorder="1" applyAlignment="1">
      <alignment horizontal="center" vertical="center" wrapText="1"/>
    </xf>
    <xf numFmtId="0" fontId="8" fillId="0" borderId="4" xfId="49" applyFont="1" applyBorder="1"/>
    <xf numFmtId="0" fontId="4" fillId="25" borderId="4" xfId="0" applyFont="1" applyFill="1" applyBorder="1" applyAlignment="1">
      <alignment horizontal="center" vertical="center"/>
    </xf>
    <xf numFmtId="2" fontId="4" fillId="25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2" fontId="4" fillId="0" borderId="4" xfId="8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2" fontId="39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Border="1"/>
    <xf numFmtId="165" fontId="4" fillId="0" borderId="4" xfId="0" applyNumberFormat="1" applyFont="1" applyBorder="1" applyAlignment="1">
      <alignment horizontal="center" vertical="center"/>
    </xf>
    <xf numFmtId="0" fontId="4" fillId="25" borderId="4" xfId="0" applyFont="1" applyFill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49" applyFont="1" applyBorder="1" applyAlignment="1">
      <alignment vertical="center"/>
    </xf>
    <xf numFmtId="0" fontId="4" fillId="25" borderId="4" xfId="0" applyFont="1" applyFill="1" applyBorder="1" applyAlignment="1">
      <alignment vertical="center"/>
    </xf>
    <xf numFmtId="0" fontId="4" fillId="25" borderId="4" xfId="49" applyFont="1" applyFill="1" applyBorder="1" applyAlignment="1">
      <alignment horizontal="center" vertical="center" wrapText="1"/>
    </xf>
    <xf numFmtId="2" fontId="4" fillId="25" borderId="4" xfId="49" applyNumberFormat="1" applyFont="1" applyFill="1" applyBorder="1" applyAlignment="1">
      <alignment horizontal="center" vertical="center"/>
    </xf>
    <xf numFmtId="0" fontId="4" fillId="25" borderId="4" xfId="49" applyFont="1" applyFill="1" applyBorder="1" applyAlignment="1">
      <alignment horizontal="center" vertical="center"/>
    </xf>
    <xf numFmtId="0" fontId="4" fillId="0" borderId="4" xfId="81" applyFont="1" applyBorder="1" applyAlignment="1">
      <alignment horizontal="center" vertical="center" wrapText="1"/>
    </xf>
    <xf numFmtId="166" fontId="4" fillId="25" borderId="4" xfId="0" applyNumberFormat="1" applyFont="1" applyFill="1" applyBorder="1" applyAlignment="1">
      <alignment horizontal="center" vertical="center"/>
    </xf>
    <xf numFmtId="166" fontId="6" fillId="0" borderId="4" xfId="49" applyNumberFormat="1" applyFont="1" applyBorder="1" applyAlignment="1">
      <alignment horizontal="center" vertical="center"/>
    </xf>
    <xf numFmtId="2" fontId="4" fillId="0" borderId="4" xfId="49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6" fontId="4" fillId="0" borderId="4" xfId="8" applyNumberFormat="1" applyFont="1" applyBorder="1" applyAlignment="1">
      <alignment horizontal="center" vertical="center"/>
    </xf>
    <xf numFmtId="0" fontId="4" fillId="0" borderId="4" xfId="8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 wrapText="1"/>
    </xf>
    <xf numFmtId="166" fontId="3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/>
    </xf>
    <xf numFmtId="0" fontId="4" fillId="0" borderId="2" xfId="81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2" fontId="4" fillId="0" borderId="2" xfId="49" applyNumberFormat="1" applyFont="1" applyBorder="1" applyAlignment="1">
      <alignment horizontal="center" vertical="center"/>
    </xf>
    <xf numFmtId="2" fontId="4" fillId="0" borderId="2" xfId="81" applyNumberFormat="1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49" applyNumberFormat="1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49" fontId="4" fillId="0" borderId="2" xfId="81" applyNumberFormat="1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vertical="center" wrapText="1"/>
    </xf>
    <xf numFmtId="0" fontId="4" fillId="0" borderId="2" xfId="49" applyFont="1" applyBorder="1" applyAlignment="1">
      <alignment horizontal="center" vertical="center" wrapText="1"/>
    </xf>
    <xf numFmtId="2" fontId="4" fillId="0" borderId="2" xfId="49" applyNumberFormat="1" applyFont="1" applyBorder="1" applyAlignment="1">
      <alignment horizontal="center" vertical="center" wrapText="1"/>
    </xf>
    <xf numFmtId="0" fontId="4" fillId="0" borderId="4" xfId="49" applyFont="1" applyBorder="1" applyAlignment="1">
      <alignment horizontal="left" vertical="center" wrapText="1"/>
    </xf>
    <xf numFmtId="49" fontId="4" fillId="0" borderId="4" xfId="81" applyNumberFormat="1" applyFont="1" applyBorder="1" applyAlignment="1">
      <alignment horizontal="center" vertical="center" wrapText="1"/>
    </xf>
    <xf numFmtId="0" fontId="4" fillId="0" borderId="4" xfId="81" applyFont="1" applyBorder="1" applyAlignment="1">
      <alignment vertical="center" wrapText="1"/>
    </xf>
    <xf numFmtId="0" fontId="4" fillId="0" borderId="3" xfId="81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 vertical="center" wrapText="1"/>
    </xf>
    <xf numFmtId="2" fontId="4" fillId="0" borderId="3" xfId="81" applyNumberFormat="1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/>
    </xf>
    <xf numFmtId="2" fontId="4" fillId="0" borderId="3" xfId="49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4" fillId="0" borderId="4" xfId="7" applyFont="1" applyBorder="1" applyAlignment="1">
      <alignment horizontal="center" vertical="center" wrapText="1"/>
    </xf>
    <xf numFmtId="166" fontId="3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4" fillId="25" borderId="4" xfId="49" applyNumberFormat="1" applyFont="1" applyFill="1" applyBorder="1" applyAlignment="1">
      <alignment horizontal="center" vertical="center"/>
    </xf>
    <xf numFmtId="165" fontId="4" fillId="25" borderId="4" xfId="0" applyNumberFormat="1" applyFont="1" applyFill="1" applyBorder="1" applyAlignment="1">
      <alignment horizontal="center" vertical="center"/>
    </xf>
    <xf numFmtId="49" fontId="30" fillId="0" borderId="4" xfId="0" applyNumberFormat="1" applyFont="1" applyBorder="1" applyAlignment="1">
      <alignment horizontal="center" vertical="center" wrapText="1"/>
    </xf>
    <xf numFmtId="166" fontId="4" fillId="0" borderId="4" xfId="81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0" fillId="0" borderId="4" xfId="49" applyFont="1" applyBorder="1" applyAlignment="1">
      <alignment horizontal="center" vertical="center" wrapText="1"/>
    </xf>
    <xf numFmtId="1" fontId="4" fillId="0" borderId="4" xfId="49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7" fontId="30" fillId="0" borderId="4" xfId="0" applyNumberFormat="1" applyFont="1" applyBorder="1" applyAlignment="1">
      <alignment horizontal="center" vertical="center" wrapText="1"/>
    </xf>
    <xf numFmtId="2" fontId="6" fillId="25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2" fontId="8" fillId="0" borderId="4" xfId="0" applyNumberFormat="1" applyFont="1" applyBorder="1"/>
    <xf numFmtId="167" fontId="4" fillId="0" borderId="4" xfId="0" applyNumberFormat="1" applyFont="1" applyBorder="1" applyAlignment="1">
      <alignment horizontal="center" vertical="center" wrapText="1"/>
    </xf>
    <xf numFmtId="0" fontId="42" fillId="0" borderId="4" xfId="49" applyFont="1" applyBorder="1" applyAlignment="1">
      <alignment horizontal="center" vertical="center"/>
    </xf>
    <xf numFmtId="49" fontId="31" fillId="0" borderId="4" xfId="49" applyNumberFormat="1" applyFont="1" applyBorder="1" applyAlignment="1">
      <alignment vertical="center" wrapText="1"/>
    </xf>
    <xf numFmtId="2" fontId="42" fillId="0" borderId="4" xfId="0" applyNumberFormat="1" applyFont="1" applyBorder="1" applyAlignment="1">
      <alignment horizontal="center" vertical="center"/>
    </xf>
    <xf numFmtId="49" fontId="4" fillId="0" borderId="4" xfId="49" applyNumberFormat="1" applyFont="1" applyBorder="1" applyAlignment="1">
      <alignment horizontal="center" vertical="center"/>
    </xf>
    <xf numFmtId="0" fontId="42" fillId="25" borderId="4" xfId="0" applyFont="1" applyFill="1" applyBorder="1" applyAlignment="1">
      <alignment horizontal="center" vertical="center"/>
    </xf>
    <xf numFmtId="0" fontId="4" fillId="0" borderId="4" xfId="4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4" xfId="7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9" fontId="43" fillId="0" borderId="4" xfId="0" applyNumberFormat="1" applyFont="1" applyBorder="1" applyAlignment="1">
      <alignment vertical="center" wrapText="1"/>
    </xf>
    <xf numFmtId="49" fontId="4" fillId="0" borderId="4" xfId="4" applyNumberFormat="1" applyFont="1" applyBorder="1" applyAlignment="1">
      <alignment horizontal="center" vertical="center"/>
    </xf>
    <xf numFmtId="0" fontId="4" fillId="0" borderId="4" xfId="4" applyFont="1" applyBorder="1" applyAlignment="1">
      <alignment vertical="center"/>
    </xf>
    <xf numFmtId="0" fontId="4" fillId="0" borderId="4" xfId="4" applyFont="1" applyBorder="1" applyAlignment="1">
      <alignment horizontal="center" vertical="center"/>
    </xf>
    <xf numFmtId="2" fontId="4" fillId="0" borderId="4" xfId="4" applyNumberFormat="1" applyFont="1" applyBorder="1" applyAlignment="1">
      <alignment horizontal="center" vertical="center"/>
    </xf>
    <xf numFmtId="2" fontId="4" fillId="0" borderId="2" xfId="4" applyNumberFormat="1" applyFont="1" applyBorder="1" applyAlignment="1">
      <alignment horizontal="center" vertical="center"/>
    </xf>
    <xf numFmtId="1" fontId="4" fillId="0" borderId="2" xfId="4" applyNumberFormat="1" applyFont="1" applyBorder="1" applyAlignment="1">
      <alignment horizontal="center" vertical="center"/>
    </xf>
    <xf numFmtId="166" fontId="4" fillId="0" borderId="4" xfId="4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0" fontId="4" fillId="0" borderId="4" xfId="4" applyFont="1" applyBorder="1" applyAlignment="1">
      <alignment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8" fillId="0" borderId="4" xfId="4" applyFont="1" applyBorder="1"/>
    <xf numFmtId="49" fontId="30" fillId="0" borderId="4" xfId="4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vertical="center" wrapText="1"/>
    </xf>
    <xf numFmtId="166" fontId="10" fillId="0" borderId="4" xfId="49" applyNumberFormat="1" applyFont="1" applyBorder="1" applyAlignment="1">
      <alignment horizontal="center" vertical="center" wrapText="1"/>
    </xf>
    <xf numFmtId="0" fontId="4" fillId="0" borderId="4" xfId="85" applyFont="1" applyBorder="1" applyAlignment="1">
      <alignment horizontal="center" vertical="center" wrapText="1"/>
    </xf>
    <xf numFmtId="0" fontId="4" fillId="0" borderId="4" xfId="85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46" fillId="0" borderId="4" xfId="87" applyNumberFormat="1" applyFont="1" applyFill="1" applyBorder="1" applyAlignment="1">
      <alignment horizontal="center" vertical="center" wrapText="1"/>
    </xf>
    <xf numFmtId="0" fontId="46" fillId="0" borderId="4" xfId="87" applyFont="1" applyFill="1" applyBorder="1" applyAlignment="1">
      <alignment horizontal="center" vertical="center"/>
    </xf>
    <xf numFmtId="2" fontId="46" fillId="0" borderId="4" xfId="87" applyNumberFormat="1" applyFont="1" applyFill="1" applyBorder="1" applyAlignment="1">
      <alignment horizontal="center" vertical="center"/>
    </xf>
    <xf numFmtId="167" fontId="4" fillId="0" borderId="4" xfId="87" applyNumberFormat="1" applyFont="1" applyFill="1" applyBorder="1" applyAlignment="1">
      <alignment horizontal="center" vertical="center"/>
    </xf>
    <xf numFmtId="168" fontId="4" fillId="0" borderId="4" xfId="87" applyNumberFormat="1" applyFont="1" applyFill="1" applyBorder="1" applyAlignment="1">
      <alignment horizontal="center" vertical="center"/>
    </xf>
    <xf numFmtId="2" fontId="3" fillId="0" borderId="4" xfId="8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 wrapText="1"/>
    </xf>
    <xf numFmtId="165" fontId="30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/>
    <xf numFmtId="166" fontId="30" fillId="0" borderId="4" xfId="0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65" fontId="10" fillId="0" borderId="4" xfId="49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2" fontId="43" fillId="0" borderId="4" xfId="49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center"/>
    </xf>
    <xf numFmtId="168" fontId="10" fillId="0" borderId="4" xfId="49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49" fontId="42" fillId="0" borderId="4" xfId="0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 wrapText="1"/>
    </xf>
    <xf numFmtId="0" fontId="4" fillId="0" borderId="4" xfId="5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2" fontId="30" fillId="0" borderId="4" xfId="0" applyNumberFormat="1" applyFont="1" applyBorder="1" applyAlignment="1">
      <alignment horizontal="center" vertical="center" wrapText="1"/>
    </xf>
    <xf numFmtId="2" fontId="6" fillId="0" borderId="4" xfId="8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4" fillId="25" borderId="4" xfId="0" applyFont="1" applyFill="1" applyBorder="1" applyAlignment="1">
      <alignment horizontal="center" vertical="center" wrapText="1"/>
    </xf>
    <xf numFmtId="2" fontId="4" fillId="25" borderId="4" xfId="81" applyNumberFormat="1" applyFont="1" applyFill="1" applyBorder="1" applyAlignment="1">
      <alignment horizontal="center" vertical="center" wrapText="1"/>
    </xf>
    <xf numFmtId="0" fontId="8" fillId="25" borderId="4" xfId="0" applyFont="1" applyFill="1" applyBorder="1"/>
    <xf numFmtId="49" fontId="30" fillId="25" borderId="4" xfId="0" applyNumberFormat="1" applyFont="1" applyFill="1" applyBorder="1" applyAlignment="1">
      <alignment horizontal="center" vertical="center" wrapText="1"/>
    </xf>
    <xf numFmtId="2" fontId="4" fillId="25" borderId="4" xfId="0" applyNumberFormat="1" applyFont="1" applyFill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distributed" wrapText="1"/>
    </xf>
    <xf numFmtId="166" fontId="4" fillId="25" borderId="4" xfId="8" applyNumberFormat="1" applyFont="1" applyFill="1" applyBorder="1" applyAlignment="1">
      <alignment horizontal="center" vertical="center"/>
    </xf>
    <xf numFmtId="0" fontId="4" fillId="25" borderId="4" xfId="2" applyFont="1" applyFill="1" applyBorder="1" applyAlignment="1" applyProtection="1">
      <alignment horizontal="center" vertical="center" wrapText="1"/>
      <protection locked="0"/>
    </xf>
    <xf numFmtId="0" fontId="4" fillId="25" borderId="4" xfId="1" applyFont="1" applyFill="1" applyBorder="1" applyAlignment="1">
      <alignment horizontal="center" vertical="top" wrapText="1"/>
    </xf>
    <xf numFmtId="167" fontId="4" fillId="25" borderId="4" xfId="0" applyNumberFormat="1" applyFont="1" applyFill="1" applyBorder="1" applyAlignment="1">
      <alignment horizontal="center" vertical="center"/>
    </xf>
    <xf numFmtId="2" fontId="4" fillId="25" borderId="4" xfId="8" applyNumberFormat="1" applyFont="1" applyFill="1" applyBorder="1" applyAlignment="1">
      <alignment horizontal="center" vertical="center"/>
    </xf>
    <xf numFmtId="2" fontId="3" fillId="25" borderId="0" xfId="0" applyNumberFormat="1" applyFont="1" applyFill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3" fillId="25" borderId="0" xfId="0" applyFont="1" applyFill="1" applyAlignment="1">
      <alignment vertical="center"/>
    </xf>
    <xf numFmtId="0" fontId="0" fillId="25" borderId="0" xfId="0" applyFill="1"/>
    <xf numFmtId="166" fontId="3" fillId="25" borderId="4" xfId="0" applyNumberFormat="1" applyFont="1" applyFill="1" applyBorder="1" applyAlignment="1">
      <alignment horizontal="center" vertical="center"/>
    </xf>
    <xf numFmtId="165" fontId="4" fillId="25" borderId="4" xfId="81" applyNumberFormat="1" applyFont="1" applyFill="1" applyBorder="1" applyAlignment="1">
      <alignment horizontal="center" vertical="center" wrapText="1"/>
    </xf>
    <xf numFmtId="2" fontId="47" fillId="25" borderId="4" xfId="87" applyNumberFormat="1" applyFont="1" applyFill="1" applyBorder="1" applyAlignment="1">
      <alignment horizontal="center" vertical="center"/>
    </xf>
    <xf numFmtId="2" fontId="4" fillId="25" borderId="4" xfId="81" applyNumberFormat="1" applyFont="1" applyFill="1" applyBorder="1" applyAlignment="1">
      <alignment horizontal="center" vertical="center"/>
    </xf>
    <xf numFmtId="166" fontId="4" fillId="25" borderId="4" xfId="4" applyNumberFormat="1" applyFont="1" applyFill="1" applyBorder="1" applyAlignment="1">
      <alignment horizontal="center" vertical="center"/>
    </xf>
    <xf numFmtId="165" fontId="4" fillId="25" borderId="4" xfId="4" applyNumberFormat="1" applyFont="1" applyFill="1" applyBorder="1" applyAlignment="1">
      <alignment horizontal="center" vertical="center"/>
    </xf>
    <xf numFmtId="0" fontId="4" fillId="25" borderId="4" xfId="4" applyFont="1" applyFill="1" applyBorder="1" applyAlignment="1">
      <alignment horizontal="center" vertical="center"/>
    </xf>
    <xf numFmtId="2" fontId="4" fillId="25" borderId="4" xfId="4" applyNumberFormat="1" applyFont="1" applyFill="1" applyBorder="1" applyAlignment="1">
      <alignment horizontal="center" vertical="center"/>
    </xf>
    <xf numFmtId="2" fontId="3" fillId="25" borderId="4" xfId="0" applyNumberFormat="1" applyFont="1" applyFill="1" applyBorder="1" applyAlignment="1">
      <alignment horizontal="center" vertical="center"/>
    </xf>
    <xf numFmtId="49" fontId="3" fillId="25" borderId="0" xfId="0" applyNumberFormat="1" applyFont="1" applyFill="1" applyAlignment="1">
      <alignment horizontal="center" vertical="center"/>
    </xf>
    <xf numFmtId="0" fontId="10" fillId="25" borderId="4" xfId="49" applyFont="1" applyFill="1" applyBorder="1" applyAlignment="1">
      <alignment horizontal="center" vertical="center" wrapText="1"/>
    </xf>
    <xf numFmtId="165" fontId="4" fillId="25" borderId="4" xfId="49" applyNumberFormat="1" applyFont="1" applyFill="1" applyBorder="1" applyAlignment="1">
      <alignment horizontal="center" vertical="center" wrapText="1"/>
    </xf>
    <xf numFmtId="165" fontId="4" fillId="25" borderId="4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49" fontId="4" fillId="0" borderId="2" xfId="81" applyNumberFormat="1" applyFont="1" applyBorder="1" applyAlignment="1">
      <alignment horizontal="center" vertical="center" wrapText="1"/>
    </xf>
    <xf numFmtId="49" fontId="4" fillId="0" borderId="5" xfId="81" applyNumberFormat="1" applyFont="1" applyBorder="1" applyAlignment="1">
      <alignment horizontal="center" vertical="center" wrapText="1"/>
    </xf>
    <xf numFmtId="49" fontId="4" fillId="0" borderId="3" xfId="81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2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2" applyNumberFormat="1" applyFont="1" applyBorder="1" applyAlignment="1" applyProtection="1">
      <alignment horizontal="center" vertical="center" wrapText="1"/>
      <protection locked="0"/>
    </xf>
    <xf numFmtId="0" fontId="4" fillId="0" borderId="4" xfId="2" applyFont="1" applyBorder="1" applyAlignment="1" applyProtection="1">
      <alignment horizontal="center" vertical="center" wrapText="1"/>
      <protection locked="0"/>
    </xf>
    <xf numFmtId="49" fontId="4" fillId="0" borderId="2" xfId="4" applyNumberFormat="1" applyFont="1" applyBorder="1" applyAlignment="1">
      <alignment horizontal="center" vertical="center"/>
    </xf>
    <xf numFmtId="49" fontId="4" fillId="0" borderId="3" xfId="4" applyNumberFormat="1" applyFont="1" applyBorder="1" applyAlignment="1">
      <alignment horizontal="center" vertical="center"/>
    </xf>
    <xf numFmtId="49" fontId="4" fillId="0" borderId="5" xfId="4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6" fillId="0" borderId="2" xfId="87" applyNumberFormat="1" applyFont="1" applyFill="1" applyBorder="1" applyAlignment="1">
      <alignment horizontal="center" vertical="center" wrapText="1"/>
    </xf>
    <xf numFmtId="49" fontId="46" fillId="0" borderId="3" xfId="87" applyNumberFormat="1" applyFont="1" applyFill="1" applyBorder="1" applyAlignment="1">
      <alignment horizontal="center" vertical="center" wrapText="1"/>
    </xf>
    <xf numFmtId="49" fontId="46" fillId="0" borderId="5" xfId="87" applyNumberFormat="1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0" fontId="4" fillId="0" borderId="5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</cellXfs>
  <cellStyles count="89">
    <cellStyle name="20% - Accent1 2" xfId="19"/>
    <cellStyle name="20% - Accent2 2" xfId="13"/>
    <cellStyle name="20% - Accent3 2" xfId="18"/>
    <cellStyle name="20% - Accent4 2" xfId="14"/>
    <cellStyle name="20% - Accent5 2" xfId="17"/>
    <cellStyle name="20% - Accent6 2" xfId="21"/>
    <cellStyle name="40% - Accent1 2" xfId="22"/>
    <cellStyle name="40% - Accent2 2" xfId="20"/>
    <cellStyle name="40% - Accent3 2" xfId="15"/>
    <cellStyle name="40% - Accent4 2" xfId="11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urrency 2" xfId="63"/>
    <cellStyle name="Currency 2 2" xfId="59"/>
    <cellStyle name="Currency 2 3" xfId="84"/>
    <cellStyle name="Currency 3" xfId="60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10" xfId="4"/>
    <cellStyle name="Normal 11" xfId="62"/>
    <cellStyle name="Normal 12" xfId="8"/>
    <cellStyle name="Normal 12 2" xfId="10"/>
    <cellStyle name="Normal 13" xfId="9"/>
    <cellStyle name="Normal 13 2" xfId="16"/>
    <cellStyle name="Normal 13 3" xfId="83"/>
    <cellStyle name="Normal 14" xfId="71"/>
    <cellStyle name="Normal 15" xfId="64"/>
    <cellStyle name="Normal 17" xfId="73"/>
    <cellStyle name="Normal 18" xfId="76"/>
    <cellStyle name="Normal 19" xfId="75"/>
    <cellStyle name="Normal 2" xfId="12"/>
    <cellStyle name="Normal 2 2" xfId="5"/>
    <cellStyle name="Normal 2 3" xfId="3"/>
    <cellStyle name="Normal 2 3 2" xfId="49"/>
    <cellStyle name="Normal 2 3 3" xfId="85"/>
    <cellStyle name="Normal 2 4" xfId="67"/>
    <cellStyle name="Normal 2 4 2" xfId="69"/>
    <cellStyle name="Normal 2 4 3" xfId="70"/>
    <cellStyle name="Normal 2 5" xfId="68"/>
    <cellStyle name="Normal 2 6" xfId="86"/>
    <cellStyle name="Normal 2_krebsiti, localuri, kalkulaciebi" xfId="66"/>
    <cellStyle name="Normal 20" xfId="74"/>
    <cellStyle name="Normal 24" xfId="77"/>
    <cellStyle name="Normal 25" xfId="78"/>
    <cellStyle name="Normal 3" xfId="50"/>
    <cellStyle name="Normal 4" xfId="51"/>
    <cellStyle name="Normal 5" xfId="52"/>
    <cellStyle name="Normal 6" xfId="6"/>
    <cellStyle name="Normal 6 2" xfId="65"/>
    <cellStyle name="Normal 7" xfId="2"/>
    <cellStyle name="Normal 8" xfId="7"/>
    <cellStyle name="Normal 9" xfId="61"/>
    <cellStyle name="Normal 9 2" xfId="72"/>
    <cellStyle name="Normal 9 3" xfId="79"/>
    <cellStyle name="Normal 9 4" xfId="80"/>
    <cellStyle name="Normal_3-1----6-4" xfId="81"/>
    <cellStyle name="Normal_Sheet1" xfId="1"/>
    <cellStyle name="Normal_Sheet1 (2)" xfId="82"/>
    <cellStyle name="Normal_Sheet2 (2)" xfId="88"/>
    <cellStyle name="Note 2" xfId="53"/>
    <cellStyle name="Output 2" xfId="54"/>
    <cellStyle name="Title 2" xfId="55"/>
    <cellStyle name="Total 2" xfId="56"/>
    <cellStyle name="Warning Text 2" xfId="57"/>
    <cellStyle name="Обычный 6" xfId="58"/>
    <cellStyle name="Плохой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view="pageBreakPreview" topLeftCell="A13" zoomScaleNormal="100" zoomScaleSheetLayoutView="100" workbookViewId="0">
      <selection activeCell="H20" sqref="H20"/>
    </sheetView>
  </sheetViews>
  <sheetFormatPr defaultColWidth="9.140625" defaultRowHeight="15"/>
  <cols>
    <col min="2" max="2" width="11.85546875" customWidth="1"/>
    <col min="3" max="3" width="51.5703125" customWidth="1"/>
    <col min="4" max="4" width="11.85546875" customWidth="1"/>
    <col min="5" max="5" width="12" customWidth="1"/>
    <col min="6" max="6" width="13.140625" customWidth="1"/>
    <col min="7" max="7" width="12.42578125" customWidth="1"/>
    <col min="8" max="8" width="25.85546875" customWidth="1"/>
    <col min="10" max="10" width="10.42578125" bestFit="1" customWidth="1"/>
  </cols>
  <sheetData>
    <row r="1" spans="1:16" ht="15.75">
      <c r="A1" s="44"/>
      <c r="B1" s="44" t="s">
        <v>133</v>
      </c>
      <c r="C1" s="45"/>
      <c r="D1" s="46"/>
      <c r="E1" s="47"/>
      <c r="F1" s="47"/>
      <c r="G1" s="47"/>
      <c r="H1" s="47"/>
    </row>
    <row r="2" spans="1:16" ht="15.75">
      <c r="A2" s="44"/>
      <c r="B2" s="44" t="s">
        <v>134</v>
      </c>
      <c r="C2" s="45"/>
      <c r="D2" s="46"/>
      <c r="E2" s="47"/>
      <c r="F2" s="47"/>
      <c r="G2" s="47"/>
      <c r="H2" s="47"/>
    </row>
    <row r="3" spans="1:16">
      <c r="A3" s="48"/>
      <c r="B3" s="48"/>
      <c r="C3" s="48"/>
      <c r="D3" s="48"/>
      <c r="E3" s="48"/>
      <c r="F3" s="48"/>
      <c r="G3" s="48"/>
      <c r="H3" s="48"/>
    </row>
    <row r="4" spans="1:16" s="50" customFormat="1" ht="21.75" customHeight="1">
      <c r="A4" s="257" t="s">
        <v>32</v>
      </c>
      <c r="B4" s="257"/>
      <c r="C4" s="257"/>
      <c r="D4" s="49">
        <f>H53</f>
        <v>0</v>
      </c>
      <c r="E4" s="258" t="s">
        <v>96</v>
      </c>
      <c r="F4" s="258"/>
      <c r="G4" s="45"/>
      <c r="H4" s="45"/>
    </row>
    <row r="5" spans="1:16" s="50" customFormat="1" ht="13.5">
      <c r="A5" s="257" t="s">
        <v>33</v>
      </c>
      <c r="B5" s="257"/>
      <c r="C5" s="257"/>
      <c r="D5" s="51"/>
      <c r="E5" s="258" t="s">
        <v>96</v>
      </c>
      <c r="F5" s="258"/>
      <c r="G5" s="45"/>
      <c r="H5" s="45"/>
    </row>
    <row r="6" spans="1:16" s="50" customFormat="1" ht="12.75">
      <c r="A6" s="52"/>
      <c r="B6" s="52"/>
      <c r="C6" s="52"/>
      <c r="D6" s="53"/>
      <c r="E6" s="52"/>
      <c r="F6" s="52"/>
      <c r="G6" s="52"/>
      <c r="H6" s="52"/>
    </row>
    <row r="7" spans="1:16" s="50" customFormat="1" ht="27.75" customHeight="1">
      <c r="A7" s="259" t="s">
        <v>163</v>
      </c>
      <c r="B7" s="259"/>
      <c r="C7" s="259"/>
      <c r="D7" s="259"/>
      <c r="E7" s="259"/>
      <c r="F7" s="259"/>
      <c r="G7" s="259"/>
      <c r="H7" s="259"/>
      <c r="I7" s="54"/>
      <c r="J7" s="54"/>
      <c r="K7" s="54"/>
      <c r="L7" s="55"/>
      <c r="M7" s="54"/>
      <c r="N7" s="56"/>
      <c r="O7" s="1"/>
      <c r="P7" s="1"/>
    </row>
    <row r="8" spans="1:16" s="50" customFormat="1" ht="11.25" customHeight="1">
      <c r="A8" s="57"/>
      <c r="B8" s="57"/>
      <c r="C8" s="260"/>
      <c r="D8" s="260"/>
      <c r="E8" s="260"/>
      <c r="F8" s="260"/>
      <c r="G8" s="260"/>
      <c r="H8" s="260"/>
    </row>
    <row r="9" spans="1:16" s="50" customFormat="1" ht="18" customHeight="1">
      <c r="A9" s="261" t="s">
        <v>34</v>
      </c>
      <c r="B9" s="261"/>
      <c r="C9" s="261"/>
      <c r="D9" s="261"/>
      <c r="E9" s="261"/>
      <c r="F9" s="261"/>
      <c r="G9" s="261"/>
      <c r="H9" s="261"/>
    </row>
    <row r="10" spans="1:16" ht="12" customHeight="1">
      <c r="A10" s="58"/>
      <c r="B10" s="58"/>
      <c r="C10" s="58"/>
      <c r="D10" s="58"/>
      <c r="E10" s="58"/>
      <c r="F10" s="58"/>
      <c r="G10" s="58"/>
      <c r="H10" s="58"/>
    </row>
    <row r="11" spans="1:16">
      <c r="A11" s="262" t="s">
        <v>448</v>
      </c>
      <c r="B11" s="262"/>
      <c r="C11" s="262"/>
      <c r="D11" s="262"/>
      <c r="E11" s="262"/>
      <c r="F11" s="262"/>
      <c r="G11" s="262"/>
      <c r="H11" s="262"/>
    </row>
    <row r="12" spans="1:16" ht="17.25" customHeight="1">
      <c r="A12" s="263" t="s">
        <v>35</v>
      </c>
      <c r="B12" s="263" t="s">
        <v>36</v>
      </c>
      <c r="C12" s="251" t="s">
        <v>37</v>
      </c>
      <c r="D12" s="253" t="s">
        <v>135</v>
      </c>
      <c r="E12" s="254"/>
      <c r="F12" s="254"/>
      <c r="G12" s="254"/>
      <c r="H12" s="255"/>
      <c r="K12" s="17"/>
    </row>
    <row r="13" spans="1:16" ht="53.25" customHeight="1">
      <c r="A13" s="264"/>
      <c r="B13" s="264"/>
      <c r="C13" s="252"/>
      <c r="D13" s="59" t="s">
        <v>38</v>
      </c>
      <c r="E13" s="59" t="s">
        <v>39</v>
      </c>
      <c r="F13" s="59" t="s">
        <v>40</v>
      </c>
      <c r="G13" s="59" t="s">
        <v>41</v>
      </c>
      <c r="H13" s="59" t="s">
        <v>42</v>
      </c>
    </row>
    <row r="14" spans="1:16">
      <c r="A14" s="60">
        <v>1</v>
      </c>
      <c r="B14" s="61">
        <v>2</v>
      </c>
      <c r="C14" s="60">
        <v>3</v>
      </c>
      <c r="D14" s="61">
        <v>4</v>
      </c>
      <c r="E14" s="61">
        <v>5</v>
      </c>
      <c r="F14" s="61">
        <v>6</v>
      </c>
      <c r="G14" s="61">
        <v>7</v>
      </c>
      <c r="H14" s="61">
        <v>8</v>
      </c>
    </row>
    <row r="15" spans="1:16" ht="15.75">
      <c r="A15" s="62"/>
      <c r="B15" s="63"/>
      <c r="C15" s="64" t="s">
        <v>43</v>
      </c>
      <c r="D15" s="65"/>
      <c r="E15" s="65"/>
      <c r="F15" s="65"/>
      <c r="G15" s="65"/>
      <c r="H15" s="65"/>
    </row>
    <row r="16" spans="1:16" ht="15.75">
      <c r="A16" s="66">
        <v>1</v>
      </c>
      <c r="B16" s="63"/>
      <c r="C16" s="67" t="s">
        <v>403</v>
      </c>
      <c r="D16" s="68"/>
      <c r="E16" s="68"/>
      <c r="F16" s="68"/>
      <c r="G16" s="35">
        <v>0</v>
      </c>
      <c r="H16" s="35">
        <v>0</v>
      </c>
    </row>
    <row r="17" spans="1:8">
      <c r="A17" s="66">
        <v>2</v>
      </c>
      <c r="B17" s="69" t="s">
        <v>44</v>
      </c>
      <c r="C17" s="67" t="s">
        <v>29</v>
      </c>
      <c r="D17" s="35">
        <f>mosam!L5</f>
        <v>0</v>
      </c>
      <c r="E17" s="35"/>
      <c r="F17" s="35"/>
      <c r="G17" s="35"/>
      <c r="H17" s="35">
        <f>D17</f>
        <v>0</v>
      </c>
    </row>
    <row r="18" spans="1:8" ht="15.75">
      <c r="A18" s="37"/>
      <c r="B18" s="63"/>
      <c r="C18" s="70" t="s">
        <v>45</v>
      </c>
      <c r="D18" s="40">
        <f>D17</f>
        <v>0</v>
      </c>
      <c r="E18" s="35"/>
      <c r="F18" s="35"/>
      <c r="G18" s="40">
        <f>G16</f>
        <v>0</v>
      </c>
      <c r="H18" s="40">
        <f>G18+D18</f>
        <v>0</v>
      </c>
    </row>
    <row r="19" spans="1:8" ht="13.5" customHeight="1">
      <c r="A19" s="37"/>
      <c r="B19" s="63"/>
      <c r="C19" s="64"/>
      <c r="D19" s="71"/>
      <c r="E19" s="72"/>
      <c r="F19" s="72"/>
      <c r="G19" s="71"/>
      <c r="H19" s="71"/>
    </row>
    <row r="20" spans="1:8" ht="15.75">
      <c r="A20" s="37"/>
      <c r="B20" s="63"/>
      <c r="C20" s="64" t="s">
        <v>46</v>
      </c>
      <c r="D20" s="71"/>
      <c r="E20" s="72"/>
      <c r="F20" s="72"/>
      <c r="G20" s="71"/>
      <c r="H20" s="71"/>
    </row>
    <row r="21" spans="1:8">
      <c r="A21" s="37">
        <v>3</v>
      </c>
      <c r="B21" s="69" t="s">
        <v>47</v>
      </c>
      <c r="C21" s="67" t="s">
        <v>31</v>
      </c>
      <c r="D21" s="35">
        <f>miwa!L5</f>
        <v>0</v>
      </c>
      <c r="E21" s="35"/>
      <c r="F21" s="35"/>
      <c r="G21" s="35"/>
      <c r="H21" s="35">
        <f>D21</f>
        <v>0</v>
      </c>
    </row>
    <row r="22" spans="1:8">
      <c r="A22" s="37"/>
      <c r="B22" s="69"/>
      <c r="C22" s="73" t="s">
        <v>49</v>
      </c>
      <c r="D22" s="40">
        <f>SUM(D21:D21)</f>
        <v>0</v>
      </c>
      <c r="E22" s="35"/>
      <c r="F22" s="35"/>
      <c r="G22" s="40"/>
      <c r="H22" s="40">
        <f>G22+D22</f>
        <v>0</v>
      </c>
    </row>
    <row r="23" spans="1:8">
      <c r="A23" s="37"/>
      <c r="B23" s="69"/>
      <c r="C23" s="64"/>
      <c r="D23" s="35"/>
      <c r="E23" s="35"/>
      <c r="F23" s="35"/>
      <c r="G23" s="35"/>
      <c r="H23" s="35"/>
    </row>
    <row r="24" spans="1:8">
      <c r="A24" s="37"/>
      <c r="B24" s="69"/>
      <c r="C24" s="64" t="s">
        <v>50</v>
      </c>
      <c r="D24" s="40"/>
      <c r="E24" s="35"/>
      <c r="F24" s="35"/>
      <c r="G24" s="40"/>
      <c r="H24" s="40"/>
    </row>
    <row r="25" spans="1:8">
      <c r="A25" s="37">
        <v>4</v>
      </c>
      <c r="B25" s="69" t="s">
        <v>48</v>
      </c>
      <c r="C25" s="67" t="s">
        <v>447</v>
      </c>
      <c r="D25" s="35">
        <f>Rari!L5</f>
        <v>0</v>
      </c>
      <c r="E25" s="35"/>
      <c r="F25" s="35"/>
      <c r="G25" s="35"/>
      <c r="H25" s="35">
        <f>D25</f>
        <v>0</v>
      </c>
    </row>
    <row r="26" spans="1:8">
      <c r="A26" s="37">
        <v>5</v>
      </c>
      <c r="B26" s="69" t="s">
        <v>51</v>
      </c>
      <c r="C26" s="67" t="s">
        <v>196</v>
      </c>
      <c r="D26" s="35">
        <f>'mili d-1,5m'!L5</f>
        <v>0</v>
      </c>
      <c r="E26" s="35"/>
      <c r="F26" s="35"/>
      <c r="G26" s="35"/>
      <c r="H26" s="35">
        <f>D26</f>
        <v>0</v>
      </c>
    </row>
    <row r="27" spans="1:8">
      <c r="A27" s="37">
        <v>6</v>
      </c>
      <c r="B27" s="69" t="s">
        <v>52</v>
      </c>
      <c r="C27" s="67" t="s">
        <v>449</v>
      </c>
      <c r="D27" s="35">
        <f>kedeli!L5</f>
        <v>0</v>
      </c>
      <c r="E27" s="35"/>
      <c r="F27" s="35"/>
      <c r="G27" s="35"/>
      <c r="H27" s="35">
        <f t="shared" ref="H27:H28" si="0">D27</f>
        <v>0</v>
      </c>
    </row>
    <row r="28" spans="1:8">
      <c r="A28" s="37">
        <v>7</v>
      </c>
      <c r="B28" s="69" t="s">
        <v>53</v>
      </c>
      <c r="C28" s="67" t="s">
        <v>450</v>
      </c>
      <c r="D28" s="35">
        <f>'gab. kedeli '!L5</f>
        <v>0</v>
      </c>
      <c r="E28" s="35"/>
      <c r="F28" s="35"/>
      <c r="G28" s="35"/>
      <c r="H28" s="35">
        <f t="shared" si="0"/>
        <v>0</v>
      </c>
    </row>
    <row r="29" spans="1:8">
      <c r="A29" s="37"/>
      <c r="B29" s="69"/>
      <c r="C29" s="70" t="s">
        <v>55</v>
      </c>
      <c r="D29" s="40">
        <f>SUM(D25:D28)</f>
        <v>0</v>
      </c>
      <c r="E29" s="35"/>
      <c r="F29" s="35"/>
      <c r="G29" s="40"/>
      <c r="H29" s="40">
        <f>D29</f>
        <v>0</v>
      </c>
    </row>
    <row r="30" spans="1:8">
      <c r="A30" s="74"/>
      <c r="B30" s="75"/>
      <c r="C30" s="212"/>
      <c r="D30" s="148"/>
      <c r="E30" s="77"/>
      <c r="F30" s="77"/>
      <c r="G30" s="148"/>
      <c r="H30" s="148"/>
    </row>
    <row r="31" spans="1:8">
      <c r="A31" s="74"/>
      <c r="B31" s="75"/>
      <c r="C31" s="76" t="s">
        <v>56</v>
      </c>
      <c r="D31" s="77"/>
      <c r="E31" s="77"/>
      <c r="F31" s="77"/>
      <c r="G31" s="77"/>
      <c r="H31" s="77"/>
    </row>
    <row r="32" spans="1:8">
      <c r="A32" s="37">
        <v>8</v>
      </c>
      <c r="B32" s="69" t="s">
        <v>54</v>
      </c>
      <c r="C32" s="67" t="s">
        <v>57</v>
      </c>
      <c r="D32" s="35">
        <f>samosi!L5</f>
        <v>0</v>
      </c>
      <c r="E32" s="35"/>
      <c r="F32" s="35"/>
      <c r="G32" s="35"/>
      <c r="H32" s="35">
        <f>D32</f>
        <v>0</v>
      </c>
    </row>
    <row r="33" spans="1:8">
      <c r="A33" s="37"/>
      <c r="B33" s="69"/>
      <c r="C33" s="73" t="s">
        <v>58</v>
      </c>
      <c r="D33" s="40">
        <f>SUM(D32:D32)</f>
        <v>0</v>
      </c>
      <c r="E33" s="40"/>
      <c r="F33" s="40"/>
      <c r="G33" s="40"/>
      <c r="H33" s="40">
        <f>D33</f>
        <v>0</v>
      </c>
    </row>
    <row r="34" spans="1:8">
      <c r="A34" s="74"/>
      <c r="B34" s="75"/>
      <c r="C34" s="76" t="s">
        <v>59</v>
      </c>
      <c r="D34" s="148"/>
      <c r="E34" s="77"/>
      <c r="F34" s="77"/>
      <c r="G34" s="148"/>
      <c r="H34" s="148"/>
    </row>
    <row r="35" spans="1:8">
      <c r="A35" s="37">
        <v>9</v>
      </c>
      <c r="B35" s="69" t="s">
        <v>461</v>
      </c>
      <c r="C35" s="67" t="s">
        <v>60</v>
      </c>
      <c r="D35" s="35">
        <f>mierT!L5</f>
        <v>0</v>
      </c>
      <c r="E35" s="35"/>
      <c r="F35" s="35"/>
      <c r="G35" s="35"/>
      <c r="H35" s="35">
        <f>D35</f>
        <v>0</v>
      </c>
    </row>
    <row r="36" spans="1:8" ht="15" customHeight="1">
      <c r="A36" s="37">
        <v>10</v>
      </c>
      <c r="B36" s="69" t="s">
        <v>462</v>
      </c>
      <c r="C36" s="78" t="s">
        <v>384</v>
      </c>
      <c r="D36" s="35">
        <f>'ezoSi Sesasv.'!L5</f>
        <v>0</v>
      </c>
      <c r="E36" s="35"/>
      <c r="F36" s="35"/>
      <c r="G36" s="35"/>
      <c r="H36" s="35">
        <f>D36</f>
        <v>0</v>
      </c>
    </row>
    <row r="37" spans="1:8">
      <c r="A37" s="37"/>
      <c r="B37" s="69"/>
      <c r="C37" s="73" t="s">
        <v>61</v>
      </c>
      <c r="D37" s="40">
        <f>SUM(D35:D36)</f>
        <v>0</v>
      </c>
      <c r="E37" s="40"/>
      <c r="F37" s="40"/>
      <c r="G37" s="40"/>
      <c r="H37" s="40">
        <f>D37</f>
        <v>0</v>
      </c>
    </row>
    <row r="38" spans="1:8">
      <c r="A38" s="37"/>
      <c r="B38" s="69"/>
      <c r="C38" s="64"/>
      <c r="D38" s="40"/>
      <c r="E38" s="35"/>
      <c r="F38" s="35"/>
      <c r="G38" s="40"/>
      <c r="H38" s="40"/>
    </row>
    <row r="39" spans="1:8">
      <c r="A39" s="37"/>
      <c r="B39" s="69"/>
      <c r="C39" s="64" t="s">
        <v>62</v>
      </c>
      <c r="D39" s="35"/>
      <c r="E39" s="35"/>
      <c r="F39" s="35"/>
      <c r="G39" s="35"/>
      <c r="H39" s="35"/>
    </row>
    <row r="40" spans="1:8">
      <c r="A40" s="37">
        <v>11</v>
      </c>
      <c r="B40" s="69" t="s">
        <v>463</v>
      </c>
      <c r="C40" s="67" t="s">
        <v>63</v>
      </c>
      <c r="D40" s="35">
        <f>niSnebi!L5</f>
        <v>0</v>
      </c>
      <c r="E40" s="35"/>
      <c r="F40" s="35"/>
      <c r="G40" s="35"/>
      <c r="H40" s="35">
        <f>D40</f>
        <v>0</v>
      </c>
    </row>
    <row r="41" spans="1:8">
      <c r="A41" s="37">
        <v>12</v>
      </c>
      <c r="B41" s="69" t="s">
        <v>464</v>
      </c>
      <c r="C41" s="67" t="s">
        <v>64</v>
      </c>
      <c r="D41" s="35">
        <f>Semof.!L5</f>
        <v>0</v>
      </c>
      <c r="E41" s="35"/>
      <c r="F41" s="35"/>
      <c r="G41" s="35"/>
      <c r="H41" s="35">
        <f>D41</f>
        <v>0</v>
      </c>
    </row>
    <row r="42" spans="1:8">
      <c r="A42" s="37"/>
      <c r="B42" s="69"/>
      <c r="C42" s="73" t="s">
        <v>65</v>
      </c>
      <c r="D42" s="40">
        <f>SUM(D40:D41)</f>
        <v>0</v>
      </c>
      <c r="E42" s="35"/>
      <c r="F42" s="35"/>
      <c r="G42" s="40"/>
      <c r="H42" s="40">
        <f>D42+E42+F42</f>
        <v>0</v>
      </c>
    </row>
    <row r="43" spans="1:8">
      <c r="A43" s="37"/>
      <c r="B43" s="69"/>
      <c r="C43" s="64"/>
      <c r="D43" s="35"/>
      <c r="E43" s="35"/>
      <c r="F43" s="35"/>
      <c r="G43" s="35"/>
      <c r="H43" s="35"/>
    </row>
    <row r="44" spans="1:8">
      <c r="A44" s="37"/>
      <c r="B44" s="69"/>
      <c r="C44" s="73" t="s">
        <v>66</v>
      </c>
      <c r="D44" s="40">
        <f>D42+D37+D33+D29+D22+D18</f>
        <v>0</v>
      </c>
      <c r="E44" s="35"/>
      <c r="F44" s="35"/>
      <c r="G44" s="40">
        <f>G18</f>
        <v>0</v>
      </c>
      <c r="H44" s="40">
        <f>D44+G44</f>
        <v>0</v>
      </c>
    </row>
    <row r="45" spans="1:8">
      <c r="A45" s="37"/>
      <c r="B45" s="69"/>
      <c r="C45" s="73"/>
      <c r="D45" s="79"/>
      <c r="E45" s="35"/>
      <c r="F45" s="35"/>
      <c r="G45" s="40"/>
      <c r="H45" s="40"/>
    </row>
    <row r="46" spans="1:8">
      <c r="A46" s="37"/>
      <c r="B46" s="69"/>
      <c r="C46" s="64" t="s">
        <v>67</v>
      </c>
      <c r="D46" s="35"/>
      <c r="E46" s="35"/>
      <c r="F46" s="35"/>
      <c r="G46" s="35"/>
      <c r="H46" s="35"/>
    </row>
    <row r="47" spans="1:8">
      <c r="A47" s="37"/>
      <c r="B47" s="69"/>
      <c r="C47" s="64" t="s">
        <v>68</v>
      </c>
      <c r="D47" s="40"/>
      <c r="E47" s="35"/>
      <c r="F47" s="35"/>
      <c r="G47" s="40"/>
      <c r="H47" s="40"/>
    </row>
    <row r="48" spans="1:8">
      <c r="A48" s="37"/>
      <c r="B48" s="69"/>
      <c r="C48" s="124"/>
      <c r="D48" s="35"/>
      <c r="E48" s="35"/>
      <c r="F48" s="35"/>
      <c r="G48" s="40"/>
      <c r="H48" s="40"/>
    </row>
    <row r="49" spans="1:10">
      <c r="A49" s="37"/>
      <c r="B49" s="69"/>
      <c r="C49" s="73" t="s">
        <v>69</v>
      </c>
      <c r="D49" s="40">
        <f>D44</f>
        <v>0</v>
      </c>
      <c r="E49" s="40"/>
      <c r="F49" s="40"/>
      <c r="G49" s="40">
        <f>G44</f>
        <v>0</v>
      </c>
      <c r="H49" s="40">
        <f>G49+D49</f>
        <v>0</v>
      </c>
    </row>
    <row r="50" spans="1:10" ht="35.25" customHeight="1">
      <c r="A50" s="37">
        <v>13</v>
      </c>
      <c r="B50" s="25" t="s">
        <v>70</v>
      </c>
      <c r="C50" s="67" t="s">
        <v>71</v>
      </c>
      <c r="D50" s="40"/>
      <c r="E50" s="35"/>
      <c r="F50" s="35"/>
      <c r="G50" s="40">
        <f>H49*0.05</f>
        <v>0</v>
      </c>
      <c r="H50" s="40">
        <f>G50</f>
        <v>0</v>
      </c>
    </row>
    <row r="51" spans="1:10" ht="15.75">
      <c r="A51" s="37"/>
      <c r="B51" s="63"/>
      <c r="C51" s="67" t="s">
        <v>72</v>
      </c>
      <c r="D51" s="40">
        <f>D49+D50</f>
        <v>0</v>
      </c>
      <c r="E51" s="35"/>
      <c r="F51" s="35"/>
      <c r="G51" s="40">
        <f>SUM(G49:G50)</f>
        <v>0</v>
      </c>
      <c r="H51" s="40">
        <f>G51+D51</f>
        <v>0</v>
      </c>
    </row>
    <row r="52" spans="1:10" ht="20.25" customHeight="1">
      <c r="A52" s="37">
        <v>14</v>
      </c>
      <c r="B52" s="63"/>
      <c r="C52" s="78" t="s">
        <v>73</v>
      </c>
      <c r="D52" s="40"/>
      <c r="E52" s="35"/>
      <c r="F52" s="35"/>
      <c r="G52" s="40">
        <f>H51*0.18</f>
        <v>0</v>
      </c>
      <c r="H52" s="40">
        <f>G52</f>
        <v>0</v>
      </c>
    </row>
    <row r="53" spans="1:10" ht="21.75" customHeight="1">
      <c r="A53" s="37"/>
      <c r="B53" s="63"/>
      <c r="C53" s="64" t="s">
        <v>74</v>
      </c>
      <c r="D53" s="40">
        <f>D51</f>
        <v>0</v>
      </c>
      <c r="E53" s="40"/>
      <c r="F53" s="40"/>
      <c r="G53" s="40">
        <f>G51+G52</f>
        <v>0</v>
      </c>
      <c r="H53" s="40">
        <f>H51+H52</f>
        <v>0</v>
      </c>
      <c r="J53" s="17"/>
    </row>
    <row r="54" spans="1:10">
      <c r="A54" s="80"/>
      <c r="B54" s="81"/>
      <c r="C54" s="82"/>
      <c r="D54" s="83"/>
      <c r="E54" s="84"/>
      <c r="F54" s="84"/>
      <c r="G54" s="83"/>
      <c r="H54" s="83"/>
    </row>
    <row r="55" spans="1:10">
      <c r="A55" s="80"/>
      <c r="B55" s="81"/>
      <c r="C55" s="82"/>
      <c r="D55" s="83"/>
      <c r="E55" s="84"/>
      <c r="F55" s="84"/>
      <c r="G55" s="83"/>
      <c r="H55" s="83"/>
    </row>
    <row r="56" spans="1:10">
      <c r="A56" s="44"/>
      <c r="B56" s="44"/>
      <c r="C56" s="2" t="s">
        <v>521</v>
      </c>
      <c r="D56" s="265"/>
      <c r="E56" s="265"/>
      <c r="F56" s="34"/>
      <c r="G56" s="34" t="s">
        <v>522</v>
      </c>
      <c r="H56" s="266"/>
      <c r="I56" s="266"/>
    </row>
    <row r="57" spans="1:10" ht="15.75">
      <c r="A57" s="44"/>
      <c r="B57" s="44"/>
      <c r="C57" s="85"/>
      <c r="D57" s="86"/>
      <c r="E57" s="86"/>
      <c r="F57" s="85"/>
      <c r="G57" s="86"/>
      <c r="H57" s="44"/>
    </row>
    <row r="58" spans="1:10" ht="15.75">
      <c r="A58" s="44"/>
      <c r="B58" s="44"/>
      <c r="C58" s="85"/>
      <c r="D58" s="86"/>
      <c r="E58" s="85"/>
      <c r="F58" s="256"/>
      <c r="G58" s="256"/>
      <c r="H58" s="44"/>
    </row>
    <row r="59" spans="1:10" ht="15.75">
      <c r="A59" s="44"/>
      <c r="B59" s="44"/>
      <c r="C59" s="85"/>
      <c r="D59" s="86"/>
      <c r="E59" s="85"/>
      <c r="F59" s="85"/>
      <c r="G59" s="86"/>
      <c r="H59" s="44"/>
    </row>
    <row r="60" spans="1:10" ht="36" customHeight="1">
      <c r="A60" s="44"/>
      <c r="B60" s="44"/>
      <c r="C60" s="87"/>
      <c r="D60" s="86"/>
      <c r="E60" s="85"/>
      <c r="F60" s="85"/>
      <c r="G60" s="86"/>
      <c r="H60" s="44"/>
    </row>
  </sheetData>
  <mergeCells count="15">
    <mergeCell ref="C12:C13"/>
    <mergeCell ref="D12:H12"/>
    <mergeCell ref="F58:G58"/>
    <mergeCell ref="A4:C4"/>
    <mergeCell ref="E4:F4"/>
    <mergeCell ref="A5:C5"/>
    <mergeCell ref="E5:F5"/>
    <mergeCell ref="A7:H7"/>
    <mergeCell ref="C8:H8"/>
    <mergeCell ref="A9:H9"/>
    <mergeCell ref="A11:H11"/>
    <mergeCell ref="A12:A13"/>
    <mergeCell ref="B12:B13"/>
    <mergeCell ref="D56:E56"/>
    <mergeCell ref="H56:I56"/>
  </mergeCells>
  <pageMargins left="0.15748031496062992" right="0.19685039370078741" top="0.39370078740157483" bottom="0.39370078740157483" header="0.31496062992125984" footer="0.31496062992125984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view="pageBreakPreview" zoomScale="60" zoomScaleNormal="100" workbookViewId="0">
      <selection activeCell="J14" sqref="J14"/>
    </sheetView>
  </sheetViews>
  <sheetFormatPr defaultColWidth="9.140625" defaultRowHeight="15"/>
  <cols>
    <col min="1" max="1" width="6.42578125" customWidth="1"/>
    <col min="3" max="3" width="38.85546875" customWidth="1"/>
    <col min="7" max="7" width="8.140625" customWidth="1"/>
    <col min="9" max="9" width="8.42578125" customWidth="1"/>
  </cols>
  <sheetData>
    <row r="1" spans="1:16" s="36" customFormat="1" ht="23.25" customHeight="1">
      <c r="A1" s="277" t="s">
        <v>163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6"/>
      <c r="O1" s="14"/>
      <c r="P1" s="14"/>
    </row>
    <row r="2" spans="1:16" s="36" customFormat="1" ht="17.25" customHeight="1">
      <c r="A2" s="278" t="s">
        <v>325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6"/>
      <c r="O2" s="7"/>
      <c r="P2" s="7"/>
    </row>
    <row r="3" spans="1:16" s="36" customFormat="1" ht="15.75">
      <c r="A3" s="278" t="s">
        <v>323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6"/>
      <c r="O3" s="7"/>
      <c r="P3" s="7"/>
    </row>
    <row r="4" spans="1:16" s="36" customFormat="1" ht="15.75">
      <c r="A4" s="279" t="s">
        <v>1</v>
      </c>
      <c r="B4" s="279"/>
      <c r="C4" s="279"/>
      <c r="D4" s="279"/>
      <c r="E4" s="279"/>
      <c r="F4" s="279"/>
      <c r="G4" s="279"/>
      <c r="H4" s="8"/>
      <c r="I4" s="8"/>
      <c r="J4" s="8"/>
      <c r="K4" s="8"/>
      <c r="L4" s="8"/>
      <c r="M4" s="8"/>
      <c r="N4" s="6"/>
      <c r="O4" s="7"/>
      <c r="P4" s="7"/>
    </row>
    <row r="5" spans="1:16" s="36" customFormat="1" ht="15.75">
      <c r="A5" s="42"/>
      <c r="B5" s="42"/>
      <c r="C5" s="280" t="s">
        <v>2</v>
      </c>
      <c r="D5" s="280"/>
      <c r="E5" s="280"/>
      <c r="F5" s="280"/>
      <c r="G5" s="280"/>
      <c r="H5" s="280"/>
      <c r="I5" s="280"/>
      <c r="J5" s="280"/>
      <c r="K5" s="280"/>
      <c r="L5" s="9">
        <f>M123</f>
        <v>0</v>
      </c>
      <c r="M5" s="10" t="s">
        <v>16</v>
      </c>
      <c r="N5" s="6"/>
      <c r="O5" s="7"/>
      <c r="P5" s="7"/>
    </row>
    <row r="6" spans="1:16" s="36" customFormat="1" ht="18.75" customHeight="1">
      <c r="A6" s="267" t="s">
        <v>404</v>
      </c>
      <c r="B6" s="267"/>
      <c r="C6" s="267"/>
      <c r="D6" s="267"/>
      <c r="E6" s="267"/>
      <c r="F6" s="267"/>
      <c r="G6" s="267"/>
      <c r="H6" s="8"/>
      <c r="I6" s="8"/>
      <c r="J6" s="8"/>
      <c r="K6" s="8"/>
      <c r="L6" s="8"/>
      <c r="M6" s="8"/>
      <c r="N6" s="6"/>
      <c r="O6" s="7"/>
      <c r="P6" s="7"/>
    </row>
    <row r="7" spans="1:16" s="36" customFormat="1" ht="38.25" customHeight="1">
      <c r="A7" s="285" t="s">
        <v>3</v>
      </c>
      <c r="B7" s="285" t="s">
        <v>4</v>
      </c>
      <c r="C7" s="284" t="s">
        <v>5</v>
      </c>
      <c r="D7" s="284" t="s">
        <v>6</v>
      </c>
      <c r="E7" s="284" t="s">
        <v>7</v>
      </c>
      <c r="F7" s="284"/>
      <c r="G7" s="284" t="s">
        <v>8</v>
      </c>
      <c r="H7" s="284"/>
      <c r="I7" s="284" t="s">
        <v>9</v>
      </c>
      <c r="J7" s="284"/>
      <c r="K7" s="284" t="s">
        <v>10</v>
      </c>
      <c r="L7" s="284"/>
      <c r="M7" s="285" t="s">
        <v>11</v>
      </c>
      <c r="N7" s="6"/>
      <c r="O7" s="7"/>
      <c r="P7" s="7"/>
    </row>
    <row r="8" spans="1:16" s="36" customFormat="1" ht="40.5">
      <c r="A8" s="285"/>
      <c r="B8" s="285"/>
      <c r="C8" s="284"/>
      <c r="D8" s="284"/>
      <c r="E8" s="43" t="s">
        <v>12</v>
      </c>
      <c r="F8" s="43" t="s">
        <v>11</v>
      </c>
      <c r="G8" s="43" t="s">
        <v>13</v>
      </c>
      <c r="H8" s="11" t="s">
        <v>11</v>
      </c>
      <c r="I8" s="12" t="s">
        <v>13</v>
      </c>
      <c r="J8" s="13" t="s">
        <v>11</v>
      </c>
      <c r="K8" s="43" t="s">
        <v>13</v>
      </c>
      <c r="L8" s="43" t="s">
        <v>11</v>
      </c>
      <c r="M8" s="285"/>
      <c r="N8" s="6"/>
      <c r="O8" s="7"/>
      <c r="P8" s="7"/>
    </row>
    <row r="9" spans="1:16" s="36" customFormat="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6"/>
      <c r="O9" s="7"/>
      <c r="P9" s="7"/>
    </row>
    <row r="10" spans="1:16" s="36" customFormat="1" ht="67.5">
      <c r="A10" s="24"/>
      <c r="B10" s="24"/>
      <c r="C10" s="211" t="s">
        <v>524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6"/>
      <c r="O10" s="7"/>
      <c r="P10" s="7"/>
    </row>
    <row r="11" spans="1:16" s="22" customFormat="1" ht="16.5" customHeight="1">
      <c r="A11" s="25"/>
      <c r="B11" s="25"/>
      <c r="C11" s="175" t="s">
        <v>307</v>
      </c>
      <c r="D11" s="20"/>
      <c r="E11" s="20"/>
      <c r="F11" s="5"/>
      <c r="G11" s="39"/>
      <c r="H11" s="37"/>
      <c r="I11" s="27"/>
      <c r="J11" s="27"/>
      <c r="K11" s="27"/>
      <c r="L11" s="26"/>
      <c r="M11" s="26"/>
    </row>
    <row r="12" spans="1:16" s="22" customFormat="1" ht="58.5" customHeight="1">
      <c r="A12" s="25" t="s">
        <v>14</v>
      </c>
      <c r="B12" s="25" t="s">
        <v>165</v>
      </c>
      <c r="C12" s="105" t="s">
        <v>601</v>
      </c>
      <c r="D12" s="33" t="s">
        <v>80</v>
      </c>
      <c r="E12" s="21"/>
      <c r="F12" s="88">
        <v>59</v>
      </c>
      <c r="G12" s="21"/>
      <c r="H12" s="35"/>
      <c r="I12" s="120"/>
      <c r="J12" s="35"/>
      <c r="K12" s="20"/>
      <c r="L12" s="40"/>
      <c r="M12" s="121"/>
    </row>
    <row r="13" spans="1:16" s="22" customFormat="1" ht="18" customHeight="1">
      <c r="A13" s="25"/>
      <c r="B13" s="25" t="s">
        <v>166</v>
      </c>
      <c r="C13" s="163" t="s">
        <v>523</v>
      </c>
      <c r="D13" s="159" t="s">
        <v>20</v>
      </c>
      <c r="E13" s="33">
        <f>16.33/100*1.05</f>
        <v>0.17146499999999998</v>
      </c>
      <c r="F13" s="35">
        <f>E13*F12</f>
        <v>10.116434999999999</v>
      </c>
      <c r="G13" s="26"/>
      <c r="H13" s="26"/>
      <c r="I13" s="159"/>
      <c r="J13" s="159"/>
      <c r="K13" s="110"/>
      <c r="L13" s="35"/>
      <c r="M13" s="26"/>
    </row>
    <row r="14" spans="1:16" s="22" customFormat="1" ht="48" customHeight="1">
      <c r="A14" s="274" t="s">
        <v>75</v>
      </c>
      <c r="B14" s="25" t="s">
        <v>414</v>
      </c>
      <c r="C14" s="190" t="s">
        <v>413</v>
      </c>
      <c r="D14" s="33" t="s">
        <v>80</v>
      </c>
      <c r="E14" s="21"/>
      <c r="F14" s="88">
        <f>F12</f>
        <v>59</v>
      </c>
      <c r="G14" s="21"/>
      <c r="H14" s="35"/>
      <c r="I14" s="120"/>
      <c r="J14" s="40"/>
      <c r="K14" s="20"/>
      <c r="L14" s="40"/>
      <c r="M14" s="121"/>
    </row>
    <row r="15" spans="1:16" s="22" customFormat="1" ht="13.5" customHeight="1">
      <c r="A15" s="275"/>
      <c r="B15" s="25"/>
      <c r="C15" s="105" t="s">
        <v>534</v>
      </c>
      <c r="D15" s="41" t="s">
        <v>15</v>
      </c>
      <c r="E15" s="20">
        <f>0.016*1.15</f>
        <v>1.84E-2</v>
      </c>
      <c r="F15" s="35">
        <f>E15*F14</f>
        <v>1.0855999999999999</v>
      </c>
      <c r="G15" s="99"/>
      <c r="H15" s="100"/>
      <c r="I15" s="35"/>
      <c r="J15" s="35"/>
      <c r="K15" s="35"/>
      <c r="L15" s="99"/>
      <c r="M15" s="35"/>
    </row>
    <row r="16" spans="1:16" s="22" customFormat="1" ht="13.5" customHeight="1">
      <c r="A16" s="276"/>
      <c r="B16" s="25" t="s">
        <v>100</v>
      </c>
      <c r="C16" s="105" t="s">
        <v>535</v>
      </c>
      <c r="D16" s="20" t="s">
        <v>85</v>
      </c>
      <c r="E16" s="21">
        <f>0.0359*1.05</f>
        <v>3.7695000000000006E-2</v>
      </c>
      <c r="F16" s="108">
        <f>E16*F14</f>
        <v>2.2240050000000005</v>
      </c>
      <c r="G16" s="99"/>
      <c r="H16" s="100"/>
      <c r="I16" s="35"/>
      <c r="J16" s="35"/>
      <c r="K16" s="110"/>
      <c r="L16" s="35"/>
      <c r="M16" s="26"/>
    </row>
    <row r="17" spans="1:13" s="22" customFormat="1" ht="42" customHeight="1">
      <c r="A17" s="25" t="s">
        <v>18</v>
      </c>
      <c r="B17" s="215"/>
      <c r="C17" s="105" t="s">
        <v>409</v>
      </c>
      <c r="D17" s="20"/>
      <c r="E17" s="33"/>
      <c r="F17" s="88"/>
      <c r="G17" s="21"/>
      <c r="H17" s="35"/>
      <c r="I17" s="20"/>
      <c r="J17" s="35"/>
      <c r="K17" s="20"/>
      <c r="L17" s="40"/>
      <c r="M17" s="121"/>
    </row>
    <row r="18" spans="1:13" s="22" customFormat="1" ht="39" customHeight="1">
      <c r="A18" s="274" t="s">
        <v>152</v>
      </c>
      <c r="B18" s="25" t="s">
        <v>171</v>
      </c>
      <c r="C18" s="190" t="s">
        <v>410</v>
      </c>
      <c r="D18" s="20" t="s">
        <v>80</v>
      </c>
      <c r="E18" s="33"/>
      <c r="F18" s="88">
        <v>7</v>
      </c>
      <c r="G18" s="39"/>
      <c r="H18" s="37"/>
      <c r="I18" s="27"/>
      <c r="J18" s="16"/>
      <c r="K18" s="23"/>
      <c r="L18" s="16"/>
      <c r="M18" s="16"/>
    </row>
    <row r="19" spans="1:13" s="22" customFormat="1" ht="13.5" customHeight="1">
      <c r="A19" s="275"/>
      <c r="B19" s="25"/>
      <c r="C19" s="105" t="s">
        <v>529</v>
      </c>
      <c r="D19" s="41" t="s">
        <v>15</v>
      </c>
      <c r="E19" s="119">
        <f>8.6*1.05</f>
        <v>9.0299999999999994</v>
      </c>
      <c r="F19" s="26">
        <f>E19*F18</f>
        <v>63.209999999999994</v>
      </c>
      <c r="G19" s="26"/>
      <c r="H19" s="27"/>
      <c r="I19" s="26"/>
      <c r="J19" s="26"/>
      <c r="K19" s="27"/>
      <c r="L19" s="27"/>
      <c r="M19" s="26"/>
    </row>
    <row r="20" spans="1:13" s="22" customFormat="1" ht="13.5" customHeight="1">
      <c r="A20" s="276"/>
      <c r="B20" s="25" t="s">
        <v>172</v>
      </c>
      <c r="C20" s="190" t="s">
        <v>530</v>
      </c>
      <c r="D20" s="20" t="s">
        <v>85</v>
      </c>
      <c r="E20" s="119">
        <f>6.7*1.15</f>
        <v>7.7049999999999992</v>
      </c>
      <c r="F20" s="35">
        <f>E20*F18</f>
        <v>53.934999999999995</v>
      </c>
      <c r="G20" s="21"/>
      <c r="H20" s="35"/>
      <c r="I20" s="20"/>
      <c r="J20" s="35"/>
      <c r="K20" s="110"/>
      <c r="L20" s="35"/>
      <c r="M20" s="110"/>
    </row>
    <row r="21" spans="1:13" s="22" customFormat="1" ht="48.75" customHeight="1">
      <c r="A21" s="274" t="s">
        <v>153</v>
      </c>
      <c r="B21" s="25" t="s">
        <v>415</v>
      </c>
      <c r="C21" s="190" t="s">
        <v>610</v>
      </c>
      <c r="D21" s="33" t="s">
        <v>80</v>
      </c>
      <c r="E21" s="20"/>
      <c r="F21" s="88">
        <f>F18</f>
        <v>7</v>
      </c>
      <c r="G21" s="39"/>
      <c r="H21" s="37"/>
      <c r="I21" s="27"/>
      <c r="J21" s="16"/>
      <c r="K21" s="23"/>
      <c r="L21" s="16"/>
      <c r="M21" s="16"/>
    </row>
    <row r="22" spans="1:13" s="22" customFormat="1" ht="13.5" customHeight="1">
      <c r="A22" s="276"/>
      <c r="B22" s="25"/>
      <c r="C22" s="90" t="s">
        <v>537</v>
      </c>
      <c r="D22" s="41" t="s">
        <v>15</v>
      </c>
      <c r="E22" s="106">
        <f>1.2*1.05</f>
        <v>1.26</v>
      </c>
      <c r="F22" s="88">
        <f>E22*F21</f>
        <v>8.82</v>
      </c>
      <c r="G22" s="99"/>
      <c r="H22" s="100"/>
      <c r="I22" s="35"/>
      <c r="J22" s="35"/>
      <c r="K22" s="35"/>
      <c r="L22" s="99"/>
      <c r="M22" s="35"/>
    </row>
    <row r="23" spans="1:13" s="22" customFormat="1" ht="17.25" customHeight="1">
      <c r="A23" s="274"/>
      <c r="B23" s="25" t="s">
        <v>169</v>
      </c>
      <c r="C23" s="105" t="s">
        <v>87</v>
      </c>
      <c r="D23" s="33" t="s">
        <v>80</v>
      </c>
      <c r="E23" s="106"/>
      <c r="F23" s="122">
        <f>F21</f>
        <v>7</v>
      </c>
      <c r="G23" s="123"/>
      <c r="H23" s="220"/>
      <c r="I23" s="101"/>
      <c r="J23" s="16"/>
      <c r="K23" s="16"/>
      <c r="L23" s="16"/>
      <c r="M23" s="16"/>
    </row>
    <row r="24" spans="1:13" s="22" customFormat="1" ht="13.5" customHeight="1">
      <c r="A24" s="275"/>
      <c r="B24" s="25" t="s">
        <v>102</v>
      </c>
      <c r="C24" s="105" t="s">
        <v>88</v>
      </c>
      <c r="D24" s="20" t="s">
        <v>85</v>
      </c>
      <c r="E24" s="106">
        <f>1.05*0.00362</f>
        <v>3.8010000000000001E-3</v>
      </c>
      <c r="F24" s="19">
        <f>E24*F23</f>
        <v>2.6607000000000002E-2</v>
      </c>
      <c r="G24" s="26"/>
      <c r="H24" s="27"/>
      <c r="I24" s="27"/>
      <c r="J24" s="27"/>
      <c r="K24" s="27"/>
      <c r="L24" s="26"/>
      <c r="M24" s="26"/>
    </row>
    <row r="25" spans="1:13" s="22" customFormat="1" ht="13.5" customHeight="1">
      <c r="A25" s="275"/>
      <c r="B25" s="25"/>
      <c r="C25" s="105" t="s">
        <v>28</v>
      </c>
      <c r="D25" s="20" t="s">
        <v>16</v>
      </c>
      <c r="E25" s="106">
        <v>1.8000000000000001E-4</v>
      </c>
      <c r="F25" s="19">
        <f>E25*F23</f>
        <v>1.2600000000000001E-3</v>
      </c>
      <c r="G25" s="123"/>
      <c r="H25" s="123"/>
      <c r="I25" s="122"/>
      <c r="J25" s="27"/>
      <c r="K25" s="18"/>
      <c r="L25" s="26"/>
      <c r="M25" s="26"/>
    </row>
    <row r="26" spans="1:13" s="22" customFormat="1" ht="13.5" customHeight="1">
      <c r="A26" s="275"/>
      <c r="B26" s="25" t="s">
        <v>225</v>
      </c>
      <c r="C26" s="105" t="s">
        <v>514</v>
      </c>
      <c r="D26" s="33" t="s">
        <v>80</v>
      </c>
      <c r="E26" s="106">
        <f>0.08/1000</f>
        <v>8.0000000000000007E-5</v>
      </c>
      <c r="F26" s="5">
        <f>E26*F23</f>
        <v>5.6000000000000006E-4</v>
      </c>
      <c r="G26" s="88"/>
      <c r="H26" s="35"/>
      <c r="I26" s="35"/>
      <c r="J26" s="35"/>
      <c r="K26" s="120"/>
      <c r="L26" s="35"/>
      <c r="M26" s="26"/>
    </row>
    <row r="27" spans="1:13" s="22" customFormat="1" ht="13.5" customHeight="1">
      <c r="A27" s="276"/>
      <c r="B27" s="25" t="s">
        <v>82</v>
      </c>
      <c r="C27" s="105" t="s">
        <v>89</v>
      </c>
      <c r="D27" s="20" t="s">
        <v>17</v>
      </c>
      <c r="E27" s="106"/>
      <c r="F27" s="101">
        <f>F21*2.8</f>
        <v>19.599999999999998</v>
      </c>
      <c r="G27" s="123"/>
      <c r="H27" s="123"/>
      <c r="I27" s="122"/>
      <c r="J27" s="123"/>
      <c r="K27" s="110"/>
      <c r="L27" s="16"/>
      <c r="M27" s="16"/>
    </row>
    <row r="28" spans="1:13" s="22" customFormat="1" ht="17.25" customHeight="1">
      <c r="A28" s="274" t="s">
        <v>21</v>
      </c>
      <c r="B28" s="25" t="s">
        <v>308</v>
      </c>
      <c r="C28" s="38" t="s">
        <v>309</v>
      </c>
      <c r="D28" s="33" t="s">
        <v>80</v>
      </c>
      <c r="E28" s="20"/>
      <c r="F28" s="35">
        <v>1.93</v>
      </c>
      <c r="G28" s="39"/>
      <c r="H28" s="40"/>
      <c r="I28" s="23"/>
      <c r="J28" s="16"/>
      <c r="K28" s="106"/>
      <c r="L28" s="16"/>
      <c r="M28" s="16"/>
    </row>
    <row r="29" spans="1:13" s="22" customFormat="1" ht="13.5" customHeight="1">
      <c r="A29" s="275"/>
      <c r="B29" s="25"/>
      <c r="C29" s="90" t="s">
        <v>19</v>
      </c>
      <c r="D29" s="41" t="s">
        <v>15</v>
      </c>
      <c r="E29" s="106">
        <f>1.78*1.15</f>
        <v>2.0469999999999997</v>
      </c>
      <c r="F29" s="35">
        <f>E29*F28</f>
        <v>3.9507099999999995</v>
      </c>
      <c r="G29" s="99"/>
      <c r="H29" s="100"/>
      <c r="I29" s="35"/>
      <c r="J29" s="35"/>
      <c r="K29" s="106"/>
      <c r="L29" s="99"/>
      <c r="M29" s="35"/>
    </row>
    <row r="30" spans="1:13" s="22" customFormat="1" ht="19.5" customHeight="1">
      <c r="A30" s="276"/>
      <c r="B30" s="25" t="s">
        <v>225</v>
      </c>
      <c r="C30" s="38" t="s">
        <v>124</v>
      </c>
      <c r="D30" s="149" t="s">
        <v>80</v>
      </c>
      <c r="E30" s="110">
        <v>1.1000000000000001</v>
      </c>
      <c r="F30" s="35">
        <f>E30*F28</f>
        <v>2.1230000000000002</v>
      </c>
      <c r="G30" s="150"/>
      <c r="H30" s="35"/>
      <c r="I30" s="18"/>
      <c r="J30" s="26"/>
      <c r="K30" s="26"/>
      <c r="L30" s="26"/>
      <c r="M30" s="26"/>
    </row>
    <row r="31" spans="1:13" s="22" customFormat="1" ht="20.25" customHeight="1">
      <c r="A31" s="274" t="s">
        <v>83</v>
      </c>
      <c r="B31" s="25" t="s">
        <v>310</v>
      </c>
      <c r="C31" s="38" t="s">
        <v>311</v>
      </c>
      <c r="D31" s="20" t="s">
        <v>77</v>
      </c>
      <c r="E31" s="20"/>
      <c r="F31" s="88">
        <v>20</v>
      </c>
      <c r="G31" s="39"/>
      <c r="H31" s="40"/>
      <c r="I31" s="23"/>
      <c r="J31" s="16"/>
      <c r="K31" s="106"/>
      <c r="L31" s="16"/>
      <c r="M31" s="118"/>
    </row>
    <row r="32" spans="1:13" s="22" customFormat="1" ht="13.5" customHeight="1">
      <c r="A32" s="275"/>
      <c r="B32" s="69"/>
      <c r="C32" s="105" t="s">
        <v>19</v>
      </c>
      <c r="D32" s="20" t="s">
        <v>15</v>
      </c>
      <c r="E32" s="106">
        <f>0.745*1.15</f>
        <v>0.8567499999999999</v>
      </c>
      <c r="F32" s="35">
        <f>E32*F31</f>
        <v>17.134999999999998</v>
      </c>
      <c r="G32" s="99"/>
      <c r="H32" s="107"/>
      <c r="I32" s="35"/>
      <c r="J32" s="35"/>
      <c r="K32" s="26"/>
      <c r="L32" s="35"/>
      <c r="M32" s="26"/>
    </row>
    <row r="33" spans="1:13" s="22" customFormat="1" ht="13.5" customHeight="1">
      <c r="A33" s="275"/>
      <c r="B33" s="69"/>
      <c r="C33" s="105" t="s">
        <v>28</v>
      </c>
      <c r="D33" s="20" t="s">
        <v>16</v>
      </c>
      <c r="E33" s="106">
        <v>0.38</v>
      </c>
      <c r="F33" s="26">
        <f>E33*F31</f>
        <v>7.6</v>
      </c>
      <c r="G33" s="123"/>
      <c r="H33" s="123"/>
      <c r="I33" s="122"/>
      <c r="J33" s="27"/>
      <c r="K33" s="18"/>
      <c r="L33" s="26"/>
      <c r="M33" s="26"/>
    </row>
    <row r="34" spans="1:13" s="22" customFormat="1" ht="13.5" customHeight="1">
      <c r="A34" s="275"/>
      <c r="B34" s="69" t="s">
        <v>492</v>
      </c>
      <c r="C34" s="109" t="s">
        <v>147</v>
      </c>
      <c r="D34" s="33" t="s">
        <v>77</v>
      </c>
      <c r="E34" s="108">
        <v>0.995</v>
      </c>
      <c r="F34" s="35">
        <f>E34*F31</f>
        <v>19.899999999999999</v>
      </c>
      <c r="G34" s="26"/>
      <c r="H34" s="35"/>
      <c r="I34" s="35"/>
      <c r="J34" s="35"/>
      <c r="K34" s="35"/>
      <c r="L34" s="35"/>
      <c r="M34" s="97"/>
    </row>
    <row r="35" spans="1:13" s="22" customFormat="1" ht="13.5" customHeight="1">
      <c r="A35" s="276"/>
      <c r="B35" s="25"/>
      <c r="C35" s="98" t="s">
        <v>23</v>
      </c>
      <c r="D35" s="20" t="s">
        <v>16</v>
      </c>
      <c r="E35" s="203">
        <v>0.184</v>
      </c>
      <c r="F35" s="35">
        <f>E35*F31</f>
        <v>3.6799999999999997</v>
      </c>
      <c r="G35" s="18"/>
      <c r="H35" s="97"/>
      <c r="I35" s="26"/>
      <c r="J35" s="26"/>
      <c r="K35" s="26"/>
      <c r="L35" s="158"/>
      <c r="M35" s="26"/>
    </row>
    <row r="36" spans="1:13" s="22" customFormat="1" ht="35.25" customHeight="1">
      <c r="A36" s="274" t="s">
        <v>22</v>
      </c>
      <c r="B36" s="15" t="s">
        <v>232</v>
      </c>
      <c r="C36" s="4" t="s">
        <v>312</v>
      </c>
      <c r="D36" s="149" t="s">
        <v>80</v>
      </c>
      <c r="E36" s="92"/>
      <c r="F36" s="26">
        <v>1.0900000000000001</v>
      </c>
      <c r="G36" s="94"/>
      <c r="H36" s="16"/>
      <c r="I36" s="26"/>
      <c r="J36" s="16"/>
      <c r="K36" s="16"/>
      <c r="L36" s="16"/>
      <c r="M36" s="16"/>
    </row>
    <row r="37" spans="1:13" s="22" customFormat="1" ht="13.5" customHeight="1">
      <c r="A37" s="275"/>
      <c r="B37" s="15"/>
      <c r="C37" s="112" t="s">
        <v>97</v>
      </c>
      <c r="D37" s="113" t="s">
        <v>15</v>
      </c>
      <c r="E37" s="35">
        <f>6.6*1.15</f>
        <v>7.589999999999999</v>
      </c>
      <c r="F37" s="114">
        <f>E37*F36</f>
        <v>8.2730999999999995</v>
      </c>
      <c r="G37" s="114"/>
      <c r="H37" s="115"/>
      <c r="I37" s="93"/>
      <c r="J37" s="114"/>
      <c r="K37" s="115"/>
      <c r="L37" s="115"/>
      <c r="M37" s="114"/>
    </row>
    <row r="38" spans="1:13" s="22" customFormat="1" ht="13.5" customHeight="1">
      <c r="A38" s="275"/>
      <c r="B38" s="20" t="s">
        <v>233</v>
      </c>
      <c r="C38" s="105" t="s">
        <v>131</v>
      </c>
      <c r="D38" s="192" t="s">
        <v>20</v>
      </c>
      <c r="E38" s="108">
        <f>0.096*1.05</f>
        <v>0.1008</v>
      </c>
      <c r="F38" s="35">
        <f>E38*F36</f>
        <v>0.10987200000000001</v>
      </c>
      <c r="G38" s="155"/>
      <c r="H38" s="35"/>
      <c r="I38" s="107"/>
      <c r="J38" s="154"/>
      <c r="K38" s="26"/>
      <c r="L38" s="35"/>
      <c r="M38" s="26"/>
    </row>
    <row r="39" spans="1:13" s="22" customFormat="1" ht="13.5" customHeight="1">
      <c r="A39" s="275"/>
      <c r="B39" s="172"/>
      <c r="C39" s="112" t="s">
        <v>78</v>
      </c>
      <c r="D39" s="96" t="s">
        <v>16</v>
      </c>
      <c r="E39" s="108">
        <v>0.39900000000000002</v>
      </c>
      <c r="F39" s="153">
        <f>E39*F36</f>
        <v>0.43491000000000007</v>
      </c>
      <c r="G39" s="96"/>
      <c r="H39" s="96"/>
      <c r="I39" s="117"/>
      <c r="J39" s="96"/>
      <c r="K39" s="117"/>
      <c r="L39" s="35"/>
      <c r="M39" s="26"/>
    </row>
    <row r="40" spans="1:13" s="22" customFormat="1" ht="13.5" customHeight="1">
      <c r="A40" s="275"/>
      <c r="B40" s="25" t="s">
        <v>326</v>
      </c>
      <c r="C40" s="189" t="s">
        <v>116</v>
      </c>
      <c r="D40" s="173" t="s">
        <v>80</v>
      </c>
      <c r="E40" s="108">
        <v>1.0149999999999999</v>
      </c>
      <c r="F40" s="35">
        <f>E40*F36</f>
        <v>1.1063499999999999</v>
      </c>
      <c r="G40" s="88"/>
      <c r="H40" s="35"/>
      <c r="I40" s="35"/>
      <c r="J40" s="35"/>
      <c r="K40" s="26"/>
      <c r="L40" s="26"/>
      <c r="M40" s="26"/>
    </row>
    <row r="41" spans="1:13" s="22" customFormat="1" ht="13.5" customHeight="1">
      <c r="A41" s="275"/>
      <c r="B41" s="25" t="s">
        <v>419</v>
      </c>
      <c r="C41" s="140" t="s">
        <v>129</v>
      </c>
      <c r="D41" s="33" t="s">
        <v>80</v>
      </c>
      <c r="E41" s="116">
        <v>2.47E-2</v>
      </c>
      <c r="F41" s="28">
        <f>E41*F36</f>
        <v>2.6923000000000002E-2</v>
      </c>
      <c r="G41" s="155"/>
      <c r="H41" s="35"/>
      <c r="I41" s="27"/>
      <c r="J41" s="27"/>
      <c r="K41" s="27"/>
      <c r="L41" s="16"/>
      <c r="M41" s="35"/>
    </row>
    <row r="42" spans="1:13" s="22" customFormat="1" ht="13.5" customHeight="1">
      <c r="A42" s="275"/>
      <c r="B42" s="172" t="s">
        <v>440</v>
      </c>
      <c r="C42" s="105" t="s">
        <v>234</v>
      </c>
      <c r="D42" s="173" t="s">
        <v>80</v>
      </c>
      <c r="E42" s="35">
        <v>0.39</v>
      </c>
      <c r="F42" s="35">
        <f>E42*F36</f>
        <v>0.42510000000000003</v>
      </c>
      <c r="G42" s="18"/>
      <c r="H42" s="35"/>
      <c r="I42" s="107"/>
      <c r="J42" s="154"/>
      <c r="K42" s="107"/>
      <c r="L42" s="107"/>
      <c r="M42" s="35"/>
    </row>
    <row r="43" spans="1:13" s="22" customFormat="1" ht="13.5" customHeight="1">
      <c r="A43" s="275"/>
      <c r="B43" s="172" t="s">
        <v>236</v>
      </c>
      <c r="C43" s="105" t="s">
        <v>237</v>
      </c>
      <c r="D43" s="173" t="s">
        <v>80</v>
      </c>
      <c r="E43" s="5">
        <v>4.6800000000000001E-2</v>
      </c>
      <c r="F43" s="35">
        <f>E43*F36</f>
        <v>5.1012000000000002E-2</v>
      </c>
      <c r="G43" s="18"/>
      <c r="H43" s="35"/>
      <c r="I43" s="107"/>
      <c r="J43" s="154"/>
      <c r="K43" s="107"/>
      <c r="L43" s="107"/>
      <c r="M43" s="35"/>
    </row>
    <row r="44" spans="1:13" s="22" customFormat="1" ht="13.5" customHeight="1">
      <c r="A44" s="275"/>
      <c r="B44" s="25" t="s">
        <v>201</v>
      </c>
      <c r="C44" s="38" t="s">
        <v>238</v>
      </c>
      <c r="D44" s="20" t="s">
        <v>327</v>
      </c>
      <c r="E44" s="20">
        <v>7.9299999999999995E-2</v>
      </c>
      <c r="F44" s="5">
        <v>0.67400000000000004</v>
      </c>
      <c r="G44" s="18"/>
      <c r="H44" s="35"/>
      <c r="I44" s="107"/>
      <c r="J44" s="154"/>
      <c r="K44" s="107"/>
      <c r="L44" s="107"/>
      <c r="M44" s="35"/>
    </row>
    <row r="45" spans="1:13" s="22" customFormat="1" ht="13.5" customHeight="1">
      <c r="A45" s="275"/>
      <c r="B45" s="25" t="s">
        <v>441</v>
      </c>
      <c r="C45" s="38" t="s">
        <v>239</v>
      </c>
      <c r="D45" s="20" t="s">
        <v>81</v>
      </c>
      <c r="E45" s="20">
        <v>1.93</v>
      </c>
      <c r="F45" s="5">
        <v>16.41</v>
      </c>
      <c r="G45" s="26"/>
      <c r="H45" s="35"/>
      <c r="I45" s="107"/>
      <c r="J45" s="154"/>
      <c r="K45" s="107"/>
      <c r="L45" s="107"/>
      <c r="M45" s="35"/>
    </row>
    <row r="46" spans="1:13" s="22" customFormat="1" ht="13.5" customHeight="1">
      <c r="A46" s="276"/>
      <c r="B46" s="25"/>
      <c r="C46" s="38" t="s">
        <v>23</v>
      </c>
      <c r="D46" s="20" t="s">
        <v>16</v>
      </c>
      <c r="E46" s="20">
        <v>1.56</v>
      </c>
      <c r="F46" s="5">
        <v>13.26</v>
      </c>
      <c r="G46" s="117"/>
      <c r="H46" s="35"/>
      <c r="I46" s="107"/>
      <c r="J46" s="154"/>
      <c r="K46" s="107"/>
      <c r="L46" s="107"/>
      <c r="M46" s="35"/>
    </row>
    <row r="47" spans="1:13" s="22" customFormat="1" ht="33" customHeight="1">
      <c r="A47" s="274" t="s">
        <v>84</v>
      </c>
      <c r="B47" s="25" t="s">
        <v>313</v>
      </c>
      <c r="C47" s="38" t="s">
        <v>314</v>
      </c>
      <c r="D47" s="149" t="s">
        <v>24</v>
      </c>
      <c r="E47" s="20"/>
      <c r="F47" s="88">
        <v>27</v>
      </c>
      <c r="G47" s="39"/>
      <c r="H47" s="40"/>
      <c r="I47" s="23"/>
      <c r="J47" s="118"/>
      <c r="K47" s="23"/>
      <c r="L47" s="16"/>
      <c r="M47" s="16"/>
    </row>
    <row r="48" spans="1:13" s="22" customFormat="1" ht="13.5" customHeight="1">
      <c r="A48" s="275"/>
      <c r="B48" s="25"/>
      <c r="C48" s="105" t="s">
        <v>19</v>
      </c>
      <c r="D48" s="20" t="s">
        <v>15</v>
      </c>
      <c r="E48" s="106">
        <f>0.388*1.15</f>
        <v>0.44619999999999999</v>
      </c>
      <c r="F48" s="108">
        <f>E48*F47</f>
        <v>12.0474</v>
      </c>
      <c r="G48" s="99"/>
      <c r="H48" s="107"/>
      <c r="I48" s="88"/>
      <c r="J48" s="88"/>
      <c r="K48" s="26"/>
      <c r="L48" s="35"/>
      <c r="M48" s="18"/>
    </row>
    <row r="49" spans="1:13" s="22" customFormat="1" ht="13.5" customHeight="1">
      <c r="A49" s="275"/>
      <c r="B49" s="25"/>
      <c r="C49" s="105" t="s">
        <v>28</v>
      </c>
      <c r="D49" s="20" t="s">
        <v>16</v>
      </c>
      <c r="E49" s="106">
        <v>2.9999999999999997E-4</v>
      </c>
      <c r="F49" s="5">
        <f>E49*F47</f>
        <v>8.0999999999999996E-3</v>
      </c>
      <c r="G49" s="123"/>
      <c r="H49" s="123"/>
      <c r="I49" s="122"/>
      <c r="J49" s="27"/>
      <c r="K49" s="18"/>
      <c r="L49" s="26"/>
      <c r="M49" s="26"/>
    </row>
    <row r="50" spans="1:13" s="22" customFormat="1" ht="13.5" customHeight="1">
      <c r="A50" s="275"/>
      <c r="B50" s="25" t="s">
        <v>315</v>
      </c>
      <c r="C50" s="105" t="s">
        <v>316</v>
      </c>
      <c r="D50" s="20" t="s">
        <v>81</v>
      </c>
      <c r="E50" s="106">
        <v>0.253</v>
      </c>
      <c r="F50" s="108">
        <f>E50*F47</f>
        <v>6.8310000000000004</v>
      </c>
      <c r="G50" s="101"/>
      <c r="H50" s="101"/>
      <c r="I50" s="122"/>
      <c r="J50" s="27"/>
      <c r="K50" s="18"/>
      <c r="L50" s="26"/>
      <c r="M50" s="26"/>
    </row>
    <row r="51" spans="1:13" s="22" customFormat="1" ht="13.5" customHeight="1">
      <c r="A51" s="275"/>
      <c r="B51" s="25" t="s">
        <v>317</v>
      </c>
      <c r="C51" s="105" t="s">
        <v>318</v>
      </c>
      <c r="D51" s="20" t="s">
        <v>81</v>
      </c>
      <c r="E51" s="106">
        <v>2.7E-2</v>
      </c>
      <c r="F51" s="108">
        <f>E51*F47</f>
        <v>0.72899999999999998</v>
      </c>
      <c r="G51" s="101"/>
      <c r="H51" s="101"/>
      <c r="I51" s="122"/>
      <c r="J51" s="27"/>
      <c r="K51" s="18"/>
      <c r="L51" s="26"/>
      <c r="M51" s="26"/>
    </row>
    <row r="52" spans="1:13" s="22" customFormat="1" ht="13.5" customHeight="1">
      <c r="A52" s="276"/>
      <c r="B52" s="25"/>
      <c r="C52" s="105" t="s">
        <v>23</v>
      </c>
      <c r="D52" s="20" t="s">
        <v>16</v>
      </c>
      <c r="E52" s="106">
        <v>1E-3</v>
      </c>
      <c r="F52" s="108">
        <f>E52*F47</f>
        <v>2.7E-2</v>
      </c>
      <c r="G52" s="122"/>
      <c r="H52" s="101"/>
      <c r="I52" s="122"/>
      <c r="J52" s="27"/>
      <c r="K52" s="18"/>
      <c r="L52" s="26"/>
      <c r="M52" s="26"/>
    </row>
    <row r="53" spans="1:13" s="22" customFormat="1" ht="33.75" customHeight="1">
      <c r="A53" s="156" t="s">
        <v>125</v>
      </c>
      <c r="B53" s="103"/>
      <c r="C53" s="105" t="s">
        <v>421</v>
      </c>
      <c r="D53" s="20"/>
      <c r="E53" s="165"/>
      <c r="F53" s="35"/>
      <c r="G53" s="155"/>
      <c r="H53" s="35"/>
      <c r="I53" s="88"/>
      <c r="J53" s="35"/>
      <c r="K53" s="26"/>
      <c r="L53" s="35"/>
      <c r="M53" s="26"/>
    </row>
    <row r="54" spans="1:13" s="22" customFormat="1" ht="44.25" customHeight="1">
      <c r="A54" s="25" t="s">
        <v>193</v>
      </c>
      <c r="B54" s="15" t="s">
        <v>414</v>
      </c>
      <c r="C54" s="105" t="s">
        <v>422</v>
      </c>
      <c r="D54" s="20" t="s">
        <v>80</v>
      </c>
      <c r="E54" s="165"/>
      <c r="F54" s="88">
        <v>59</v>
      </c>
      <c r="G54" s="155"/>
      <c r="H54" s="35"/>
      <c r="I54" s="88"/>
      <c r="J54" s="40"/>
      <c r="K54" s="16"/>
      <c r="L54" s="40"/>
      <c r="M54" s="16"/>
    </row>
    <row r="55" spans="1:13" s="22" customFormat="1" ht="13.5" customHeight="1">
      <c r="A55" s="274"/>
      <c r="B55" s="25"/>
      <c r="C55" s="90" t="s">
        <v>534</v>
      </c>
      <c r="D55" s="41" t="s">
        <v>15</v>
      </c>
      <c r="E55" s="20">
        <f>0.016*1.15</f>
        <v>1.84E-2</v>
      </c>
      <c r="F55" s="35">
        <f>E55*F54</f>
        <v>1.0855999999999999</v>
      </c>
      <c r="G55" s="99"/>
      <c r="H55" s="100"/>
      <c r="I55" s="35"/>
      <c r="J55" s="35"/>
      <c r="K55" s="35"/>
      <c r="L55" s="99"/>
      <c r="M55" s="35"/>
    </row>
    <row r="56" spans="1:13" s="22" customFormat="1" ht="13.5" customHeight="1">
      <c r="A56" s="276"/>
      <c r="B56" s="25" t="s">
        <v>100</v>
      </c>
      <c r="C56" s="105" t="s">
        <v>535</v>
      </c>
      <c r="D56" s="20" t="s">
        <v>85</v>
      </c>
      <c r="E56" s="21">
        <f>0.0359*1.05</f>
        <v>3.7695000000000006E-2</v>
      </c>
      <c r="F56" s="108">
        <f>E56*F54</f>
        <v>2.2240050000000005</v>
      </c>
      <c r="G56" s="99"/>
      <c r="H56" s="100"/>
      <c r="I56" s="35"/>
      <c r="J56" s="35"/>
      <c r="K56" s="110"/>
      <c r="L56" s="35"/>
      <c r="M56" s="26"/>
    </row>
    <row r="57" spans="1:13" s="22" customFormat="1" ht="30.75" customHeight="1">
      <c r="A57" s="274" t="s">
        <v>194</v>
      </c>
      <c r="B57" s="25" t="s">
        <v>117</v>
      </c>
      <c r="C57" s="38" t="s">
        <v>118</v>
      </c>
      <c r="D57" s="33" t="s">
        <v>80</v>
      </c>
      <c r="E57" s="20"/>
      <c r="F57" s="88">
        <v>59</v>
      </c>
      <c r="G57" s="39"/>
      <c r="H57" s="37"/>
      <c r="I57" s="27"/>
      <c r="J57" s="27"/>
      <c r="K57" s="27"/>
      <c r="L57" s="16"/>
      <c r="M57" s="16"/>
    </row>
    <row r="58" spans="1:13" s="22" customFormat="1" ht="13.5" customHeight="1">
      <c r="A58" s="275"/>
      <c r="B58" s="25" t="s">
        <v>119</v>
      </c>
      <c r="C58" s="38" t="s">
        <v>120</v>
      </c>
      <c r="D58" s="20" t="s">
        <v>20</v>
      </c>
      <c r="E58" s="20">
        <f>1.85*6*0.001</f>
        <v>1.1100000000000002E-2</v>
      </c>
      <c r="F58" s="108">
        <f>E58*F57</f>
        <v>0.65490000000000015</v>
      </c>
      <c r="G58" s="39"/>
      <c r="H58" s="37"/>
      <c r="I58" s="27"/>
      <c r="J58" s="27"/>
      <c r="K58" s="27"/>
      <c r="L58" s="26"/>
      <c r="M58" s="26"/>
    </row>
    <row r="59" spans="1:13" s="22" customFormat="1" ht="13.5" customHeight="1">
      <c r="A59" s="275"/>
      <c r="B59" s="25" t="s">
        <v>102</v>
      </c>
      <c r="C59" s="38" t="s">
        <v>121</v>
      </c>
      <c r="D59" s="20" t="s">
        <v>20</v>
      </c>
      <c r="E59" s="20">
        <f>10.5*0.001*1.05</f>
        <v>1.1025000000000002E-2</v>
      </c>
      <c r="F59" s="108">
        <f>E59*F57</f>
        <v>0.65047500000000014</v>
      </c>
      <c r="G59" s="39"/>
      <c r="H59" s="37"/>
      <c r="I59" s="27"/>
      <c r="J59" s="27"/>
      <c r="K59" s="27"/>
      <c r="L59" s="26"/>
      <c r="M59" s="26"/>
    </row>
    <row r="60" spans="1:13" s="22" customFormat="1" ht="13.5" customHeight="1">
      <c r="A60" s="276"/>
      <c r="B60" s="25" t="s">
        <v>122</v>
      </c>
      <c r="C60" s="38" t="s">
        <v>555</v>
      </c>
      <c r="D60" s="20" t="s">
        <v>20</v>
      </c>
      <c r="E60" s="20">
        <f>1.85*6*0.001*1.05</f>
        <v>1.1655000000000002E-2</v>
      </c>
      <c r="F60" s="108">
        <f>E60*F57</f>
        <v>0.68764500000000017</v>
      </c>
      <c r="G60" s="39"/>
      <c r="H60" s="37"/>
      <c r="I60" s="27"/>
      <c r="J60" s="27"/>
      <c r="K60" s="26"/>
      <c r="L60" s="26"/>
      <c r="M60" s="26"/>
    </row>
    <row r="61" spans="1:13" s="22" customFormat="1" ht="18" customHeight="1">
      <c r="A61" s="156"/>
      <c r="B61" s="25"/>
      <c r="C61" s="175" t="s">
        <v>321</v>
      </c>
      <c r="D61" s="20"/>
      <c r="E61" s="20"/>
      <c r="F61" s="5"/>
      <c r="G61" s="117"/>
      <c r="H61" s="35"/>
      <c r="I61" s="107"/>
      <c r="J61" s="154"/>
      <c r="K61" s="107"/>
      <c r="L61" s="107"/>
      <c r="M61" s="35"/>
    </row>
    <row r="62" spans="1:13" s="22" customFormat="1" ht="65.25" customHeight="1">
      <c r="A62" s="25" t="s">
        <v>211</v>
      </c>
      <c r="B62" s="25"/>
      <c r="C62" s="38" t="s">
        <v>407</v>
      </c>
      <c r="D62" s="20"/>
      <c r="E62" s="20"/>
      <c r="F62" s="5"/>
      <c r="G62" s="39"/>
      <c r="H62" s="37"/>
      <c r="I62" s="27"/>
      <c r="J62" s="27"/>
      <c r="K62" s="27"/>
      <c r="L62" s="26"/>
      <c r="M62" s="26"/>
    </row>
    <row r="63" spans="1:13" s="22" customFormat="1" ht="64.5" customHeight="1">
      <c r="A63" s="274" t="s">
        <v>212</v>
      </c>
      <c r="B63" s="25" t="s">
        <v>165</v>
      </c>
      <c r="C63" s="105" t="s">
        <v>408</v>
      </c>
      <c r="D63" s="33" t="s">
        <v>80</v>
      </c>
      <c r="E63" s="21"/>
      <c r="F63" s="88">
        <v>53</v>
      </c>
      <c r="G63" s="21"/>
      <c r="H63" s="35"/>
      <c r="I63" s="120"/>
      <c r="J63" s="35"/>
      <c r="K63" s="20"/>
      <c r="L63" s="40"/>
      <c r="M63" s="121"/>
    </row>
    <row r="64" spans="1:13" s="22" customFormat="1" ht="13.5" customHeight="1">
      <c r="A64" s="276"/>
      <c r="B64" s="25" t="s">
        <v>166</v>
      </c>
      <c r="C64" s="163" t="s">
        <v>389</v>
      </c>
      <c r="D64" s="159" t="s">
        <v>20</v>
      </c>
      <c r="E64" s="33">
        <f>16.33/100*1.15</f>
        <v>0.18779499999999996</v>
      </c>
      <c r="F64" s="35">
        <f>E64*F63</f>
        <v>9.9531349999999978</v>
      </c>
      <c r="G64" s="26"/>
      <c r="H64" s="26"/>
      <c r="I64" s="159"/>
      <c r="J64" s="159"/>
      <c r="K64" s="110"/>
      <c r="L64" s="35"/>
      <c r="M64" s="26"/>
    </row>
    <row r="65" spans="1:13" s="22" customFormat="1" ht="48.75" customHeight="1">
      <c r="A65" s="274" t="s">
        <v>213</v>
      </c>
      <c r="B65" s="25" t="s">
        <v>167</v>
      </c>
      <c r="C65" s="105" t="s">
        <v>168</v>
      </c>
      <c r="D65" s="33" t="s">
        <v>80</v>
      </c>
      <c r="E65" s="21"/>
      <c r="F65" s="88">
        <f>F63</f>
        <v>53</v>
      </c>
      <c r="G65" s="21"/>
      <c r="H65" s="40"/>
      <c r="I65" s="120"/>
      <c r="J65" s="40"/>
      <c r="K65" s="20"/>
      <c r="L65" s="40"/>
      <c r="M65" s="121"/>
    </row>
    <row r="66" spans="1:13" s="22" customFormat="1" ht="13.5" customHeight="1">
      <c r="A66" s="275"/>
      <c r="B66" s="25"/>
      <c r="C66" s="90" t="s">
        <v>391</v>
      </c>
      <c r="D66" s="41" t="s">
        <v>15</v>
      </c>
      <c r="E66" s="20">
        <f>0.0188*1.05</f>
        <v>1.9740000000000001E-2</v>
      </c>
      <c r="F66" s="26">
        <f>E66*F65</f>
        <v>1.0462199999999999</v>
      </c>
      <c r="G66" s="26"/>
      <c r="H66" s="27"/>
      <c r="I66" s="26"/>
      <c r="J66" s="26"/>
      <c r="K66" s="27"/>
      <c r="L66" s="27"/>
      <c r="M66" s="26"/>
    </row>
    <row r="67" spans="1:13" s="22" customFormat="1" ht="13.5" customHeight="1">
      <c r="A67" s="275"/>
      <c r="B67" s="25" t="s">
        <v>166</v>
      </c>
      <c r="C67" s="105" t="s">
        <v>390</v>
      </c>
      <c r="D67" s="20" t="s">
        <v>85</v>
      </c>
      <c r="E67" s="21">
        <f>0.042*1.15</f>
        <v>4.8300000000000003E-2</v>
      </c>
      <c r="F67" s="35">
        <f>E67*F65</f>
        <v>2.5599000000000003</v>
      </c>
      <c r="G67" s="21"/>
      <c r="H67" s="35"/>
      <c r="I67" s="20"/>
      <c r="J67" s="35"/>
      <c r="K67" s="110"/>
      <c r="L67" s="35"/>
      <c r="M67" s="110"/>
    </row>
    <row r="68" spans="1:13" s="22" customFormat="1" ht="13.5" customHeight="1">
      <c r="A68" s="275"/>
      <c r="B68" s="25" t="s">
        <v>225</v>
      </c>
      <c r="C68" s="105" t="s">
        <v>514</v>
      </c>
      <c r="D68" s="33" t="s">
        <v>80</v>
      </c>
      <c r="E68" s="106">
        <f>0.09/1000</f>
        <v>8.9999999999999992E-5</v>
      </c>
      <c r="F68" s="108">
        <f>E68*F65</f>
        <v>4.7699999999999999E-3</v>
      </c>
      <c r="G68" s="88"/>
      <c r="H68" s="35"/>
      <c r="I68" s="20"/>
      <c r="J68" s="35"/>
      <c r="K68" s="120"/>
      <c r="L68" s="35"/>
      <c r="M68" s="110"/>
    </row>
    <row r="69" spans="1:13" s="22" customFormat="1" ht="13.5" customHeight="1">
      <c r="A69" s="275"/>
      <c r="B69" s="25"/>
      <c r="C69" s="105" t="s">
        <v>28</v>
      </c>
      <c r="D69" s="20" t="s">
        <v>16</v>
      </c>
      <c r="E69" s="21">
        <v>2.7399999999999998E-3</v>
      </c>
      <c r="F69" s="35">
        <f>E69*F65</f>
        <v>0.14521999999999999</v>
      </c>
      <c r="G69" s="227"/>
      <c r="H69" s="35"/>
      <c r="I69" s="20"/>
      <c r="J69" s="35"/>
      <c r="K69" s="120"/>
      <c r="L69" s="35"/>
      <c r="M69" s="110"/>
    </row>
    <row r="70" spans="1:13" s="22" customFormat="1" ht="13.5" customHeight="1">
      <c r="A70" s="275"/>
      <c r="B70" s="25" t="s">
        <v>169</v>
      </c>
      <c r="C70" s="105" t="s">
        <v>87</v>
      </c>
      <c r="D70" s="33" t="s">
        <v>80</v>
      </c>
      <c r="E70" s="21"/>
      <c r="F70" s="88">
        <f>F65</f>
        <v>53</v>
      </c>
      <c r="G70" s="227"/>
      <c r="H70" s="40"/>
      <c r="I70" s="120"/>
      <c r="J70" s="35"/>
      <c r="K70" s="20"/>
      <c r="L70" s="40"/>
      <c r="M70" s="121"/>
    </row>
    <row r="71" spans="1:13" s="22" customFormat="1" ht="13.5" customHeight="1">
      <c r="A71" s="275"/>
      <c r="B71" s="25" t="s">
        <v>170</v>
      </c>
      <c r="C71" s="105" t="s">
        <v>392</v>
      </c>
      <c r="D71" s="20" t="s">
        <v>85</v>
      </c>
      <c r="E71" s="21">
        <f>0.0104*1.15</f>
        <v>1.1959999999999998E-2</v>
      </c>
      <c r="F71" s="35">
        <f>E71*F70</f>
        <v>0.63387999999999989</v>
      </c>
      <c r="G71" s="227"/>
      <c r="H71" s="35"/>
      <c r="I71" s="20"/>
      <c r="J71" s="35"/>
      <c r="K71" s="27"/>
      <c r="L71" s="35"/>
      <c r="M71" s="110"/>
    </row>
    <row r="72" spans="1:13" s="22" customFormat="1" ht="13.5" customHeight="1">
      <c r="A72" s="275"/>
      <c r="B72" s="25"/>
      <c r="C72" s="105" t="s">
        <v>28</v>
      </c>
      <c r="D72" s="20" t="s">
        <v>16</v>
      </c>
      <c r="E72" s="21">
        <f>0.24/1000</f>
        <v>2.3999999999999998E-4</v>
      </c>
      <c r="F72" s="35">
        <f>E72*F70</f>
        <v>1.2719999999999999E-2</v>
      </c>
      <c r="G72" s="227"/>
      <c r="H72" s="35"/>
      <c r="I72" s="20"/>
      <c r="J72" s="35"/>
      <c r="K72" s="27"/>
      <c r="L72" s="35"/>
      <c r="M72" s="110"/>
    </row>
    <row r="73" spans="1:13" s="22" customFormat="1" ht="13.5" customHeight="1">
      <c r="A73" s="275"/>
      <c r="B73" s="25" t="s">
        <v>225</v>
      </c>
      <c r="C73" s="105" t="s">
        <v>514</v>
      </c>
      <c r="D73" s="33" t="s">
        <v>80</v>
      </c>
      <c r="E73" s="106">
        <f>0.08/1000</f>
        <v>8.0000000000000007E-5</v>
      </c>
      <c r="F73" s="108">
        <f>E73*F70</f>
        <v>4.2400000000000007E-3</v>
      </c>
      <c r="G73" s="88"/>
      <c r="H73" s="35"/>
      <c r="I73" s="20"/>
      <c r="J73" s="35"/>
      <c r="K73" s="120"/>
      <c r="L73" s="35"/>
      <c r="M73" s="110"/>
    </row>
    <row r="74" spans="1:13" s="22" customFormat="1" ht="13.5" customHeight="1">
      <c r="A74" s="276"/>
      <c r="B74" s="25" t="s">
        <v>82</v>
      </c>
      <c r="C74" s="105" t="s">
        <v>89</v>
      </c>
      <c r="D74" s="20" t="s">
        <v>17</v>
      </c>
      <c r="E74" s="21"/>
      <c r="F74" s="101">
        <f>F65*2.8</f>
        <v>148.39999999999998</v>
      </c>
      <c r="G74" s="21"/>
      <c r="H74" s="35"/>
      <c r="I74" s="20"/>
      <c r="J74" s="35"/>
      <c r="K74" s="110"/>
      <c r="L74" s="40"/>
      <c r="M74" s="121"/>
    </row>
    <row r="75" spans="1:13" s="22" customFormat="1" ht="48.75" customHeight="1">
      <c r="A75" s="25" t="s">
        <v>217</v>
      </c>
      <c r="B75" s="25"/>
      <c r="C75" s="105" t="s">
        <v>409</v>
      </c>
      <c r="D75" s="20"/>
      <c r="E75" s="33"/>
      <c r="F75" s="88"/>
      <c r="G75" s="21"/>
      <c r="H75" s="35"/>
      <c r="I75" s="20"/>
      <c r="J75" s="35"/>
      <c r="K75" s="20"/>
      <c r="L75" s="40"/>
      <c r="M75" s="121"/>
    </row>
    <row r="76" spans="1:13" s="22" customFormat="1" ht="42" customHeight="1">
      <c r="A76" s="274" t="s">
        <v>219</v>
      </c>
      <c r="B76" s="25" t="s">
        <v>171</v>
      </c>
      <c r="C76" s="38" t="s">
        <v>410</v>
      </c>
      <c r="D76" s="20" t="s">
        <v>80</v>
      </c>
      <c r="E76" s="33"/>
      <c r="F76" s="35">
        <v>5.9</v>
      </c>
      <c r="G76" s="39"/>
      <c r="H76" s="37"/>
      <c r="I76" s="27"/>
      <c r="J76" s="16"/>
      <c r="K76" s="23"/>
      <c r="L76" s="16"/>
      <c r="M76" s="16"/>
    </row>
    <row r="77" spans="1:13" s="22" customFormat="1" ht="13.5" customHeight="1">
      <c r="A77" s="275"/>
      <c r="B77" s="25"/>
      <c r="C77" s="90" t="s">
        <v>529</v>
      </c>
      <c r="D77" s="41" t="s">
        <v>15</v>
      </c>
      <c r="E77" s="119">
        <f>8.6*1.15</f>
        <v>9.8899999999999988</v>
      </c>
      <c r="F77" s="26">
        <f>E77*F76</f>
        <v>58.350999999999999</v>
      </c>
      <c r="G77" s="26"/>
      <c r="H77" s="27"/>
      <c r="I77" s="26"/>
      <c r="J77" s="26"/>
      <c r="K77" s="27"/>
      <c r="L77" s="27"/>
      <c r="M77" s="26"/>
    </row>
    <row r="78" spans="1:13" s="22" customFormat="1" ht="13.5" customHeight="1">
      <c r="A78" s="276"/>
      <c r="B78" s="25" t="s">
        <v>172</v>
      </c>
      <c r="C78" s="38" t="s">
        <v>530</v>
      </c>
      <c r="D78" s="20" t="s">
        <v>85</v>
      </c>
      <c r="E78" s="119">
        <f>6.7*1.05</f>
        <v>7.0350000000000001</v>
      </c>
      <c r="F78" s="35">
        <f>E78*F76</f>
        <v>41.506500000000003</v>
      </c>
      <c r="G78" s="21"/>
      <c r="H78" s="35"/>
      <c r="I78" s="20"/>
      <c r="J78" s="35"/>
      <c r="K78" s="110"/>
      <c r="L78" s="35"/>
      <c r="M78" s="110"/>
    </row>
    <row r="79" spans="1:13" s="22" customFormat="1" ht="49.5" customHeight="1">
      <c r="A79" s="274" t="s">
        <v>226</v>
      </c>
      <c r="B79" s="25" t="s">
        <v>167</v>
      </c>
      <c r="C79" s="105" t="s">
        <v>168</v>
      </c>
      <c r="D79" s="33" t="s">
        <v>80</v>
      </c>
      <c r="E79" s="21"/>
      <c r="F79" s="35">
        <f>F76</f>
        <v>5.9</v>
      </c>
      <c r="G79" s="21"/>
      <c r="H79" s="40"/>
      <c r="I79" s="120"/>
      <c r="J79" s="40"/>
      <c r="K79" s="20"/>
      <c r="L79" s="40"/>
      <c r="M79" s="121"/>
    </row>
    <row r="80" spans="1:13" s="22" customFormat="1" ht="13.5" customHeight="1">
      <c r="A80" s="275"/>
      <c r="B80" s="25"/>
      <c r="C80" s="90" t="s">
        <v>391</v>
      </c>
      <c r="D80" s="41" t="s">
        <v>15</v>
      </c>
      <c r="E80" s="20">
        <f>0.0188*1.05</f>
        <v>1.9740000000000001E-2</v>
      </c>
      <c r="F80" s="26">
        <f>E80*F79</f>
        <v>0.11646600000000001</v>
      </c>
      <c r="G80" s="26"/>
      <c r="H80" s="27"/>
      <c r="I80" s="26"/>
      <c r="J80" s="26"/>
      <c r="K80" s="27"/>
      <c r="L80" s="27"/>
      <c r="M80" s="26"/>
    </row>
    <row r="81" spans="1:13" s="22" customFormat="1" ht="13.5" customHeight="1">
      <c r="A81" s="275"/>
      <c r="B81" s="25" t="s">
        <v>166</v>
      </c>
      <c r="C81" s="105" t="s">
        <v>390</v>
      </c>
      <c r="D81" s="20" t="s">
        <v>85</v>
      </c>
      <c r="E81" s="21">
        <f>0.042*1.15</f>
        <v>4.8300000000000003E-2</v>
      </c>
      <c r="F81" s="35">
        <f>E81*F79</f>
        <v>0.28497000000000006</v>
      </c>
      <c r="G81" s="21"/>
      <c r="H81" s="35"/>
      <c r="I81" s="20"/>
      <c r="J81" s="35"/>
      <c r="K81" s="110"/>
      <c r="L81" s="35"/>
      <c r="M81" s="110"/>
    </row>
    <row r="82" spans="1:13" s="22" customFormat="1" ht="13.5" customHeight="1">
      <c r="A82" s="275"/>
      <c r="B82" s="25"/>
      <c r="C82" s="105" t="s">
        <v>28</v>
      </c>
      <c r="D82" s="20" t="s">
        <v>16</v>
      </c>
      <c r="E82" s="21">
        <v>2.7399999999999998E-3</v>
      </c>
      <c r="F82" s="35">
        <f>E82*F79</f>
        <v>1.6166E-2</v>
      </c>
      <c r="G82" s="21"/>
      <c r="H82" s="35"/>
      <c r="I82" s="20"/>
      <c r="J82" s="35"/>
      <c r="K82" s="120"/>
      <c r="L82" s="35"/>
      <c r="M82" s="110"/>
    </row>
    <row r="83" spans="1:13" s="22" customFormat="1" ht="13.5" customHeight="1">
      <c r="A83" s="275"/>
      <c r="B83" s="25" t="s">
        <v>225</v>
      </c>
      <c r="C83" s="105" t="s">
        <v>514</v>
      </c>
      <c r="D83" s="33" t="s">
        <v>80</v>
      </c>
      <c r="E83" s="106">
        <f>0.09/1000</f>
        <v>8.9999999999999992E-5</v>
      </c>
      <c r="F83" s="5">
        <f>E83*F79</f>
        <v>5.31E-4</v>
      </c>
      <c r="G83" s="88"/>
      <c r="H83" s="35"/>
      <c r="I83" s="20"/>
      <c r="J83" s="35"/>
      <c r="K83" s="120"/>
      <c r="L83" s="35"/>
      <c r="M83" s="110"/>
    </row>
    <row r="84" spans="1:13" s="22" customFormat="1" ht="17.25" customHeight="1">
      <c r="A84" s="275"/>
      <c r="B84" s="25" t="s">
        <v>169</v>
      </c>
      <c r="C84" s="105" t="s">
        <v>87</v>
      </c>
      <c r="D84" s="33" t="s">
        <v>80</v>
      </c>
      <c r="E84" s="21"/>
      <c r="F84" s="35">
        <f>F79</f>
        <v>5.9</v>
      </c>
      <c r="G84" s="227"/>
      <c r="H84" s="40"/>
      <c r="I84" s="120"/>
      <c r="J84" s="35"/>
      <c r="K84" s="20"/>
      <c r="L84" s="40"/>
      <c r="M84" s="121"/>
    </row>
    <row r="85" spans="1:13" s="22" customFormat="1" ht="13.5" customHeight="1">
      <c r="A85" s="275"/>
      <c r="B85" s="25" t="s">
        <v>170</v>
      </c>
      <c r="C85" s="105" t="s">
        <v>392</v>
      </c>
      <c r="D85" s="20" t="s">
        <v>85</v>
      </c>
      <c r="E85" s="21">
        <f>0.0104*1.15</f>
        <v>1.1959999999999998E-2</v>
      </c>
      <c r="F85" s="35">
        <f>E85*F84</f>
        <v>7.0564000000000002E-2</v>
      </c>
      <c r="G85" s="227"/>
      <c r="H85" s="35"/>
      <c r="I85" s="20"/>
      <c r="J85" s="35"/>
      <c r="K85" s="27"/>
      <c r="L85" s="35"/>
      <c r="M85" s="110"/>
    </row>
    <row r="86" spans="1:13" s="22" customFormat="1" ht="13.5" customHeight="1">
      <c r="A86" s="275"/>
      <c r="B86" s="25"/>
      <c r="C86" s="105" t="s">
        <v>28</v>
      </c>
      <c r="D86" s="20" t="s">
        <v>16</v>
      </c>
      <c r="E86" s="21">
        <f>0.24/1000</f>
        <v>2.3999999999999998E-4</v>
      </c>
      <c r="F86" s="5">
        <f>E86*F84</f>
        <v>1.4159999999999999E-3</v>
      </c>
      <c r="G86" s="227"/>
      <c r="H86" s="35"/>
      <c r="I86" s="20"/>
      <c r="J86" s="35"/>
      <c r="K86" s="18"/>
      <c r="L86" s="35"/>
      <c r="M86" s="110"/>
    </row>
    <row r="87" spans="1:13" s="22" customFormat="1" ht="13.5" customHeight="1">
      <c r="A87" s="275"/>
      <c r="B87" s="25" t="s">
        <v>225</v>
      </c>
      <c r="C87" s="105" t="s">
        <v>514</v>
      </c>
      <c r="D87" s="33" t="s">
        <v>80</v>
      </c>
      <c r="E87" s="106">
        <f>0.08/1000</f>
        <v>8.0000000000000007E-5</v>
      </c>
      <c r="F87" s="5">
        <f>E87*F84</f>
        <v>4.7200000000000009E-4</v>
      </c>
      <c r="G87" s="88"/>
      <c r="H87" s="35"/>
      <c r="I87" s="20"/>
      <c r="J87" s="35"/>
      <c r="K87" s="120"/>
      <c r="L87" s="35"/>
      <c r="M87" s="110"/>
    </row>
    <row r="88" spans="1:13" s="22" customFormat="1" ht="16.5" customHeight="1">
      <c r="A88" s="276"/>
      <c r="B88" s="25" t="s">
        <v>82</v>
      </c>
      <c r="C88" s="105" t="s">
        <v>89</v>
      </c>
      <c r="D88" s="20" t="s">
        <v>17</v>
      </c>
      <c r="E88" s="21"/>
      <c r="F88" s="101">
        <f>F79*2.8</f>
        <v>16.52</v>
      </c>
      <c r="G88" s="227"/>
      <c r="H88" s="35"/>
      <c r="I88" s="20"/>
      <c r="J88" s="35"/>
      <c r="K88" s="110"/>
      <c r="L88" s="40"/>
      <c r="M88" s="121"/>
    </row>
    <row r="89" spans="1:13" s="22" customFormat="1" ht="35.25" customHeight="1">
      <c r="A89" s="274" t="s">
        <v>227</v>
      </c>
      <c r="B89" s="20" t="s">
        <v>257</v>
      </c>
      <c r="C89" s="105" t="s">
        <v>258</v>
      </c>
      <c r="D89" s="20" t="s">
        <v>80</v>
      </c>
      <c r="E89" s="21"/>
      <c r="F89" s="35">
        <v>29.4</v>
      </c>
      <c r="G89" s="99"/>
      <c r="H89" s="121"/>
      <c r="I89" s="121"/>
      <c r="J89" s="121"/>
      <c r="K89" s="121"/>
      <c r="L89" s="121"/>
      <c r="M89" s="121"/>
    </row>
    <row r="90" spans="1:13" s="22" customFormat="1" ht="16.5" customHeight="1">
      <c r="A90" s="275"/>
      <c r="B90" s="20"/>
      <c r="C90" s="105" t="s">
        <v>19</v>
      </c>
      <c r="D90" s="20" t="s">
        <v>15</v>
      </c>
      <c r="E90" s="20">
        <f>0.15*1.15</f>
        <v>0.17249999999999999</v>
      </c>
      <c r="F90" s="35">
        <f>E90*F89</f>
        <v>5.0714999999999995</v>
      </c>
      <c r="G90" s="21"/>
      <c r="H90" s="35"/>
      <c r="I90" s="110"/>
      <c r="J90" s="35"/>
      <c r="K90" s="20"/>
      <c r="L90" s="35"/>
      <c r="M90" s="110"/>
    </row>
    <row r="91" spans="1:13" s="22" customFormat="1" ht="16.5" customHeight="1">
      <c r="A91" s="275"/>
      <c r="B91" s="20" t="s">
        <v>259</v>
      </c>
      <c r="C91" s="105" t="s">
        <v>260</v>
      </c>
      <c r="D91" s="20" t="s">
        <v>20</v>
      </c>
      <c r="E91" s="20">
        <f>0.0216*1.05</f>
        <v>2.2680000000000002E-2</v>
      </c>
      <c r="F91" s="35">
        <f>E91*F89</f>
        <v>0.66679200000000005</v>
      </c>
      <c r="G91" s="21"/>
      <c r="H91" s="35"/>
      <c r="I91" s="20"/>
      <c r="J91" s="35"/>
      <c r="K91" s="20"/>
      <c r="L91" s="35"/>
      <c r="M91" s="110"/>
    </row>
    <row r="92" spans="1:13" s="22" customFormat="1" ht="16.5" customHeight="1">
      <c r="A92" s="275"/>
      <c r="B92" s="20" t="s">
        <v>261</v>
      </c>
      <c r="C92" s="105" t="s">
        <v>262</v>
      </c>
      <c r="D92" s="20" t="s">
        <v>20</v>
      </c>
      <c r="E92" s="20">
        <f>0.0273*1.05</f>
        <v>2.8665000000000003E-2</v>
      </c>
      <c r="F92" s="35">
        <f>E92*F89</f>
        <v>0.84275100000000003</v>
      </c>
      <c r="G92" s="21"/>
      <c r="H92" s="35"/>
      <c r="I92" s="20"/>
      <c r="J92" s="35"/>
      <c r="K92" s="110"/>
      <c r="L92" s="35"/>
      <c r="M92" s="110"/>
    </row>
    <row r="93" spans="1:13" s="22" customFormat="1" ht="16.5" customHeight="1">
      <c r="A93" s="275"/>
      <c r="B93" s="20" t="s">
        <v>263</v>
      </c>
      <c r="C93" s="105" t="s">
        <v>264</v>
      </c>
      <c r="D93" s="20" t="s">
        <v>20</v>
      </c>
      <c r="E93" s="20">
        <f>0.0097*1.05</f>
        <v>1.0185000000000001E-2</v>
      </c>
      <c r="F93" s="35">
        <f>E93*F89</f>
        <v>0.29943900000000001</v>
      </c>
      <c r="G93" s="21"/>
      <c r="H93" s="35"/>
      <c r="I93" s="20"/>
      <c r="J93" s="35"/>
      <c r="K93" s="20"/>
      <c r="L93" s="35"/>
      <c r="M93" s="110"/>
    </row>
    <row r="94" spans="1:13" s="22" customFormat="1" ht="16.5" customHeight="1">
      <c r="A94" s="275"/>
      <c r="B94" s="20" t="s">
        <v>225</v>
      </c>
      <c r="C94" s="105" t="s">
        <v>124</v>
      </c>
      <c r="D94" s="20" t="s">
        <v>80</v>
      </c>
      <c r="E94" s="20">
        <v>1.22</v>
      </c>
      <c r="F94" s="35">
        <f>E94*F89</f>
        <v>35.867999999999995</v>
      </c>
      <c r="G94" s="120"/>
      <c r="H94" s="35"/>
      <c r="I94" s="20"/>
      <c r="J94" s="35"/>
      <c r="K94" s="26"/>
      <c r="L94" s="26"/>
      <c r="M94" s="26"/>
    </row>
    <row r="95" spans="1:13" s="22" customFormat="1" ht="16.5" customHeight="1">
      <c r="A95" s="276"/>
      <c r="B95" s="20" t="s">
        <v>453</v>
      </c>
      <c r="C95" s="105" t="s">
        <v>266</v>
      </c>
      <c r="D95" s="20" t="s">
        <v>80</v>
      </c>
      <c r="E95" s="20">
        <v>7.0000000000000007E-2</v>
      </c>
      <c r="F95" s="35">
        <f>E95*F89</f>
        <v>2.0580000000000003</v>
      </c>
      <c r="G95" s="110"/>
      <c r="H95" s="35"/>
      <c r="I95" s="20"/>
      <c r="J95" s="35"/>
      <c r="K95" s="20"/>
      <c r="L95" s="35"/>
      <c r="M95" s="110"/>
    </row>
    <row r="96" spans="1:13" s="22" customFormat="1" ht="28.5" customHeight="1">
      <c r="A96" s="274" t="s">
        <v>243</v>
      </c>
      <c r="B96" s="172" t="s">
        <v>328</v>
      </c>
      <c r="C96" s="105" t="s">
        <v>329</v>
      </c>
      <c r="D96" s="149" t="s">
        <v>24</v>
      </c>
      <c r="E96" s="108"/>
      <c r="F96" s="35">
        <v>293.7</v>
      </c>
      <c r="G96" s="155"/>
      <c r="H96" s="40"/>
      <c r="I96" s="40"/>
      <c r="J96" s="40"/>
      <c r="K96" s="40"/>
      <c r="L96" s="40"/>
      <c r="M96" s="40"/>
    </row>
    <row r="97" spans="1:15" s="22" customFormat="1" ht="13.5" customHeight="1">
      <c r="A97" s="275"/>
      <c r="B97" s="15"/>
      <c r="C97" s="105" t="s">
        <v>19</v>
      </c>
      <c r="D97" s="20" t="s">
        <v>15</v>
      </c>
      <c r="E97" s="20">
        <f>0.033*1.15</f>
        <v>3.7949999999999998E-2</v>
      </c>
      <c r="F97" s="35">
        <f>E97*F96</f>
        <v>11.145914999999999</v>
      </c>
      <c r="G97" s="21"/>
      <c r="H97" s="35"/>
      <c r="I97" s="110"/>
      <c r="J97" s="35"/>
      <c r="K97" s="20"/>
      <c r="L97" s="35"/>
      <c r="M97" s="110"/>
    </row>
    <row r="98" spans="1:15" s="22" customFormat="1" ht="13.5" customHeight="1">
      <c r="A98" s="275"/>
      <c r="B98" s="15" t="s">
        <v>259</v>
      </c>
      <c r="C98" s="105" t="s">
        <v>260</v>
      </c>
      <c r="D98" s="20" t="s">
        <v>20</v>
      </c>
      <c r="E98" s="20">
        <f>0.42/1000*1.05</f>
        <v>4.4099999999999999E-4</v>
      </c>
      <c r="F98" s="35">
        <f>E98*F96</f>
        <v>0.12952169999999999</v>
      </c>
      <c r="G98" s="21"/>
      <c r="H98" s="35"/>
      <c r="I98" s="20"/>
      <c r="J98" s="35"/>
      <c r="K98" s="20"/>
      <c r="L98" s="35"/>
      <c r="M98" s="110"/>
    </row>
    <row r="99" spans="1:15" s="22" customFormat="1" ht="13.5" customHeight="1">
      <c r="A99" s="275"/>
      <c r="B99" s="15" t="s">
        <v>102</v>
      </c>
      <c r="C99" s="105" t="s">
        <v>121</v>
      </c>
      <c r="D99" s="20" t="s">
        <v>20</v>
      </c>
      <c r="E99" s="20">
        <f>0.00258*1.05</f>
        <v>2.709E-3</v>
      </c>
      <c r="F99" s="35">
        <f>E99*F96</f>
        <v>0.79563329999999999</v>
      </c>
      <c r="G99" s="21"/>
      <c r="H99" s="35"/>
      <c r="I99" s="20"/>
      <c r="J99" s="35"/>
      <c r="K99" s="193"/>
      <c r="L99" s="35"/>
      <c r="M99" s="110"/>
    </row>
    <row r="100" spans="1:15" s="22" customFormat="1" ht="13.5" customHeight="1">
      <c r="A100" s="275"/>
      <c r="B100" s="15" t="s">
        <v>269</v>
      </c>
      <c r="C100" s="105" t="s">
        <v>270</v>
      </c>
      <c r="D100" s="20" t="s">
        <v>20</v>
      </c>
      <c r="E100" s="20">
        <f>0.0112*1.05</f>
        <v>1.176E-2</v>
      </c>
      <c r="F100" s="35">
        <f>E100*F96</f>
        <v>3.4539119999999999</v>
      </c>
      <c r="G100" s="21"/>
      <c r="H100" s="35"/>
      <c r="I100" s="20"/>
      <c r="J100" s="35"/>
      <c r="K100" s="20"/>
      <c r="L100" s="35"/>
      <c r="M100" s="110"/>
    </row>
    <row r="101" spans="1:15" s="22" customFormat="1" ht="13.5" customHeight="1">
      <c r="A101" s="275"/>
      <c r="B101" s="15" t="s">
        <v>271</v>
      </c>
      <c r="C101" s="105" t="s">
        <v>272</v>
      </c>
      <c r="D101" s="20" t="s">
        <v>20</v>
      </c>
      <c r="E101" s="20">
        <f>0.0248*1.05</f>
        <v>2.6040000000000001E-2</v>
      </c>
      <c r="F101" s="35">
        <f>E101*F96</f>
        <v>7.6479479999999995</v>
      </c>
      <c r="G101" s="21"/>
      <c r="H101" s="35"/>
      <c r="I101" s="20"/>
      <c r="J101" s="35"/>
      <c r="K101" s="110"/>
      <c r="L101" s="35"/>
      <c r="M101" s="110"/>
    </row>
    <row r="102" spans="1:15" s="22" customFormat="1" ht="13.5" customHeight="1">
      <c r="A102" s="275"/>
      <c r="B102" s="15" t="s">
        <v>263</v>
      </c>
      <c r="C102" s="105" t="s">
        <v>264</v>
      </c>
      <c r="D102" s="20" t="s">
        <v>20</v>
      </c>
      <c r="E102" s="20">
        <f>0.00414*1.05</f>
        <v>4.3470000000000002E-3</v>
      </c>
      <c r="F102" s="35">
        <f>E102*F96</f>
        <v>1.2767139000000001</v>
      </c>
      <c r="G102" s="21"/>
      <c r="H102" s="35"/>
      <c r="I102" s="20"/>
      <c r="J102" s="35"/>
      <c r="K102" s="20"/>
      <c r="L102" s="35"/>
      <c r="M102" s="110"/>
    </row>
    <row r="103" spans="1:15" s="22" customFormat="1" ht="13.5" customHeight="1">
      <c r="A103" s="275"/>
      <c r="B103" s="15" t="s">
        <v>273</v>
      </c>
      <c r="C103" s="105" t="s">
        <v>274</v>
      </c>
      <c r="D103" s="20" t="s">
        <v>20</v>
      </c>
      <c r="E103" s="20">
        <f>0.00053*1.05</f>
        <v>5.5650000000000003E-4</v>
      </c>
      <c r="F103" s="35">
        <f>E103*F96</f>
        <v>0.16344405000000001</v>
      </c>
      <c r="G103" s="21"/>
      <c r="H103" s="35"/>
      <c r="I103" s="20"/>
      <c r="J103" s="35"/>
      <c r="K103" s="20"/>
      <c r="L103" s="35"/>
      <c r="M103" s="110"/>
    </row>
    <row r="104" spans="1:15" s="22" customFormat="1" ht="13.5" customHeight="1">
      <c r="A104" s="275"/>
      <c r="B104" s="15" t="s">
        <v>225</v>
      </c>
      <c r="C104" s="105" t="s">
        <v>330</v>
      </c>
      <c r="D104" s="20" t="s">
        <v>80</v>
      </c>
      <c r="E104" s="20">
        <f>(189-12.6*5)*0.001</f>
        <v>0.126</v>
      </c>
      <c r="F104" s="35">
        <f>E104*F96</f>
        <v>37.0062</v>
      </c>
      <c r="G104" s="88"/>
      <c r="H104" s="35"/>
      <c r="I104" s="20"/>
      <c r="J104" s="35"/>
      <c r="K104" s="26"/>
      <c r="L104" s="35"/>
      <c r="M104" s="110"/>
    </row>
    <row r="105" spans="1:15" s="22" customFormat="1" ht="13.5" customHeight="1">
      <c r="A105" s="276"/>
      <c r="B105" s="15" t="s">
        <v>453</v>
      </c>
      <c r="C105" s="105" t="s">
        <v>266</v>
      </c>
      <c r="D105" s="20" t="s">
        <v>80</v>
      </c>
      <c r="E105" s="110">
        <v>0.05</v>
      </c>
      <c r="F105" s="35">
        <f>E105*F96</f>
        <v>14.685</v>
      </c>
      <c r="G105" s="35"/>
      <c r="H105" s="35"/>
      <c r="I105" s="20"/>
      <c r="J105" s="35"/>
      <c r="K105" s="20"/>
      <c r="L105" s="35"/>
      <c r="M105" s="110"/>
    </row>
    <row r="106" spans="1:15" s="22" customFormat="1" ht="36" customHeight="1">
      <c r="A106" s="274" t="s">
        <v>254</v>
      </c>
      <c r="B106" s="25" t="s">
        <v>331</v>
      </c>
      <c r="C106" s="105" t="s">
        <v>332</v>
      </c>
      <c r="D106" s="149" t="s">
        <v>24</v>
      </c>
      <c r="E106" s="20"/>
      <c r="F106" s="88">
        <v>267</v>
      </c>
      <c r="G106" s="39"/>
      <c r="H106" s="40"/>
      <c r="I106" s="23"/>
      <c r="J106" s="16"/>
      <c r="K106" s="23"/>
      <c r="L106" s="16"/>
      <c r="M106" s="16"/>
      <c r="O106" s="22">
        <f>15/0.12</f>
        <v>125</v>
      </c>
    </row>
    <row r="107" spans="1:15" s="22" customFormat="1" ht="13.5" customHeight="1">
      <c r="A107" s="275"/>
      <c r="B107" s="25"/>
      <c r="C107" s="105" t="s">
        <v>595</v>
      </c>
      <c r="D107" s="20" t="s">
        <v>15</v>
      </c>
      <c r="E107" s="165">
        <f>(0.406-0.00464*8)*1.15</f>
        <v>0.42421200000000003</v>
      </c>
      <c r="F107" s="35">
        <f>E107*F106</f>
        <v>113.26460400000001</v>
      </c>
      <c r="G107" s="21"/>
      <c r="H107" s="35"/>
      <c r="I107" s="110"/>
      <c r="J107" s="35"/>
      <c r="K107" s="20"/>
      <c r="L107" s="35"/>
      <c r="M107" s="110"/>
    </row>
    <row r="108" spans="1:15" s="22" customFormat="1" ht="13.5" customHeight="1">
      <c r="A108" s="275"/>
      <c r="B108" s="15" t="s">
        <v>263</v>
      </c>
      <c r="C108" s="105" t="s">
        <v>264</v>
      </c>
      <c r="D108" s="20" t="s">
        <v>20</v>
      </c>
      <c r="E108" s="20">
        <f>0.0226*1.05</f>
        <v>2.3730000000000001E-2</v>
      </c>
      <c r="F108" s="35">
        <f>E108*F106</f>
        <v>6.3359100000000002</v>
      </c>
      <c r="G108" s="21"/>
      <c r="H108" s="35"/>
      <c r="I108" s="20"/>
      <c r="J108" s="35"/>
      <c r="K108" s="20"/>
      <c r="L108" s="35"/>
      <c r="M108" s="110"/>
    </row>
    <row r="109" spans="1:15" s="22" customFormat="1" ht="13.5" customHeight="1">
      <c r="A109" s="275"/>
      <c r="B109" s="25"/>
      <c r="C109" s="38" t="s">
        <v>28</v>
      </c>
      <c r="D109" s="20" t="s">
        <v>16</v>
      </c>
      <c r="E109" s="20">
        <f>0.0135-0.0001*8</f>
        <v>1.2699999999999999E-2</v>
      </c>
      <c r="F109" s="5">
        <f>E109*F106</f>
        <v>3.3908999999999998</v>
      </c>
      <c r="G109" s="39"/>
      <c r="H109" s="37"/>
      <c r="I109" s="27"/>
      <c r="J109" s="27"/>
      <c r="K109" s="150"/>
      <c r="L109" s="35"/>
      <c r="M109" s="110"/>
    </row>
    <row r="110" spans="1:15" s="22" customFormat="1" ht="13.5" customHeight="1">
      <c r="A110" s="275"/>
      <c r="B110" s="25" t="s">
        <v>225</v>
      </c>
      <c r="C110" s="105" t="s">
        <v>333</v>
      </c>
      <c r="D110" s="20" t="s">
        <v>80</v>
      </c>
      <c r="E110" s="106">
        <f>0.204-0.0102*8</f>
        <v>0.12239999999999998</v>
      </c>
      <c r="F110" s="35">
        <f>E110*F106</f>
        <v>32.680799999999998</v>
      </c>
      <c r="G110" s="88"/>
      <c r="H110" s="35"/>
      <c r="I110" s="35"/>
      <c r="J110" s="104"/>
      <c r="K110" s="26"/>
      <c r="L110" s="26"/>
      <c r="M110" s="26"/>
    </row>
    <row r="111" spans="1:15" s="22" customFormat="1" ht="13.5" customHeight="1">
      <c r="A111" s="276"/>
      <c r="B111" s="25" t="s">
        <v>300</v>
      </c>
      <c r="C111" s="105" t="s">
        <v>334</v>
      </c>
      <c r="D111" s="149" t="s">
        <v>17</v>
      </c>
      <c r="E111" s="37">
        <f>(0.23-0.01*8)*0.001</f>
        <v>1.5000000000000001E-4</v>
      </c>
      <c r="F111" s="108">
        <f>E111*F106</f>
        <v>4.0050000000000002E-2</v>
      </c>
      <c r="G111" s="88"/>
      <c r="H111" s="35"/>
      <c r="I111" s="37"/>
      <c r="J111" s="40"/>
      <c r="K111" s="37"/>
      <c r="L111" s="37"/>
      <c r="M111" s="35"/>
    </row>
    <row r="112" spans="1:15" s="22" customFormat="1" ht="13.5" customHeight="1">
      <c r="A112" s="274"/>
      <c r="B112" s="25" t="s">
        <v>495</v>
      </c>
      <c r="C112" s="38" t="s">
        <v>335</v>
      </c>
      <c r="D112" s="20" t="s">
        <v>80</v>
      </c>
      <c r="E112" s="20">
        <v>0.04</v>
      </c>
      <c r="F112" s="35">
        <f>E112*F106</f>
        <v>10.68</v>
      </c>
      <c r="G112" s="39"/>
      <c r="H112" s="35"/>
      <c r="I112" s="27"/>
      <c r="J112" s="27"/>
      <c r="K112" s="27"/>
      <c r="L112" s="26"/>
      <c r="M112" s="35"/>
    </row>
    <row r="113" spans="1:16" s="22" customFormat="1" ht="13.5" customHeight="1">
      <c r="A113" s="275"/>
      <c r="B113" s="25" t="s">
        <v>440</v>
      </c>
      <c r="C113" s="105" t="s">
        <v>234</v>
      </c>
      <c r="D113" s="20" t="s">
        <v>24</v>
      </c>
      <c r="E113" s="203">
        <f>0.0117-0.00059*8</f>
        <v>6.9800000000000001E-3</v>
      </c>
      <c r="F113" s="35">
        <f>E113*F106</f>
        <v>1.8636600000000001</v>
      </c>
      <c r="G113" s="18"/>
      <c r="H113" s="35"/>
      <c r="I113" s="88"/>
      <c r="J113" s="35"/>
      <c r="K113" s="26"/>
      <c r="L113" s="35"/>
      <c r="M113" s="26"/>
    </row>
    <row r="114" spans="1:16" s="22" customFormat="1" ht="13.5" customHeight="1">
      <c r="A114" s="275"/>
      <c r="B114" s="15" t="s">
        <v>453</v>
      </c>
      <c r="C114" s="105" t="s">
        <v>266</v>
      </c>
      <c r="D114" s="20" t="s">
        <v>80</v>
      </c>
      <c r="E114" s="204">
        <v>0.17799999999999999</v>
      </c>
      <c r="F114" s="35">
        <f>E114*F106</f>
        <v>47.525999999999996</v>
      </c>
      <c r="G114" s="35"/>
      <c r="H114" s="35"/>
      <c r="I114" s="20"/>
      <c r="J114" s="35"/>
      <c r="K114" s="20"/>
      <c r="L114" s="35"/>
      <c r="M114" s="110"/>
    </row>
    <row r="115" spans="1:16" s="22" customFormat="1" ht="13.5" customHeight="1">
      <c r="A115" s="276"/>
      <c r="B115" s="25"/>
      <c r="C115" s="38" t="s">
        <v>336</v>
      </c>
      <c r="D115" s="20" t="s">
        <v>337</v>
      </c>
      <c r="E115" s="20">
        <f>(6.4-0.19*8)*0.001</f>
        <v>4.8800000000000007E-3</v>
      </c>
      <c r="F115" s="108">
        <f>E115*F106</f>
        <v>1.3029600000000001</v>
      </c>
      <c r="G115" s="150"/>
      <c r="H115" s="35"/>
      <c r="I115" s="27"/>
      <c r="J115" s="27"/>
      <c r="K115" s="27"/>
      <c r="L115" s="26"/>
      <c r="M115" s="110"/>
    </row>
    <row r="116" spans="1:16" s="22" customFormat="1" ht="29.25" customHeight="1">
      <c r="A116" s="274" t="s">
        <v>255</v>
      </c>
      <c r="B116" s="20" t="s">
        <v>287</v>
      </c>
      <c r="C116" s="105" t="s">
        <v>288</v>
      </c>
      <c r="D116" s="20" t="s">
        <v>24</v>
      </c>
      <c r="E116" s="37"/>
      <c r="F116" s="88">
        <v>267</v>
      </c>
      <c r="G116" s="37"/>
      <c r="H116" s="40"/>
      <c r="I116" s="40"/>
      <c r="J116" s="40"/>
      <c r="K116" s="194"/>
      <c r="L116" s="194"/>
      <c r="M116" s="40"/>
    </row>
    <row r="117" spans="1:16" s="22" customFormat="1" ht="13.5" customHeight="1">
      <c r="A117" s="275"/>
      <c r="B117" s="20"/>
      <c r="C117" s="105" t="s">
        <v>19</v>
      </c>
      <c r="D117" s="20" t="s">
        <v>15</v>
      </c>
      <c r="E117" s="21">
        <f>0.0117*1.15</f>
        <v>1.3455E-2</v>
      </c>
      <c r="F117" s="35">
        <f>E117*F116</f>
        <v>3.5924849999999999</v>
      </c>
      <c r="G117" s="21"/>
      <c r="H117" s="35"/>
      <c r="I117" s="110"/>
      <c r="J117" s="35"/>
      <c r="K117" s="20"/>
      <c r="L117" s="35"/>
      <c r="M117" s="110"/>
    </row>
    <row r="118" spans="1:16" s="22" customFormat="1" ht="35.25" customHeight="1">
      <c r="A118" s="276"/>
      <c r="B118" s="25" t="s">
        <v>455</v>
      </c>
      <c r="C118" s="105" t="s">
        <v>289</v>
      </c>
      <c r="D118" s="149" t="s">
        <v>77</v>
      </c>
      <c r="E118" s="66"/>
      <c r="F118" s="88">
        <f>F116*10</f>
        <v>2670</v>
      </c>
      <c r="G118" s="37"/>
      <c r="H118" s="35"/>
      <c r="I118" s="35"/>
      <c r="J118" s="40"/>
      <c r="K118" s="194"/>
      <c r="L118" s="194"/>
      <c r="M118" s="35"/>
    </row>
    <row r="119" spans="1:16" s="22" customFormat="1">
      <c r="A119" s="25"/>
      <c r="B119" s="31"/>
      <c r="C119" s="32" t="s">
        <v>11</v>
      </c>
      <c r="D119" s="33" t="s">
        <v>16</v>
      </c>
      <c r="E119" s="26"/>
      <c r="F119" s="26"/>
      <c r="G119" s="28"/>
      <c r="H119" s="26"/>
      <c r="I119" s="27"/>
      <c r="J119" s="26"/>
      <c r="K119" s="27"/>
      <c r="L119" s="26"/>
      <c r="M119" s="29"/>
      <c r="N119"/>
      <c r="O119"/>
    </row>
    <row r="120" spans="1:16" s="22" customFormat="1">
      <c r="A120" s="25"/>
      <c r="B120" s="31"/>
      <c r="C120" s="32" t="s">
        <v>25</v>
      </c>
      <c r="D120" s="33" t="s">
        <v>26</v>
      </c>
      <c r="E120" s="18">
        <v>10</v>
      </c>
      <c r="F120" s="26"/>
      <c r="G120" s="28"/>
      <c r="H120" s="26"/>
      <c r="I120" s="27"/>
      <c r="J120" s="26"/>
      <c r="K120" s="27"/>
      <c r="L120" s="26"/>
      <c r="M120" s="29"/>
      <c r="N120"/>
      <c r="O120" s="17"/>
    </row>
    <row r="121" spans="1:16" s="22" customFormat="1">
      <c r="A121" s="25"/>
      <c r="B121" s="31"/>
      <c r="C121" s="32" t="s">
        <v>11</v>
      </c>
      <c r="D121" s="33" t="s">
        <v>16</v>
      </c>
      <c r="E121" s="18"/>
      <c r="F121" s="26"/>
      <c r="G121" s="28"/>
      <c r="H121" s="26"/>
      <c r="I121" s="27"/>
      <c r="J121" s="26"/>
      <c r="K121" s="27"/>
      <c r="L121" s="26"/>
      <c r="M121" s="29"/>
      <c r="N121"/>
      <c r="O121"/>
    </row>
    <row r="122" spans="1:16" s="22" customFormat="1">
      <c r="A122" s="25"/>
      <c r="B122" s="31"/>
      <c r="C122" s="32" t="s">
        <v>27</v>
      </c>
      <c r="D122" s="33" t="s">
        <v>26</v>
      </c>
      <c r="E122" s="18">
        <v>8</v>
      </c>
      <c r="F122" s="26"/>
      <c r="G122" s="28"/>
      <c r="H122" s="26"/>
      <c r="I122" s="27"/>
      <c r="J122" s="26"/>
      <c r="K122" s="27"/>
      <c r="L122" s="26"/>
      <c r="M122" s="29"/>
      <c r="N122"/>
      <c r="O122" s="17">
        <f>M116+M106+M96+M89+M88+M84+M79+M76+M74+M70+M65+M63+M57+M54+M47+M36+M31+M28+M27+M23+M21+M18+M14+M12</f>
        <v>0</v>
      </c>
      <c r="P122" s="34">
        <v>0</v>
      </c>
    </row>
    <row r="123" spans="1:16" s="22" customFormat="1">
      <c r="A123" s="25"/>
      <c r="B123" s="31"/>
      <c r="C123" s="32" t="s">
        <v>11</v>
      </c>
      <c r="D123" s="33" t="s">
        <v>16</v>
      </c>
      <c r="E123" s="18"/>
      <c r="F123" s="26"/>
      <c r="G123" s="28"/>
      <c r="H123" s="26"/>
      <c r="I123" s="27"/>
      <c r="J123" s="26"/>
      <c r="K123" s="27"/>
      <c r="L123" s="26"/>
      <c r="M123" s="29"/>
      <c r="N123"/>
      <c r="O123"/>
    </row>
    <row r="124" spans="1:16" s="22" customFormat="1" ht="13.5">
      <c r="A124" s="3"/>
      <c r="B124" s="3"/>
      <c r="C124" s="2"/>
      <c r="D124" s="3"/>
      <c r="E124" s="3"/>
      <c r="F124" s="34"/>
      <c r="G124" s="34"/>
      <c r="H124" s="34"/>
      <c r="I124" s="34"/>
      <c r="J124" s="34"/>
      <c r="K124" s="34"/>
      <c r="L124" s="34"/>
      <c r="M124" s="34"/>
    </row>
    <row r="125" spans="1:16" s="22" customFormat="1" ht="13.5">
      <c r="A125" s="3"/>
      <c r="B125" s="3"/>
      <c r="C125" s="2"/>
      <c r="D125" s="3"/>
      <c r="E125" s="3"/>
      <c r="F125" s="34"/>
      <c r="G125" s="34"/>
      <c r="H125" s="34"/>
      <c r="I125" s="34"/>
      <c r="J125" s="34"/>
      <c r="K125" s="34"/>
      <c r="L125" s="34"/>
      <c r="M125" s="34"/>
    </row>
    <row r="126" spans="1:16" s="22" customFormat="1" ht="13.5">
      <c r="A126" s="3"/>
      <c r="B126" s="3"/>
      <c r="C126" s="2"/>
      <c r="D126" s="3"/>
      <c r="E126" s="3"/>
      <c r="F126" s="34"/>
      <c r="G126" s="34"/>
      <c r="H126" s="34"/>
      <c r="I126" s="34"/>
      <c r="J126" s="34"/>
      <c r="K126" s="34"/>
      <c r="L126" s="34"/>
      <c r="M126" s="34"/>
    </row>
    <row r="127" spans="1:16" s="22" customFormat="1" ht="13.5">
      <c r="A127" s="3"/>
      <c r="B127" s="3"/>
      <c r="C127" s="2" t="s">
        <v>521</v>
      </c>
      <c r="D127" s="265"/>
      <c r="E127" s="265"/>
      <c r="F127" s="34"/>
      <c r="G127" s="34"/>
      <c r="H127" s="266" t="s">
        <v>522</v>
      </c>
      <c r="I127" s="266"/>
      <c r="J127" s="34"/>
      <c r="K127" s="34"/>
      <c r="L127" s="34"/>
      <c r="M127" s="34"/>
    </row>
    <row r="128" spans="1:16" s="22" customFormat="1" ht="13.5">
      <c r="A128" s="3"/>
      <c r="B128" s="3"/>
      <c r="C128" s="2"/>
      <c r="D128" s="3"/>
      <c r="E128" s="3"/>
      <c r="F128" s="34"/>
      <c r="G128" s="34"/>
      <c r="H128" s="34"/>
      <c r="I128" s="34"/>
      <c r="J128" s="34"/>
      <c r="K128" s="34"/>
      <c r="L128" s="34"/>
      <c r="M128" s="34"/>
    </row>
    <row r="129" spans="1:13" s="22" customFormat="1" ht="13.5">
      <c r="A129" s="3"/>
      <c r="B129" s="3"/>
      <c r="C129" s="2"/>
      <c r="D129" s="3"/>
      <c r="E129" s="3"/>
      <c r="F129" s="34"/>
      <c r="G129" s="34"/>
      <c r="H129" s="34"/>
      <c r="I129" s="34"/>
      <c r="J129" s="34"/>
      <c r="K129" s="34"/>
      <c r="L129" s="34"/>
      <c r="M129" s="34"/>
    </row>
    <row r="130" spans="1:13" s="22" customFormat="1" ht="13.5">
      <c r="A130" s="3"/>
      <c r="B130" s="3"/>
      <c r="C130" s="2"/>
      <c r="D130" s="3"/>
      <c r="E130" s="3"/>
      <c r="F130" s="34"/>
      <c r="G130" s="34"/>
      <c r="H130" s="34"/>
      <c r="I130" s="34"/>
      <c r="J130" s="34"/>
      <c r="K130" s="34"/>
      <c r="L130" s="34"/>
      <c r="M130" s="34"/>
    </row>
    <row r="131" spans="1:13" s="22" customFormat="1" ht="13.5">
      <c r="A131" s="3"/>
      <c r="B131" s="3"/>
      <c r="C131" s="2"/>
      <c r="D131" s="3"/>
      <c r="E131" s="3"/>
      <c r="F131" s="34"/>
      <c r="G131" s="34"/>
      <c r="H131" s="34"/>
      <c r="I131" s="34"/>
      <c r="J131" s="34"/>
      <c r="K131" s="34"/>
      <c r="L131" s="34"/>
      <c r="M131" s="34"/>
    </row>
    <row r="132" spans="1:13" s="22" customFormat="1" ht="13.5">
      <c r="A132" s="3"/>
      <c r="B132" s="3"/>
      <c r="C132" s="2"/>
      <c r="D132" s="3"/>
      <c r="E132" s="3"/>
      <c r="F132" s="34"/>
      <c r="G132" s="34"/>
      <c r="H132" s="34"/>
      <c r="I132" s="34"/>
      <c r="J132" s="34"/>
      <c r="K132" s="34"/>
      <c r="L132" s="34"/>
      <c r="M132" s="34"/>
    </row>
    <row r="133" spans="1:13" s="22" customFormat="1" ht="13.5">
      <c r="A133" s="3"/>
      <c r="B133" s="3"/>
      <c r="C133" s="2"/>
      <c r="D133" s="3"/>
      <c r="E133" s="3"/>
      <c r="F133" s="34"/>
      <c r="G133" s="34"/>
      <c r="H133" s="34"/>
      <c r="I133" s="34"/>
      <c r="J133" s="34"/>
      <c r="K133" s="34"/>
      <c r="L133" s="34"/>
      <c r="M133" s="34"/>
    </row>
    <row r="134" spans="1:13" s="22" customFormat="1" ht="13.5">
      <c r="A134" s="3"/>
      <c r="B134" s="3"/>
      <c r="C134" s="2"/>
      <c r="D134" s="3"/>
      <c r="E134" s="3"/>
      <c r="F134" s="34"/>
      <c r="G134" s="34"/>
      <c r="H134" s="34"/>
      <c r="I134" s="34"/>
      <c r="J134" s="34"/>
      <c r="K134" s="34"/>
      <c r="L134" s="34"/>
      <c r="M134" s="34"/>
    </row>
    <row r="135" spans="1:13" s="22" customFormat="1" ht="13.5">
      <c r="A135" s="3"/>
      <c r="B135" s="3"/>
      <c r="C135" s="2"/>
      <c r="D135" s="3"/>
      <c r="E135" s="3"/>
      <c r="F135" s="34"/>
      <c r="G135" s="34"/>
      <c r="H135" s="34"/>
      <c r="I135" s="34"/>
      <c r="J135" s="34"/>
      <c r="K135" s="34"/>
      <c r="L135" s="34"/>
      <c r="M135" s="34"/>
    </row>
    <row r="136" spans="1:13" s="22" customFormat="1" ht="13.5">
      <c r="A136" s="3"/>
      <c r="B136" s="3"/>
      <c r="C136" s="2"/>
      <c r="D136" s="3"/>
      <c r="E136" s="3"/>
      <c r="F136" s="34"/>
      <c r="G136" s="34"/>
      <c r="H136" s="34"/>
      <c r="I136" s="34"/>
      <c r="J136" s="34"/>
      <c r="K136" s="34"/>
      <c r="L136" s="34"/>
      <c r="M136" s="34"/>
    </row>
    <row r="137" spans="1:13" s="22" customFormat="1" ht="13.5">
      <c r="A137" s="3"/>
      <c r="B137" s="3"/>
      <c r="C137" s="2"/>
      <c r="D137" s="3"/>
      <c r="E137" s="3"/>
      <c r="F137" s="34"/>
      <c r="G137" s="34"/>
      <c r="H137" s="34"/>
      <c r="I137" s="34"/>
      <c r="J137" s="34"/>
      <c r="K137" s="34"/>
      <c r="L137" s="34"/>
      <c r="M137" s="34"/>
    </row>
    <row r="138" spans="1:13" s="22" customFormat="1" ht="13.5">
      <c r="A138" s="3"/>
      <c r="B138" s="3"/>
      <c r="C138" s="2"/>
      <c r="D138" s="3"/>
      <c r="E138" s="3"/>
      <c r="F138" s="34"/>
      <c r="G138" s="34"/>
      <c r="H138" s="34"/>
      <c r="I138" s="34"/>
      <c r="J138" s="34"/>
      <c r="K138" s="34"/>
      <c r="L138" s="34"/>
      <c r="M138" s="34"/>
    </row>
    <row r="139" spans="1:13" s="22" customFormat="1" ht="13.5">
      <c r="A139" s="3"/>
      <c r="B139" s="3"/>
      <c r="C139" s="2"/>
      <c r="D139" s="3"/>
      <c r="E139" s="3"/>
      <c r="F139" s="34"/>
      <c r="G139" s="34"/>
      <c r="H139" s="34"/>
      <c r="I139" s="34"/>
      <c r="J139" s="34"/>
      <c r="K139" s="34"/>
      <c r="L139" s="34"/>
      <c r="M139" s="34"/>
    </row>
    <row r="140" spans="1:13" s="22" customFormat="1" ht="13.5">
      <c r="A140" s="3"/>
      <c r="B140" s="3"/>
      <c r="C140" s="2"/>
      <c r="D140" s="3"/>
      <c r="E140" s="3"/>
      <c r="F140" s="34"/>
      <c r="G140" s="34"/>
      <c r="H140" s="34"/>
      <c r="I140" s="34"/>
      <c r="J140" s="34"/>
      <c r="K140" s="34"/>
      <c r="L140" s="34"/>
      <c r="M140" s="34"/>
    </row>
    <row r="141" spans="1:13" s="22" customFormat="1" ht="13.5">
      <c r="A141" s="3"/>
      <c r="B141" s="3"/>
      <c r="C141" s="2"/>
      <c r="D141" s="3"/>
      <c r="E141" s="3"/>
      <c r="F141" s="34"/>
      <c r="G141" s="34"/>
      <c r="H141" s="34"/>
      <c r="I141" s="34"/>
      <c r="J141" s="34"/>
      <c r="K141" s="34"/>
      <c r="L141" s="34"/>
      <c r="M141" s="34"/>
    </row>
    <row r="142" spans="1:13" s="22" customFormat="1" ht="13.5">
      <c r="A142" s="3"/>
      <c r="B142" s="3"/>
      <c r="C142" s="2"/>
      <c r="D142" s="3"/>
      <c r="E142" s="3"/>
      <c r="F142" s="34"/>
      <c r="G142" s="34"/>
      <c r="H142" s="34"/>
      <c r="I142" s="34"/>
      <c r="J142" s="34"/>
      <c r="K142" s="34"/>
      <c r="L142" s="34"/>
      <c r="M142" s="34"/>
    </row>
    <row r="143" spans="1:13" s="22" customFormat="1" ht="13.5">
      <c r="A143" s="3"/>
      <c r="B143" s="3"/>
      <c r="C143" s="2"/>
      <c r="D143" s="3"/>
      <c r="E143" s="3"/>
      <c r="F143" s="34"/>
      <c r="G143" s="34"/>
      <c r="H143" s="34"/>
      <c r="I143" s="34"/>
      <c r="J143" s="34"/>
      <c r="K143" s="34"/>
      <c r="L143" s="34"/>
      <c r="M143" s="34"/>
    </row>
    <row r="144" spans="1:13" s="22" customFormat="1" ht="13.5">
      <c r="A144" s="3"/>
      <c r="B144" s="3"/>
      <c r="C144" s="2"/>
      <c r="D144" s="3"/>
      <c r="E144" s="3"/>
      <c r="F144" s="34"/>
      <c r="G144" s="34"/>
      <c r="H144" s="34"/>
      <c r="I144" s="34"/>
      <c r="J144" s="34"/>
      <c r="K144" s="34"/>
      <c r="L144" s="34"/>
      <c r="M144" s="34"/>
    </row>
    <row r="145" spans="1:13" s="22" customFormat="1" ht="13.5">
      <c r="A145" s="3"/>
      <c r="B145" s="3"/>
      <c r="C145" s="2"/>
      <c r="D145" s="3"/>
      <c r="E145" s="3"/>
      <c r="F145" s="34"/>
      <c r="G145" s="34"/>
      <c r="H145" s="34"/>
      <c r="I145" s="34"/>
      <c r="J145" s="34"/>
      <c r="K145" s="34"/>
      <c r="L145" s="34"/>
      <c r="M145" s="34"/>
    </row>
    <row r="146" spans="1:13" s="22" customFormat="1" ht="13.5">
      <c r="A146" s="3"/>
      <c r="B146" s="3"/>
      <c r="C146" s="2"/>
      <c r="D146" s="3"/>
      <c r="E146" s="3"/>
      <c r="F146" s="34"/>
      <c r="G146" s="34"/>
      <c r="H146" s="34"/>
      <c r="I146" s="34"/>
      <c r="J146" s="34"/>
      <c r="K146" s="34"/>
      <c r="L146" s="34"/>
      <c r="M146" s="34"/>
    </row>
    <row r="147" spans="1:13" s="22" customFormat="1" ht="13.5">
      <c r="A147" s="3"/>
      <c r="B147" s="3"/>
      <c r="C147" s="2"/>
      <c r="D147" s="3"/>
      <c r="E147" s="3"/>
      <c r="F147" s="34"/>
      <c r="G147" s="34"/>
      <c r="H147" s="34"/>
      <c r="I147" s="34"/>
      <c r="J147" s="34"/>
      <c r="K147" s="34"/>
      <c r="L147" s="34"/>
      <c r="M147" s="34"/>
    </row>
    <row r="148" spans="1:13" s="22" customFormat="1" ht="13.5">
      <c r="A148" s="3"/>
      <c r="B148" s="3"/>
      <c r="C148" s="2"/>
      <c r="D148" s="3"/>
      <c r="E148" s="3"/>
      <c r="F148" s="34"/>
      <c r="G148" s="34"/>
      <c r="H148" s="34"/>
      <c r="I148" s="34"/>
      <c r="J148" s="34"/>
      <c r="K148" s="34"/>
      <c r="L148" s="34"/>
      <c r="M148" s="34"/>
    </row>
    <row r="149" spans="1:13" s="22" customFormat="1" ht="13.5">
      <c r="A149" s="3"/>
      <c r="B149" s="3"/>
      <c r="C149" s="2"/>
      <c r="D149" s="3"/>
      <c r="E149" s="3"/>
      <c r="F149" s="34"/>
      <c r="G149" s="34"/>
      <c r="H149" s="34"/>
      <c r="I149" s="34"/>
      <c r="J149" s="34"/>
      <c r="K149" s="34"/>
      <c r="L149" s="34"/>
      <c r="M149" s="34"/>
    </row>
    <row r="150" spans="1:13" s="22" customFormat="1" ht="13.5">
      <c r="A150" s="3"/>
      <c r="B150" s="3"/>
      <c r="C150" s="2"/>
      <c r="D150" s="3"/>
      <c r="E150" s="3"/>
      <c r="F150" s="34"/>
      <c r="G150" s="34"/>
      <c r="H150" s="34"/>
      <c r="I150" s="34"/>
      <c r="J150" s="34"/>
      <c r="K150" s="34"/>
      <c r="L150" s="34"/>
      <c r="M150" s="34"/>
    </row>
    <row r="151" spans="1:13" s="22" customFormat="1" ht="13.5">
      <c r="A151" s="3"/>
      <c r="B151" s="3"/>
      <c r="C151" s="2"/>
      <c r="D151" s="3"/>
      <c r="E151" s="3"/>
      <c r="F151" s="34"/>
      <c r="G151" s="34"/>
      <c r="H151" s="34"/>
      <c r="I151" s="34"/>
      <c r="J151" s="34"/>
      <c r="K151" s="34"/>
      <c r="L151" s="34"/>
      <c r="M151" s="34"/>
    </row>
    <row r="152" spans="1:13" s="22" customFormat="1" ht="13.5">
      <c r="A152" s="3"/>
      <c r="B152" s="3"/>
      <c r="C152" s="2"/>
      <c r="D152" s="3"/>
      <c r="E152" s="3"/>
      <c r="F152" s="34"/>
      <c r="G152" s="34"/>
      <c r="H152" s="34"/>
      <c r="I152" s="34"/>
      <c r="J152" s="34"/>
      <c r="K152" s="34"/>
      <c r="L152" s="34"/>
      <c r="M152" s="34"/>
    </row>
    <row r="153" spans="1:13" s="22" customFormat="1" ht="13.5">
      <c r="A153" s="3"/>
      <c r="B153" s="3"/>
      <c r="C153" s="2"/>
      <c r="D153" s="3"/>
      <c r="E153" s="3"/>
      <c r="F153" s="34"/>
      <c r="G153" s="34"/>
      <c r="H153" s="34"/>
      <c r="I153" s="34"/>
      <c r="J153" s="34"/>
      <c r="K153" s="34"/>
      <c r="L153" s="34"/>
      <c r="M153" s="34"/>
    </row>
    <row r="154" spans="1:13" s="22" customFormat="1" ht="13.5">
      <c r="A154" s="3"/>
      <c r="B154" s="3"/>
      <c r="C154" s="2"/>
      <c r="D154" s="3"/>
      <c r="E154" s="3"/>
      <c r="F154" s="34"/>
      <c r="G154" s="34"/>
      <c r="H154" s="34"/>
      <c r="I154" s="34"/>
      <c r="J154" s="34"/>
      <c r="K154" s="34"/>
      <c r="L154" s="34"/>
      <c r="M154" s="34"/>
    </row>
    <row r="155" spans="1:13" s="22" customFormat="1" ht="13.5">
      <c r="A155" s="3"/>
      <c r="B155" s="3"/>
      <c r="C155" s="2"/>
      <c r="D155" s="3"/>
      <c r="E155" s="3"/>
      <c r="F155" s="34"/>
      <c r="G155" s="34"/>
      <c r="H155" s="34"/>
      <c r="I155" s="34"/>
      <c r="J155" s="34"/>
      <c r="K155" s="34"/>
      <c r="L155" s="34"/>
      <c r="M155" s="34"/>
    </row>
    <row r="156" spans="1:13" s="22" customFormat="1" ht="13.5">
      <c r="A156" s="3"/>
      <c r="B156" s="3"/>
      <c r="C156" s="2"/>
      <c r="D156" s="3"/>
      <c r="E156" s="3"/>
      <c r="F156" s="34"/>
      <c r="G156" s="34"/>
      <c r="H156" s="34"/>
      <c r="I156" s="34"/>
      <c r="J156" s="34"/>
      <c r="K156" s="34"/>
      <c r="L156" s="34"/>
      <c r="M156" s="34"/>
    </row>
    <row r="157" spans="1:13" s="22" customFormat="1" ht="13.5">
      <c r="A157" s="3"/>
      <c r="B157" s="3"/>
      <c r="C157" s="2"/>
      <c r="D157" s="3"/>
      <c r="E157" s="3"/>
      <c r="F157" s="34"/>
      <c r="G157" s="34"/>
      <c r="H157" s="34"/>
      <c r="I157" s="34"/>
      <c r="J157" s="34"/>
      <c r="K157" s="34"/>
      <c r="L157" s="34"/>
      <c r="M157" s="34"/>
    </row>
    <row r="158" spans="1:13" s="22" customFormat="1" ht="13.5">
      <c r="A158" s="3"/>
      <c r="B158" s="3"/>
      <c r="C158" s="2"/>
      <c r="D158" s="3"/>
      <c r="E158" s="3"/>
      <c r="F158" s="34"/>
      <c r="G158" s="34"/>
      <c r="H158" s="34"/>
      <c r="I158" s="34"/>
      <c r="J158" s="34"/>
      <c r="K158" s="34"/>
      <c r="L158" s="34"/>
      <c r="M158" s="34"/>
    </row>
    <row r="159" spans="1:13" s="22" customFormat="1" ht="13.5">
      <c r="A159" s="3"/>
      <c r="B159" s="3"/>
      <c r="C159" s="2"/>
      <c r="D159" s="3"/>
      <c r="E159" s="3"/>
      <c r="F159" s="34"/>
      <c r="G159" s="34"/>
      <c r="H159" s="34"/>
      <c r="I159" s="34"/>
      <c r="J159" s="34"/>
      <c r="K159" s="34"/>
      <c r="L159" s="34"/>
      <c r="M159" s="34"/>
    </row>
    <row r="160" spans="1:13" s="22" customFormat="1" ht="13.5">
      <c r="A160" s="3"/>
      <c r="B160" s="3"/>
      <c r="C160" s="2"/>
      <c r="D160" s="3"/>
      <c r="E160" s="3"/>
      <c r="F160" s="34"/>
      <c r="G160" s="34"/>
      <c r="H160" s="34"/>
      <c r="I160" s="34"/>
      <c r="J160" s="34"/>
      <c r="K160" s="34"/>
      <c r="L160" s="34"/>
      <c r="M160" s="34"/>
    </row>
    <row r="161" spans="1:13" s="22" customFormat="1" ht="13.5">
      <c r="A161" s="3"/>
      <c r="B161" s="3"/>
      <c r="C161" s="2"/>
      <c r="D161" s="3"/>
      <c r="E161" s="3"/>
      <c r="F161" s="34"/>
      <c r="G161" s="34"/>
      <c r="H161" s="34"/>
      <c r="I161" s="34"/>
      <c r="J161" s="34"/>
      <c r="K161" s="34"/>
      <c r="L161" s="34"/>
      <c r="M161" s="34"/>
    </row>
    <row r="162" spans="1:13" s="22" customFormat="1" ht="13.5">
      <c r="A162" s="3"/>
      <c r="B162" s="3"/>
      <c r="C162" s="2"/>
      <c r="D162" s="3"/>
      <c r="E162" s="3"/>
      <c r="F162" s="34"/>
      <c r="G162" s="34"/>
      <c r="H162" s="34"/>
      <c r="I162" s="34"/>
      <c r="J162" s="34"/>
      <c r="K162" s="34"/>
      <c r="L162" s="34"/>
      <c r="M162" s="34"/>
    </row>
    <row r="163" spans="1:13" s="22" customFormat="1" ht="13.5">
      <c r="A163" s="3"/>
      <c r="B163" s="3"/>
      <c r="C163" s="2"/>
      <c r="D163" s="3"/>
      <c r="E163" s="3"/>
      <c r="F163" s="34"/>
      <c r="G163" s="34"/>
      <c r="H163" s="34"/>
      <c r="I163" s="34"/>
      <c r="J163" s="34"/>
      <c r="K163" s="34"/>
      <c r="L163" s="34"/>
      <c r="M163" s="34"/>
    </row>
    <row r="164" spans="1:13" s="22" customFormat="1" ht="13.5">
      <c r="A164" s="3"/>
      <c r="B164" s="3"/>
      <c r="C164" s="2"/>
      <c r="D164" s="3"/>
      <c r="E164" s="3"/>
      <c r="F164" s="34"/>
      <c r="G164" s="34"/>
      <c r="H164" s="34"/>
      <c r="I164" s="34"/>
      <c r="J164" s="34"/>
      <c r="K164" s="34"/>
      <c r="L164" s="34"/>
      <c r="M164" s="34"/>
    </row>
    <row r="165" spans="1:13" s="22" customFormat="1" ht="13.5">
      <c r="A165" s="3"/>
      <c r="B165" s="3"/>
      <c r="C165" s="2"/>
      <c r="D165" s="3"/>
      <c r="E165" s="3"/>
      <c r="F165" s="34"/>
      <c r="G165" s="34"/>
      <c r="H165" s="34"/>
      <c r="I165" s="34"/>
      <c r="J165" s="34"/>
      <c r="K165" s="34"/>
      <c r="L165" s="34"/>
      <c r="M165" s="34"/>
    </row>
    <row r="166" spans="1:13" s="22" customFormat="1" ht="13.5">
      <c r="A166" s="3"/>
      <c r="B166" s="3"/>
      <c r="C166" s="2"/>
      <c r="D166" s="3"/>
      <c r="E166" s="3"/>
      <c r="F166" s="34"/>
      <c r="G166" s="34"/>
      <c r="H166" s="34"/>
      <c r="I166" s="34"/>
      <c r="J166" s="34"/>
      <c r="K166" s="34"/>
      <c r="L166" s="34"/>
      <c r="M166" s="34"/>
    </row>
    <row r="167" spans="1:13" s="22" customFormat="1" ht="13.5">
      <c r="A167" s="3"/>
      <c r="B167" s="3"/>
      <c r="C167" s="2"/>
      <c r="D167" s="3"/>
      <c r="E167" s="3"/>
    </row>
    <row r="168" spans="1:13" s="22" customFormat="1" ht="13.5">
      <c r="C168" s="1"/>
    </row>
    <row r="169" spans="1:13" s="22" customFormat="1" ht="13.5">
      <c r="C169" s="1"/>
    </row>
    <row r="170" spans="1:13" s="22" customFormat="1" ht="13.5">
      <c r="C170" s="1"/>
    </row>
    <row r="171" spans="1:13" s="22" customFormat="1" ht="13.5">
      <c r="C171" s="1"/>
    </row>
    <row r="172" spans="1:13" s="22" customFormat="1" ht="13.5">
      <c r="C172" s="1"/>
    </row>
    <row r="173" spans="1:13" s="22" customFormat="1" ht="13.5">
      <c r="C173" s="1"/>
    </row>
    <row r="174" spans="1:13" s="22" customFormat="1" ht="13.5">
      <c r="C174" s="1"/>
    </row>
    <row r="175" spans="1:13" s="22" customFormat="1" ht="13.5">
      <c r="C175" s="1"/>
    </row>
    <row r="176" spans="1:13" s="22" customFormat="1" ht="13.5">
      <c r="C176" s="1"/>
    </row>
    <row r="177" spans="3:3" s="22" customFormat="1" ht="13.5">
      <c r="C177" s="1"/>
    </row>
    <row r="178" spans="3:3" s="22" customFormat="1" ht="13.5">
      <c r="C178" s="1"/>
    </row>
    <row r="179" spans="3:3" s="22" customFormat="1" ht="13.5">
      <c r="C179" s="1"/>
    </row>
    <row r="180" spans="3:3" s="22" customFormat="1" ht="13.5">
      <c r="C180" s="1"/>
    </row>
    <row r="181" spans="3:3" s="22" customFormat="1" ht="13.5">
      <c r="C181" s="1"/>
    </row>
    <row r="182" spans="3:3" s="22" customFormat="1" ht="13.5">
      <c r="C182" s="1"/>
    </row>
    <row r="183" spans="3:3" s="22" customFormat="1" ht="13.5">
      <c r="C183" s="1"/>
    </row>
    <row r="184" spans="3:3" s="22" customFormat="1" ht="13.5">
      <c r="C184" s="1"/>
    </row>
    <row r="185" spans="3:3" s="22" customFormat="1" ht="13.5">
      <c r="C185" s="1"/>
    </row>
    <row r="186" spans="3:3" s="22" customFormat="1" ht="13.5">
      <c r="C186" s="1"/>
    </row>
    <row r="187" spans="3:3" s="22" customFormat="1" ht="13.5">
      <c r="C187" s="1"/>
    </row>
    <row r="188" spans="3:3" s="22" customFormat="1" ht="13.5">
      <c r="C188" s="1"/>
    </row>
    <row r="189" spans="3:3" s="22" customFormat="1" ht="13.5">
      <c r="C189" s="1"/>
    </row>
    <row r="190" spans="3:3" s="22" customFormat="1" ht="13.5">
      <c r="C190" s="1"/>
    </row>
    <row r="191" spans="3:3" s="22" customFormat="1" ht="13.5">
      <c r="C191" s="1"/>
    </row>
    <row r="192" spans="3:3" s="22" customFormat="1" ht="13.5">
      <c r="C192" s="1"/>
    </row>
    <row r="193" spans="3:3" s="22" customFormat="1" ht="13.5">
      <c r="C193" s="1"/>
    </row>
    <row r="194" spans="3:3" s="22" customFormat="1" ht="13.5">
      <c r="C194" s="1"/>
    </row>
    <row r="195" spans="3:3" s="36" customFormat="1" ht="13.5"/>
    <row r="196" spans="3:3" s="36" customFormat="1" ht="13.5"/>
    <row r="197" spans="3:3" s="36" customFormat="1" ht="13.5"/>
    <row r="198" spans="3:3" s="36" customFormat="1" ht="13.5"/>
    <row r="199" spans="3:3" s="36" customFormat="1" ht="13.5"/>
    <row r="200" spans="3:3" s="36" customFormat="1" ht="13.5"/>
    <row r="201" spans="3:3" s="36" customFormat="1" ht="13.5"/>
    <row r="202" spans="3:3" s="36" customFormat="1" ht="13.5"/>
  </sheetData>
  <mergeCells count="36">
    <mergeCell ref="D127:E127"/>
    <mergeCell ref="H127:I127"/>
    <mergeCell ref="A112:A115"/>
    <mergeCell ref="A116:A118"/>
    <mergeCell ref="A14:A16"/>
    <mergeCell ref="A18:A20"/>
    <mergeCell ref="A21:A22"/>
    <mergeCell ref="A23:A27"/>
    <mergeCell ref="A47:A52"/>
    <mergeCell ref="A57:A60"/>
    <mergeCell ref="A55:A56"/>
    <mergeCell ref="A63:A64"/>
    <mergeCell ref="A65:A74"/>
    <mergeCell ref="A76:A78"/>
    <mergeCell ref="A79:A88"/>
    <mergeCell ref="A96:A105"/>
    <mergeCell ref="A89:A95"/>
    <mergeCell ref="A106:A111"/>
    <mergeCell ref="A28:A30"/>
    <mergeCell ref="A31:A35"/>
    <mergeCell ref="A36:A46"/>
    <mergeCell ref="I7:J7"/>
    <mergeCell ref="K7:L7"/>
    <mergeCell ref="M7:M8"/>
    <mergeCell ref="A7:A8"/>
    <mergeCell ref="B7:B8"/>
    <mergeCell ref="C7:C8"/>
    <mergeCell ref="D7:D8"/>
    <mergeCell ref="E7:F7"/>
    <mergeCell ref="G7:H7"/>
    <mergeCell ref="A6:G6"/>
    <mergeCell ref="A1:M1"/>
    <mergeCell ref="A2:M2"/>
    <mergeCell ref="A3:M3"/>
    <mergeCell ref="A4:G4"/>
    <mergeCell ref="C5:K5"/>
  </mergeCells>
  <pageMargins left="0.15748031496062992" right="0.19685039370078741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view="pageBreakPreview" zoomScale="60" zoomScaleNormal="100" workbookViewId="0">
      <selection activeCell="I21" sqref="I21"/>
    </sheetView>
  </sheetViews>
  <sheetFormatPr defaultColWidth="9.140625" defaultRowHeight="15"/>
  <cols>
    <col min="1" max="1" width="6.42578125" customWidth="1"/>
    <col min="3" max="3" width="38.85546875" customWidth="1"/>
    <col min="7" max="7" width="8.140625" customWidth="1"/>
    <col min="9" max="9" width="8.42578125" customWidth="1"/>
  </cols>
  <sheetData>
    <row r="1" spans="1:16" s="36" customFormat="1" ht="24" customHeight="1">
      <c r="A1" s="277" t="s">
        <v>163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6"/>
      <c r="O1" s="14"/>
      <c r="P1" s="14"/>
    </row>
    <row r="2" spans="1:16" s="36" customFormat="1" ht="17.25" customHeight="1">
      <c r="A2" s="278" t="s">
        <v>451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6"/>
      <c r="O2" s="7"/>
      <c r="P2" s="7"/>
    </row>
    <row r="3" spans="1:16" s="36" customFormat="1" ht="15.75">
      <c r="A3" s="278" t="s">
        <v>95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6"/>
      <c r="O3" s="7"/>
      <c r="P3" s="7"/>
    </row>
    <row r="4" spans="1:16" s="36" customFormat="1" ht="15.75">
      <c r="A4" s="279" t="s">
        <v>1</v>
      </c>
      <c r="B4" s="279"/>
      <c r="C4" s="279"/>
      <c r="D4" s="279"/>
      <c r="E4" s="279"/>
      <c r="F4" s="279"/>
      <c r="G4" s="279"/>
      <c r="H4" s="8"/>
      <c r="I4" s="8"/>
      <c r="J4" s="8"/>
      <c r="K4" s="8"/>
      <c r="L4" s="8"/>
      <c r="M4" s="8"/>
      <c r="N4" s="6"/>
      <c r="O4" s="7"/>
      <c r="P4" s="7"/>
    </row>
    <row r="5" spans="1:16" s="36" customFormat="1" ht="15.75">
      <c r="A5" s="42"/>
      <c r="B5" s="42"/>
      <c r="C5" s="280" t="s">
        <v>2</v>
      </c>
      <c r="D5" s="280"/>
      <c r="E5" s="280"/>
      <c r="F5" s="280"/>
      <c r="G5" s="280"/>
      <c r="H5" s="280"/>
      <c r="I5" s="280"/>
      <c r="J5" s="280"/>
      <c r="K5" s="280"/>
      <c r="L5" s="9">
        <f>M33</f>
        <v>0</v>
      </c>
      <c r="M5" s="10" t="s">
        <v>16</v>
      </c>
      <c r="N5" s="6"/>
      <c r="O5" s="7"/>
      <c r="P5" s="7"/>
    </row>
    <row r="6" spans="1:16" s="36" customFormat="1" ht="18.75" customHeight="1">
      <c r="A6" s="267" t="s">
        <v>404</v>
      </c>
      <c r="B6" s="267"/>
      <c r="C6" s="267"/>
      <c r="D6" s="267"/>
      <c r="E6" s="267"/>
      <c r="F6" s="267"/>
      <c r="G6" s="267"/>
      <c r="H6" s="8"/>
      <c r="I6" s="8"/>
      <c r="J6" s="8"/>
      <c r="K6" s="8"/>
      <c r="L6" s="8"/>
      <c r="M6" s="8"/>
      <c r="N6" s="6"/>
      <c r="O6" s="7"/>
      <c r="P6" s="7"/>
    </row>
    <row r="7" spans="1:16" s="36" customFormat="1" ht="38.25" customHeight="1">
      <c r="A7" s="285" t="s">
        <v>3</v>
      </c>
      <c r="B7" s="285" t="s">
        <v>4</v>
      </c>
      <c r="C7" s="284" t="s">
        <v>5</v>
      </c>
      <c r="D7" s="284" t="s">
        <v>6</v>
      </c>
      <c r="E7" s="284" t="s">
        <v>7</v>
      </c>
      <c r="F7" s="284"/>
      <c r="G7" s="284" t="s">
        <v>8</v>
      </c>
      <c r="H7" s="284"/>
      <c r="I7" s="284" t="s">
        <v>9</v>
      </c>
      <c r="J7" s="284"/>
      <c r="K7" s="284" t="s">
        <v>10</v>
      </c>
      <c r="L7" s="284"/>
      <c r="M7" s="285" t="s">
        <v>11</v>
      </c>
      <c r="N7" s="6"/>
      <c r="O7" s="7"/>
      <c r="P7" s="7"/>
    </row>
    <row r="8" spans="1:16" s="36" customFormat="1" ht="40.5">
      <c r="A8" s="285"/>
      <c r="B8" s="285"/>
      <c r="C8" s="284"/>
      <c r="D8" s="284"/>
      <c r="E8" s="43" t="s">
        <v>12</v>
      </c>
      <c r="F8" s="43" t="s">
        <v>11</v>
      </c>
      <c r="G8" s="43" t="s">
        <v>13</v>
      </c>
      <c r="H8" s="11" t="s">
        <v>11</v>
      </c>
      <c r="I8" s="12" t="s">
        <v>13</v>
      </c>
      <c r="J8" s="13" t="s">
        <v>11</v>
      </c>
      <c r="K8" s="43" t="s">
        <v>13</v>
      </c>
      <c r="L8" s="43" t="s">
        <v>11</v>
      </c>
      <c r="M8" s="285"/>
      <c r="N8" s="6"/>
      <c r="O8" s="7"/>
      <c r="P8" s="7"/>
    </row>
    <row r="9" spans="1:16" s="36" customFormat="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6"/>
      <c r="O9" s="7"/>
      <c r="P9" s="7"/>
    </row>
    <row r="10" spans="1:16" s="36" customFormat="1" ht="67.5">
      <c r="A10" s="24"/>
      <c r="B10" s="24"/>
      <c r="C10" s="211" t="s">
        <v>524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6"/>
      <c r="O10" s="7"/>
      <c r="P10" s="7"/>
    </row>
    <row r="11" spans="1:16" s="36" customFormat="1" ht="54">
      <c r="A11" s="207">
        <v>1</v>
      </c>
      <c r="B11" s="15"/>
      <c r="C11" s="105" t="s">
        <v>346</v>
      </c>
      <c r="D11" s="20"/>
      <c r="E11" s="108"/>
      <c r="F11" s="35"/>
      <c r="G11" s="18"/>
      <c r="H11" s="88"/>
      <c r="I11" s="205"/>
      <c r="J11" s="206"/>
      <c r="K11" s="205"/>
      <c r="L11" s="205"/>
      <c r="M11" s="88"/>
      <c r="N11" s="6"/>
      <c r="O11" s="7"/>
      <c r="P11" s="7"/>
    </row>
    <row r="12" spans="1:16" s="36" customFormat="1" ht="40.5">
      <c r="A12" s="292" t="s">
        <v>136</v>
      </c>
      <c r="B12" s="69" t="s">
        <v>341</v>
      </c>
      <c r="C12" s="98" t="s">
        <v>342</v>
      </c>
      <c r="D12" s="149" t="s">
        <v>80</v>
      </c>
      <c r="E12" s="33"/>
      <c r="F12" s="119">
        <v>7.47</v>
      </c>
      <c r="G12" s="26"/>
      <c r="H12" s="16"/>
      <c r="I12" s="194"/>
      <c r="J12" s="40"/>
      <c r="K12" s="194"/>
      <c r="L12" s="40"/>
      <c r="M12" s="40"/>
      <c r="N12" s="6"/>
      <c r="O12" s="7"/>
      <c r="P12" s="7"/>
    </row>
    <row r="13" spans="1:16" s="36" customFormat="1" ht="15.75">
      <c r="A13" s="293"/>
      <c r="B13" s="69"/>
      <c r="C13" s="4" t="s">
        <v>97</v>
      </c>
      <c r="D13" s="33" t="s">
        <v>15</v>
      </c>
      <c r="E13" s="110">
        <f>4.5*1.15</f>
        <v>5.1749999999999998</v>
      </c>
      <c r="F13" s="26">
        <f>E13*F12</f>
        <v>38.657249999999998</v>
      </c>
      <c r="G13" s="26"/>
      <c r="H13" s="27"/>
      <c r="I13" s="18"/>
      <c r="J13" s="26"/>
      <c r="K13" s="27"/>
      <c r="L13" s="27"/>
      <c r="M13" s="26"/>
      <c r="N13" s="6"/>
      <c r="O13" s="7"/>
      <c r="P13" s="7"/>
    </row>
    <row r="14" spans="1:16" s="36" customFormat="1" ht="15.75">
      <c r="A14" s="293"/>
      <c r="B14" s="69"/>
      <c r="C14" s="190" t="s">
        <v>28</v>
      </c>
      <c r="D14" s="20" t="s">
        <v>16</v>
      </c>
      <c r="E14" s="110">
        <v>0.37</v>
      </c>
      <c r="F14" s="204">
        <f>E14*F12</f>
        <v>2.7639</v>
      </c>
      <c r="G14" s="28"/>
      <c r="H14" s="37"/>
      <c r="I14" s="37"/>
      <c r="J14" s="37"/>
      <c r="K14" s="88"/>
      <c r="L14" s="35"/>
      <c r="M14" s="35"/>
      <c r="N14" s="6"/>
      <c r="O14" s="7"/>
      <c r="P14" s="7"/>
    </row>
    <row r="15" spans="1:16" s="36" customFormat="1" ht="15.75">
      <c r="A15" s="293"/>
      <c r="B15" s="15" t="s">
        <v>225</v>
      </c>
      <c r="C15" s="151" t="s">
        <v>116</v>
      </c>
      <c r="D15" s="149" t="s">
        <v>80</v>
      </c>
      <c r="E15" s="110">
        <v>1.02</v>
      </c>
      <c r="F15" s="35">
        <f>E15*F12</f>
        <v>7.6193999999999997</v>
      </c>
      <c r="G15" s="88"/>
      <c r="H15" s="35"/>
      <c r="I15" s="37"/>
      <c r="J15" s="37"/>
      <c r="K15" s="26"/>
      <c r="L15" s="26"/>
      <c r="M15" s="26"/>
      <c r="N15" s="6"/>
      <c r="O15" s="7"/>
      <c r="P15" s="7"/>
    </row>
    <row r="16" spans="1:16" s="36" customFormat="1" ht="15.75">
      <c r="A16" s="293"/>
      <c r="B16" s="172" t="s">
        <v>440</v>
      </c>
      <c r="C16" s="105" t="s">
        <v>234</v>
      </c>
      <c r="D16" s="20" t="s">
        <v>24</v>
      </c>
      <c r="E16" s="35">
        <v>1.61</v>
      </c>
      <c r="F16" s="35">
        <f>E16*F12</f>
        <v>12.0267</v>
      </c>
      <c r="G16" s="155"/>
      <c r="H16" s="35"/>
      <c r="I16" s="107"/>
      <c r="J16" s="154"/>
      <c r="K16" s="107"/>
      <c r="L16" s="107"/>
      <c r="M16" s="35"/>
      <c r="N16" s="6"/>
      <c r="O16" s="7"/>
      <c r="P16" s="7"/>
    </row>
    <row r="17" spans="1:16" s="36" customFormat="1" ht="15.75">
      <c r="A17" s="293"/>
      <c r="B17" s="172" t="s">
        <v>343</v>
      </c>
      <c r="C17" s="105" t="s">
        <v>344</v>
      </c>
      <c r="D17" s="20" t="s">
        <v>345</v>
      </c>
      <c r="E17" s="5">
        <v>1.72E-2</v>
      </c>
      <c r="F17" s="108">
        <f>E17*F12</f>
        <v>0.12848399999999999</v>
      </c>
      <c r="G17" s="155"/>
      <c r="H17" s="35"/>
      <c r="I17" s="107"/>
      <c r="J17" s="154"/>
      <c r="K17" s="107"/>
      <c r="L17" s="107"/>
      <c r="M17" s="35"/>
      <c r="N17" s="6"/>
      <c r="O17" s="7"/>
      <c r="P17" s="7"/>
    </row>
    <row r="18" spans="1:16" s="36" customFormat="1" ht="15.75">
      <c r="A18" s="294"/>
      <c r="B18" s="69"/>
      <c r="C18" s="4" t="s">
        <v>23</v>
      </c>
      <c r="D18" s="33" t="s">
        <v>16</v>
      </c>
      <c r="E18" s="110">
        <v>0.28000000000000003</v>
      </c>
      <c r="F18" s="26">
        <f>E18*F12</f>
        <v>2.0916000000000001</v>
      </c>
      <c r="G18" s="88"/>
      <c r="H18" s="26"/>
      <c r="I18" s="27"/>
      <c r="J18" s="27"/>
      <c r="K18" s="27"/>
      <c r="L18" s="27"/>
      <c r="M18" s="26"/>
      <c r="N18" s="6"/>
      <c r="O18" s="7"/>
      <c r="P18" s="7"/>
    </row>
    <row r="19" spans="1:16" s="22" customFormat="1" ht="48" customHeight="1">
      <c r="A19" s="274" t="s">
        <v>137</v>
      </c>
      <c r="B19" s="116" t="s">
        <v>338</v>
      </c>
      <c r="C19" s="140" t="s">
        <v>339</v>
      </c>
      <c r="D19" s="116" t="s">
        <v>106</v>
      </c>
      <c r="E19" s="20"/>
      <c r="F19" s="18">
        <v>166</v>
      </c>
      <c r="G19" s="28"/>
      <c r="H19" s="16"/>
      <c r="I19" s="23"/>
      <c r="J19" s="16"/>
      <c r="K19" s="23"/>
      <c r="L19" s="16"/>
      <c r="M19" s="16"/>
    </row>
    <row r="20" spans="1:16" s="22" customFormat="1" ht="13.5" customHeight="1">
      <c r="A20" s="275"/>
      <c r="B20" s="41"/>
      <c r="C20" s="4" t="s">
        <v>596</v>
      </c>
      <c r="D20" s="33" t="s">
        <v>15</v>
      </c>
      <c r="E20" s="110">
        <f>3.23*1.15</f>
        <v>3.7144999999999997</v>
      </c>
      <c r="F20" s="26">
        <f>E20*F19</f>
        <v>616.60699999999997</v>
      </c>
      <c r="G20" s="26"/>
      <c r="H20" s="27"/>
      <c r="I20" s="26"/>
      <c r="J20" s="26"/>
      <c r="K20" s="27"/>
      <c r="L20" s="27"/>
      <c r="M20" s="26"/>
    </row>
    <row r="21" spans="1:16" s="22" customFormat="1" ht="13.5" customHeight="1">
      <c r="A21" s="275"/>
      <c r="B21" s="15" t="s">
        <v>140</v>
      </c>
      <c r="C21" s="4" t="s">
        <v>597</v>
      </c>
      <c r="D21" s="33" t="s">
        <v>20</v>
      </c>
      <c r="E21" s="110">
        <f>0.15*1.05</f>
        <v>0.1575</v>
      </c>
      <c r="F21" s="26">
        <f>E21*F19</f>
        <v>26.145</v>
      </c>
      <c r="G21" s="28"/>
      <c r="H21" s="27"/>
      <c r="I21" s="27"/>
      <c r="J21" s="27"/>
      <c r="K21" s="27"/>
      <c r="L21" s="26"/>
      <c r="M21" s="26"/>
    </row>
    <row r="22" spans="1:16" s="22" customFormat="1" ht="13.5" customHeight="1">
      <c r="A22" s="275"/>
      <c r="B22" s="15" t="s">
        <v>141</v>
      </c>
      <c r="C22" s="4" t="s">
        <v>598</v>
      </c>
      <c r="D22" s="33" t="s">
        <v>20</v>
      </c>
      <c r="E22" s="20">
        <f>0.286*1.05</f>
        <v>0.30030000000000001</v>
      </c>
      <c r="F22" s="18">
        <f>E22*F19</f>
        <v>49.849800000000002</v>
      </c>
      <c r="G22" s="28"/>
      <c r="H22" s="27"/>
      <c r="I22" s="27"/>
      <c r="J22" s="27"/>
      <c r="K22" s="27"/>
      <c r="L22" s="26"/>
      <c r="M22" s="26"/>
    </row>
    <row r="23" spans="1:16" s="22" customFormat="1" ht="13.5" customHeight="1">
      <c r="A23" s="276"/>
      <c r="B23" s="116"/>
      <c r="C23" s="4" t="s">
        <v>23</v>
      </c>
      <c r="D23" s="33" t="s">
        <v>16</v>
      </c>
      <c r="E23" s="204">
        <v>0.64900000000000002</v>
      </c>
      <c r="F23" s="26">
        <f>E23*F19</f>
        <v>107.73400000000001</v>
      </c>
      <c r="G23" s="88"/>
      <c r="H23" s="26"/>
      <c r="I23" s="27"/>
      <c r="J23" s="27"/>
      <c r="K23" s="27"/>
      <c r="L23" s="27"/>
      <c r="M23" s="26"/>
    </row>
    <row r="24" spans="1:16" s="22" customFormat="1" ht="35.25" customHeight="1">
      <c r="A24" s="274" t="s">
        <v>148</v>
      </c>
      <c r="B24" s="25" t="s">
        <v>105</v>
      </c>
      <c r="C24" s="38" t="s">
        <v>340</v>
      </c>
      <c r="D24" s="20" t="s">
        <v>106</v>
      </c>
      <c r="E24" s="20"/>
      <c r="F24" s="88">
        <f>332-166</f>
        <v>166</v>
      </c>
      <c r="G24" s="39"/>
      <c r="H24" s="40"/>
      <c r="I24" s="118"/>
      <c r="J24" s="16"/>
      <c r="K24" s="23"/>
      <c r="L24" s="23"/>
      <c r="M24" s="16"/>
    </row>
    <row r="25" spans="1:16" s="22" customFormat="1" ht="13.5" customHeight="1">
      <c r="A25" s="275"/>
      <c r="B25" s="25"/>
      <c r="C25" s="38" t="s">
        <v>97</v>
      </c>
      <c r="D25" s="20" t="s">
        <v>15</v>
      </c>
      <c r="E25" s="20">
        <f>0.494*1.15</f>
        <v>0.56809999999999994</v>
      </c>
      <c r="F25" s="108">
        <f>E25*F24</f>
        <v>94.304599999999994</v>
      </c>
      <c r="G25" s="39"/>
      <c r="H25" s="37"/>
      <c r="I25" s="26"/>
      <c r="J25" s="26"/>
      <c r="K25" s="27"/>
      <c r="L25" s="27"/>
      <c r="M25" s="26"/>
    </row>
    <row r="26" spans="1:16" s="22" customFormat="1" ht="13.5" customHeight="1">
      <c r="A26" s="276"/>
      <c r="B26" s="25" t="s">
        <v>432</v>
      </c>
      <c r="C26" s="38" t="s">
        <v>108</v>
      </c>
      <c r="D26" s="20" t="s">
        <v>81</v>
      </c>
      <c r="E26" s="20">
        <v>0.51</v>
      </c>
      <c r="F26" s="35">
        <f>E26*F24</f>
        <v>84.66</v>
      </c>
      <c r="G26" s="39"/>
      <c r="H26" s="26"/>
      <c r="I26" s="27"/>
      <c r="J26" s="27"/>
      <c r="K26" s="27"/>
      <c r="L26" s="27"/>
      <c r="M26" s="26"/>
    </row>
    <row r="27" spans="1:16" s="22" customFormat="1" ht="43.5" customHeight="1">
      <c r="A27" s="25" t="s">
        <v>75</v>
      </c>
      <c r="B27" s="25" t="s">
        <v>347</v>
      </c>
      <c r="C27" s="125" t="s">
        <v>348</v>
      </c>
      <c r="D27" s="33" t="s">
        <v>106</v>
      </c>
      <c r="E27" s="208"/>
      <c r="F27" s="18">
        <v>166</v>
      </c>
      <c r="G27" s="28"/>
      <c r="H27" s="16"/>
      <c r="I27" s="27"/>
      <c r="J27" s="27"/>
      <c r="K27" s="27"/>
      <c r="L27" s="27"/>
      <c r="M27" s="16"/>
    </row>
    <row r="28" spans="1:16" s="22" customFormat="1" ht="27.75" customHeight="1">
      <c r="A28" s="25" t="s">
        <v>18</v>
      </c>
      <c r="B28" s="25" t="s">
        <v>349</v>
      </c>
      <c r="C28" s="91" t="s">
        <v>350</v>
      </c>
      <c r="D28" s="33" t="s">
        <v>106</v>
      </c>
      <c r="E28" s="208"/>
      <c r="F28" s="18">
        <v>332</v>
      </c>
      <c r="G28" s="28"/>
      <c r="H28" s="16"/>
      <c r="I28" s="27"/>
      <c r="J28" s="27"/>
      <c r="K28" s="27"/>
      <c r="L28" s="27"/>
      <c r="M28" s="16"/>
    </row>
    <row r="29" spans="1:16" s="22" customFormat="1">
      <c r="A29" s="25"/>
      <c r="B29" s="31"/>
      <c r="C29" s="32" t="s">
        <v>11</v>
      </c>
      <c r="D29" s="33" t="s">
        <v>16</v>
      </c>
      <c r="E29" s="26"/>
      <c r="F29" s="26"/>
      <c r="G29" s="28"/>
      <c r="H29" s="26"/>
      <c r="I29" s="27"/>
      <c r="J29" s="26"/>
      <c r="K29" s="27"/>
      <c r="L29" s="26"/>
      <c r="M29" s="29"/>
      <c r="N29"/>
      <c r="O29"/>
    </row>
    <row r="30" spans="1:16" s="22" customFormat="1">
      <c r="A30" s="25"/>
      <c r="B30" s="31"/>
      <c r="C30" s="32" t="s">
        <v>25</v>
      </c>
      <c r="D30" s="33" t="s">
        <v>26</v>
      </c>
      <c r="E30" s="18">
        <v>10</v>
      </c>
      <c r="F30" s="26"/>
      <c r="G30" s="28"/>
      <c r="H30" s="26"/>
      <c r="I30" s="27"/>
      <c r="J30" s="26"/>
      <c r="K30" s="27"/>
      <c r="L30" s="26"/>
      <c r="M30" s="29"/>
      <c r="N30"/>
      <c r="O30" s="17"/>
    </row>
    <row r="31" spans="1:16" s="22" customFormat="1">
      <c r="A31" s="25"/>
      <c r="B31" s="31"/>
      <c r="C31" s="32" t="s">
        <v>11</v>
      </c>
      <c r="D31" s="33" t="s">
        <v>16</v>
      </c>
      <c r="E31" s="18"/>
      <c r="F31" s="26"/>
      <c r="G31" s="28"/>
      <c r="H31" s="26"/>
      <c r="I31" s="27"/>
      <c r="J31" s="26"/>
      <c r="K31" s="27"/>
      <c r="L31" s="26"/>
      <c r="M31" s="29"/>
      <c r="N31"/>
      <c r="O31"/>
    </row>
    <row r="32" spans="1:16" s="22" customFormat="1">
      <c r="A32" s="25"/>
      <c r="B32" s="31"/>
      <c r="C32" s="32" t="s">
        <v>27</v>
      </c>
      <c r="D32" s="33" t="s">
        <v>26</v>
      </c>
      <c r="E32" s="18">
        <v>8</v>
      </c>
      <c r="F32" s="26"/>
      <c r="G32" s="28"/>
      <c r="H32" s="26"/>
      <c r="I32" s="27"/>
      <c r="J32" s="26"/>
      <c r="K32" s="27"/>
      <c r="L32" s="26"/>
      <c r="M32" s="29"/>
      <c r="N32"/>
      <c r="O32" s="17">
        <f>M28+M27+M24+M19+M12</f>
        <v>0</v>
      </c>
      <c r="P32" s="34">
        <v>0</v>
      </c>
    </row>
    <row r="33" spans="1:15" s="22" customFormat="1">
      <c r="A33" s="25"/>
      <c r="B33" s="31"/>
      <c r="C33" s="32" t="s">
        <v>11</v>
      </c>
      <c r="D33" s="33" t="s">
        <v>16</v>
      </c>
      <c r="E33" s="18"/>
      <c r="F33" s="26"/>
      <c r="G33" s="28"/>
      <c r="H33" s="26"/>
      <c r="I33" s="27"/>
      <c r="J33" s="26"/>
      <c r="K33" s="27"/>
      <c r="L33" s="26"/>
      <c r="M33" s="29"/>
      <c r="N33"/>
      <c r="O33"/>
    </row>
    <row r="34" spans="1:15" s="22" customFormat="1" ht="13.5">
      <c r="A34" s="3"/>
      <c r="B34" s="3"/>
      <c r="C34" s="2"/>
      <c r="D34" s="3"/>
      <c r="E34" s="3"/>
      <c r="F34" s="34"/>
      <c r="G34" s="34"/>
      <c r="H34" s="34"/>
      <c r="I34" s="34"/>
      <c r="J34" s="34"/>
      <c r="K34" s="34"/>
      <c r="L34" s="34"/>
      <c r="M34" s="34"/>
    </row>
    <row r="35" spans="1:15" s="22" customFormat="1" ht="13.5">
      <c r="A35" s="3"/>
      <c r="B35" s="3"/>
      <c r="C35" s="2"/>
      <c r="D35" s="3"/>
      <c r="E35" s="3"/>
      <c r="F35" s="34"/>
      <c r="G35" s="34"/>
      <c r="H35" s="34"/>
      <c r="I35" s="34"/>
      <c r="J35" s="34"/>
      <c r="K35" s="34"/>
      <c r="L35" s="34"/>
      <c r="M35" s="34"/>
    </row>
    <row r="36" spans="1:15" s="22" customFormat="1" ht="13.5">
      <c r="A36" s="3"/>
      <c r="B36" s="3"/>
      <c r="C36" s="2"/>
      <c r="D36" s="3"/>
      <c r="E36" s="3"/>
      <c r="F36" s="34"/>
      <c r="G36" s="34"/>
      <c r="H36" s="34"/>
      <c r="I36" s="34"/>
      <c r="J36" s="34"/>
      <c r="K36" s="34"/>
      <c r="L36" s="34"/>
      <c r="M36" s="34"/>
    </row>
    <row r="37" spans="1:15" s="22" customFormat="1" ht="13.5">
      <c r="A37" s="3"/>
      <c r="B37" s="3"/>
      <c r="C37" s="2" t="s">
        <v>521</v>
      </c>
      <c r="D37" s="265"/>
      <c r="E37" s="265"/>
      <c r="F37" s="34"/>
      <c r="G37" s="34"/>
      <c r="H37" s="266" t="s">
        <v>522</v>
      </c>
      <c r="I37" s="266"/>
      <c r="J37" s="34"/>
      <c r="K37" s="34"/>
      <c r="L37" s="34"/>
      <c r="M37" s="34"/>
    </row>
    <row r="38" spans="1:15" s="22" customFormat="1" ht="13.5">
      <c r="A38" s="3"/>
      <c r="B38" s="3"/>
      <c r="C38" s="2"/>
      <c r="D38" s="3"/>
      <c r="E38" s="3"/>
      <c r="F38" s="34"/>
      <c r="G38" s="34"/>
      <c r="H38" s="34"/>
      <c r="I38" s="34"/>
      <c r="J38" s="34"/>
      <c r="K38" s="34"/>
      <c r="L38" s="34"/>
      <c r="M38" s="34"/>
    </row>
    <row r="39" spans="1:15" s="22" customFormat="1" ht="13.5">
      <c r="A39" s="3"/>
      <c r="B39" s="3"/>
      <c r="C39" s="2"/>
      <c r="D39" s="3"/>
      <c r="E39" s="3"/>
      <c r="F39" s="34"/>
      <c r="G39" s="34"/>
      <c r="H39" s="34"/>
      <c r="I39" s="34"/>
      <c r="J39" s="34"/>
      <c r="K39" s="34"/>
      <c r="L39" s="34"/>
      <c r="M39" s="34"/>
    </row>
    <row r="40" spans="1:15" s="22" customFormat="1" ht="13.5">
      <c r="A40" s="3"/>
      <c r="B40" s="3"/>
      <c r="C40" s="2"/>
      <c r="D40" s="3"/>
      <c r="E40" s="3"/>
      <c r="F40" s="34"/>
      <c r="G40" s="34"/>
      <c r="H40" s="34"/>
      <c r="I40" s="34"/>
      <c r="J40" s="34"/>
      <c r="K40" s="34"/>
      <c r="L40" s="34"/>
      <c r="M40" s="34"/>
    </row>
    <row r="41" spans="1:15" s="22" customFormat="1" ht="13.5">
      <c r="A41" s="3"/>
      <c r="B41" s="3"/>
      <c r="C41" s="2"/>
      <c r="D41" s="3"/>
      <c r="E41" s="3"/>
      <c r="F41" s="34"/>
      <c r="G41" s="34"/>
      <c r="H41" s="34"/>
      <c r="I41" s="34"/>
      <c r="J41" s="34"/>
      <c r="K41" s="34"/>
      <c r="L41" s="34"/>
      <c r="M41" s="34"/>
    </row>
    <row r="42" spans="1:15" s="22" customFormat="1" ht="13.5">
      <c r="A42" s="3"/>
      <c r="B42" s="3"/>
      <c r="C42" s="2"/>
      <c r="D42" s="3"/>
      <c r="E42" s="3"/>
      <c r="F42" s="34"/>
      <c r="G42" s="34"/>
      <c r="H42" s="34"/>
      <c r="I42" s="34"/>
      <c r="J42" s="34"/>
      <c r="K42" s="34"/>
      <c r="L42" s="34"/>
      <c r="M42" s="34"/>
    </row>
    <row r="43" spans="1:15" s="22" customFormat="1" ht="13.5">
      <c r="A43" s="3"/>
      <c r="B43" s="3"/>
      <c r="C43" s="2"/>
      <c r="D43" s="3"/>
      <c r="E43" s="3"/>
      <c r="F43" s="34"/>
      <c r="G43" s="34"/>
      <c r="H43" s="34"/>
      <c r="I43" s="34"/>
      <c r="J43" s="34"/>
      <c r="K43" s="34"/>
      <c r="L43" s="34"/>
      <c r="M43" s="34"/>
    </row>
    <row r="44" spans="1:15" s="22" customFormat="1" ht="13.5">
      <c r="A44" s="3"/>
      <c r="B44" s="3"/>
      <c r="C44" s="2"/>
      <c r="D44" s="3"/>
      <c r="E44" s="3"/>
      <c r="F44" s="34"/>
      <c r="G44" s="34"/>
      <c r="H44" s="34"/>
      <c r="I44" s="34"/>
      <c r="J44" s="34"/>
      <c r="K44" s="34"/>
      <c r="L44" s="34"/>
      <c r="M44" s="34"/>
    </row>
    <row r="45" spans="1:15" s="22" customFormat="1" ht="13.5">
      <c r="A45" s="3"/>
      <c r="B45" s="3"/>
      <c r="C45" s="2"/>
      <c r="D45" s="3"/>
      <c r="E45" s="3"/>
      <c r="F45" s="34"/>
      <c r="G45" s="34"/>
      <c r="H45" s="34"/>
      <c r="I45" s="34"/>
      <c r="J45" s="34"/>
      <c r="K45" s="34"/>
      <c r="L45" s="34"/>
      <c r="M45" s="34"/>
    </row>
    <row r="46" spans="1:15" s="22" customFormat="1" ht="13.5">
      <c r="A46" s="3"/>
      <c r="B46" s="3"/>
      <c r="C46" s="2"/>
      <c r="D46" s="3"/>
      <c r="E46" s="3"/>
      <c r="F46" s="34"/>
      <c r="G46" s="34"/>
      <c r="H46" s="34"/>
      <c r="I46" s="34"/>
      <c r="J46" s="34"/>
      <c r="K46" s="34"/>
      <c r="L46" s="34"/>
      <c r="M46" s="34"/>
    </row>
    <row r="47" spans="1:15" s="22" customFormat="1" ht="13.5">
      <c r="A47" s="3"/>
      <c r="B47" s="3"/>
      <c r="C47" s="2"/>
      <c r="D47" s="3"/>
      <c r="E47" s="3"/>
      <c r="F47" s="34"/>
      <c r="G47" s="34"/>
      <c r="H47" s="34"/>
      <c r="I47" s="34"/>
      <c r="J47" s="34"/>
      <c r="K47" s="34"/>
      <c r="L47" s="34"/>
      <c r="M47" s="34"/>
    </row>
    <row r="48" spans="1:15" s="22" customFormat="1" ht="13.5">
      <c r="A48" s="3"/>
      <c r="B48" s="3"/>
      <c r="C48" s="2"/>
      <c r="D48" s="3"/>
      <c r="E48" s="3"/>
      <c r="F48" s="34"/>
      <c r="G48" s="34"/>
      <c r="H48" s="34"/>
      <c r="I48" s="34"/>
      <c r="J48" s="34"/>
      <c r="K48" s="34"/>
      <c r="L48" s="34"/>
      <c r="M48" s="34"/>
    </row>
    <row r="49" spans="1:13" s="22" customFormat="1" ht="13.5">
      <c r="A49" s="3"/>
      <c r="B49" s="3"/>
      <c r="C49" s="2"/>
      <c r="D49" s="3"/>
      <c r="E49" s="3"/>
      <c r="F49" s="34"/>
      <c r="G49" s="34"/>
      <c r="H49" s="34"/>
      <c r="I49" s="34"/>
      <c r="J49" s="34"/>
      <c r="K49" s="34"/>
      <c r="L49" s="34"/>
      <c r="M49" s="34"/>
    </row>
    <row r="50" spans="1:13" s="22" customFormat="1" ht="13.5">
      <c r="A50" s="3"/>
      <c r="B50" s="3"/>
      <c r="C50" s="2"/>
      <c r="D50" s="3"/>
      <c r="E50" s="3"/>
      <c r="F50" s="34"/>
      <c r="G50" s="34"/>
      <c r="H50" s="34"/>
      <c r="I50" s="34"/>
      <c r="J50" s="34"/>
      <c r="K50" s="34"/>
      <c r="L50" s="34"/>
      <c r="M50" s="34"/>
    </row>
    <row r="51" spans="1:13" s="22" customFormat="1" ht="13.5">
      <c r="A51" s="3"/>
      <c r="B51" s="3"/>
      <c r="C51" s="2"/>
      <c r="D51" s="3"/>
      <c r="E51" s="3"/>
      <c r="F51" s="34"/>
      <c r="G51" s="34"/>
      <c r="H51" s="34"/>
      <c r="I51" s="34"/>
      <c r="J51" s="34"/>
      <c r="K51" s="34"/>
      <c r="L51" s="34"/>
      <c r="M51" s="34"/>
    </row>
    <row r="52" spans="1:13" s="22" customFormat="1" ht="13.5">
      <c r="A52" s="3"/>
      <c r="B52" s="3"/>
      <c r="C52" s="2"/>
      <c r="D52" s="3"/>
      <c r="E52" s="3"/>
      <c r="F52" s="34"/>
      <c r="G52" s="34"/>
      <c r="H52" s="34"/>
      <c r="I52" s="34"/>
      <c r="J52" s="34"/>
      <c r="K52" s="34"/>
      <c r="L52" s="34"/>
      <c r="M52" s="34"/>
    </row>
    <row r="53" spans="1:13" s="22" customFormat="1" ht="13.5">
      <c r="A53" s="3"/>
      <c r="B53" s="3"/>
      <c r="C53" s="2"/>
      <c r="D53" s="3"/>
      <c r="E53" s="3"/>
      <c r="F53" s="34"/>
      <c r="G53" s="34"/>
      <c r="H53" s="34"/>
      <c r="I53" s="34"/>
      <c r="J53" s="34"/>
      <c r="K53" s="34"/>
      <c r="L53" s="34"/>
      <c r="M53" s="34"/>
    </row>
    <row r="54" spans="1:13" s="22" customFormat="1" ht="13.5">
      <c r="A54" s="3"/>
      <c r="B54" s="3"/>
      <c r="C54" s="2"/>
      <c r="D54" s="3"/>
      <c r="E54" s="3"/>
      <c r="F54" s="34"/>
      <c r="G54" s="34"/>
      <c r="H54" s="34"/>
      <c r="I54" s="34"/>
      <c r="J54" s="34"/>
      <c r="K54" s="34"/>
      <c r="L54" s="34"/>
      <c r="M54" s="34"/>
    </row>
    <row r="55" spans="1:13" s="22" customFormat="1" ht="13.5">
      <c r="A55" s="3"/>
      <c r="B55" s="3"/>
      <c r="C55" s="2"/>
      <c r="D55" s="3"/>
      <c r="E55" s="3"/>
      <c r="F55" s="34"/>
      <c r="G55" s="34"/>
      <c r="H55" s="34"/>
      <c r="I55" s="34"/>
      <c r="J55" s="34"/>
      <c r="K55" s="34"/>
      <c r="L55" s="34"/>
      <c r="M55" s="34"/>
    </row>
    <row r="56" spans="1:13" s="22" customFormat="1" ht="13.5">
      <c r="A56" s="3"/>
      <c r="B56" s="3"/>
      <c r="C56" s="2"/>
      <c r="D56" s="3"/>
      <c r="E56" s="3"/>
      <c r="F56" s="34"/>
      <c r="G56" s="34"/>
      <c r="H56" s="34"/>
      <c r="I56" s="34"/>
      <c r="J56" s="34"/>
      <c r="K56" s="34"/>
      <c r="L56" s="34"/>
      <c r="M56" s="34"/>
    </row>
    <row r="57" spans="1:13" s="22" customFormat="1" ht="13.5">
      <c r="A57" s="3"/>
      <c r="B57" s="3"/>
      <c r="C57" s="2"/>
      <c r="D57" s="3"/>
      <c r="E57" s="3"/>
      <c r="F57" s="34"/>
      <c r="G57" s="34"/>
      <c r="H57" s="34"/>
      <c r="I57" s="34"/>
      <c r="J57" s="34"/>
      <c r="K57" s="34"/>
      <c r="L57" s="34"/>
      <c r="M57" s="34"/>
    </row>
    <row r="58" spans="1:13" s="22" customFormat="1" ht="13.5">
      <c r="A58" s="3"/>
      <c r="B58" s="3"/>
      <c r="C58" s="2"/>
      <c r="D58" s="3"/>
      <c r="E58" s="3"/>
      <c r="F58" s="34"/>
      <c r="G58" s="34"/>
      <c r="H58" s="34"/>
      <c r="I58" s="34"/>
      <c r="J58" s="34"/>
      <c r="K58" s="34"/>
      <c r="L58" s="34"/>
      <c r="M58" s="34"/>
    </row>
    <row r="59" spans="1:13" s="22" customFormat="1" ht="13.5">
      <c r="A59" s="3"/>
      <c r="B59" s="3"/>
      <c r="C59" s="2"/>
      <c r="D59" s="3"/>
      <c r="E59" s="3"/>
      <c r="F59" s="34"/>
      <c r="G59" s="34"/>
      <c r="H59" s="34"/>
      <c r="I59" s="34"/>
      <c r="J59" s="34"/>
      <c r="K59" s="34"/>
      <c r="L59" s="34"/>
      <c r="M59" s="34"/>
    </row>
    <row r="60" spans="1:13" s="22" customFormat="1" ht="13.5">
      <c r="A60" s="3"/>
      <c r="B60" s="3"/>
      <c r="C60" s="2"/>
      <c r="D60" s="3"/>
      <c r="E60" s="3"/>
      <c r="F60" s="34"/>
      <c r="G60" s="34"/>
      <c r="H60" s="34"/>
      <c r="I60" s="34"/>
      <c r="J60" s="34"/>
      <c r="K60" s="34"/>
      <c r="L60" s="34"/>
      <c r="M60" s="34"/>
    </row>
    <row r="61" spans="1:13" s="22" customFormat="1" ht="13.5">
      <c r="A61" s="3"/>
      <c r="B61" s="3"/>
      <c r="C61" s="2"/>
      <c r="D61" s="3"/>
      <c r="E61" s="3"/>
      <c r="F61" s="34"/>
      <c r="G61" s="34"/>
      <c r="H61" s="34"/>
      <c r="I61" s="34"/>
      <c r="J61" s="34"/>
      <c r="K61" s="34"/>
      <c r="L61" s="34"/>
      <c r="M61" s="34"/>
    </row>
    <row r="62" spans="1:13" s="22" customFormat="1" ht="13.5">
      <c r="A62" s="3"/>
      <c r="B62" s="3"/>
      <c r="C62" s="2"/>
      <c r="D62" s="3"/>
      <c r="E62" s="3"/>
      <c r="F62" s="34"/>
      <c r="G62" s="34"/>
      <c r="H62" s="34"/>
      <c r="I62" s="34"/>
      <c r="J62" s="34"/>
      <c r="K62" s="34"/>
      <c r="L62" s="34"/>
      <c r="M62" s="34"/>
    </row>
    <row r="63" spans="1:13" s="22" customFormat="1" ht="13.5">
      <c r="A63" s="3"/>
      <c r="B63" s="3"/>
      <c r="C63" s="2"/>
      <c r="D63" s="3"/>
      <c r="E63" s="3"/>
      <c r="F63" s="34"/>
      <c r="G63" s="34"/>
      <c r="H63" s="34"/>
      <c r="I63" s="34"/>
      <c r="J63" s="34"/>
      <c r="K63" s="34"/>
      <c r="L63" s="34"/>
      <c r="M63" s="34"/>
    </row>
    <row r="64" spans="1:13" s="22" customFormat="1" ht="13.5">
      <c r="A64" s="3"/>
      <c r="B64" s="3"/>
      <c r="C64" s="2"/>
      <c r="D64" s="3"/>
      <c r="E64" s="3"/>
      <c r="F64" s="34"/>
      <c r="G64" s="34"/>
      <c r="H64" s="34"/>
      <c r="I64" s="34"/>
      <c r="J64" s="34"/>
      <c r="K64" s="34"/>
      <c r="L64" s="34"/>
      <c r="M64" s="34"/>
    </row>
    <row r="65" spans="1:13" s="22" customFormat="1" ht="13.5">
      <c r="A65" s="3"/>
      <c r="B65" s="3"/>
      <c r="C65" s="2"/>
      <c r="D65" s="3"/>
      <c r="E65" s="3"/>
      <c r="F65" s="34"/>
      <c r="G65" s="34"/>
      <c r="H65" s="34"/>
      <c r="I65" s="34"/>
      <c r="J65" s="34"/>
      <c r="K65" s="34"/>
      <c r="L65" s="34"/>
      <c r="M65" s="34"/>
    </row>
    <row r="66" spans="1:13" s="22" customFormat="1" ht="13.5">
      <c r="A66" s="3"/>
      <c r="B66" s="3"/>
      <c r="C66" s="2"/>
      <c r="D66" s="3"/>
      <c r="E66" s="3"/>
      <c r="F66" s="34"/>
      <c r="G66" s="34"/>
      <c r="H66" s="34"/>
      <c r="I66" s="34"/>
      <c r="J66" s="34"/>
      <c r="K66" s="34"/>
      <c r="L66" s="34"/>
      <c r="M66" s="34"/>
    </row>
    <row r="67" spans="1:13" s="22" customFormat="1" ht="13.5">
      <c r="A67" s="3"/>
      <c r="B67" s="3"/>
      <c r="C67" s="2"/>
      <c r="D67" s="3"/>
      <c r="E67" s="3"/>
      <c r="F67" s="34"/>
      <c r="G67" s="34"/>
      <c r="H67" s="34"/>
      <c r="I67" s="34"/>
      <c r="J67" s="34"/>
      <c r="K67" s="34"/>
      <c r="L67" s="34"/>
      <c r="M67" s="34"/>
    </row>
    <row r="68" spans="1:13" s="22" customFormat="1" ht="13.5">
      <c r="A68" s="3"/>
      <c r="B68" s="3"/>
      <c r="C68" s="2"/>
      <c r="D68" s="3"/>
      <c r="E68" s="3"/>
      <c r="F68" s="34"/>
      <c r="G68" s="34"/>
      <c r="H68" s="34"/>
      <c r="I68" s="34"/>
      <c r="J68" s="34"/>
      <c r="K68" s="34"/>
      <c r="L68" s="34"/>
      <c r="M68" s="34"/>
    </row>
    <row r="69" spans="1:13" s="22" customFormat="1" ht="13.5">
      <c r="A69" s="3"/>
      <c r="B69" s="3"/>
      <c r="C69" s="2"/>
      <c r="D69" s="3"/>
      <c r="E69" s="3"/>
      <c r="F69" s="34"/>
      <c r="G69" s="34"/>
      <c r="H69" s="34"/>
      <c r="I69" s="34"/>
      <c r="J69" s="34"/>
      <c r="K69" s="34"/>
      <c r="L69" s="34"/>
      <c r="M69" s="34"/>
    </row>
    <row r="70" spans="1:13" s="22" customFormat="1" ht="13.5">
      <c r="A70" s="3"/>
      <c r="B70" s="3"/>
      <c r="C70" s="2"/>
      <c r="D70" s="3"/>
      <c r="E70" s="3"/>
      <c r="F70" s="34"/>
      <c r="G70" s="34"/>
      <c r="H70" s="34"/>
      <c r="I70" s="34"/>
      <c r="J70" s="34"/>
      <c r="K70" s="34"/>
      <c r="L70" s="34"/>
      <c r="M70" s="34"/>
    </row>
    <row r="71" spans="1:13" s="22" customFormat="1" ht="13.5">
      <c r="A71" s="3"/>
      <c r="B71" s="3"/>
      <c r="C71" s="2"/>
      <c r="D71" s="3"/>
      <c r="E71" s="3"/>
      <c r="F71" s="34"/>
      <c r="G71" s="34"/>
      <c r="H71" s="34"/>
      <c r="I71" s="34"/>
      <c r="J71" s="34"/>
      <c r="K71" s="34"/>
      <c r="L71" s="34"/>
      <c r="M71" s="34"/>
    </row>
    <row r="72" spans="1:13" s="22" customFormat="1" ht="13.5">
      <c r="A72" s="3"/>
      <c r="B72" s="3"/>
      <c r="C72" s="2"/>
      <c r="D72" s="3"/>
      <c r="E72" s="3"/>
      <c r="F72" s="34"/>
      <c r="G72" s="34"/>
      <c r="H72" s="34"/>
      <c r="I72" s="34"/>
      <c r="J72" s="34"/>
      <c r="K72" s="34"/>
      <c r="L72" s="34"/>
      <c r="M72" s="34"/>
    </row>
    <row r="73" spans="1:13" s="22" customFormat="1" ht="13.5">
      <c r="A73" s="3"/>
      <c r="B73" s="3"/>
      <c r="C73" s="2"/>
      <c r="D73" s="3"/>
      <c r="E73" s="3"/>
      <c r="F73" s="34"/>
      <c r="G73" s="34"/>
      <c r="H73" s="34"/>
      <c r="I73" s="34"/>
      <c r="J73" s="34"/>
      <c r="K73" s="34"/>
      <c r="L73" s="34"/>
      <c r="M73" s="34"/>
    </row>
    <row r="74" spans="1:13" s="22" customFormat="1" ht="13.5">
      <c r="A74" s="3"/>
      <c r="B74" s="3"/>
      <c r="C74" s="2"/>
      <c r="D74" s="3"/>
      <c r="E74" s="3"/>
      <c r="F74" s="34"/>
      <c r="G74" s="34"/>
      <c r="H74" s="34"/>
      <c r="I74" s="34"/>
      <c r="J74" s="34"/>
      <c r="K74" s="34"/>
      <c r="L74" s="34"/>
      <c r="M74" s="34"/>
    </row>
    <row r="75" spans="1:13" s="22" customFormat="1" ht="13.5">
      <c r="A75" s="3"/>
      <c r="B75" s="3"/>
      <c r="C75" s="2"/>
      <c r="D75" s="3"/>
      <c r="E75" s="3"/>
      <c r="F75" s="34"/>
      <c r="G75" s="34"/>
      <c r="H75" s="34"/>
      <c r="I75" s="34"/>
      <c r="J75" s="34"/>
      <c r="K75" s="34"/>
      <c r="L75" s="34"/>
      <c r="M75" s="34"/>
    </row>
    <row r="76" spans="1:13" s="22" customFormat="1" ht="13.5">
      <c r="A76" s="3"/>
      <c r="B76" s="3"/>
      <c r="C76" s="2"/>
      <c r="D76" s="3"/>
      <c r="E76" s="3"/>
      <c r="F76" s="34"/>
      <c r="G76" s="34"/>
      <c r="H76" s="34"/>
      <c r="I76" s="34"/>
      <c r="J76" s="34"/>
      <c r="K76" s="34"/>
      <c r="L76" s="34"/>
      <c r="M76" s="34"/>
    </row>
    <row r="77" spans="1:13" s="22" customFormat="1" ht="13.5">
      <c r="A77" s="3"/>
      <c r="B77" s="3"/>
      <c r="C77" s="2"/>
      <c r="D77" s="3"/>
      <c r="E77" s="3"/>
    </row>
    <row r="78" spans="1:13" s="22" customFormat="1" ht="13.5">
      <c r="C78" s="1"/>
    </row>
    <row r="79" spans="1:13" s="22" customFormat="1" ht="13.5">
      <c r="C79" s="1"/>
    </row>
    <row r="80" spans="1:13" s="22" customFormat="1" ht="13.5">
      <c r="C80" s="1"/>
    </row>
    <row r="81" spans="3:3" s="22" customFormat="1" ht="13.5">
      <c r="C81" s="1"/>
    </row>
    <row r="82" spans="3:3" s="22" customFormat="1" ht="13.5">
      <c r="C82" s="1"/>
    </row>
    <row r="83" spans="3:3" s="22" customFormat="1" ht="13.5">
      <c r="C83" s="1"/>
    </row>
    <row r="84" spans="3:3" s="22" customFormat="1" ht="13.5">
      <c r="C84" s="1"/>
    </row>
    <row r="85" spans="3:3" s="22" customFormat="1" ht="13.5">
      <c r="C85" s="1"/>
    </row>
    <row r="86" spans="3:3" s="22" customFormat="1" ht="13.5">
      <c r="C86" s="1"/>
    </row>
    <row r="87" spans="3:3" s="22" customFormat="1" ht="13.5">
      <c r="C87" s="1"/>
    </row>
    <row r="88" spans="3:3" s="22" customFormat="1" ht="13.5">
      <c r="C88" s="1"/>
    </row>
    <row r="89" spans="3:3" s="22" customFormat="1" ht="13.5">
      <c r="C89" s="1"/>
    </row>
    <row r="90" spans="3:3" s="22" customFormat="1" ht="13.5">
      <c r="C90" s="1"/>
    </row>
    <row r="91" spans="3:3" s="22" customFormat="1" ht="13.5">
      <c r="C91" s="1"/>
    </row>
    <row r="92" spans="3:3" s="22" customFormat="1" ht="13.5">
      <c r="C92" s="1"/>
    </row>
    <row r="93" spans="3:3" s="22" customFormat="1" ht="13.5">
      <c r="C93" s="1"/>
    </row>
    <row r="94" spans="3:3" s="22" customFormat="1" ht="13.5">
      <c r="C94" s="1"/>
    </row>
    <row r="95" spans="3:3" s="22" customFormat="1" ht="13.5">
      <c r="C95" s="1"/>
    </row>
    <row r="96" spans="3:3" s="22" customFormat="1" ht="13.5">
      <c r="C96" s="1"/>
    </row>
    <row r="97" spans="3:3" s="22" customFormat="1" ht="13.5">
      <c r="C97" s="1"/>
    </row>
    <row r="98" spans="3:3" s="22" customFormat="1" ht="13.5">
      <c r="C98" s="1"/>
    </row>
    <row r="99" spans="3:3" s="22" customFormat="1" ht="13.5">
      <c r="C99" s="1"/>
    </row>
    <row r="100" spans="3:3" s="22" customFormat="1" ht="13.5">
      <c r="C100" s="1"/>
    </row>
    <row r="101" spans="3:3" s="22" customFormat="1" ht="13.5">
      <c r="C101" s="1"/>
    </row>
    <row r="102" spans="3:3" s="22" customFormat="1" ht="13.5">
      <c r="C102" s="1"/>
    </row>
    <row r="103" spans="3:3" s="22" customFormat="1" ht="13.5">
      <c r="C103" s="1"/>
    </row>
    <row r="104" spans="3:3" s="22" customFormat="1" ht="13.5">
      <c r="C104" s="1"/>
    </row>
    <row r="105" spans="3:3" s="36" customFormat="1" ht="13.5"/>
    <row r="106" spans="3:3" s="36" customFormat="1" ht="13.5"/>
    <row r="107" spans="3:3" s="36" customFormat="1" ht="13.5"/>
    <row r="108" spans="3:3" s="36" customFormat="1" ht="13.5"/>
    <row r="109" spans="3:3" s="36" customFormat="1" ht="13.5"/>
    <row r="110" spans="3:3" s="36" customFormat="1" ht="13.5"/>
    <row r="111" spans="3:3" s="36" customFormat="1" ht="13.5"/>
    <row r="112" spans="3:3" s="36" customFormat="1" ht="13.5"/>
  </sheetData>
  <mergeCells count="20">
    <mergeCell ref="D37:E37"/>
    <mergeCell ref="H37:I37"/>
    <mergeCell ref="A12:A18"/>
    <mergeCell ref="A19:A23"/>
    <mergeCell ref="A24:A26"/>
    <mergeCell ref="I7:J7"/>
    <mergeCell ref="K7:L7"/>
    <mergeCell ref="M7:M8"/>
    <mergeCell ref="A7:A8"/>
    <mergeCell ref="B7:B8"/>
    <mergeCell ref="C7:C8"/>
    <mergeCell ref="D7:D8"/>
    <mergeCell ref="E7:F7"/>
    <mergeCell ref="G7:H7"/>
    <mergeCell ref="A6:G6"/>
    <mergeCell ref="A1:M1"/>
    <mergeCell ref="A2:M2"/>
    <mergeCell ref="A3:M3"/>
    <mergeCell ref="A4:G4"/>
    <mergeCell ref="C5:K5"/>
  </mergeCells>
  <pageMargins left="0.15748031496062992" right="0.19685039370078741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view="pageBreakPreview" zoomScale="60" zoomScaleNormal="100" workbookViewId="0">
      <selection activeCell="H17" sqref="H17:H18"/>
    </sheetView>
  </sheetViews>
  <sheetFormatPr defaultColWidth="9.140625" defaultRowHeight="15"/>
  <cols>
    <col min="1" max="1" width="6.42578125" customWidth="1"/>
    <col min="3" max="3" width="38.85546875" customWidth="1"/>
    <col min="6" max="6" width="9.140625" style="237"/>
    <col min="7" max="7" width="8.140625" customWidth="1"/>
    <col min="8" max="8" width="9.42578125" customWidth="1"/>
    <col min="9" max="9" width="7" customWidth="1"/>
    <col min="11" max="11" width="8.42578125" customWidth="1"/>
    <col min="13" max="13" width="10.42578125" customWidth="1"/>
    <col min="15" max="15" width="9.42578125" bestFit="1" customWidth="1"/>
  </cols>
  <sheetData>
    <row r="1" spans="1:16" s="36" customFormat="1" ht="25.5" customHeight="1">
      <c r="A1" s="277" t="s">
        <v>163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6"/>
      <c r="O1" s="14"/>
      <c r="P1" s="14"/>
    </row>
    <row r="2" spans="1:16" s="36" customFormat="1" ht="17.25" customHeight="1">
      <c r="A2" s="278" t="s">
        <v>452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6"/>
      <c r="O2" s="7"/>
      <c r="P2" s="7"/>
    </row>
    <row r="3" spans="1:16" s="36" customFormat="1" ht="15.75">
      <c r="A3" s="278" t="s">
        <v>351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6"/>
      <c r="O3" s="7"/>
      <c r="P3" s="7"/>
    </row>
    <row r="4" spans="1:16" s="36" customFormat="1" ht="15.75">
      <c r="A4" s="279" t="s">
        <v>1</v>
      </c>
      <c r="B4" s="279"/>
      <c r="C4" s="279"/>
      <c r="D4" s="279"/>
      <c r="E4" s="279"/>
      <c r="F4" s="279"/>
      <c r="G4" s="279"/>
      <c r="H4" s="8"/>
      <c r="I4" s="8"/>
      <c r="J4" s="8"/>
      <c r="K4" s="8"/>
      <c r="L4" s="8"/>
      <c r="M4" s="8"/>
      <c r="N4" s="6"/>
      <c r="O4" s="7"/>
      <c r="P4" s="7"/>
    </row>
    <row r="5" spans="1:16" s="36" customFormat="1" ht="15.75">
      <c r="A5" s="42"/>
      <c r="B5" s="42"/>
      <c r="C5" s="280" t="s">
        <v>2</v>
      </c>
      <c r="D5" s="280"/>
      <c r="E5" s="280"/>
      <c r="F5" s="280"/>
      <c r="G5" s="280"/>
      <c r="H5" s="280"/>
      <c r="I5" s="280"/>
      <c r="J5" s="280"/>
      <c r="K5" s="280"/>
      <c r="L5" s="9">
        <f>M69</f>
        <v>0</v>
      </c>
      <c r="M5" s="10" t="s">
        <v>16</v>
      </c>
      <c r="N5" s="6"/>
      <c r="O5" s="7"/>
      <c r="P5" s="7"/>
    </row>
    <row r="6" spans="1:16" s="36" customFormat="1" ht="18.75" customHeight="1">
      <c r="A6" s="267" t="s">
        <v>404</v>
      </c>
      <c r="B6" s="267"/>
      <c r="C6" s="267"/>
      <c r="D6" s="267"/>
      <c r="E6" s="267"/>
      <c r="F6" s="267"/>
      <c r="G6" s="267"/>
      <c r="H6" s="8"/>
      <c r="I6" s="8"/>
      <c r="J6" s="8"/>
      <c r="K6" s="8"/>
      <c r="L6" s="8"/>
      <c r="M6" s="8"/>
      <c r="N6" s="6"/>
      <c r="O6" s="7"/>
      <c r="P6" s="7"/>
    </row>
    <row r="7" spans="1:16" s="36" customFormat="1" ht="38.25" customHeight="1">
      <c r="A7" s="285" t="s">
        <v>3</v>
      </c>
      <c r="B7" s="285" t="s">
        <v>4</v>
      </c>
      <c r="C7" s="284" t="s">
        <v>5</v>
      </c>
      <c r="D7" s="284" t="s">
        <v>6</v>
      </c>
      <c r="E7" s="284" t="s">
        <v>7</v>
      </c>
      <c r="F7" s="284"/>
      <c r="G7" s="284" t="s">
        <v>8</v>
      </c>
      <c r="H7" s="284"/>
      <c r="I7" s="284" t="s">
        <v>9</v>
      </c>
      <c r="J7" s="284"/>
      <c r="K7" s="284" t="s">
        <v>10</v>
      </c>
      <c r="L7" s="284"/>
      <c r="M7" s="285" t="s">
        <v>11</v>
      </c>
      <c r="N7" s="6"/>
      <c r="O7" s="7"/>
      <c r="P7" s="7"/>
    </row>
    <row r="8" spans="1:16" s="36" customFormat="1" ht="40.5">
      <c r="A8" s="285"/>
      <c r="B8" s="285"/>
      <c r="C8" s="284"/>
      <c r="D8" s="284"/>
      <c r="E8" s="43" t="s">
        <v>12</v>
      </c>
      <c r="F8" s="230" t="s">
        <v>11</v>
      </c>
      <c r="G8" s="43" t="s">
        <v>13</v>
      </c>
      <c r="H8" s="11" t="s">
        <v>11</v>
      </c>
      <c r="I8" s="12" t="s">
        <v>13</v>
      </c>
      <c r="J8" s="13" t="s">
        <v>11</v>
      </c>
      <c r="K8" s="43" t="s">
        <v>13</v>
      </c>
      <c r="L8" s="43" t="s">
        <v>11</v>
      </c>
      <c r="M8" s="285"/>
      <c r="N8" s="6"/>
      <c r="O8" s="7"/>
      <c r="P8" s="7"/>
    </row>
    <row r="9" spans="1:16" s="36" customFormat="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31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6"/>
      <c r="O9" s="7"/>
      <c r="P9" s="7"/>
    </row>
    <row r="10" spans="1:16" s="36" customFormat="1" ht="67.5">
      <c r="A10" s="24"/>
      <c r="B10" s="24"/>
      <c r="C10" s="211" t="s">
        <v>524</v>
      </c>
      <c r="D10" s="24"/>
      <c r="E10" s="24"/>
      <c r="F10" s="231"/>
      <c r="G10" s="24"/>
      <c r="H10" s="24"/>
      <c r="I10" s="24"/>
      <c r="J10" s="24"/>
      <c r="K10" s="24"/>
      <c r="L10" s="24"/>
      <c r="M10" s="24"/>
      <c r="N10" s="6"/>
      <c r="O10" s="7"/>
      <c r="P10" s="7"/>
    </row>
    <row r="11" spans="1:16" s="22" customFormat="1" ht="24" customHeight="1">
      <c r="A11" s="25"/>
      <c r="B11" s="25"/>
      <c r="C11" s="105" t="s">
        <v>352</v>
      </c>
      <c r="D11" s="20"/>
      <c r="E11" s="209"/>
      <c r="F11" s="97"/>
      <c r="G11" s="28"/>
      <c r="H11" s="40"/>
      <c r="I11" s="35"/>
      <c r="J11" s="40"/>
      <c r="K11" s="194"/>
      <c r="L11" s="40"/>
      <c r="M11" s="40"/>
    </row>
    <row r="12" spans="1:16" s="22" customFormat="1" ht="32.25" customHeight="1">
      <c r="A12" s="274" t="s">
        <v>14</v>
      </c>
      <c r="B12" s="41" t="s">
        <v>341</v>
      </c>
      <c r="C12" s="105" t="s">
        <v>353</v>
      </c>
      <c r="D12" s="20" t="s">
        <v>80</v>
      </c>
      <c r="E12" s="92"/>
      <c r="F12" s="114">
        <f>141.75+8.3</f>
        <v>150.05000000000001</v>
      </c>
      <c r="G12" s="94"/>
      <c r="H12" s="210"/>
      <c r="I12" s="16"/>
      <c r="J12" s="210"/>
      <c r="K12" s="16"/>
      <c r="L12" s="210"/>
      <c r="M12" s="16"/>
    </row>
    <row r="13" spans="1:16" s="22" customFormat="1" ht="13.5" customHeight="1">
      <c r="A13" s="275"/>
      <c r="B13" s="37"/>
      <c r="C13" s="105" t="s">
        <v>19</v>
      </c>
      <c r="D13" s="20" t="s">
        <v>15</v>
      </c>
      <c r="E13" s="20">
        <f>4.5*1.15</f>
        <v>5.1749999999999998</v>
      </c>
      <c r="F13" s="97">
        <f>E13*F12</f>
        <v>776.50875000000008</v>
      </c>
      <c r="G13" s="99"/>
      <c r="H13" s="107"/>
      <c r="I13" s="88"/>
      <c r="J13" s="35"/>
      <c r="K13" s="35"/>
      <c r="L13" s="99"/>
      <c r="M13" s="35"/>
    </row>
    <row r="14" spans="1:16" s="22" customFormat="1" ht="13.5" customHeight="1">
      <c r="A14" s="275"/>
      <c r="B14" s="37"/>
      <c r="C14" s="105" t="s">
        <v>28</v>
      </c>
      <c r="D14" s="20" t="s">
        <v>16</v>
      </c>
      <c r="E14" s="20">
        <v>0.37</v>
      </c>
      <c r="F14" s="97">
        <f>E14*F12</f>
        <v>55.518500000000003</v>
      </c>
      <c r="G14" s="99"/>
      <c r="H14" s="107"/>
      <c r="I14" s="88"/>
      <c r="J14" s="35"/>
      <c r="K14" s="88"/>
      <c r="L14" s="35"/>
      <c r="M14" s="35"/>
    </row>
    <row r="15" spans="1:16" s="22" customFormat="1" ht="13.5" customHeight="1">
      <c r="A15" s="275"/>
      <c r="B15" s="25" t="s">
        <v>225</v>
      </c>
      <c r="C15" s="189" t="s">
        <v>509</v>
      </c>
      <c r="D15" s="173" t="s">
        <v>80</v>
      </c>
      <c r="E15" s="35">
        <v>1.02</v>
      </c>
      <c r="F15" s="97">
        <f>E15*F12</f>
        <v>153.05100000000002</v>
      </c>
      <c r="G15" s="88"/>
      <c r="H15" s="35"/>
      <c r="I15" s="35"/>
      <c r="J15" s="35"/>
      <c r="K15" s="26"/>
      <c r="L15" s="26"/>
      <c r="M15" s="26"/>
    </row>
    <row r="16" spans="1:16" s="22" customFormat="1" ht="13.5" customHeight="1">
      <c r="A16" s="275"/>
      <c r="B16" s="37" t="s">
        <v>440</v>
      </c>
      <c r="C16" s="105" t="s">
        <v>354</v>
      </c>
      <c r="D16" s="20" t="s">
        <v>80</v>
      </c>
      <c r="E16" s="20">
        <v>1.61</v>
      </c>
      <c r="F16" s="97">
        <f>E16*F12</f>
        <v>241.58050000000003</v>
      </c>
      <c r="G16" s="126"/>
      <c r="H16" s="103"/>
      <c r="I16" s="103"/>
      <c r="J16" s="103"/>
      <c r="K16" s="103"/>
      <c r="L16" s="103"/>
      <c r="M16" s="103"/>
    </row>
    <row r="17" spans="1:13" s="22" customFormat="1" ht="13.5" customHeight="1">
      <c r="A17" s="275"/>
      <c r="B17" s="69" t="s">
        <v>201</v>
      </c>
      <c r="C17" s="105" t="s">
        <v>355</v>
      </c>
      <c r="D17" s="20" t="s">
        <v>80</v>
      </c>
      <c r="E17" s="165">
        <v>1.72E-2</v>
      </c>
      <c r="F17" s="97">
        <f>E17*F12</f>
        <v>2.5808600000000004</v>
      </c>
      <c r="G17" s="126"/>
      <c r="H17" s="103"/>
      <c r="I17" s="103"/>
      <c r="J17" s="103"/>
      <c r="K17" s="103"/>
      <c r="L17" s="103"/>
      <c r="M17" s="103"/>
    </row>
    <row r="18" spans="1:13" s="22" customFormat="1" ht="13.5" customHeight="1">
      <c r="A18" s="276"/>
      <c r="B18" s="37"/>
      <c r="C18" s="105" t="s">
        <v>23</v>
      </c>
      <c r="D18" s="20" t="s">
        <v>16</v>
      </c>
      <c r="E18" s="20">
        <v>0.28000000000000003</v>
      </c>
      <c r="F18" s="97">
        <f>E18*F12</f>
        <v>42.01400000000001</v>
      </c>
      <c r="G18" s="126"/>
      <c r="H18" s="103"/>
      <c r="I18" s="103"/>
      <c r="J18" s="103"/>
      <c r="K18" s="103"/>
      <c r="L18" s="103"/>
      <c r="M18" s="103"/>
    </row>
    <row r="19" spans="1:13" s="22" customFormat="1" ht="28.5" customHeight="1">
      <c r="A19" s="274" t="s">
        <v>75</v>
      </c>
      <c r="B19" s="41" t="s">
        <v>356</v>
      </c>
      <c r="C19" s="211" t="s">
        <v>614</v>
      </c>
      <c r="D19" s="33" t="s">
        <v>77</v>
      </c>
      <c r="E19" s="157"/>
      <c r="F19" s="93">
        <v>7916</v>
      </c>
      <c r="G19" s="158"/>
      <c r="H19" s="16"/>
      <c r="I19" s="23"/>
      <c r="J19" s="16"/>
      <c r="K19" s="23"/>
      <c r="L19" s="16"/>
      <c r="M19" s="16"/>
    </row>
    <row r="20" spans="1:13" s="22" customFormat="1" ht="13.5" customHeight="1">
      <c r="A20" s="275"/>
      <c r="B20" s="41"/>
      <c r="C20" s="91" t="s">
        <v>97</v>
      </c>
      <c r="D20" s="33" t="s">
        <v>15</v>
      </c>
      <c r="E20" s="119">
        <f>0.8*1.15</f>
        <v>0.91999999999999993</v>
      </c>
      <c r="F20" s="114">
        <f>E20*F19</f>
        <v>7282.7199999999993</v>
      </c>
      <c r="G20" s="158"/>
      <c r="H20" s="95"/>
      <c r="I20" s="26"/>
      <c r="J20" s="26"/>
      <c r="K20" s="27"/>
      <c r="L20" s="27"/>
      <c r="M20" s="26"/>
    </row>
    <row r="21" spans="1:13" s="22" customFormat="1" ht="13.5" customHeight="1">
      <c r="A21" s="275"/>
      <c r="B21" s="41" t="s">
        <v>140</v>
      </c>
      <c r="C21" s="91" t="s">
        <v>357</v>
      </c>
      <c r="D21" s="33" t="s">
        <v>20</v>
      </c>
      <c r="E21" s="33">
        <f>0.0278*1.05</f>
        <v>2.9190000000000001E-2</v>
      </c>
      <c r="F21" s="113">
        <f>E21*F19</f>
        <v>231.06804</v>
      </c>
      <c r="G21" s="158"/>
      <c r="H21" s="16"/>
      <c r="I21" s="23"/>
      <c r="J21" s="16"/>
      <c r="K21" s="27"/>
      <c r="L21" s="26"/>
      <c r="M21" s="26"/>
    </row>
    <row r="22" spans="1:13" s="22" customFormat="1" ht="13.5" customHeight="1">
      <c r="A22" s="275"/>
      <c r="B22" s="41" t="s">
        <v>141</v>
      </c>
      <c r="C22" s="190" t="s">
        <v>358</v>
      </c>
      <c r="D22" s="33" t="s">
        <v>20</v>
      </c>
      <c r="E22" s="33">
        <f>0.0491*1.05</f>
        <v>5.1554999999999997E-2</v>
      </c>
      <c r="F22" s="113">
        <f>E22*F19</f>
        <v>408.10937999999999</v>
      </c>
      <c r="G22" s="158"/>
      <c r="H22" s="16"/>
      <c r="I22" s="23"/>
      <c r="J22" s="16"/>
      <c r="K22" s="27"/>
      <c r="L22" s="26"/>
      <c r="M22" s="26"/>
    </row>
    <row r="23" spans="1:13" s="22" customFormat="1" ht="13.5" customHeight="1">
      <c r="A23" s="275"/>
      <c r="B23" s="25"/>
      <c r="C23" s="190" t="s">
        <v>359</v>
      </c>
      <c r="D23" s="33" t="s">
        <v>16</v>
      </c>
      <c r="E23" s="33">
        <v>6.6E-3</v>
      </c>
      <c r="F23" s="113">
        <f>E23*F19</f>
        <v>52.245600000000003</v>
      </c>
      <c r="G23" s="158"/>
      <c r="H23" s="16"/>
      <c r="I23" s="23"/>
      <c r="J23" s="16"/>
      <c r="K23" s="126"/>
      <c r="L23" s="26"/>
      <c r="M23" s="26"/>
    </row>
    <row r="24" spans="1:13" s="22" customFormat="1" ht="30.75" customHeight="1">
      <c r="A24" s="275"/>
      <c r="B24" s="25" t="s">
        <v>360</v>
      </c>
      <c r="C24" s="190" t="s">
        <v>361</v>
      </c>
      <c r="D24" s="33" t="s">
        <v>17</v>
      </c>
      <c r="E24" s="157"/>
      <c r="F24" s="114">
        <f>3.4+4.37+79.58</f>
        <v>87.35</v>
      </c>
      <c r="G24" s="18"/>
      <c r="H24" s="26"/>
      <c r="I24" s="23"/>
      <c r="J24" s="16"/>
      <c r="K24" s="26"/>
      <c r="L24" s="26"/>
      <c r="M24" s="26"/>
    </row>
    <row r="25" spans="1:13" s="22" customFormat="1" ht="13.5" customHeight="1">
      <c r="A25" s="275"/>
      <c r="B25" s="25" t="s">
        <v>496</v>
      </c>
      <c r="C25" s="190" t="s">
        <v>362</v>
      </c>
      <c r="D25" s="33" t="s">
        <v>77</v>
      </c>
      <c r="E25" s="157"/>
      <c r="F25" s="248">
        <v>16496</v>
      </c>
      <c r="G25" s="26"/>
      <c r="H25" s="26"/>
      <c r="I25" s="23"/>
      <c r="J25" s="16"/>
      <c r="K25" s="27"/>
      <c r="L25" s="26"/>
      <c r="M25" s="26"/>
    </row>
    <row r="26" spans="1:13" s="22" customFormat="1" ht="13.5" customHeight="1">
      <c r="A26" s="275"/>
      <c r="B26" s="25" t="s">
        <v>432</v>
      </c>
      <c r="C26" s="190" t="s">
        <v>363</v>
      </c>
      <c r="D26" s="33" t="s">
        <v>17</v>
      </c>
      <c r="E26" s="157"/>
      <c r="F26" s="248">
        <v>12.52</v>
      </c>
      <c r="G26" s="158"/>
      <c r="H26" s="18"/>
      <c r="I26" s="23"/>
      <c r="J26" s="16"/>
      <c r="K26" s="27"/>
      <c r="L26" s="26"/>
      <c r="M26" s="26"/>
    </row>
    <row r="27" spans="1:13" s="22" customFormat="1" ht="13.5" customHeight="1">
      <c r="A27" s="276"/>
      <c r="B27" s="25"/>
      <c r="C27" s="190" t="s">
        <v>23</v>
      </c>
      <c r="D27" s="33" t="s">
        <v>16</v>
      </c>
      <c r="E27" s="157">
        <v>3.6700000000000003E-2</v>
      </c>
      <c r="F27" s="249">
        <f>E27*F19</f>
        <v>290.5172</v>
      </c>
      <c r="G27" s="126"/>
      <c r="H27" s="26"/>
      <c r="I27" s="23"/>
      <c r="J27" s="16"/>
      <c r="K27" s="27"/>
      <c r="L27" s="26"/>
      <c r="M27" s="26"/>
    </row>
    <row r="28" spans="1:13" s="22" customFormat="1" ht="28.5" customHeight="1">
      <c r="A28" s="274" t="s">
        <v>18</v>
      </c>
      <c r="B28" s="25" t="s">
        <v>364</v>
      </c>
      <c r="C28" s="38" t="s">
        <v>365</v>
      </c>
      <c r="D28" s="173" t="s">
        <v>80</v>
      </c>
      <c r="E28" s="20"/>
      <c r="F28" s="97">
        <f>48.55+8.3</f>
        <v>56.849999999999994</v>
      </c>
      <c r="G28" s="39"/>
      <c r="H28" s="40"/>
      <c r="I28" s="23"/>
      <c r="J28" s="16"/>
      <c r="K28" s="23"/>
      <c r="L28" s="16"/>
      <c r="M28" s="16"/>
    </row>
    <row r="29" spans="1:13" s="22" customFormat="1" ht="13.5" customHeight="1">
      <c r="A29" s="275"/>
      <c r="B29" s="25"/>
      <c r="C29" s="91" t="s">
        <v>97</v>
      </c>
      <c r="D29" s="33" t="s">
        <v>15</v>
      </c>
      <c r="E29" s="119">
        <f>0.55*1.15</f>
        <v>0.63249999999999995</v>
      </c>
      <c r="F29" s="152">
        <f>E29*F28</f>
        <v>35.957624999999993</v>
      </c>
      <c r="G29" s="158"/>
      <c r="H29" s="95"/>
      <c r="I29" s="18"/>
      <c r="J29" s="26"/>
      <c r="K29" s="27"/>
      <c r="L29" s="27"/>
      <c r="M29" s="26"/>
    </row>
    <row r="30" spans="1:13" s="22" customFormat="1" ht="13.5" customHeight="1">
      <c r="A30" s="275"/>
      <c r="B30" s="25" t="s">
        <v>132</v>
      </c>
      <c r="C30" s="38" t="s">
        <v>366</v>
      </c>
      <c r="D30" s="33" t="s">
        <v>20</v>
      </c>
      <c r="E30" s="20">
        <f>0.24*1.05</f>
        <v>0.252</v>
      </c>
      <c r="F30" s="153">
        <f>E30*F28</f>
        <v>14.326199999999998</v>
      </c>
      <c r="G30" s="39"/>
      <c r="H30" s="37"/>
      <c r="I30" s="18"/>
      <c r="J30" s="26"/>
      <c r="K30" s="27"/>
      <c r="L30" s="26"/>
      <c r="M30" s="26"/>
    </row>
    <row r="31" spans="1:13" s="22" customFormat="1" ht="13.5" customHeight="1">
      <c r="A31" s="275"/>
      <c r="B31" s="25"/>
      <c r="C31" s="38" t="s">
        <v>28</v>
      </c>
      <c r="D31" s="20" t="s">
        <v>16</v>
      </c>
      <c r="E31" s="20">
        <v>0.06</v>
      </c>
      <c r="F31" s="153">
        <f>E31*F28</f>
        <v>3.4109999999999996</v>
      </c>
      <c r="G31" s="39"/>
      <c r="H31" s="37"/>
      <c r="I31" s="27"/>
      <c r="J31" s="27"/>
      <c r="K31" s="126"/>
      <c r="L31" s="26"/>
      <c r="M31" s="26"/>
    </row>
    <row r="32" spans="1:13" s="22" customFormat="1" ht="13.5" customHeight="1">
      <c r="A32" s="275"/>
      <c r="B32" s="25" t="s">
        <v>225</v>
      </c>
      <c r="C32" s="189" t="s">
        <v>509</v>
      </c>
      <c r="D32" s="173" t="s">
        <v>80</v>
      </c>
      <c r="E32" s="35"/>
      <c r="F32" s="97">
        <f>F28</f>
        <v>56.849999999999994</v>
      </c>
      <c r="G32" s="88"/>
      <c r="H32" s="35"/>
      <c r="I32" s="35"/>
      <c r="J32" s="35"/>
      <c r="K32" s="26"/>
      <c r="L32" s="26"/>
      <c r="M32" s="26"/>
    </row>
    <row r="33" spans="1:13" s="22" customFormat="1" ht="13.5" customHeight="1">
      <c r="A33" s="276"/>
      <c r="B33" s="25"/>
      <c r="C33" s="38" t="s">
        <v>23</v>
      </c>
      <c r="D33" s="20" t="s">
        <v>16</v>
      </c>
      <c r="E33" s="20">
        <v>1.04</v>
      </c>
      <c r="F33" s="153">
        <f>E33*F28</f>
        <v>59.123999999999995</v>
      </c>
      <c r="G33" s="126"/>
      <c r="H33" s="26"/>
      <c r="I33" s="23"/>
      <c r="J33" s="16"/>
      <c r="K33" s="27"/>
      <c r="L33" s="26"/>
      <c r="M33" s="26"/>
    </row>
    <row r="34" spans="1:13" s="22" customFormat="1" ht="26.25" customHeight="1">
      <c r="A34" s="274" t="s">
        <v>21</v>
      </c>
      <c r="B34" s="15" t="s">
        <v>126</v>
      </c>
      <c r="C34" s="102" t="s">
        <v>367</v>
      </c>
      <c r="D34" s="20" t="s">
        <v>24</v>
      </c>
      <c r="E34" s="15"/>
      <c r="F34" s="246">
        <v>770.2</v>
      </c>
      <c r="G34" s="103"/>
      <c r="H34" s="104"/>
      <c r="I34" s="104"/>
      <c r="J34" s="104"/>
      <c r="K34" s="104"/>
      <c r="L34" s="104"/>
      <c r="M34" s="104"/>
    </row>
    <row r="35" spans="1:13" s="22" customFormat="1" ht="13.5" customHeight="1">
      <c r="A35" s="275"/>
      <c r="B35" s="15"/>
      <c r="C35" s="112" t="s">
        <v>97</v>
      </c>
      <c r="D35" s="113" t="s">
        <v>15</v>
      </c>
      <c r="E35" s="108">
        <f>0.564*1.15</f>
        <v>0.64859999999999984</v>
      </c>
      <c r="F35" s="114">
        <f>E35*F34</f>
        <v>499.55171999999993</v>
      </c>
      <c r="G35" s="114"/>
      <c r="H35" s="115"/>
      <c r="I35" s="35"/>
      <c r="J35" s="114"/>
      <c r="K35" s="115"/>
      <c r="L35" s="115"/>
      <c r="M35" s="114"/>
    </row>
    <row r="36" spans="1:13" s="22" customFormat="1" ht="13.5" customHeight="1">
      <c r="A36" s="275"/>
      <c r="B36" s="15"/>
      <c r="C36" s="112" t="s">
        <v>78</v>
      </c>
      <c r="D36" s="96" t="s">
        <v>16</v>
      </c>
      <c r="E36" s="5">
        <v>4.0899999999999999E-2</v>
      </c>
      <c r="F36" s="117">
        <f>E36*F34</f>
        <v>31.501180000000002</v>
      </c>
      <c r="G36" s="96"/>
      <c r="H36" s="96"/>
      <c r="I36" s="117"/>
      <c r="J36" s="96"/>
      <c r="K36" s="18"/>
      <c r="L36" s="35"/>
      <c r="M36" s="97"/>
    </row>
    <row r="37" spans="1:13" s="22" customFormat="1" ht="13.5" customHeight="1">
      <c r="A37" s="275"/>
      <c r="B37" s="69" t="s">
        <v>189</v>
      </c>
      <c r="C37" s="151" t="s">
        <v>128</v>
      </c>
      <c r="D37" s="37" t="s">
        <v>17</v>
      </c>
      <c r="E37" s="5">
        <v>4.4999999999999997E-3</v>
      </c>
      <c r="F37" s="97">
        <f>E37*F34</f>
        <v>3.4659</v>
      </c>
      <c r="G37" s="88"/>
      <c r="H37" s="35"/>
      <c r="I37" s="37"/>
      <c r="J37" s="37"/>
      <c r="K37" s="37"/>
      <c r="L37" s="37"/>
      <c r="M37" s="35"/>
    </row>
    <row r="38" spans="1:13" s="22" customFormat="1" ht="13.5" customHeight="1">
      <c r="A38" s="275"/>
      <c r="B38" s="103" t="s">
        <v>419</v>
      </c>
      <c r="C38" s="151" t="s">
        <v>129</v>
      </c>
      <c r="D38" s="20" t="s">
        <v>80</v>
      </c>
      <c r="E38" s="5">
        <v>7.4999999999999997E-3</v>
      </c>
      <c r="F38" s="97">
        <f>E38*F34</f>
        <v>5.7765000000000004</v>
      </c>
      <c r="G38" s="88"/>
      <c r="H38" s="35"/>
      <c r="I38" s="37"/>
      <c r="J38" s="37"/>
      <c r="K38" s="37"/>
      <c r="L38" s="37"/>
      <c r="M38" s="35"/>
    </row>
    <row r="39" spans="1:13" s="22" customFormat="1" ht="13.5" customHeight="1">
      <c r="A39" s="276"/>
      <c r="B39" s="15"/>
      <c r="C39" s="105" t="s">
        <v>23</v>
      </c>
      <c r="D39" s="20" t="s">
        <v>16</v>
      </c>
      <c r="E39" s="108">
        <v>0.26500000000000001</v>
      </c>
      <c r="F39" s="97">
        <f>E39*F34</f>
        <v>204.10300000000001</v>
      </c>
      <c r="G39" s="18"/>
      <c r="H39" s="35"/>
      <c r="I39" s="107"/>
      <c r="J39" s="154"/>
      <c r="K39" s="107"/>
      <c r="L39" s="107"/>
      <c r="M39" s="35"/>
    </row>
    <row r="40" spans="1:13" s="22" customFormat="1" ht="66" customHeight="1">
      <c r="A40" s="25" t="s">
        <v>83</v>
      </c>
      <c r="B40" s="25"/>
      <c r="C40" s="38" t="s">
        <v>368</v>
      </c>
      <c r="D40" s="20" t="s">
        <v>24</v>
      </c>
      <c r="E40" s="20"/>
      <c r="F40" s="97">
        <v>24.3</v>
      </c>
      <c r="G40" s="126"/>
      <c r="H40" s="16"/>
      <c r="I40" s="23"/>
      <c r="J40" s="16"/>
      <c r="K40" s="23"/>
      <c r="L40" s="16"/>
      <c r="M40" s="16"/>
    </row>
    <row r="41" spans="1:13" s="22" customFormat="1" ht="36" customHeight="1">
      <c r="A41" s="25" t="s">
        <v>22</v>
      </c>
      <c r="B41" s="15" t="s">
        <v>369</v>
      </c>
      <c r="C41" s="105" t="s">
        <v>370</v>
      </c>
      <c r="D41" s="20" t="s">
        <v>106</v>
      </c>
      <c r="E41" s="108"/>
      <c r="F41" s="117">
        <v>166</v>
      </c>
      <c r="G41" s="18"/>
      <c r="H41" s="118"/>
      <c r="I41" s="205"/>
      <c r="J41" s="206"/>
      <c r="K41" s="205"/>
      <c r="L41" s="205"/>
      <c r="M41" s="118"/>
    </row>
    <row r="42" spans="1:13" s="22" customFormat="1" ht="29.25" customHeight="1">
      <c r="A42" s="25" t="s">
        <v>84</v>
      </c>
      <c r="B42" s="15"/>
      <c r="C42" s="105" t="s">
        <v>371</v>
      </c>
      <c r="D42" s="20"/>
      <c r="E42" s="108"/>
      <c r="F42" s="97"/>
      <c r="G42" s="18"/>
      <c r="H42" s="35"/>
      <c r="I42" s="107"/>
      <c r="J42" s="154"/>
      <c r="K42" s="107"/>
      <c r="L42" s="107"/>
      <c r="M42" s="35"/>
    </row>
    <row r="43" spans="1:13" s="22" customFormat="1" ht="30" customHeight="1">
      <c r="A43" s="274" t="s">
        <v>319</v>
      </c>
      <c r="B43" s="15" t="s">
        <v>372</v>
      </c>
      <c r="C43" s="105" t="s">
        <v>373</v>
      </c>
      <c r="D43" s="173" t="s">
        <v>80</v>
      </c>
      <c r="E43" s="108"/>
      <c r="F43" s="97">
        <v>22.8</v>
      </c>
      <c r="G43" s="18"/>
      <c r="H43" s="40"/>
      <c r="I43" s="107"/>
      <c r="J43" s="104"/>
      <c r="K43" s="104"/>
      <c r="L43" s="104"/>
      <c r="M43" s="104"/>
    </row>
    <row r="44" spans="1:13" s="22" customFormat="1" ht="13.5" customHeight="1">
      <c r="A44" s="275"/>
      <c r="B44" s="15"/>
      <c r="C44" s="105" t="s">
        <v>19</v>
      </c>
      <c r="D44" s="20" t="s">
        <v>15</v>
      </c>
      <c r="E44" s="88">
        <f>2.86*1.15</f>
        <v>3.2889999999999997</v>
      </c>
      <c r="F44" s="97">
        <f>E44*F43</f>
        <v>74.989199999999997</v>
      </c>
      <c r="G44" s="18"/>
      <c r="H44" s="35"/>
      <c r="I44" s="88"/>
      <c r="J44" s="114"/>
      <c r="K44" s="115"/>
      <c r="L44" s="115"/>
      <c r="M44" s="114"/>
    </row>
    <row r="45" spans="1:13" s="22" customFormat="1" ht="13.5" customHeight="1">
      <c r="A45" s="275"/>
      <c r="B45" s="15"/>
      <c r="C45" s="105" t="s">
        <v>28</v>
      </c>
      <c r="D45" s="20" t="s">
        <v>16</v>
      </c>
      <c r="E45" s="35">
        <v>0.76</v>
      </c>
      <c r="F45" s="97">
        <f>E45*F43</f>
        <v>17.327999999999999</v>
      </c>
      <c r="G45" s="18"/>
      <c r="H45" s="35"/>
      <c r="I45" s="107"/>
      <c r="J45" s="154"/>
      <c r="K45" s="18"/>
      <c r="L45" s="35"/>
      <c r="M45" s="97"/>
    </row>
    <row r="46" spans="1:13" s="22" customFormat="1" ht="13.5" customHeight="1">
      <c r="A46" s="275"/>
      <c r="B46" s="25" t="s">
        <v>225</v>
      </c>
      <c r="C46" s="189" t="s">
        <v>509</v>
      </c>
      <c r="D46" s="173" t="s">
        <v>80</v>
      </c>
      <c r="E46" s="35">
        <v>1.02</v>
      </c>
      <c r="F46" s="97">
        <f>E46*F43</f>
        <v>23.256</v>
      </c>
      <c r="G46" s="88"/>
      <c r="H46" s="35"/>
      <c r="I46" s="35"/>
      <c r="J46" s="35"/>
      <c r="K46" s="26"/>
      <c r="L46" s="26"/>
      <c r="M46" s="26"/>
    </row>
    <row r="47" spans="1:13" s="22" customFormat="1" ht="13.5" customHeight="1">
      <c r="A47" s="275"/>
      <c r="B47" s="15" t="s">
        <v>440</v>
      </c>
      <c r="C47" s="105" t="s">
        <v>234</v>
      </c>
      <c r="D47" s="20" t="s">
        <v>24</v>
      </c>
      <c r="E47" s="108">
        <v>0.80300000000000005</v>
      </c>
      <c r="F47" s="97">
        <f>E47*F43</f>
        <v>18.308400000000002</v>
      </c>
      <c r="G47" s="18"/>
      <c r="H47" s="35"/>
      <c r="I47" s="107"/>
      <c r="J47" s="154"/>
      <c r="K47" s="107"/>
      <c r="L47" s="107"/>
      <c r="M47" s="26"/>
    </row>
    <row r="48" spans="1:13" s="22" customFormat="1" ht="13.5" customHeight="1">
      <c r="A48" s="275"/>
      <c r="B48" s="69" t="s">
        <v>201</v>
      </c>
      <c r="C48" s="105" t="s">
        <v>355</v>
      </c>
      <c r="D48" s="20" t="s">
        <v>80</v>
      </c>
      <c r="E48" s="165">
        <v>3.8999999999999998E-3</v>
      </c>
      <c r="F48" s="97">
        <f>E48*F43</f>
        <v>8.8919999999999999E-2</v>
      </c>
      <c r="G48" s="126"/>
      <c r="H48" s="103"/>
      <c r="I48" s="103"/>
      <c r="J48" s="103"/>
      <c r="K48" s="103"/>
      <c r="L48" s="103"/>
      <c r="M48" s="103"/>
    </row>
    <row r="49" spans="1:13" s="22" customFormat="1" ht="13.5" customHeight="1">
      <c r="A49" s="276"/>
      <c r="B49" s="15"/>
      <c r="C49" s="105" t="s">
        <v>23</v>
      </c>
      <c r="D49" s="20" t="s">
        <v>16</v>
      </c>
      <c r="E49" s="108">
        <v>0.13</v>
      </c>
      <c r="F49" s="97">
        <f>E49*F43</f>
        <v>2.9640000000000004</v>
      </c>
      <c r="G49" s="18"/>
      <c r="H49" s="35"/>
      <c r="I49" s="107"/>
      <c r="J49" s="154"/>
      <c r="K49" s="107"/>
      <c r="L49" s="107"/>
      <c r="M49" s="35"/>
    </row>
    <row r="50" spans="1:13" s="22" customFormat="1" ht="31.5" customHeight="1">
      <c r="A50" s="274" t="s">
        <v>320</v>
      </c>
      <c r="B50" s="15" t="s">
        <v>374</v>
      </c>
      <c r="C50" s="105" t="s">
        <v>375</v>
      </c>
      <c r="D50" s="173" t="s">
        <v>80</v>
      </c>
      <c r="E50" s="108"/>
      <c r="F50" s="97">
        <v>53.9</v>
      </c>
      <c r="G50" s="18"/>
      <c r="H50" s="40"/>
      <c r="I50" s="107"/>
      <c r="J50" s="104"/>
      <c r="K50" s="104"/>
      <c r="L50" s="104"/>
      <c r="M50" s="104"/>
    </row>
    <row r="51" spans="1:13" s="22" customFormat="1" ht="13.5" customHeight="1">
      <c r="A51" s="275"/>
      <c r="B51" s="69"/>
      <c r="C51" s="4" t="s">
        <v>97</v>
      </c>
      <c r="D51" s="33" t="s">
        <v>15</v>
      </c>
      <c r="E51" s="110">
        <f>6.46*1.15</f>
        <v>7.4289999999999994</v>
      </c>
      <c r="F51" s="114">
        <f>E51*F50</f>
        <v>400.42309999999998</v>
      </c>
      <c r="G51" s="26"/>
      <c r="H51" s="27"/>
      <c r="I51" s="18"/>
      <c r="J51" s="26"/>
      <c r="K51" s="27"/>
      <c r="L51" s="27"/>
      <c r="M51" s="26"/>
    </row>
    <row r="52" spans="1:13" s="22" customFormat="1" ht="13.5" customHeight="1">
      <c r="A52" s="275"/>
      <c r="B52" s="69"/>
      <c r="C52" s="190" t="s">
        <v>28</v>
      </c>
      <c r="D52" s="20" t="s">
        <v>16</v>
      </c>
      <c r="E52" s="110">
        <v>0.69</v>
      </c>
      <c r="F52" s="250">
        <f>E52*F50</f>
        <v>37.190999999999995</v>
      </c>
      <c r="G52" s="28"/>
      <c r="H52" s="37"/>
      <c r="I52" s="37"/>
      <c r="J52" s="37"/>
      <c r="K52" s="88"/>
      <c r="L52" s="35"/>
      <c r="M52" s="35"/>
    </row>
    <row r="53" spans="1:13" s="22" customFormat="1" ht="13.5" customHeight="1">
      <c r="A53" s="275"/>
      <c r="B53" s="15" t="s">
        <v>225</v>
      </c>
      <c r="C53" s="151" t="s">
        <v>116</v>
      </c>
      <c r="D53" s="149" t="s">
        <v>80</v>
      </c>
      <c r="E53" s="110">
        <v>1.02</v>
      </c>
      <c r="F53" s="97">
        <f>E53*F50</f>
        <v>54.978000000000002</v>
      </c>
      <c r="G53" s="88"/>
      <c r="H53" s="35"/>
      <c r="I53" s="37"/>
      <c r="J53" s="37"/>
      <c r="K53" s="26"/>
      <c r="L53" s="26"/>
      <c r="M53" s="26"/>
    </row>
    <row r="54" spans="1:13" s="22" customFormat="1" ht="13.5" customHeight="1">
      <c r="A54" s="275"/>
      <c r="B54" s="172" t="s">
        <v>440</v>
      </c>
      <c r="C54" s="105" t="s">
        <v>234</v>
      </c>
      <c r="D54" s="20" t="s">
        <v>24</v>
      </c>
      <c r="E54" s="35">
        <v>1.76</v>
      </c>
      <c r="F54" s="97">
        <f>E54*F50</f>
        <v>94.864000000000004</v>
      </c>
      <c r="G54" s="155"/>
      <c r="H54" s="35"/>
      <c r="I54" s="107"/>
      <c r="J54" s="154"/>
      <c r="K54" s="107"/>
      <c r="L54" s="107"/>
      <c r="M54" s="35"/>
    </row>
    <row r="55" spans="1:13" s="22" customFormat="1" ht="13.5" customHeight="1">
      <c r="A55" s="275"/>
      <c r="B55" s="172" t="s">
        <v>343</v>
      </c>
      <c r="C55" s="105" t="s">
        <v>344</v>
      </c>
      <c r="D55" s="20" t="s">
        <v>345</v>
      </c>
      <c r="E55" s="5">
        <v>3.9899999999999998E-2</v>
      </c>
      <c r="F55" s="153">
        <f>E55*F50</f>
        <v>2.1506099999999999</v>
      </c>
      <c r="G55" s="155"/>
      <c r="H55" s="35"/>
      <c r="I55" s="107"/>
      <c r="J55" s="154"/>
      <c r="K55" s="107"/>
      <c r="L55" s="107"/>
      <c r="M55" s="35"/>
    </row>
    <row r="56" spans="1:13" s="22" customFormat="1" ht="13.5" customHeight="1">
      <c r="A56" s="275"/>
      <c r="B56" s="172" t="s">
        <v>497</v>
      </c>
      <c r="C56" s="105" t="s">
        <v>239</v>
      </c>
      <c r="D56" s="20" t="s">
        <v>81</v>
      </c>
      <c r="E56" s="35">
        <v>2.1</v>
      </c>
      <c r="F56" s="153">
        <f>E56*F50</f>
        <v>113.19</v>
      </c>
      <c r="G56" s="28"/>
      <c r="H56" s="35"/>
      <c r="I56" s="107"/>
      <c r="J56" s="154"/>
      <c r="K56" s="107"/>
      <c r="L56" s="107"/>
      <c r="M56" s="35"/>
    </row>
    <row r="57" spans="1:13" s="22" customFormat="1" ht="13.5" customHeight="1">
      <c r="A57" s="276"/>
      <c r="B57" s="69"/>
      <c r="C57" s="4" t="s">
        <v>23</v>
      </c>
      <c r="D57" s="33" t="s">
        <v>16</v>
      </c>
      <c r="E57" s="110">
        <v>0.32</v>
      </c>
      <c r="F57" s="114">
        <f>E57*F50</f>
        <v>17.248000000000001</v>
      </c>
      <c r="G57" s="88"/>
      <c r="H57" s="26"/>
      <c r="I57" s="27"/>
      <c r="J57" s="27"/>
      <c r="K57" s="27"/>
      <c r="L57" s="27"/>
      <c r="M57" s="26"/>
    </row>
    <row r="58" spans="1:13" s="22" customFormat="1" ht="28.5" customHeight="1">
      <c r="A58" s="25" t="s">
        <v>376</v>
      </c>
      <c r="B58" s="15" t="s">
        <v>130</v>
      </c>
      <c r="C58" s="105" t="s">
        <v>402</v>
      </c>
      <c r="D58" s="20" t="s">
        <v>17</v>
      </c>
      <c r="E58" s="108"/>
      <c r="F58" s="97">
        <f>F50*2.4</f>
        <v>129.35999999999999</v>
      </c>
      <c r="G58" s="18"/>
      <c r="H58" s="35"/>
      <c r="I58" s="107"/>
      <c r="J58" s="154"/>
      <c r="K58" s="26"/>
      <c r="L58" s="16"/>
      <c r="M58" s="16"/>
    </row>
    <row r="59" spans="1:13" s="22" customFormat="1" ht="21" customHeight="1">
      <c r="A59" s="274" t="s">
        <v>377</v>
      </c>
      <c r="B59" s="15" t="s">
        <v>378</v>
      </c>
      <c r="C59" s="105" t="s">
        <v>379</v>
      </c>
      <c r="D59" s="173" t="s">
        <v>80</v>
      </c>
      <c r="E59" s="108"/>
      <c r="F59" s="97">
        <f>F50</f>
        <v>53.9</v>
      </c>
      <c r="G59" s="18"/>
      <c r="H59" s="40"/>
      <c r="I59" s="107"/>
      <c r="J59" s="104"/>
      <c r="K59" s="104"/>
      <c r="L59" s="104"/>
      <c r="M59" s="104"/>
    </row>
    <row r="60" spans="1:13" s="22" customFormat="1" ht="13.5" customHeight="1">
      <c r="A60" s="275"/>
      <c r="B60" s="15"/>
      <c r="C60" s="105" t="s">
        <v>380</v>
      </c>
      <c r="D60" s="20" t="s">
        <v>15</v>
      </c>
      <c r="E60" s="35">
        <f>2.23*1.15</f>
        <v>2.5644999999999998</v>
      </c>
      <c r="F60" s="97">
        <f>E60*F59</f>
        <v>138.22654999999997</v>
      </c>
      <c r="G60" s="18"/>
      <c r="H60" s="35"/>
      <c r="I60" s="18"/>
      <c r="J60" s="26"/>
      <c r="K60" s="27"/>
      <c r="L60" s="27"/>
      <c r="M60" s="26"/>
    </row>
    <row r="61" spans="1:13" s="22" customFormat="1" ht="13.5" customHeight="1">
      <c r="A61" s="275"/>
      <c r="B61" s="15" t="s">
        <v>132</v>
      </c>
      <c r="C61" s="105" t="s">
        <v>381</v>
      </c>
      <c r="D61" s="20" t="s">
        <v>85</v>
      </c>
      <c r="E61" s="108">
        <f>0.594*1.05</f>
        <v>0.62370000000000003</v>
      </c>
      <c r="F61" s="97">
        <f>E61*F59</f>
        <v>33.617429999999999</v>
      </c>
      <c r="G61" s="18"/>
      <c r="H61" s="35"/>
      <c r="I61" s="37"/>
      <c r="J61" s="37"/>
      <c r="K61" s="35"/>
      <c r="L61" s="35"/>
      <c r="M61" s="35"/>
    </row>
    <row r="62" spans="1:13" s="22" customFormat="1" ht="13.5" customHeight="1">
      <c r="A62" s="275"/>
      <c r="B62" s="15"/>
      <c r="C62" s="105" t="s">
        <v>28</v>
      </c>
      <c r="D62" s="20" t="s">
        <v>16</v>
      </c>
      <c r="E62" s="108">
        <v>0.10199999999999999</v>
      </c>
      <c r="F62" s="97">
        <f>E62*F59</f>
        <v>5.4977999999999998</v>
      </c>
      <c r="G62" s="18"/>
      <c r="H62" s="35"/>
      <c r="I62" s="107"/>
      <c r="J62" s="154"/>
      <c r="K62" s="88"/>
      <c r="L62" s="35"/>
      <c r="M62" s="35"/>
    </row>
    <row r="63" spans="1:13" s="22" customFormat="1" ht="13.5" customHeight="1">
      <c r="A63" s="276"/>
      <c r="B63" s="15"/>
      <c r="C63" s="105" t="s">
        <v>23</v>
      </c>
      <c r="D63" s="20" t="s">
        <v>16</v>
      </c>
      <c r="E63" s="108">
        <v>0.38200000000000001</v>
      </c>
      <c r="F63" s="97">
        <f>E63*F58</f>
        <v>49.415519999999994</v>
      </c>
      <c r="G63" s="18"/>
      <c r="H63" s="35"/>
      <c r="I63" s="107"/>
      <c r="J63" s="154"/>
      <c r="K63" s="107"/>
      <c r="L63" s="107"/>
      <c r="M63" s="35"/>
    </row>
    <row r="64" spans="1:13" s="22" customFormat="1" ht="13.5" customHeight="1">
      <c r="A64" s="25" t="s">
        <v>382</v>
      </c>
      <c r="B64" s="25" t="s">
        <v>369</v>
      </c>
      <c r="C64" s="38" t="s">
        <v>383</v>
      </c>
      <c r="D64" s="20" t="s">
        <v>106</v>
      </c>
      <c r="E64" s="20"/>
      <c r="F64" s="117">
        <v>70</v>
      </c>
      <c r="G64" s="150"/>
      <c r="H64" s="79"/>
      <c r="I64" s="118"/>
      <c r="J64" s="118"/>
      <c r="K64" s="118"/>
      <c r="L64" s="118"/>
      <c r="M64" s="118"/>
    </row>
    <row r="65" spans="1:16" s="22" customFormat="1">
      <c r="A65" s="25"/>
      <c r="B65" s="31"/>
      <c r="C65" s="32" t="s">
        <v>11</v>
      </c>
      <c r="D65" s="33" t="s">
        <v>16</v>
      </c>
      <c r="E65" s="26"/>
      <c r="F65" s="114"/>
      <c r="G65" s="28"/>
      <c r="H65" s="26"/>
      <c r="I65" s="27"/>
      <c r="J65" s="26"/>
      <c r="K65" s="27"/>
      <c r="L65" s="26"/>
      <c r="M65" s="29"/>
      <c r="N65"/>
      <c r="O65"/>
    </row>
    <row r="66" spans="1:16" s="22" customFormat="1">
      <c r="A66" s="25"/>
      <c r="B66" s="31"/>
      <c r="C66" s="32" t="s">
        <v>25</v>
      </c>
      <c r="D66" s="33" t="s">
        <v>26</v>
      </c>
      <c r="E66" s="18">
        <v>10</v>
      </c>
      <c r="F66" s="114"/>
      <c r="G66" s="28"/>
      <c r="H66" s="26"/>
      <c r="I66" s="27"/>
      <c r="J66" s="26"/>
      <c r="K66" s="27"/>
      <c r="L66" s="26"/>
      <c r="M66" s="29"/>
      <c r="N66"/>
      <c r="O66" s="17"/>
    </row>
    <row r="67" spans="1:16" s="22" customFormat="1">
      <c r="A67" s="25"/>
      <c r="B67" s="31"/>
      <c r="C67" s="32" t="s">
        <v>11</v>
      </c>
      <c r="D67" s="33" t="s">
        <v>16</v>
      </c>
      <c r="E67" s="18"/>
      <c r="F67" s="114"/>
      <c r="G67" s="28"/>
      <c r="H67" s="26"/>
      <c r="I67" s="27"/>
      <c r="J67" s="26"/>
      <c r="K67" s="27"/>
      <c r="L67" s="26"/>
      <c r="M67" s="29"/>
      <c r="N67"/>
      <c r="O67"/>
    </row>
    <row r="68" spans="1:16" s="22" customFormat="1">
      <c r="A68" s="25"/>
      <c r="B68" s="31"/>
      <c r="C68" s="32" t="s">
        <v>27</v>
      </c>
      <c r="D68" s="33" t="s">
        <v>26</v>
      </c>
      <c r="E68" s="18">
        <v>8</v>
      </c>
      <c r="F68" s="114"/>
      <c r="G68" s="28"/>
      <c r="H68" s="26"/>
      <c r="I68" s="27"/>
      <c r="J68" s="26"/>
      <c r="K68" s="27"/>
      <c r="L68" s="26"/>
      <c r="M68" s="29"/>
      <c r="N68"/>
      <c r="O68" s="17">
        <f>M64+M59+M58+M50+M43+M41+M40+M34+M28+M19+M12</f>
        <v>0</v>
      </c>
      <c r="P68" s="34">
        <v>0</v>
      </c>
    </row>
    <row r="69" spans="1:16" s="22" customFormat="1">
      <c r="A69" s="25"/>
      <c r="B69" s="31"/>
      <c r="C69" s="32" t="s">
        <v>11</v>
      </c>
      <c r="D69" s="33" t="s">
        <v>16</v>
      </c>
      <c r="E69" s="18"/>
      <c r="F69" s="114"/>
      <c r="G69" s="28"/>
      <c r="H69" s="26"/>
      <c r="I69" s="27"/>
      <c r="J69" s="26"/>
      <c r="K69" s="27"/>
      <c r="L69" s="26"/>
      <c r="M69" s="29"/>
      <c r="N69"/>
      <c r="O69"/>
    </row>
    <row r="70" spans="1:16" s="22" customFormat="1" ht="13.5">
      <c r="A70" s="3"/>
      <c r="B70" s="3"/>
      <c r="C70" s="2"/>
      <c r="D70" s="3"/>
      <c r="E70" s="3"/>
      <c r="F70" s="234"/>
      <c r="G70" s="34"/>
      <c r="H70" s="34"/>
      <c r="I70" s="34"/>
      <c r="J70" s="34"/>
      <c r="K70" s="34"/>
      <c r="L70" s="34"/>
      <c r="M70" s="34"/>
    </row>
    <row r="71" spans="1:16" s="22" customFormat="1" ht="13.5">
      <c r="A71" s="3"/>
      <c r="B71" s="3"/>
      <c r="C71" s="2"/>
      <c r="D71" s="3"/>
      <c r="E71" s="3"/>
      <c r="F71" s="234"/>
      <c r="G71" s="34"/>
      <c r="H71" s="34"/>
      <c r="I71" s="34"/>
      <c r="J71" s="34"/>
      <c r="K71" s="34"/>
      <c r="L71" s="34"/>
      <c r="M71" s="34"/>
    </row>
    <row r="72" spans="1:16" s="22" customFormat="1" ht="13.5">
      <c r="A72" s="3"/>
      <c r="B72" s="3"/>
      <c r="C72" s="2"/>
      <c r="D72" s="3"/>
      <c r="E72" s="3"/>
      <c r="F72" s="234"/>
      <c r="G72" s="34"/>
      <c r="H72" s="34"/>
      <c r="I72" s="34"/>
      <c r="J72" s="34"/>
      <c r="K72" s="34"/>
      <c r="L72" s="34"/>
      <c r="M72" s="34"/>
    </row>
    <row r="73" spans="1:16" s="22" customFormat="1" ht="13.5">
      <c r="A73" s="3"/>
      <c r="B73" s="3"/>
      <c r="C73" s="2" t="s">
        <v>521</v>
      </c>
      <c r="D73" s="265"/>
      <c r="E73" s="265"/>
      <c r="F73" s="234"/>
      <c r="G73" s="34"/>
      <c r="H73" s="266" t="s">
        <v>522</v>
      </c>
      <c r="I73" s="266"/>
      <c r="J73" s="34"/>
      <c r="K73" s="34"/>
      <c r="L73" s="34"/>
      <c r="M73" s="34"/>
    </row>
    <row r="74" spans="1:16" s="22" customFormat="1" ht="13.5">
      <c r="A74" s="3"/>
      <c r="B74" s="3"/>
      <c r="C74" s="2"/>
      <c r="D74" s="3"/>
      <c r="E74" s="3"/>
      <c r="F74" s="234"/>
      <c r="G74" s="34"/>
      <c r="H74" s="34"/>
      <c r="I74" s="34"/>
      <c r="J74" s="34"/>
      <c r="K74" s="34"/>
      <c r="L74" s="34"/>
      <c r="M74" s="34"/>
    </row>
    <row r="75" spans="1:16" s="22" customFormat="1" ht="13.5">
      <c r="A75" s="3"/>
      <c r="B75" s="3"/>
      <c r="C75" s="2"/>
      <c r="D75" s="3"/>
      <c r="E75" s="3"/>
      <c r="F75" s="234"/>
      <c r="G75" s="34"/>
      <c r="H75" s="34"/>
      <c r="I75" s="34"/>
      <c r="J75" s="34"/>
      <c r="K75" s="34"/>
      <c r="L75" s="34"/>
      <c r="M75" s="34"/>
    </row>
    <row r="76" spans="1:16" s="22" customFormat="1" ht="13.5">
      <c r="A76" s="3"/>
      <c r="B76" s="3"/>
      <c r="C76" s="2"/>
      <c r="D76" s="3"/>
      <c r="E76" s="3"/>
      <c r="F76" s="234"/>
      <c r="G76" s="34"/>
      <c r="H76" s="34"/>
      <c r="I76" s="34"/>
      <c r="J76" s="34"/>
      <c r="K76" s="34"/>
      <c r="L76" s="34"/>
      <c r="M76" s="34"/>
    </row>
    <row r="77" spans="1:16" s="22" customFormat="1" ht="13.5">
      <c r="A77" s="3"/>
      <c r="B77" s="3"/>
      <c r="C77" s="2"/>
      <c r="D77" s="3"/>
      <c r="E77" s="3"/>
      <c r="F77" s="234"/>
      <c r="G77" s="34"/>
      <c r="H77" s="34"/>
      <c r="I77" s="34"/>
      <c r="J77" s="34"/>
      <c r="K77" s="34"/>
      <c r="L77" s="34"/>
      <c r="M77" s="34"/>
    </row>
    <row r="78" spans="1:16" s="22" customFormat="1" ht="13.5">
      <c r="A78" s="3"/>
      <c r="B78" s="3"/>
      <c r="C78" s="2"/>
      <c r="D78" s="3"/>
      <c r="E78" s="3"/>
      <c r="F78" s="234"/>
      <c r="G78" s="34"/>
      <c r="H78" s="34"/>
      <c r="I78" s="34"/>
      <c r="J78" s="34"/>
      <c r="K78" s="34"/>
      <c r="L78" s="34"/>
      <c r="M78" s="34"/>
    </row>
    <row r="79" spans="1:16" s="22" customFormat="1" ht="13.5">
      <c r="A79" s="3"/>
      <c r="B79" s="3"/>
      <c r="C79" s="2"/>
      <c r="D79" s="3"/>
      <c r="E79" s="3"/>
      <c r="F79" s="234"/>
      <c r="G79" s="34"/>
      <c r="H79" s="34"/>
      <c r="I79" s="34"/>
      <c r="J79" s="34"/>
      <c r="K79" s="34"/>
      <c r="L79" s="34"/>
      <c r="M79" s="34"/>
    </row>
    <row r="80" spans="1:16" s="22" customFormat="1" ht="13.5">
      <c r="A80" s="3"/>
      <c r="B80" s="3"/>
      <c r="C80" s="2"/>
      <c r="D80" s="3"/>
      <c r="E80" s="3"/>
      <c r="F80" s="234"/>
      <c r="G80" s="34"/>
      <c r="H80" s="34"/>
      <c r="I80" s="34"/>
      <c r="J80" s="34"/>
      <c r="K80" s="34"/>
      <c r="L80" s="34"/>
      <c r="M80" s="34"/>
    </row>
    <row r="81" spans="1:13" s="22" customFormat="1" ht="13.5">
      <c r="A81" s="3"/>
      <c r="B81" s="3"/>
      <c r="C81" s="2"/>
      <c r="D81" s="3"/>
      <c r="E81" s="3"/>
      <c r="F81" s="234"/>
      <c r="G81" s="34"/>
      <c r="H81" s="34"/>
      <c r="I81" s="34"/>
      <c r="J81" s="34"/>
      <c r="K81" s="34"/>
      <c r="L81" s="34"/>
      <c r="M81" s="34"/>
    </row>
    <row r="82" spans="1:13" s="22" customFormat="1" ht="13.5">
      <c r="A82" s="3"/>
      <c r="B82" s="3"/>
      <c r="C82" s="2"/>
      <c r="D82" s="3"/>
      <c r="E82" s="3"/>
      <c r="F82" s="234"/>
      <c r="G82" s="34"/>
      <c r="H82" s="34"/>
      <c r="I82" s="34"/>
      <c r="J82" s="34"/>
      <c r="K82" s="34"/>
      <c r="L82" s="34"/>
      <c r="M82" s="34"/>
    </row>
    <row r="83" spans="1:13" s="22" customFormat="1" ht="13.5">
      <c r="A83" s="3"/>
      <c r="B83" s="3"/>
      <c r="C83" s="2"/>
      <c r="D83" s="3"/>
      <c r="E83" s="3"/>
      <c r="F83" s="234"/>
      <c r="G83" s="34"/>
      <c r="H83" s="34"/>
      <c r="I83" s="34"/>
      <c r="J83" s="34"/>
      <c r="K83" s="34"/>
      <c r="L83" s="34"/>
      <c r="M83" s="34"/>
    </row>
    <row r="84" spans="1:13" s="22" customFormat="1" ht="13.5">
      <c r="A84" s="3"/>
      <c r="B84" s="3"/>
      <c r="C84" s="2"/>
      <c r="D84" s="3"/>
      <c r="E84" s="3"/>
      <c r="F84" s="234"/>
      <c r="G84" s="34"/>
      <c r="H84" s="34"/>
      <c r="I84" s="34"/>
      <c r="J84" s="34"/>
      <c r="K84" s="34"/>
      <c r="L84" s="34"/>
      <c r="M84" s="34"/>
    </row>
    <row r="85" spans="1:13" s="22" customFormat="1" ht="13.5">
      <c r="A85" s="3"/>
      <c r="B85" s="3"/>
      <c r="C85" s="2"/>
      <c r="D85" s="3"/>
      <c r="E85" s="3"/>
      <c r="F85" s="234"/>
      <c r="G85" s="34"/>
      <c r="H85" s="34"/>
      <c r="I85" s="34"/>
      <c r="J85" s="34"/>
      <c r="K85" s="34"/>
      <c r="L85" s="34"/>
      <c r="M85" s="34"/>
    </row>
    <row r="86" spans="1:13" s="22" customFormat="1" ht="13.5">
      <c r="A86" s="3"/>
      <c r="B86" s="3"/>
      <c r="C86" s="2"/>
      <c r="D86" s="3"/>
      <c r="E86" s="3"/>
      <c r="F86" s="234"/>
      <c r="G86" s="34"/>
      <c r="H86" s="34"/>
      <c r="I86" s="34"/>
      <c r="J86" s="34"/>
      <c r="K86" s="34"/>
      <c r="L86" s="34"/>
      <c r="M86" s="34"/>
    </row>
    <row r="87" spans="1:13" s="22" customFormat="1" ht="13.5">
      <c r="A87" s="3"/>
      <c r="B87" s="3"/>
      <c r="C87" s="2"/>
      <c r="D87" s="3"/>
      <c r="E87" s="3"/>
      <c r="F87" s="234"/>
      <c r="G87" s="34"/>
      <c r="H87" s="34"/>
      <c r="I87" s="34"/>
      <c r="J87" s="34"/>
      <c r="K87" s="34"/>
      <c r="L87" s="34"/>
      <c r="M87" s="34"/>
    </row>
    <row r="88" spans="1:13" s="22" customFormat="1" ht="13.5">
      <c r="A88" s="3"/>
      <c r="B88" s="3"/>
      <c r="C88" s="2"/>
      <c r="D88" s="3"/>
      <c r="E88" s="3"/>
      <c r="F88" s="234"/>
      <c r="G88" s="34"/>
      <c r="H88" s="34"/>
      <c r="I88" s="34"/>
      <c r="J88" s="34"/>
      <c r="K88" s="34"/>
      <c r="L88" s="34"/>
      <c r="M88" s="34"/>
    </row>
    <row r="89" spans="1:13" s="22" customFormat="1" ht="13.5">
      <c r="A89" s="3"/>
      <c r="B89" s="3"/>
      <c r="C89" s="2"/>
      <c r="D89" s="3"/>
      <c r="E89" s="3"/>
      <c r="F89" s="234"/>
      <c r="G89" s="34"/>
      <c r="H89" s="34"/>
      <c r="I89" s="34"/>
      <c r="J89" s="34"/>
      <c r="K89" s="34"/>
      <c r="L89" s="34"/>
      <c r="M89" s="34"/>
    </row>
    <row r="90" spans="1:13" s="22" customFormat="1" ht="13.5">
      <c r="A90" s="3"/>
      <c r="B90" s="3"/>
      <c r="C90" s="2"/>
      <c r="D90" s="3"/>
      <c r="E90" s="3"/>
      <c r="F90" s="234"/>
      <c r="G90" s="34"/>
      <c r="H90" s="34"/>
      <c r="I90" s="34"/>
      <c r="J90" s="34"/>
      <c r="K90" s="34"/>
      <c r="L90" s="34"/>
      <c r="M90" s="34"/>
    </row>
    <row r="91" spans="1:13" s="22" customFormat="1" ht="13.5">
      <c r="A91" s="3"/>
      <c r="B91" s="3"/>
      <c r="C91" s="2"/>
      <c r="D91" s="3"/>
      <c r="E91" s="3"/>
      <c r="F91" s="234"/>
      <c r="G91" s="34"/>
      <c r="H91" s="34"/>
      <c r="I91" s="34"/>
      <c r="J91" s="34"/>
      <c r="K91" s="34"/>
      <c r="L91" s="34"/>
      <c r="M91" s="34"/>
    </row>
    <row r="92" spans="1:13" s="22" customFormat="1" ht="13.5">
      <c r="A92" s="3"/>
      <c r="B92" s="3"/>
      <c r="C92" s="2"/>
      <c r="D92" s="3"/>
      <c r="E92" s="3"/>
      <c r="F92" s="234"/>
      <c r="G92" s="34"/>
      <c r="H92" s="34"/>
      <c r="I92" s="34"/>
      <c r="J92" s="34"/>
      <c r="K92" s="34"/>
      <c r="L92" s="34"/>
      <c r="M92" s="34"/>
    </row>
    <row r="93" spans="1:13" s="22" customFormat="1" ht="13.5">
      <c r="A93" s="3"/>
      <c r="B93" s="3"/>
      <c r="C93" s="2"/>
      <c r="D93" s="3"/>
      <c r="E93" s="3"/>
      <c r="F93" s="234"/>
      <c r="G93" s="34"/>
      <c r="H93" s="34"/>
      <c r="I93" s="34"/>
      <c r="J93" s="34"/>
      <c r="K93" s="34"/>
      <c r="L93" s="34"/>
      <c r="M93" s="34"/>
    </row>
    <row r="94" spans="1:13" s="22" customFormat="1" ht="13.5">
      <c r="A94" s="3"/>
      <c r="B94" s="3"/>
      <c r="C94" s="2"/>
      <c r="D94" s="3"/>
      <c r="E94" s="3"/>
      <c r="F94" s="234"/>
      <c r="G94" s="34"/>
      <c r="H94" s="34"/>
      <c r="I94" s="34"/>
      <c r="J94" s="34"/>
      <c r="K94" s="34"/>
      <c r="L94" s="34"/>
      <c r="M94" s="34"/>
    </row>
    <row r="95" spans="1:13" s="22" customFormat="1" ht="13.5">
      <c r="A95" s="3"/>
      <c r="B95" s="3"/>
      <c r="C95" s="2"/>
      <c r="D95" s="3"/>
      <c r="E95" s="3"/>
      <c r="F95" s="234"/>
      <c r="G95" s="34"/>
      <c r="H95" s="34"/>
      <c r="I95" s="34"/>
      <c r="J95" s="34"/>
      <c r="K95" s="34"/>
      <c r="L95" s="34"/>
      <c r="M95" s="34"/>
    </row>
    <row r="96" spans="1:13" s="22" customFormat="1" ht="13.5">
      <c r="A96" s="3"/>
      <c r="B96" s="3"/>
      <c r="C96" s="2"/>
      <c r="D96" s="3"/>
      <c r="E96" s="3"/>
      <c r="F96" s="234"/>
      <c r="G96" s="34"/>
      <c r="H96" s="34"/>
      <c r="I96" s="34"/>
      <c r="J96" s="34"/>
      <c r="K96" s="34"/>
      <c r="L96" s="34"/>
      <c r="M96" s="34"/>
    </row>
    <row r="97" spans="1:13" s="22" customFormat="1" ht="13.5">
      <c r="A97" s="3"/>
      <c r="B97" s="3"/>
      <c r="C97" s="2"/>
      <c r="D97" s="3"/>
      <c r="E97" s="3"/>
      <c r="F97" s="234"/>
      <c r="G97" s="34"/>
      <c r="H97" s="34"/>
      <c r="I97" s="34"/>
      <c r="J97" s="34"/>
      <c r="K97" s="34"/>
      <c r="L97" s="34"/>
      <c r="M97" s="34"/>
    </row>
    <row r="98" spans="1:13" s="22" customFormat="1" ht="13.5">
      <c r="A98" s="3"/>
      <c r="B98" s="3"/>
      <c r="C98" s="2"/>
      <c r="D98" s="3"/>
      <c r="E98" s="3"/>
      <c r="F98" s="234"/>
      <c r="G98" s="34"/>
      <c r="H98" s="34"/>
      <c r="I98" s="34"/>
      <c r="J98" s="34"/>
      <c r="K98" s="34"/>
      <c r="L98" s="34"/>
      <c r="M98" s="34"/>
    </row>
    <row r="99" spans="1:13" s="22" customFormat="1" ht="13.5">
      <c r="A99" s="3"/>
      <c r="B99" s="3"/>
      <c r="C99" s="2"/>
      <c r="D99" s="3"/>
      <c r="E99" s="3"/>
      <c r="F99" s="234"/>
      <c r="G99" s="34"/>
      <c r="H99" s="34"/>
      <c r="I99" s="34"/>
      <c r="J99" s="34"/>
      <c r="K99" s="34"/>
      <c r="L99" s="34"/>
      <c r="M99" s="34"/>
    </row>
    <row r="100" spans="1:13" s="22" customFormat="1" ht="13.5">
      <c r="A100" s="3"/>
      <c r="B100" s="3"/>
      <c r="C100" s="2"/>
      <c r="D100" s="3"/>
      <c r="E100" s="3"/>
      <c r="F100" s="234"/>
      <c r="G100" s="34"/>
      <c r="H100" s="34"/>
      <c r="I100" s="34"/>
      <c r="J100" s="34"/>
      <c r="K100" s="34"/>
      <c r="L100" s="34"/>
      <c r="M100" s="34"/>
    </row>
    <row r="101" spans="1:13" s="22" customFormat="1" ht="13.5">
      <c r="A101" s="3"/>
      <c r="B101" s="3"/>
      <c r="C101" s="2"/>
      <c r="D101" s="3"/>
      <c r="E101" s="3"/>
      <c r="F101" s="234"/>
      <c r="G101" s="34"/>
      <c r="H101" s="34"/>
      <c r="I101" s="34"/>
      <c r="J101" s="34"/>
      <c r="K101" s="34"/>
      <c r="L101" s="34"/>
      <c r="M101" s="34"/>
    </row>
    <row r="102" spans="1:13" s="22" customFormat="1" ht="13.5">
      <c r="A102" s="3"/>
      <c r="B102" s="3"/>
      <c r="C102" s="2"/>
      <c r="D102" s="3"/>
      <c r="E102" s="3"/>
      <c r="F102" s="234"/>
      <c r="G102" s="34"/>
      <c r="H102" s="34"/>
      <c r="I102" s="34"/>
      <c r="J102" s="34"/>
      <c r="K102" s="34"/>
      <c r="L102" s="34"/>
      <c r="M102" s="34"/>
    </row>
    <row r="103" spans="1:13" s="22" customFormat="1" ht="13.5">
      <c r="A103" s="3"/>
      <c r="B103" s="3"/>
      <c r="C103" s="2"/>
      <c r="D103" s="3"/>
      <c r="E103" s="3"/>
      <c r="F103" s="234"/>
      <c r="G103" s="34"/>
      <c r="H103" s="34"/>
      <c r="I103" s="34"/>
      <c r="J103" s="34"/>
      <c r="K103" s="34"/>
      <c r="L103" s="34"/>
      <c r="M103" s="34"/>
    </row>
    <row r="104" spans="1:13" s="22" customFormat="1" ht="13.5">
      <c r="A104" s="3"/>
      <c r="B104" s="3"/>
      <c r="C104" s="2"/>
      <c r="D104" s="3"/>
      <c r="E104" s="3"/>
      <c r="F104" s="234"/>
      <c r="G104" s="34"/>
      <c r="H104" s="34"/>
      <c r="I104" s="34"/>
      <c r="J104" s="34"/>
      <c r="K104" s="34"/>
      <c r="L104" s="34"/>
      <c r="M104" s="34"/>
    </row>
    <row r="105" spans="1:13" s="22" customFormat="1" ht="13.5">
      <c r="A105" s="3"/>
      <c r="B105" s="3"/>
      <c r="C105" s="2"/>
      <c r="D105" s="3"/>
      <c r="E105" s="3"/>
      <c r="F105" s="234"/>
      <c r="G105" s="34"/>
      <c r="H105" s="34"/>
      <c r="I105" s="34"/>
      <c r="J105" s="34"/>
      <c r="K105" s="34"/>
      <c r="L105" s="34"/>
      <c r="M105" s="34"/>
    </row>
    <row r="106" spans="1:13" s="22" customFormat="1" ht="13.5">
      <c r="A106" s="3"/>
      <c r="B106" s="3"/>
      <c r="C106" s="2"/>
      <c r="D106" s="3"/>
      <c r="E106" s="3"/>
      <c r="F106" s="234"/>
      <c r="G106" s="34"/>
      <c r="H106" s="34"/>
      <c r="I106" s="34"/>
      <c r="J106" s="34"/>
      <c r="K106" s="34"/>
      <c r="L106" s="34"/>
      <c r="M106" s="34"/>
    </row>
    <row r="107" spans="1:13" s="22" customFormat="1" ht="13.5">
      <c r="A107" s="3"/>
      <c r="B107" s="3"/>
      <c r="C107" s="2"/>
      <c r="D107" s="3"/>
      <c r="E107" s="3"/>
      <c r="F107" s="234"/>
      <c r="G107" s="34"/>
      <c r="H107" s="34"/>
      <c r="I107" s="34"/>
      <c r="J107" s="34"/>
      <c r="K107" s="34"/>
      <c r="L107" s="34"/>
      <c r="M107" s="34"/>
    </row>
    <row r="108" spans="1:13" s="22" customFormat="1" ht="13.5">
      <c r="A108" s="3"/>
      <c r="B108" s="3"/>
      <c r="C108" s="2"/>
      <c r="D108" s="3"/>
      <c r="E108" s="3"/>
      <c r="F108" s="234"/>
      <c r="G108" s="34"/>
      <c r="H108" s="34"/>
      <c r="I108" s="34"/>
      <c r="J108" s="34"/>
      <c r="K108" s="34"/>
      <c r="L108" s="34"/>
      <c r="M108" s="34"/>
    </row>
    <row r="109" spans="1:13" s="22" customFormat="1" ht="13.5">
      <c r="A109" s="3"/>
      <c r="B109" s="3"/>
      <c r="C109" s="2"/>
      <c r="D109" s="3"/>
      <c r="E109" s="3"/>
      <c r="F109" s="234"/>
      <c r="G109" s="34"/>
      <c r="H109" s="34"/>
      <c r="I109" s="34"/>
      <c r="J109" s="34"/>
      <c r="K109" s="34"/>
      <c r="L109" s="34"/>
      <c r="M109" s="34"/>
    </row>
    <row r="110" spans="1:13" s="22" customFormat="1" ht="13.5">
      <c r="A110" s="3"/>
      <c r="B110" s="3"/>
      <c r="C110" s="2"/>
      <c r="D110" s="3"/>
      <c r="E110" s="3"/>
      <c r="F110" s="234"/>
      <c r="G110" s="34"/>
      <c r="H110" s="34"/>
      <c r="I110" s="34"/>
      <c r="J110" s="34"/>
      <c r="K110" s="34"/>
      <c r="L110" s="34"/>
      <c r="M110" s="34"/>
    </row>
    <row r="111" spans="1:13" s="22" customFormat="1" ht="13.5">
      <c r="A111" s="3"/>
      <c r="B111" s="3"/>
      <c r="C111" s="2"/>
      <c r="D111" s="3"/>
      <c r="E111" s="3"/>
      <c r="F111" s="234"/>
      <c r="G111" s="34"/>
      <c r="H111" s="34"/>
      <c r="I111" s="34"/>
      <c r="J111" s="34"/>
      <c r="K111" s="34"/>
      <c r="L111" s="34"/>
      <c r="M111" s="34"/>
    </row>
    <row r="112" spans="1:13" s="22" customFormat="1" ht="13.5">
      <c r="A112" s="3"/>
      <c r="B112" s="3"/>
      <c r="C112" s="2"/>
      <c r="D112" s="3"/>
      <c r="E112" s="3"/>
      <c r="F112" s="234"/>
      <c r="G112" s="34"/>
      <c r="H112" s="34"/>
      <c r="I112" s="34"/>
      <c r="J112" s="34"/>
      <c r="K112" s="34"/>
      <c r="L112" s="34"/>
      <c r="M112" s="34"/>
    </row>
    <row r="113" spans="1:6" s="22" customFormat="1" ht="13.5">
      <c r="A113" s="3"/>
      <c r="B113" s="3"/>
      <c r="C113" s="2"/>
      <c r="D113" s="3"/>
      <c r="E113" s="3"/>
      <c r="F113" s="235"/>
    </row>
    <row r="114" spans="1:6" s="22" customFormat="1" ht="13.5">
      <c r="C114" s="1"/>
      <c r="F114" s="235"/>
    </row>
    <row r="115" spans="1:6" s="22" customFormat="1" ht="13.5">
      <c r="C115" s="1"/>
      <c r="F115" s="235"/>
    </row>
    <row r="116" spans="1:6" s="22" customFormat="1" ht="13.5">
      <c r="C116" s="1"/>
      <c r="F116" s="235"/>
    </row>
    <row r="117" spans="1:6" s="22" customFormat="1" ht="13.5">
      <c r="C117" s="1"/>
      <c r="F117" s="235"/>
    </row>
    <row r="118" spans="1:6" s="22" customFormat="1" ht="13.5">
      <c r="C118" s="1"/>
      <c r="F118" s="235"/>
    </row>
    <row r="119" spans="1:6" s="22" customFormat="1" ht="13.5">
      <c r="C119" s="1"/>
      <c r="F119" s="235"/>
    </row>
    <row r="120" spans="1:6" s="22" customFormat="1" ht="13.5">
      <c r="C120" s="1"/>
      <c r="F120" s="235"/>
    </row>
    <row r="121" spans="1:6" s="22" customFormat="1" ht="13.5">
      <c r="C121" s="1"/>
      <c r="F121" s="235"/>
    </row>
    <row r="122" spans="1:6" s="22" customFormat="1" ht="13.5">
      <c r="C122" s="1"/>
      <c r="F122" s="235"/>
    </row>
    <row r="123" spans="1:6" s="22" customFormat="1" ht="13.5">
      <c r="C123" s="1"/>
      <c r="F123" s="235"/>
    </row>
    <row r="124" spans="1:6" s="22" customFormat="1" ht="13.5">
      <c r="C124" s="1"/>
      <c r="F124" s="235"/>
    </row>
    <row r="125" spans="1:6" s="22" customFormat="1" ht="13.5">
      <c r="C125" s="1"/>
      <c r="F125" s="235"/>
    </row>
    <row r="126" spans="1:6" s="22" customFormat="1" ht="13.5">
      <c r="C126" s="1"/>
      <c r="F126" s="235"/>
    </row>
    <row r="127" spans="1:6" s="22" customFormat="1" ht="13.5">
      <c r="C127" s="1"/>
      <c r="F127" s="235"/>
    </row>
    <row r="128" spans="1:6" s="22" customFormat="1" ht="13.5">
      <c r="C128" s="1"/>
      <c r="F128" s="235"/>
    </row>
    <row r="129" spans="3:6" s="22" customFormat="1" ht="13.5">
      <c r="C129" s="1"/>
      <c r="F129" s="235"/>
    </row>
    <row r="130" spans="3:6" s="22" customFormat="1" ht="13.5">
      <c r="C130" s="1"/>
      <c r="F130" s="235"/>
    </row>
    <row r="131" spans="3:6" s="22" customFormat="1" ht="13.5">
      <c r="C131" s="1"/>
      <c r="F131" s="235"/>
    </row>
    <row r="132" spans="3:6" s="22" customFormat="1" ht="13.5">
      <c r="C132" s="1"/>
      <c r="F132" s="235"/>
    </row>
    <row r="133" spans="3:6" s="22" customFormat="1" ht="13.5">
      <c r="C133" s="1"/>
      <c r="F133" s="235"/>
    </row>
    <row r="134" spans="3:6" s="22" customFormat="1" ht="13.5">
      <c r="C134" s="1"/>
      <c r="F134" s="235"/>
    </row>
    <row r="135" spans="3:6" s="22" customFormat="1" ht="13.5">
      <c r="C135" s="1"/>
      <c r="F135" s="235"/>
    </row>
    <row r="136" spans="3:6" s="22" customFormat="1" ht="13.5">
      <c r="C136" s="1"/>
      <c r="F136" s="235"/>
    </row>
    <row r="137" spans="3:6" s="22" customFormat="1" ht="13.5">
      <c r="C137" s="1"/>
      <c r="F137" s="235"/>
    </row>
    <row r="138" spans="3:6" s="22" customFormat="1" ht="13.5">
      <c r="C138" s="1"/>
      <c r="F138" s="235"/>
    </row>
    <row r="139" spans="3:6" s="22" customFormat="1" ht="13.5">
      <c r="C139" s="1"/>
      <c r="F139" s="235"/>
    </row>
    <row r="140" spans="3:6" s="22" customFormat="1" ht="13.5">
      <c r="C140" s="1"/>
      <c r="F140" s="235"/>
    </row>
    <row r="141" spans="3:6" s="36" customFormat="1" ht="13.5">
      <c r="F141" s="236"/>
    </row>
    <row r="142" spans="3:6" s="36" customFormat="1" ht="13.5">
      <c r="F142" s="236"/>
    </row>
    <row r="143" spans="3:6" s="36" customFormat="1" ht="13.5">
      <c r="F143" s="236"/>
    </row>
    <row r="144" spans="3:6" s="36" customFormat="1" ht="13.5">
      <c r="F144" s="236"/>
    </row>
    <row r="145" spans="6:6" s="36" customFormat="1" ht="13.5">
      <c r="F145" s="236"/>
    </row>
    <row r="146" spans="6:6" s="36" customFormat="1" ht="13.5">
      <c r="F146" s="236"/>
    </row>
    <row r="147" spans="6:6" s="36" customFormat="1" ht="13.5">
      <c r="F147" s="236"/>
    </row>
    <row r="148" spans="6:6" s="36" customFormat="1" ht="13.5">
      <c r="F148" s="236"/>
    </row>
  </sheetData>
  <mergeCells count="24">
    <mergeCell ref="D73:E73"/>
    <mergeCell ref="H73:I73"/>
    <mergeCell ref="A50:A57"/>
    <mergeCell ref="A59:A63"/>
    <mergeCell ref="A12:A18"/>
    <mergeCell ref="A19:A27"/>
    <mergeCell ref="A28:A33"/>
    <mergeCell ref="A34:A39"/>
    <mergeCell ref="A43:A49"/>
    <mergeCell ref="I7:J7"/>
    <mergeCell ref="K7:L7"/>
    <mergeCell ref="M7:M8"/>
    <mergeCell ref="A7:A8"/>
    <mergeCell ref="B7:B8"/>
    <mergeCell ref="C7:C8"/>
    <mergeCell ref="D7:D8"/>
    <mergeCell ref="E7:F7"/>
    <mergeCell ref="G7:H7"/>
    <mergeCell ref="A6:G6"/>
    <mergeCell ref="A1:M1"/>
    <mergeCell ref="A2:M2"/>
    <mergeCell ref="A3:M3"/>
    <mergeCell ref="A4:G4"/>
    <mergeCell ref="C5:K5"/>
  </mergeCells>
  <pageMargins left="0.15748031496062992" right="0.19685039370078741" top="0.39370078740157483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view="pageBreakPreview" zoomScale="60" zoomScaleNormal="100" workbookViewId="0">
      <selection activeCell="J24" sqref="J24"/>
    </sheetView>
  </sheetViews>
  <sheetFormatPr defaultColWidth="9.140625" defaultRowHeight="15"/>
  <cols>
    <col min="1" max="1" width="6.42578125" customWidth="1"/>
    <col min="3" max="3" width="39.42578125" customWidth="1"/>
    <col min="4" max="4" width="12.7109375" customWidth="1"/>
    <col min="5" max="5" width="13.5703125" customWidth="1"/>
    <col min="6" max="6" width="12.7109375" customWidth="1"/>
    <col min="7" max="7" width="12" customWidth="1"/>
    <col min="8" max="8" width="14.140625" customWidth="1"/>
    <col min="9" max="9" width="8.42578125" customWidth="1"/>
    <col min="10" max="10" width="13.140625" customWidth="1"/>
    <col min="11" max="11" width="10.85546875" customWidth="1"/>
    <col min="12" max="12" width="13.42578125" customWidth="1"/>
    <col min="13" max="13" width="15.28515625" customWidth="1"/>
    <col min="15" max="15" width="19.5703125" customWidth="1"/>
  </cols>
  <sheetData>
    <row r="1" spans="1:16" s="36" customFormat="1" ht="30" customHeight="1">
      <c r="A1" s="277" t="s">
        <v>163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6"/>
      <c r="O1" s="14"/>
      <c r="P1" s="14"/>
    </row>
    <row r="2" spans="1:16" s="36" customFormat="1" ht="17.25" customHeight="1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6"/>
      <c r="O2" s="7"/>
      <c r="P2" s="7"/>
    </row>
    <row r="3" spans="1:16" s="36" customFormat="1" ht="15.75">
      <c r="A3" s="278" t="s">
        <v>29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6"/>
      <c r="O3" s="7"/>
      <c r="P3" s="7"/>
    </row>
    <row r="4" spans="1:16" s="36" customFormat="1" ht="15.75">
      <c r="A4" s="279" t="s">
        <v>1</v>
      </c>
      <c r="B4" s="279"/>
      <c r="C4" s="279"/>
      <c r="D4" s="279"/>
      <c r="E4" s="279"/>
      <c r="F4" s="279"/>
      <c r="G4" s="279"/>
      <c r="H4" s="8"/>
      <c r="I4" s="8"/>
      <c r="J4" s="8"/>
      <c r="K4" s="8"/>
      <c r="L4" s="8"/>
      <c r="M4" s="8"/>
      <c r="N4" s="6"/>
      <c r="O4" s="7"/>
      <c r="P4" s="7"/>
    </row>
    <row r="5" spans="1:16" s="36" customFormat="1" ht="15.75">
      <c r="A5" s="42"/>
      <c r="B5" s="42"/>
      <c r="C5" s="280" t="s">
        <v>2</v>
      </c>
      <c r="D5" s="280"/>
      <c r="E5" s="280"/>
      <c r="F5" s="280"/>
      <c r="G5" s="280"/>
      <c r="H5" s="280"/>
      <c r="I5" s="280"/>
      <c r="J5" s="280"/>
      <c r="K5" s="280"/>
      <c r="L5" s="9">
        <f>M63</f>
        <v>0</v>
      </c>
      <c r="M5" s="10" t="s">
        <v>16</v>
      </c>
      <c r="N5" s="6"/>
      <c r="O5" s="7"/>
      <c r="P5" s="7"/>
    </row>
    <row r="6" spans="1:16" s="36" customFormat="1" ht="18.75" customHeight="1">
      <c r="A6" s="267" t="s">
        <v>404</v>
      </c>
      <c r="B6" s="267"/>
      <c r="C6" s="267"/>
      <c r="D6" s="267"/>
      <c r="E6" s="267"/>
      <c r="F6" s="267"/>
      <c r="G6" s="267"/>
      <c r="H6" s="8"/>
      <c r="I6" s="8"/>
      <c r="J6" s="8"/>
      <c r="K6" s="8"/>
      <c r="L6" s="8"/>
      <c r="M6" s="8"/>
      <c r="N6" s="6"/>
      <c r="O6" s="7"/>
      <c r="P6" s="7"/>
    </row>
    <row r="7" spans="1:16" s="36" customFormat="1" ht="38.25" customHeight="1">
      <c r="A7" s="285" t="s">
        <v>3</v>
      </c>
      <c r="B7" s="285" t="s">
        <v>4</v>
      </c>
      <c r="C7" s="284" t="s">
        <v>5</v>
      </c>
      <c r="D7" s="284" t="s">
        <v>6</v>
      </c>
      <c r="E7" s="284" t="s">
        <v>7</v>
      </c>
      <c r="F7" s="284"/>
      <c r="G7" s="284" t="s">
        <v>8</v>
      </c>
      <c r="H7" s="284"/>
      <c r="I7" s="284" t="s">
        <v>9</v>
      </c>
      <c r="J7" s="284"/>
      <c r="K7" s="284" t="s">
        <v>10</v>
      </c>
      <c r="L7" s="284"/>
      <c r="M7" s="285" t="s">
        <v>11</v>
      </c>
      <c r="N7" s="6"/>
      <c r="O7" s="7"/>
      <c r="P7" s="7"/>
    </row>
    <row r="8" spans="1:16" s="36" customFormat="1" ht="40.5">
      <c r="A8" s="285"/>
      <c r="B8" s="285"/>
      <c r="C8" s="284"/>
      <c r="D8" s="284"/>
      <c r="E8" s="43" t="s">
        <v>12</v>
      </c>
      <c r="F8" s="43" t="s">
        <v>11</v>
      </c>
      <c r="G8" s="43" t="s">
        <v>13</v>
      </c>
      <c r="H8" s="11" t="s">
        <v>11</v>
      </c>
      <c r="I8" s="12" t="s">
        <v>13</v>
      </c>
      <c r="J8" s="13" t="s">
        <v>11</v>
      </c>
      <c r="K8" s="43" t="s">
        <v>13</v>
      </c>
      <c r="L8" s="43" t="s">
        <v>11</v>
      </c>
      <c r="M8" s="285"/>
      <c r="N8" s="6"/>
      <c r="O8" s="7"/>
      <c r="P8" s="7"/>
    </row>
    <row r="9" spans="1:16" s="36" customFormat="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6"/>
      <c r="O9" s="7"/>
      <c r="P9" s="7"/>
    </row>
    <row r="10" spans="1:16" s="36" customFormat="1" ht="56.25" customHeight="1">
      <c r="A10" s="24"/>
      <c r="B10" s="24"/>
      <c r="C10" s="211" t="s">
        <v>524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6"/>
      <c r="O10" s="7"/>
      <c r="P10" s="7"/>
    </row>
    <row r="11" spans="1:16" ht="15.75" customHeight="1">
      <c r="A11" s="89" t="s">
        <v>14</v>
      </c>
      <c r="B11" s="15"/>
      <c r="C11" s="90" t="s">
        <v>76</v>
      </c>
      <c r="D11" s="41"/>
      <c r="E11" s="20"/>
      <c r="F11" s="26"/>
      <c r="G11" s="26"/>
      <c r="H11" s="27"/>
      <c r="I11" s="27"/>
      <c r="J11" s="27"/>
      <c r="K11" s="26"/>
      <c r="L11" s="26"/>
      <c r="M11" s="26"/>
      <c r="N11" s="6"/>
      <c r="O11" s="7"/>
      <c r="P11" s="7"/>
    </row>
    <row r="12" spans="1:16" s="22" customFormat="1" ht="47.25" customHeight="1">
      <c r="A12" s="274" t="s">
        <v>136</v>
      </c>
      <c r="B12" s="41"/>
      <c r="C12" s="91" t="s">
        <v>525</v>
      </c>
      <c r="D12" s="20"/>
      <c r="E12" s="92"/>
      <c r="F12" s="93"/>
      <c r="G12" s="94"/>
      <c r="H12" s="95"/>
      <c r="I12" s="26"/>
      <c r="J12" s="16"/>
      <c r="K12" s="16"/>
      <c r="L12" s="16"/>
      <c r="M12" s="16"/>
    </row>
    <row r="13" spans="1:16" s="22" customFormat="1" ht="45" customHeight="1">
      <c r="A13" s="275"/>
      <c r="B13" s="25" t="s">
        <v>98</v>
      </c>
      <c r="C13" s="105" t="s">
        <v>600</v>
      </c>
      <c r="D13" s="33" t="s">
        <v>80</v>
      </c>
      <c r="E13" s="21"/>
      <c r="F13" s="88">
        <v>270</v>
      </c>
      <c r="G13" s="21"/>
      <c r="H13" s="40"/>
      <c r="I13" s="120"/>
      <c r="J13" s="40"/>
      <c r="K13" s="20"/>
      <c r="L13" s="40"/>
      <c r="M13" s="121"/>
    </row>
    <row r="14" spans="1:16" s="22" customFormat="1" ht="22.5" customHeight="1">
      <c r="A14" s="275"/>
      <c r="B14" s="25"/>
      <c r="C14" s="90" t="s">
        <v>510</v>
      </c>
      <c r="D14" s="41" t="s">
        <v>15</v>
      </c>
      <c r="E14" s="106">
        <f>0.00725*1.15</f>
        <v>8.3374999999999994E-3</v>
      </c>
      <c r="F14" s="35">
        <f>E14*F13</f>
        <v>2.251125</v>
      </c>
      <c r="G14" s="99"/>
      <c r="H14" s="100"/>
      <c r="I14" s="35"/>
      <c r="J14" s="35"/>
      <c r="K14" s="35"/>
      <c r="L14" s="99"/>
      <c r="M14" s="35"/>
    </row>
    <row r="15" spans="1:16" s="22" customFormat="1" ht="13.5" customHeight="1">
      <c r="A15" s="275"/>
      <c r="B15" s="25" t="s">
        <v>100</v>
      </c>
      <c r="C15" s="105" t="s">
        <v>511</v>
      </c>
      <c r="D15" s="20" t="s">
        <v>85</v>
      </c>
      <c r="E15" s="106">
        <f>1.05*0.0162</f>
        <v>1.7010000000000001E-2</v>
      </c>
      <c r="F15" s="108">
        <f>E15*F13</f>
        <v>4.5926999999999998</v>
      </c>
      <c r="G15" s="99"/>
      <c r="H15" s="100"/>
      <c r="I15" s="35"/>
      <c r="J15" s="35"/>
      <c r="K15" s="110"/>
      <c r="L15" s="35"/>
      <c r="M15" s="26"/>
    </row>
    <row r="16" spans="1:16" s="22" customFormat="1" ht="13.5" customHeight="1">
      <c r="A16" s="275"/>
      <c r="B16" s="25"/>
      <c r="C16" s="105" t="s">
        <v>28</v>
      </c>
      <c r="D16" s="20" t="s">
        <v>16</v>
      </c>
      <c r="E16" s="106">
        <f>1.35*0.001</f>
        <v>1.3500000000000001E-3</v>
      </c>
      <c r="F16" s="108">
        <f>E16*F13</f>
        <v>0.36450000000000005</v>
      </c>
      <c r="G16" s="99"/>
      <c r="H16" s="100"/>
      <c r="I16" s="35"/>
      <c r="J16" s="35"/>
      <c r="K16" s="120"/>
      <c r="L16" s="35"/>
      <c r="M16" s="26"/>
    </row>
    <row r="17" spans="1:13" s="22" customFormat="1" ht="13.5" customHeight="1">
      <c r="A17" s="275"/>
      <c r="B17" s="25" t="s">
        <v>225</v>
      </c>
      <c r="C17" s="105" t="s">
        <v>514</v>
      </c>
      <c r="D17" s="33" t="s">
        <v>80</v>
      </c>
      <c r="E17" s="106">
        <f>0.04/1000</f>
        <v>4.0000000000000003E-5</v>
      </c>
      <c r="F17" s="108">
        <f>E17*F13</f>
        <v>1.0800000000000001E-2</v>
      </c>
      <c r="G17" s="88"/>
      <c r="H17" s="35"/>
      <c r="I17" s="35"/>
      <c r="J17" s="35"/>
      <c r="K17" s="120"/>
      <c r="L17" s="35"/>
      <c r="M17" s="26"/>
    </row>
    <row r="18" spans="1:13" s="22" customFormat="1" ht="13.5" customHeight="1">
      <c r="A18" s="275"/>
      <c r="B18" s="25" t="s">
        <v>101</v>
      </c>
      <c r="C18" s="105" t="s">
        <v>87</v>
      </c>
      <c r="D18" s="33" t="s">
        <v>80</v>
      </c>
      <c r="E18" s="106"/>
      <c r="F18" s="122">
        <f>F13</f>
        <v>270</v>
      </c>
      <c r="G18" s="123"/>
      <c r="H18" s="220"/>
      <c r="I18" s="101"/>
      <c r="J18" s="16"/>
      <c r="K18" s="16"/>
      <c r="L18" s="16"/>
      <c r="M18" s="16"/>
    </row>
    <row r="19" spans="1:13" s="22" customFormat="1" ht="13.5" customHeight="1">
      <c r="A19" s="275"/>
      <c r="B19" s="25"/>
      <c r="C19" s="90" t="s">
        <v>512</v>
      </c>
      <c r="D19" s="41" t="s">
        <v>15</v>
      </c>
      <c r="E19" s="106">
        <f>1.15*0.00323</f>
        <v>3.7144999999999995E-3</v>
      </c>
      <c r="F19" s="19">
        <f>E19*F18</f>
        <v>1.0029149999999998</v>
      </c>
      <c r="G19" s="26"/>
      <c r="H19" s="27"/>
      <c r="I19" s="26"/>
      <c r="J19" s="26"/>
      <c r="K19" s="26"/>
      <c r="L19" s="27"/>
      <c r="M19" s="26"/>
    </row>
    <row r="20" spans="1:13" s="22" customFormat="1" ht="13.5" customHeight="1">
      <c r="A20" s="275"/>
      <c r="B20" s="25" t="s">
        <v>102</v>
      </c>
      <c r="C20" s="105" t="s">
        <v>513</v>
      </c>
      <c r="D20" s="20" t="s">
        <v>85</v>
      </c>
      <c r="E20" s="106">
        <f>1.05*0.00362</f>
        <v>3.8010000000000001E-3</v>
      </c>
      <c r="F20" s="19">
        <f>E20*F18</f>
        <v>1.02627</v>
      </c>
      <c r="G20" s="26"/>
      <c r="H20" s="27"/>
      <c r="I20" s="27"/>
      <c r="J20" s="27"/>
      <c r="K20" s="27"/>
      <c r="L20" s="26"/>
      <c r="M20" s="26"/>
    </row>
    <row r="21" spans="1:13" s="22" customFormat="1" ht="13.5" customHeight="1">
      <c r="A21" s="275"/>
      <c r="B21" s="25"/>
      <c r="C21" s="105" t="s">
        <v>28</v>
      </c>
      <c r="D21" s="20" t="s">
        <v>16</v>
      </c>
      <c r="E21" s="106">
        <v>1.8000000000000001E-4</v>
      </c>
      <c r="F21" s="19">
        <f>E21*F18</f>
        <v>4.8600000000000004E-2</v>
      </c>
      <c r="G21" s="123"/>
      <c r="H21" s="123"/>
      <c r="I21" s="122"/>
      <c r="J21" s="27"/>
      <c r="K21" s="18"/>
      <c r="L21" s="26"/>
      <c r="M21" s="26"/>
    </row>
    <row r="22" spans="1:13" s="22" customFormat="1" ht="13.5" customHeight="1">
      <c r="A22" s="275"/>
      <c r="B22" s="25" t="s">
        <v>225</v>
      </c>
      <c r="C22" s="105" t="s">
        <v>514</v>
      </c>
      <c r="D22" s="33" t="s">
        <v>80</v>
      </c>
      <c r="E22" s="106">
        <f>0.02/1000</f>
        <v>2.0000000000000002E-5</v>
      </c>
      <c r="F22" s="108">
        <f>E22*F18</f>
        <v>5.4000000000000003E-3</v>
      </c>
      <c r="G22" s="88"/>
      <c r="H22" s="35"/>
      <c r="I22" s="35"/>
      <c r="J22" s="35"/>
      <c r="K22" s="120"/>
      <c r="L22" s="35"/>
      <c r="M22" s="26"/>
    </row>
    <row r="23" spans="1:13" s="22" customFormat="1" ht="13.5" customHeight="1">
      <c r="A23" s="276"/>
      <c r="B23" s="25" t="s">
        <v>82</v>
      </c>
      <c r="C23" s="105" t="s">
        <v>164</v>
      </c>
      <c r="D23" s="20" t="s">
        <v>17</v>
      </c>
      <c r="E23" s="106"/>
      <c r="F23" s="101">
        <f>F13*1.95</f>
        <v>526.5</v>
      </c>
      <c r="G23" s="123"/>
      <c r="H23" s="123"/>
      <c r="I23" s="122"/>
      <c r="J23" s="123"/>
      <c r="K23" s="101"/>
      <c r="L23" s="16"/>
      <c r="M23" s="16"/>
    </row>
    <row r="24" spans="1:13" s="22" customFormat="1" ht="33.75" customHeight="1">
      <c r="A24" s="159" t="s">
        <v>137</v>
      </c>
      <c r="B24" s="41" t="s">
        <v>138</v>
      </c>
      <c r="C24" s="4" t="s">
        <v>139</v>
      </c>
      <c r="D24" s="33" t="s">
        <v>77</v>
      </c>
      <c r="E24" s="157"/>
      <c r="F24" s="93">
        <v>180</v>
      </c>
      <c r="G24" s="158"/>
      <c r="H24" s="16"/>
      <c r="I24" s="23"/>
      <c r="J24" s="16"/>
      <c r="K24" s="23"/>
      <c r="L24" s="16"/>
      <c r="M24" s="118"/>
    </row>
    <row r="25" spans="1:13" s="22" customFormat="1" ht="13.5" customHeight="1">
      <c r="A25" s="281"/>
      <c r="B25" s="159"/>
      <c r="C25" s="91" t="s">
        <v>515</v>
      </c>
      <c r="D25" s="33" t="s">
        <v>15</v>
      </c>
      <c r="E25" s="33">
        <f>1.15*0.655</f>
        <v>0.75324999999999998</v>
      </c>
      <c r="F25" s="26">
        <f>E25*F24</f>
        <v>135.58500000000001</v>
      </c>
      <c r="G25" s="18"/>
      <c r="H25" s="95"/>
      <c r="I25" s="26"/>
      <c r="J25" s="26"/>
      <c r="K25" s="26"/>
      <c r="L25" s="158"/>
      <c r="M25" s="26"/>
    </row>
    <row r="26" spans="1:13" s="22" customFormat="1" ht="13.5" customHeight="1">
      <c r="A26" s="282"/>
      <c r="B26" s="159" t="s">
        <v>140</v>
      </c>
      <c r="C26" s="91" t="s">
        <v>516</v>
      </c>
      <c r="D26" s="33" t="s">
        <v>20</v>
      </c>
      <c r="E26" s="33">
        <f>1.05*0.0467</f>
        <v>4.9035000000000002E-2</v>
      </c>
      <c r="F26" s="26">
        <f>E26*F24</f>
        <v>8.8262999999999998</v>
      </c>
      <c r="G26" s="28"/>
      <c r="H26" s="27"/>
      <c r="I26" s="27"/>
      <c r="J26" s="27"/>
      <c r="K26" s="27"/>
      <c r="L26" s="26"/>
      <c r="M26" s="26"/>
    </row>
    <row r="27" spans="1:13" s="22" customFormat="1" ht="13.5" customHeight="1">
      <c r="A27" s="282"/>
      <c r="B27" s="160" t="s">
        <v>141</v>
      </c>
      <c r="C27" s="91" t="s">
        <v>517</v>
      </c>
      <c r="D27" s="33" t="s">
        <v>20</v>
      </c>
      <c r="E27" s="33">
        <f>1.05*0.0429</f>
        <v>4.5045000000000002E-2</v>
      </c>
      <c r="F27" s="26">
        <f>E27*F24</f>
        <v>8.1081000000000003</v>
      </c>
      <c r="G27" s="28"/>
      <c r="H27" s="27"/>
      <c r="I27" s="27"/>
      <c r="J27" s="27"/>
      <c r="K27" s="27"/>
      <c r="L27" s="26"/>
      <c r="M27" s="26"/>
    </row>
    <row r="28" spans="1:13" s="22" customFormat="1" ht="13.5" customHeight="1">
      <c r="A28" s="282"/>
      <c r="B28" s="159"/>
      <c r="C28" s="91" t="s">
        <v>78</v>
      </c>
      <c r="D28" s="33" t="s">
        <v>16</v>
      </c>
      <c r="E28" s="33">
        <v>4.4000000000000003E-3</v>
      </c>
      <c r="F28" s="26">
        <f>E28*F24</f>
        <v>0.79200000000000004</v>
      </c>
      <c r="G28" s="213"/>
      <c r="H28" s="95"/>
      <c r="I28" s="26"/>
      <c r="J28" s="158"/>
      <c r="K28" s="18"/>
      <c r="L28" s="26"/>
      <c r="M28" s="26"/>
    </row>
    <row r="29" spans="1:13" s="22" customFormat="1" ht="13.5" customHeight="1">
      <c r="A29" s="282"/>
      <c r="B29" s="160" t="s">
        <v>199</v>
      </c>
      <c r="C29" s="91" t="s">
        <v>79</v>
      </c>
      <c r="D29" s="20" t="s">
        <v>80</v>
      </c>
      <c r="E29" s="33">
        <v>4.3200000000000002E-2</v>
      </c>
      <c r="F29" s="26">
        <f>E29*F24</f>
        <v>7.7760000000000007</v>
      </c>
      <c r="G29" s="18"/>
      <c r="H29" s="26"/>
      <c r="I29" s="159"/>
      <c r="J29" s="159"/>
      <c r="K29" s="159"/>
      <c r="L29" s="159"/>
      <c r="M29" s="35"/>
    </row>
    <row r="30" spans="1:13" s="22" customFormat="1" ht="13.5" customHeight="1">
      <c r="A30" s="282"/>
      <c r="B30" s="160" t="s">
        <v>406</v>
      </c>
      <c r="C30" s="91" t="s">
        <v>142</v>
      </c>
      <c r="D30" s="20" t="s">
        <v>24</v>
      </c>
      <c r="E30" s="33"/>
      <c r="F30" s="18">
        <v>900</v>
      </c>
      <c r="G30" s="26"/>
      <c r="H30" s="18"/>
      <c r="I30" s="159"/>
      <c r="J30" s="159"/>
      <c r="K30" s="159"/>
      <c r="L30" s="159"/>
      <c r="M30" s="35"/>
    </row>
    <row r="31" spans="1:13" s="22" customFormat="1" ht="13.5" customHeight="1">
      <c r="A31" s="282"/>
      <c r="B31" s="160" t="s">
        <v>405</v>
      </c>
      <c r="C31" s="91" t="s">
        <v>143</v>
      </c>
      <c r="D31" s="33" t="s">
        <v>81</v>
      </c>
      <c r="E31" s="33">
        <v>3.7999999999999999E-2</v>
      </c>
      <c r="F31" s="26">
        <f>E31*F24</f>
        <v>6.84</v>
      </c>
      <c r="G31" s="26"/>
      <c r="H31" s="26"/>
      <c r="I31" s="159"/>
      <c r="J31" s="159"/>
      <c r="K31" s="159"/>
      <c r="L31" s="159"/>
      <c r="M31" s="35"/>
    </row>
    <row r="32" spans="1:13" s="22" customFormat="1" ht="13.5" customHeight="1">
      <c r="A32" s="283"/>
      <c r="B32" s="36"/>
      <c r="C32" s="91" t="s">
        <v>23</v>
      </c>
      <c r="D32" s="33" t="s">
        <v>16</v>
      </c>
      <c r="E32" s="33">
        <v>0.41299999999999998</v>
      </c>
      <c r="F32" s="26">
        <f>E32*F24</f>
        <v>74.339999999999989</v>
      </c>
      <c r="G32" s="18"/>
      <c r="H32" s="26"/>
      <c r="I32" s="159"/>
      <c r="J32" s="159"/>
      <c r="K32" s="159"/>
      <c r="L32" s="159"/>
      <c r="M32" s="35"/>
    </row>
    <row r="33" spans="1:16" s="22" customFormat="1" ht="32.25" customHeight="1">
      <c r="A33" s="274" t="s">
        <v>148</v>
      </c>
      <c r="B33" s="69" t="s">
        <v>144</v>
      </c>
      <c r="C33" s="105" t="s">
        <v>145</v>
      </c>
      <c r="D33" s="33" t="s">
        <v>77</v>
      </c>
      <c r="E33" s="106"/>
      <c r="F33" s="18">
        <v>30</v>
      </c>
      <c r="G33" s="18"/>
      <c r="H33" s="162"/>
      <c r="I33" s="16"/>
      <c r="J33" s="16"/>
      <c r="K33" s="16"/>
      <c r="L33" s="16"/>
      <c r="M33" s="118"/>
    </row>
    <row r="34" spans="1:16" s="22" customFormat="1" ht="13.5" customHeight="1">
      <c r="A34" s="275"/>
      <c r="B34" s="69"/>
      <c r="C34" s="105" t="s">
        <v>518</v>
      </c>
      <c r="D34" s="20" t="s">
        <v>15</v>
      </c>
      <c r="E34" s="106">
        <f>1.15*0.403</f>
        <v>0.46344999999999997</v>
      </c>
      <c r="F34" s="26">
        <f>E34*F33</f>
        <v>13.903499999999999</v>
      </c>
      <c r="G34" s="99"/>
      <c r="H34" s="107"/>
      <c r="I34" s="35"/>
      <c r="J34" s="35"/>
      <c r="K34" s="26"/>
      <c r="L34" s="35"/>
      <c r="M34" s="26"/>
    </row>
    <row r="35" spans="1:16" s="22" customFormat="1" ht="13.5" customHeight="1">
      <c r="A35" s="275"/>
      <c r="B35" s="69"/>
      <c r="C35" s="105" t="s">
        <v>28</v>
      </c>
      <c r="D35" s="20" t="s">
        <v>16</v>
      </c>
      <c r="E35" s="106">
        <v>0.16400000000000001</v>
      </c>
      <c r="F35" s="26">
        <f>E35*F33</f>
        <v>4.92</v>
      </c>
      <c r="G35" s="123"/>
      <c r="H35" s="123"/>
      <c r="I35" s="122"/>
      <c r="J35" s="27"/>
      <c r="K35" s="18"/>
      <c r="L35" s="26"/>
      <c r="M35" s="26"/>
    </row>
    <row r="36" spans="1:16" s="22" customFormat="1" ht="13.5" customHeight="1">
      <c r="A36" s="275"/>
      <c r="B36" s="69" t="s">
        <v>146</v>
      </c>
      <c r="C36" s="109" t="s">
        <v>147</v>
      </c>
      <c r="D36" s="33" t="s">
        <v>77</v>
      </c>
      <c r="E36" s="35">
        <v>1.01</v>
      </c>
      <c r="F36" s="26">
        <f>E36*F33</f>
        <v>30.3</v>
      </c>
      <c r="G36" s="18"/>
      <c r="H36" s="35"/>
      <c r="I36" s="35"/>
      <c r="J36" s="35"/>
      <c r="K36" s="35"/>
      <c r="L36" s="35"/>
      <c r="M36" s="97"/>
    </row>
    <row r="37" spans="1:16" s="22" customFormat="1" ht="13.5" customHeight="1">
      <c r="A37" s="276"/>
      <c r="B37" s="25"/>
      <c r="C37" s="98" t="s">
        <v>23</v>
      </c>
      <c r="D37" s="20" t="s">
        <v>16</v>
      </c>
      <c r="E37" s="161">
        <v>2.0400000000000001E-2</v>
      </c>
      <c r="F37" s="122">
        <f>E37*F33</f>
        <v>0.6120000000000001</v>
      </c>
      <c r="G37" s="18"/>
      <c r="H37" s="97"/>
      <c r="I37" s="26"/>
      <c r="J37" s="26"/>
      <c r="K37" s="26"/>
      <c r="L37" s="158"/>
      <c r="M37" s="26"/>
    </row>
    <row r="38" spans="1:16" s="22" customFormat="1" ht="74.25" customHeight="1">
      <c r="A38" s="274" t="s">
        <v>75</v>
      </c>
      <c r="B38" s="25" t="s">
        <v>149</v>
      </c>
      <c r="C38" s="98" t="s">
        <v>150</v>
      </c>
      <c r="D38" s="20" t="s">
        <v>80</v>
      </c>
      <c r="E38" s="161"/>
      <c r="F38" s="229">
        <v>60</v>
      </c>
      <c r="G38" s="123"/>
      <c r="H38" s="123"/>
      <c r="I38" s="122"/>
      <c r="J38" s="16"/>
      <c r="K38" s="16"/>
      <c r="L38" s="16"/>
      <c r="M38" s="16"/>
    </row>
    <row r="39" spans="1:16" s="22" customFormat="1" ht="15.75" customHeight="1">
      <c r="A39" s="275"/>
      <c r="B39" s="25"/>
      <c r="C39" s="105" t="s">
        <v>519</v>
      </c>
      <c r="D39" s="20" t="s">
        <v>15</v>
      </c>
      <c r="E39" s="103">
        <f>1.15*10.2</f>
        <v>11.729999999999999</v>
      </c>
      <c r="F39" s="35">
        <f>E39*F38</f>
        <v>703.8</v>
      </c>
      <c r="G39" s="35"/>
      <c r="H39" s="35"/>
      <c r="I39" s="35"/>
      <c r="J39" s="35"/>
      <c r="K39" s="26"/>
      <c r="L39" s="35"/>
      <c r="M39" s="26"/>
    </row>
    <row r="40" spans="1:16" s="22" customFormat="1" ht="13.5" customHeight="1">
      <c r="A40" s="275"/>
      <c r="B40" s="25"/>
      <c r="C40" s="105" t="s">
        <v>28</v>
      </c>
      <c r="D40" s="20" t="s">
        <v>16</v>
      </c>
      <c r="E40" s="103">
        <v>7.9</v>
      </c>
      <c r="F40" s="26">
        <f>E40*F38</f>
        <v>474</v>
      </c>
      <c r="G40" s="26"/>
      <c r="H40" s="27"/>
      <c r="I40" s="122"/>
      <c r="J40" s="27"/>
      <c r="K40" s="18"/>
      <c r="L40" s="18"/>
      <c r="M40" s="18"/>
    </row>
    <row r="41" spans="1:16" s="22" customFormat="1" ht="24.75" customHeight="1">
      <c r="A41" s="275"/>
      <c r="B41" s="128" t="s">
        <v>520</v>
      </c>
      <c r="C41" s="105" t="s">
        <v>599</v>
      </c>
      <c r="D41" s="20" t="s">
        <v>17</v>
      </c>
      <c r="E41" s="103"/>
      <c r="F41" s="18">
        <f>F38*2.4</f>
        <v>144</v>
      </c>
      <c r="G41" s="26"/>
      <c r="H41" s="27"/>
      <c r="I41" s="122"/>
      <c r="J41" s="27"/>
      <c r="K41" s="26"/>
      <c r="L41" s="26"/>
      <c r="M41" s="26"/>
    </row>
    <row r="42" spans="1:16" s="22" customFormat="1" ht="16.5" customHeight="1">
      <c r="A42" s="276"/>
      <c r="B42" s="25" t="s">
        <v>82</v>
      </c>
      <c r="C42" s="98" t="s">
        <v>151</v>
      </c>
      <c r="D42" s="20" t="s">
        <v>17</v>
      </c>
      <c r="E42" s="161"/>
      <c r="F42" s="18">
        <f>F38*2.4</f>
        <v>144</v>
      </c>
      <c r="G42" s="26"/>
      <c r="H42" s="27"/>
      <c r="I42" s="26"/>
      <c r="J42" s="26"/>
      <c r="K42" s="26"/>
      <c r="L42" s="26"/>
      <c r="M42" s="26"/>
    </row>
    <row r="43" spans="1:16" s="22" customFormat="1" ht="28.5" customHeight="1">
      <c r="A43" s="69" t="s">
        <v>18</v>
      </c>
      <c r="B43" s="69"/>
      <c r="C43" s="127" t="s">
        <v>103</v>
      </c>
      <c r="D43" s="69"/>
      <c r="E43" s="35"/>
      <c r="F43" s="35"/>
      <c r="G43" s="35"/>
      <c r="H43" s="35"/>
      <c r="I43" s="35"/>
      <c r="J43" s="35"/>
      <c r="K43" s="35"/>
      <c r="L43" s="35"/>
      <c r="M43" s="35"/>
    </row>
    <row r="44" spans="1:16" s="22" customFormat="1" ht="45" customHeight="1">
      <c r="A44" s="69" t="s">
        <v>152</v>
      </c>
      <c r="B44" s="128" t="s">
        <v>104</v>
      </c>
      <c r="C44" s="129" t="s">
        <v>158</v>
      </c>
      <c r="D44" s="128" t="s">
        <v>17</v>
      </c>
      <c r="E44" s="130"/>
      <c r="F44" s="128">
        <f>20*15.7/1000+0.25</f>
        <v>0.56400000000000006</v>
      </c>
      <c r="G44" s="131"/>
      <c r="H44" s="132"/>
      <c r="I44" s="132"/>
      <c r="J44" s="132"/>
      <c r="K44" s="130"/>
      <c r="L44" s="133"/>
      <c r="M44" s="133"/>
      <c r="P44" s="22">
        <f>0.98+1.29</f>
        <v>2.27</v>
      </c>
    </row>
    <row r="45" spans="1:16" s="22" customFormat="1" ht="46.5" customHeight="1">
      <c r="A45" s="69" t="s">
        <v>153</v>
      </c>
      <c r="B45" s="69" t="s">
        <v>82</v>
      </c>
      <c r="C45" s="125" t="s">
        <v>387</v>
      </c>
      <c r="D45" s="69" t="s">
        <v>17</v>
      </c>
      <c r="E45" s="35"/>
      <c r="F45" s="128">
        <f>20*15.7/1000+0.25</f>
        <v>0.56400000000000006</v>
      </c>
      <c r="G45" s="35"/>
      <c r="H45" s="35"/>
      <c r="I45" s="35"/>
      <c r="J45" s="35"/>
      <c r="K45" s="35"/>
      <c r="L45" s="40"/>
      <c r="M45" s="40"/>
    </row>
    <row r="46" spans="1:16" s="22" customFormat="1" ht="46.5" customHeight="1">
      <c r="A46" s="271" t="s">
        <v>154</v>
      </c>
      <c r="B46" s="128" t="s">
        <v>105</v>
      </c>
      <c r="C46" s="129" t="s">
        <v>157</v>
      </c>
      <c r="D46" s="128" t="s">
        <v>106</v>
      </c>
      <c r="E46" s="130"/>
      <c r="F46" s="128">
        <v>20</v>
      </c>
      <c r="G46" s="131"/>
      <c r="H46" s="134"/>
      <c r="I46" s="135"/>
      <c r="J46" s="134"/>
      <c r="K46" s="134"/>
      <c r="L46" s="133"/>
      <c r="M46" s="133"/>
    </row>
    <row r="47" spans="1:16" s="22" customFormat="1" ht="13.5" customHeight="1">
      <c r="A47" s="272"/>
      <c r="B47" s="41"/>
      <c r="C47" s="4" t="s">
        <v>401</v>
      </c>
      <c r="D47" s="33" t="s">
        <v>15</v>
      </c>
      <c r="E47" s="119">
        <f>0.494*1.5*20*1.05</f>
        <v>15.561000000000002</v>
      </c>
      <c r="F47" s="26">
        <f>E47*F46</f>
        <v>311.22000000000003</v>
      </c>
      <c r="G47" s="26"/>
      <c r="H47" s="27"/>
      <c r="I47" s="26"/>
      <c r="J47" s="26"/>
      <c r="K47" s="27"/>
      <c r="L47" s="27"/>
      <c r="M47" s="26"/>
    </row>
    <row r="48" spans="1:16" s="22" customFormat="1" ht="13.5" customHeight="1">
      <c r="A48" s="273"/>
      <c r="B48" s="136" t="s">
        <v>107</v>
      </c>
      <c r="C48" s="137" t="s">
        <v>108</v>
      </c>
      <c r="D48" s="138" t="s">
        <v>81</v>
      </c>
      <c r="E48" s="139">
        <v>0.51</v>
      </c>
      <c r="F48" s="130">
        <f>E48*F46</f>
        <v>10.199999999999999</v>
      </c>
      <c r="G48" s="131"/>
      <c r="H48" s="130"/>
      <c r="I48" s="132"/>
      <c r="J48" s="132"/>
      <c r="K48" s="132"/>
      <c r="L48" s="132"/>
      <c r="M48" s="130"/>
    </row>
    <row r="49" spans="1:16" s="22" customFormat="1" ht="49.5" customHeight="1">
      <c r="A49" s="69" t="s">
        <v>155</v>
      </c>
      <c r="B49" s="116" t="s">
        <v>104</v>
      </c>
      <c r="C49" s="140" t="s">
        <v>109</v>
      </c>
      <c r="D49" s="116" t="s">
        <v>17</v>
      </c>
      <c r="E49" s="26"/>
      <c r="F49" s="128">
        <f>20*15.7/1000+0.25</f>
        <v>0.56400000000000006</v>
      </c>
      <c r="G49" s="28"/>
      <c r="H49" s="27"/>
      <c r="I49" s="27"/>
      <c r="J49" s="27"/>
      <c r="K49" s="130"/>
      <c r="L49" s="40"/>
      <c r="M49" s="40"/>
    </row>
    <row r="50" spans="1:16" s="22" customFormat="1" ht="48.75" customHeight="1">
      <c r="A50" s="69" t="s">
        <v>156</v>
      </c>
      <c r="B50" s="116" t="s">
        <v>82</v>
      </c>
      <c r="C50" s="140" t="s">
        <v>385</v>
      </c>
      <c r="D50" s="116" t="s">
        <v>17</v>
      </c>
      <c r="E50" s="116"/>
      <c r="F50" s="128">
        <f>20*15.7/1000+0.25</f>
        <v>0.56400000000000006</v>
      </c>
      <c r="G50" s="28"/>
      <c r="H50" s="27"/>
      <c r="I50" s="27"/>
      <c r="J50" s="27"/>
      <c r="K50" s="35"/>
      <c r="L50" s="40"/>
      <c r="M50" s="40"/>
    </row>
    <row r="51" spans="1:16" s="22" customFormat="1" ht="17.25" customHeight="1">
      <c r="A51" s="271" t="s">
        <v>159</v>
      </c>
      <c r="B51" s="111"/>
      <c r="C51" s="142" t="s">
        <v>110</v>
      </c>
      <c r="D51" s="116"/>
      <c r="E51" s="116"/>
      <c r="F51" s="29"/>
      <c r="G51" s="28"/>
      <c r="H51" s="27"/>
      <c r="I51" s="27"/>
      <c r="J51" s="27"/>
      <c r="K51" s="27"/>
      <c r="L51" s="40"/>
      <c r="M51" s="27"/>
    </row>
    <row r="52" spans="1:16" s="22" customFormat="1" ht="39.75" customHeight="1">
      <c r="A52" s="272"/>
      <c r="B52" s="143" t="s">
        <v>104</v>
      </c>
      <c r="C52" s="144" t="s">
        <v>111</v>
      </c>
      <c r="D52" s="143" t="s">
        <v>17</v>
      </c>
      <c r="E52" s="143"/>
      <c r="F52" s="145">
        <f>2.4*1</f>
        <v>2.4</v>
      </c>
      <c r="G52" s="145"/>
      <c r="H52" s="146"/>
      <c r="I52" s="146"/>
      <c r="J52" s="146"/>
      <c r="K52" s="147"/>
      <c r="L52" s="148"/>
      <c r="M52" s="148"/>
    </row>
    <row r="53" spans="1:16" s="22" customFormat="1" ht="46.5" customHeight="1">
      <c r="A53" s="272"/>
      <c r="B53" s="116" t="s">
        <v>104</v>
      </c>
      <c r="C53" s="140" t="s">
        <v>160</v>
      </c>
      <c r="D53" s="116" t="s">
        <v>17</v>
      </c>
      <c r="E53" s="116"/>
      <c r="F53" s="145">
        <f>2.4*1</f>
        <v>2.4</v>
      </c>
      <c r="G53" s="28"/>
      <c r="H53" s="27"/>
      <c r="I53" s="27"/>
      <c r="J53" s="27"/>
      <c r="K53" s="18"/>
      <c r="L53" s="40"/>
      <c r="M53" s="40"/>
    </row>
    <row r="54" spans="1:16" s="22" customFormat="1" ht="44.25" customHeight="1">
      <c r="A54" s="273"/>
      <c r="B54" s="116" t="s">
        <v>82</v>
      </c>
      <c r="C54" s="140" t="s">
        <v>386</v>
      </c>
      <c r="D54" s="116" t="s">
        <v>17</v>
      </c>
      <c r="E54" s="116"/>
      <c r="F54" s="145">
        <f>2.4*1</f>
        <v>2.4</v>
      </c>
      <c r="G54" s="28"/>
      <c r="H54" s="27"/>
      <c r="I54" s="27"/>
      <c r="J54" s="27"/>
      <c r="K54" s="26"/>
      <c r="L54" s="40"/>
      <c r="M54" s="40"/>
    </row>
    <row r="55" spans="1:16" s="22" customFormat="1" ht="19.5" customHeight="1">
      <c r="A55" s="268" t="s">
        <v>161</v>
      </c>
      <c r="B55" s="116"/>
      <c r="C55" s="140" t="s">
        <v>112</v>
      </c>
      <c r="D55" s="116"/>
      <c r="E55" s="116"/>
      <c r="F55" s="116"/>
      <c r="G55" s="28"/>
      <c r="H55" s="27"/>
      <c r="I55" s="27"/>
      <c r="J55" s="27"/>
      <c r="K55" s="26"/>
      <c r="L55" s="40"/>
      <c r="M55" s="40"/>
    </row>
    <row r="56" spans="1:16" s="22" customFormat="1" ht="60.75" customHeight="1">
      <c r="A56" s="269"/>
      <c r="B56" s="116" t="s">
        <v>104</v>
      </c>
      <c r="C56" s="140" t="s">
        <v>113</v>
      </c>
      <c r="D56" s="116" t="s">
        <v>17</v>
      </c>
      <c r="E56" s="116"/>
      <c r="F56" s="116">
        <f>(33.8+135+459+14.3+36+2.7)/1000</f>
        <v>0.68079999999999996</v>
      </c>
      <c r="G56" s="28"/>
      <c r="H56" s="27"/>
      <c r="I56" s="27"/>
      <c r="J56" s="27"/>
      <c r="K56" s="26"/>
      <c r="L56" s="40"/>
      <c r="M56" s="40"/>
    </row>
    <row r="57" spans="1:16" s="22" customFormat="1" ht="62.25" customHeight="1">
      <c r="A57" s="269"/>
      <c r="B57" s="116" t="s">
        <v>104</v>
      </c>
      <c r="C57" s="140" t="s">
        <v>162</v>
      </c>
      <c r="D57" s="116" t="s">
        <v>17</v>
      </c>
      <c r="E57" s="116"/>
      <c r="F57" s="116">
        <f>(33.8+135+459+14.3+36+2.7)/1000</f>
        <v>0.68079999999999996</v>
      </c>
      <c r="G57" s="28"/>
      <c r="H57" s="27"/>
      <c r="I57" s="27"/>
      <c r="J57" s="27"/>
      <c r="K57" s="26"/>
      <c r="L57" s="40"/>
      <c r="M57" s="40"/>
    </row>
    <row r="58" spans="1:16" s="22" customFormat="1" ht="41.25" customHeight="1">
      <c r="A58" s="270"/>
      <c r="B58" s="116" t="s">
        <v>82</v>
      </c>
      <c r="C58" s="140" t="s">
        <v>388</v>
      </c>
      <c r="D58" s="116" t="s">
        <v>17</v>
      </c>
      <c r="E58" s="116"/>
      <c r="F58" s="116">
        <f>(33.8+135+459+14.3+36+2.7)/1000</f>
        <v>0.68079999999999996</v>
      </c>
      <c r="G58" s="28"/>
      <c r="H58" s="27"/>
      <c r="I58" s="27"/>
      <c r="J58" s="27"/>
      <c r="K58" s="26"/>
      <c r="L58" s="40"/>
      <c r="M58" s="40"/>
    </row>
    <row r="59" spans="1:16" s="22" customFormat="1">
      <c r="A59" s="15"/>
      <c r="B59" s="31"/>
      <c r="C59" s="32" t="s">
        <v>11</v>
      </c>
      <c r="D59" s="33" t="s">
        <v>16</v>
      </c>
      <c r="E59" s="26"/>
      <c r="F59" s="26"/>
      <c r="G59" s="28"/>
      <c r="H59" s="26"/>
      <c r="I59" s="27"/>
      <c r="J59" s="26"/>
      <c r="K59" s="27"/>
      <c r="L59" s="26"/>
      <c r="M59" s="29"/>
      <c r="N59"/>
      <c r="O59"/>
    </row>
    <row r="60" spans="1:16" s="22" customFormat="1">
      <c r="A60" s="30"/>
      <c r="B60" s="31"/>
      <c r="C60" s="32" t="s">
        <v>25</v>
      </c>
      <c r="D60" s="33" t="s">
        <v>26</v>
      </c>
      <c r="E60" s="18">
        <v>10</v>
      </c>
      <c r="F60" s="26"/>
      <c r="G60" s="28"/>
      <c r="H60" s="26"/>
      <c r="I60" s="27"/>
      <c r="J60" s="26"/>
      <c r="K60" s="27"/>
      <c r="L60" s="26"/>
      <c r="M60" s="29"/>
      <c r="N60"/>
      <c r="O60" s="17"/>
    </row>
    <row r="61" spans="1:16" s="22" customFormat="1">
      <c r="A61" s="30"/>
      <c r="B61" s="31"/>
      <c r="C61" s="32" t="s">
        <v>11</v>
      </c>
      <c r="D61" s="33" t="s">
        <v>16</v>
      </c>
      <c r="E61" s="18"/>
      <c r="F61" s="26"/>
      <c r="G61" s="28"/>
      <c r="H61" s="26"/>
      <c r="I61" s="27"/>
      <c r="J61" s="26"/>
      <c r="K61" s="27"/>
      <c r="L61" s="26"/>
      <c r="M61" s="29"/>
      <c r="N61"/>
      <c r="O61"/>
    </row>
    <row r="62" spans="1:16" s="22" customFormat="1">
      <c r="A62" s="30"/>
      <c r="B62" s="31"/>
      <c r="C62" s="32" t="s">
        <v>27</v>
      </c>
      <c r="D62" s="33" t="s">
        <v>26</v>
      </c>
      <c r="E62" s="18">
        <v>8</v>
      </c>
      <c r="F62" s="26"/>
      <c r="G62" s="28"/>
      <c r="H62" s="26"/>
      <c r="I62" s="27"/>
      <c r="J62" s="26"/>
      <c r="K62" s="27"/>
      <c r="L62" s="26"/>
      <c r="M62" s="29"/>
      <c r="N62"/>
      <c r="O62" s="17">
        <f>M58+M57+M56+M54+M53+M52+M50+M49+M46+M45+M44+M38+M33+M24+M23+M18+M13</f>
        <v>0</v>
      </c>
      <c r="P62" s="34">
        <f>O62-M59</f>
        <v>0</v>
      </c>
    </row>
    <row r="63" spans="1:16" s="22" customFormat="1">
      <c r="A63" s="30"/>
      <c r="B63" s="31"/>
      <c r="C63" s="32" t="s">
        <v>11</v>
      </c>
      <c r="D63" s="33" t="s">
        <v>16</v>
      </c>
      <c r="E63" s="18"/>
      <c r="F63" s="26"/>
      <c r="G63" s="28"/>
      <c r="H63" s="26"/>
      <c r="I63" s="27"/>
      <c r="J63" s="26"/>
      <c r="K63" s="27"/>
      <c r="L63" s="26"/>
      <c r="M63" s="29"/>
      <c r="N63"/>
      <c r="O63"/>
    </row>
    <row r="64" spans="1:16" s="22" customFormat="1" ht="13.5">
      <c r="A64" s="3"/>
      <c r="B64" s="3"/>
      <c r="C64" s="2"/>
      <c r="D64" s="3"/>
      <c r="E64" s="3"/>
      <c r="F64" s="34"/>
      <c r="G64" s="34"/>
      <c r="H64" s="34"/>
      <c r="I64" s="34"/>
      <c r="J64" s="34"/>
      <c r="K64" s="34"/>
      <c r="L64" s="34"/>
      <c r="M64" s="34"/>
    </row>
    <row r="65" spans="1:13" s="22" customFormat="1" ht="13.5">
      <c r="A65" s="3"/>
      <c r="B65" s="3"/>
      <c r="C65" s="2" t="s">
        <v>521</v>
      </c>
      <c r="D65" s="265"/>
      <c r="E65" s="265"/>
      <c r="F65" s="34"/>
      <c r="G65" s="34"/>
      <c r="H65" s="266"/>
      <c r="I65" s="266"/>
      <c r="J65" s="34"/>
      <c r="K65" s="34"/>
      <c r="L65" s="34"/>
      <c r="M65" s="34"/>
    </row>
    <row r="66" spans="1:13" s="22" customFormat="1" ht="13.5">
      <c r="A66" s="3"/>
      <c r="B66" s="3"/>
      <c r="C66" s="2"/>
      <c r="D66" s="3"/>
      <c r="E66" s="3"/>
      <c r="F66" s="34"/>
      <c r="G66" s="34"/>
      <c r="H66" s="34"/>
      <c r="I66" s="34"/>
      <c r="J66" s="34"/>
      <c r="K66" s="34"/>
      <c r="L66" s="34"/>
      <c r="M66" s="34"/>
    </row>
    <row r="67" spans="1:13" s="22" customFormat="1" ht="13.5">
      <c r="A67" s="3"/>
      <c r="B67" s="3"/>
      <c r="C67" s="2"/>
      <c r="D67" s="3"/>
      <c r="E67" s="3"/>
      <c r="F67" s="34"/>
      <c r="G67" s="34"/>
      <c r="H67" s="34"/>
      <c r="I67" s="34"/>
      <c r="J67" s="34"/>
      <c r="K67" s="34"/>
      <c r="L67" s="34"/>
      <c r="M67" s="34"/>
    </row>
    <row r="68" spans="1:13" s="22" customFormat="1" ht="13.5">
      <c r="A68" s="3"/>
      <c r="B68" s="3"/>
      <c r="C68" s="2"/>
      <c r="D68" s="3"/>
      <c r="E68" s="3"/>
      <c r="F68" s="34"/>
      <c r="G68" s="34"/>
      <c r="H68" s="34"/>
      <c r="I68" s="34"/>
      <c r="J68" s="34"/>
      <c r="K68" s="34"/>
      <c r="L68" s="34"/>
      <c r="M68" s="34"/>
    </row>
    <row r="69" spans="1:13" s="22" customFormat="1" ht="13.5">
      <c r="A69" s="3"/>
      <c r="B69" s="3"/>
      <c r="C69" s="2"/>
      <c r="D69" s="3"/>
      <c r="E69" s="3"/>
      <c r="F69" s="34"/>
      <c r="G69" s="34"/>
      <c r="H69" s="34"/>
      <c r="I69" s="34"/>
      <c r="J69" s="34"/>
      <c r="K69" s="34"/>
      <c r="L69" s="34"/>
      <c r="M69" s="34"/>
    </row>
    <row r="70" spans="1:13" s="22" customFormat="1" ht="13.5">
      <c r="A70" s="3"/>
      <c r="B70" s="3"/>
      <c r="C70" s="2"/>
      <c r="D70" s="3"/>
      <c r="E70" s="3"/>
      <c r="F70" s="34"/>
      <c r="G70" s="34"/>
      <c r="H70" s="34"/>
      <c r="I70" s="34"/>
      <c r="J70" s="34"/>
      <c r="K70" s="34"/>
      <c r="L70" s="34"/>
      <c r="M70" s="34"/>
    </row>
    <row r="71" spans="1:13" s="22" customFormat="1" ht="13.5">
      <c r="A71" s="3"/>
      <c r="B71" s="3"/>
      <c r="C71" s="2"/>
      <c r="D71" s="3"/>
      <c r="E71" s="3"/>
      <c r="F71" s="34"/>
      <c r="G71" s="34"/>
      <c r="H71" s="34"/>
      <c r="I71" s="34"/>
      <c r="J71" s="34"/>
      <c r="K71" s="34"/>
      <c r="L71" s="34"/>
      <c r="M71" s="34"/>
    </row>
    <row r="72" spans="1:13" s="22" customFormat="1" ht="13.5">
      <c r="A72" s="3"/>
      <c r="B72" s="3"/>
      <c r="C72" s="2"/>
      <c r="D72" s="3"/>
      <c r="E72" s="3"/>
      <c r="F72" s="34"/>
      <c r="G72" s="34"/>
      <c r="H72" s="34"/>
      <c r="I72" s="34"/>
      <c r="J72" s="34"/>
      <c r="K72" s="34"/>
      <c r="L72" s="34"/>
      <c r="M72" s="34"/>
    </row>
    <row r="73" spans="1:13" s="22" customFormat="1" ht="13.5">
      <c r="A73" s="3"/>
      <c r="B73" s="3"/>
      <c r="C73" s="2"/>
      <c r="D73" s="3"/>
      <c r="E73" s="3"/>
      <c r="F73" s="34"/>
      <c r="G73" s="34"/>
      <c r="H73" s="34"/>
      <c r="I73" s="34"/>
      <c r="J73" s="34"/>
      <c r="K73" s="34"/>
      <c r="L73" s="34"/>
      <c r="M73" s="34"/>
    </row>
    <row r="74" spans="1:13" s="22" customFormat="1" ht="13.5">
      <c r="A74" s="3"/>
      <c r="B74" s="3"/>
      <c r="C74" s="2"/>
      <c r="D74" s="3"/>
      <c r="E74" s="3"/>
      <c r="F74" s="34"/>
      <c r="G74" s="34"/>
      <c r="H74" s="34"/>
      <c r="I74" s="34"/>
      <c r="J74" s="34"/>
      <c r="K74" s="34"/>
      <c r="L74" s="34"/>
      <c r="M74" s="34"/>
    </row>
    <row r="75" spans="1:13" s="22" customFormat="1" ht="13.5">
      <c r="A75" s="3"/>
      <c r="B75" s="3"/>
      <c r="C75" s="2"/>
      <c r="D75" s="3"/>
      <c r="E75" s="3"/>
      <c r="F75" s="34"/>
      <c r="G75" s="34"/>
      <c r="H75" s="34"/>
      <c r="I75" s="34"/>
      <c r="J75" s="34"/>
      <c r="K75" s="34"/>
      <c r="L75" s="34"/>
      <c r="M75" s="34"/>
    </row>
    <row r="76" spans="1:13" s="22" customFormat="1" ht="13.5">
      <c r="A76" s="3"/>
      <c r="B76" s="3"/>
      <c r="C76" s="2"/>
      <c r="D76" s="3"/>
      <c r="E76" s="3"/>
      <c r="F76" s="34"/>
      <c r="G76" s="34"/>
      <c r="H76" s="34"/>
      <c r="I76" s="34"/>
      <c r="J76" s="34"/>
      <c r="K76" s="34"/>
      <c r="L76" s="34"/>
      <c r="M76" s="34"/>
    </row>
    <row r="77" spans="1:13" s="22" customFormat="1" ht="13.5">
      <c r="A77" s="3"/>
      <c r="B77" s="3"/>
      <c r="C77" s="2"/>
      <c r="D77" s="3"/>
      <c r="E77" s="3"/>
      <c r="F77" s="34"/>
      <c r="G77" s="34"/>
      <c r="H77" s="34"/>
      <c r="I77" s="34"/>
      <c r="J77" s="34"/>
      <c r="K77" s="34"/>
      <c r="L77" s="34"/>
      <c r="M77" s="34"/>
    </row>
    <row r="78" spans="1:13" s="22" customFormat="1" ht="13.5">
      <c r="A78" s="3"/>
      <c r="B78" s="3"/>
      <c r="C78" s="2"/>
      <c r="D78" s="3"/>
      <c r="E78" s="3"/>
      <c r="F78" s="34"/>
      <c r="G78" s="34"/>
      <c r="H78" s="34"/>
      <c r="I78" s="34"/>
      <c r="J78" s="34"/>
      <c r="K78" s="34"/>
      <c r="L78" s="34"/>
      <c r="M78" s="34"/>
    </row>
    <row r="79" spans="1:13" s="22" customFormat="1" ht="13.5">
      <c r="A79" s="3"/>
      <c r="B79" s="3"/>
      <c r="C79" s="2"/>
      <c r="D79" s="3"/>
      <c r="E79" s="3"/>
      <c r="F79" s="34"/>
      <c r="G79" s="34"/>
      <c r="H79" s="34"/>
      <c r="I79" s="34"/>
      <c r="J79" s="34"/>
      <c r="K79" s="34"/>
      <c r="L79" s="34"/>
      <c r="M79" s="34"/>
    </row>
    <row r="80" spans="1:13" s="22" customFormat="1" ht="13.5">
      <c r="A80" s="3"/>
      <c r="B80" s="3"/>
      <c r="C80" s="2"/>
      <c r="D80" s="3"/>
      <c r="E80" s="3"/>
      <c r="F80" s="34"/>
      <c r="G80" s="34"/>
      <c r="H80" s="34"/>
      <c r="I80" s="34"/>
      <c r="J80" s="34"/>
      <c r="K80" s="34"/>
      <c r="L80" s="34"/>
      <c r="M80" s="34"/>
    </row>
    <row r="81" spans="1:13" s="22" customFormat="1" ht="13.5">
      <c r="A81" s="3"/>
      <c r="B81" s="3"/>
      <c r="C81" s="2"/>
      <c r="D81" s="3"/>
      <c r="E81" s="3"/>
      <c r="F81" s="34"/>
      <c r="G81" s="34"/>
      <c r="H81" s="34"/>
      <c r="I81" s="34"/>
      <c r="J81" s="34"/>
      <c r="K81" s="34"/>
      <c r="L81" s="34"/>
      <c r="M81" s="34"/>
    </row>
    <row r="82" spans="1:13" s="22" customFormat="1" ht="13.5">
      <c r="A82" s="3"/>
      <c r="B82" s="3"/>
      <c r="C82" s="2"/>
      <c r="D82" s="3"/>
      <c r="E82" s="3"/>
      <c r="F82" s="34"/>
      <c r="G82" s="34"/>
      <c r="H82" s="34"/>
      <c r="I82" s="34"/>
      <c r="J82" s="34"/>
      <c r="K82" s="34"/>
      <c r="L82" s="34"/>
      <c r="M82" s="34"/>
    </row>
    <row r="83" spans="1:13" s="22" customFormat="1" ht="13.5">
      <c r="A83" s="3"/>
      <c r="B83" s="3"/>
      <c r="C83" s="2"/>
      <c r="D83" s="3"/>
      <c r="E83" s="3"/>
      <c r="F83" s="34"/>
      <c r="G83" s="34"/>
      <c r="H83" s="34"/>
      <c r="I83" s="34"/>
      <c r="J83" s="34"/>
      <c r="K83" s="34"/>
      <c r="L83" s="34"/>
      <c r="M83" s="34"/>
    </row>
    <row r="84" spans="1:13" s="22" customFormat="1" ht="13.5">
      <c r="A84" s="3"/>
      <c r="B84" s="3"/>
      <c r="C84" s="2"/>
      <c r="D84" s="3"/>
      <c r="E84" s="3"/>
      <c r="F84" s="34"/>
      <c r="G84" s="34"/>
      <c r="H84" s="34"/>
      <c r="I84" s="34"/>
      <c r="J84" s="34"/>
      <c r="K84" s="34"/>
      <c r="L84" s="34"/>
      <c r="M84" s="34"/>
    </row>
    <row r="85" spans="1:13" s="22" customFormat="1" ht="13.5">
      <c r="A85" s="3"/>
      <c r="B85" s="3"/>
      <c r="C85" s="2"/>
      <c r="D85" s="3"/>
      <c r="E85" s="3"/>
      <c r="F85" s="34"/>
      <c r="G85" s="34"/>
      <c r="H85" s="34"/>
      <c r="I85" s="34"/>
      <c r="J85" s="34"/>
      <c r="K85" s="34"/>
      <c r="L85" s="34"/>
      <c r="M85" s="34"/>
    </row>
    <row r="86" spans="1:13" s="22" customFormat="1" ht="13.5">
      <c r="A86" s="3"/>
      <c r="B86" s="3"/>
      <c r="C86" s="2"/>
      <c r="D86" s="3"/>
      <c r="E86" s="3"/>
      <c r="F86" s="34"/>
      <c r="G86" s="34"/>
      <c r="H86" s="34"/>
      <c r="I86" s="34"/>
      <c r="J86" s="34"/>
      <c r="K86" s="34"/>
      <c r="L86" s="34"/>
      <c r="M86" s="34"/>
    </row>
    <row r="87" spans="1:13" s="22" customFormat="1" ht="13.5">
      <c r="A87" s="3"/>
      <c r="B87" s="3"/>
      <c r="C87" s="2"/>
      <c r="D87" s="3"/>
      <c r="E87" s="3"/>
      <c r="F87" s="34"/>
      <c r="G87" s="34"/>
      <c r="H87" s="34"/>
      <c r="I87" s="34"/>
      <c r="J87" s="34"/>
      <c r="K87" s="34"/>
      <c r="L87" s="34"/>
      <c r="M87" s="34"/>
    </row>
    <row r="88" spans="1:13" s="22" customFormat="1" ht="13.5">
      <c r="A88" s="3"/>
      <c r="B88" s="3"/>
      <c r="C88" s="2"/>
      <c r="D88" s="3"/>
      <c r="E88" s="3"/>
      <c r="F88" s="34"/>
      <c r="G88" s="34"/>
      <c r="H88" s="34"/>
      <c r="I88" s="34"/>
      <c r="J88" s="34"/>
      <c r="K88" s="34"/>
      <c r="L88" s="34"/>
      <c r="M88" s="34"/>
    </row>
    <row r="89" spans="1:13" s="22" customFormat="1" ht="13.5">
      <c r="A89" s="3"/>
      <c r="B89" s="3"/>
      <c r="C89" s="2"/>
      <c r="D89" s="3"/>
      <c r="E89" s="3"/>
      <c r="F89" s="34"/>
      <c r="G89" s="34"/>
      <c r="H89" s="34"/>
      <c r="I89" s="34"/>
      <c r="J89" s="34"/>
      <c r="K89" s="34"/>
      <c r="L89" s="34"/>
      <c r="M89" s="34"/>
    </row>
    <row r="90" spans="1:13" s="22" customFormat="1" ht="13.5">
      <c r="A90" s="3"/>
      <c r="B90" s="3"/>
      <c r="C90" s="2"/>
      <c r="D90" s="3"/>
      <c r="E90" s="3"/>
      <c r="F90" s="34"/>
      <c r="G90" s="34"/>
      <c r="H90" s="34"/>
      <c r="I90" s="34"/>
      <c r="J90" s="34"/>
      <c r="K90" s="34"/>
      <c r="L90" s="34"/>
      <c r="M90" s="34"/>
    </row>
    <row r="91" spans="1:13" s="22" customFormat="1" ht="13.5">
      <c r="A91" s="3"/>
      <c r="B91" s="3"/>
      <c r="C91" s="2"/>
      <c r="D91" s="3"/>
      <c r="E91" s="3"/>
      <c r="F91" s="34"/>
      <c r="G91" s="34"/>
      <c r="H91" s="34"/>
      <c r="I91" s="34"/>
      <c r="J91" s="34"/>
      <c r="K91" s="34"/>
      <c r="L91" s="34"/>
      <c r="M91" s="34"/>
    </row>
    <row r="92" spans="1:13" s="22" customFormat="1" ht="13.5">
      <c r="A92" s="3"/>
      <c r="B92" s="3"/>
      <c r="C92" s="2"/>
      <c r="D92" s="3"/>
      <c r="E92" s="3"/>
      <c r="F92" s="34"/>
      <c r="G92" s="34"/>
      <c r="H92" s="34"/>
      <c r="I92" s="34"/>
      <c r="J92" s="34"/>
      <c r="K92" s="34"/>
      <c r="L92" s="34"/>
      <c r="M92" s="34"/>
    </row>
    <row r="93" spans="1:13" s="22" customFormat="1" ht="13.5">
      <c r="A93" s="3"/>
      <c r="B93" s="3"/>
      <c r="C93" s="2"/>
      <c r="D93" s="3"/>
      <c r="E93" s="3"/>
      <c r="F93" s="34"/>
      <c r="G93" s="34"/>
      <c r="H93" s="34"/>
      <c r="I93" s="34"/>
      <c r="J93" s="34"/>
      <c r="K93" s="34"/>
      <c r="L93" s="34"/>
      <c r="M93" s="34"/>
    </row>
    <row r="94" spans="1:13" s="22" customFormat="1" ht="13.5">
      <c r="A94" s="3"/>
      <c r="B94" s="3"/>
      <c r="C94" s="2"/>
      <c r="D94" s="3"/>
      <c r="E94" s="3"/>
      <c r="F94" s="34"/>
      <c r="G94" s="34"/>
      <c r="H94" s="34"/>
      <c r="I94" s="34"/>
      <c r="J94" s="34"/>
      <c r="K94" s="34"/>
      <c r="L94" s="34"/>
      <c r="M94" s="34"/>
    </row>
    <row r="95" spans="1:13" s="22" customFormat="1" ht="13.5">
      <c r="A95" s="3"/>
      <c r="B95" s="3"/>
      <c r="C95" s="2"/>
      <c r="D95" s="3"/>
      <c r="E95" s="3"/>
      <c r="F95" s="34"/>
      <c r="G95" s="34"/>
      <c r="H95" s="34"/>
      <c r="I95" s="34"/>
      <c r="J95" s="34"/>
      <c r="K95" s="34"/>
      <c r="L95" s="34"/>
      <c r="M95" s="34"/>
    </row>
    <row r="96" spans="1:13" s="22" customFormat="1" ht="13.5">
      <c r="A96" s="3"/>
      <c r="B96" s="3"/>
      <c r="C96" s="2"/>
      <c r="D96" s="3"/>
      <c r="E96" s="3"/>
      <c r="F96" s="34"/>
      <c r="G96" s="34"/>
      <c r="H96" s="34"/>
      <c r="I96" s="34"/>
      <c r="J96" s="34"/>
      <c r="K96" s="34"/>
      <c r="L96" s="34"/>
      <c r="M96" s="34"/>
    </row>
    <row r="97" spans="1:13" s="22" customFormat="1" ht="13.5">
      <c r="A97" s="3"/>
      <c r="B97" s="3"/>
      <c r="C97" s="2"/>
      <c r="D97" s="3"/>
      <c r="E97" s="3"/>
      <c r="F97" s="34"/>
      <c r="G97" s="34"/>
      <c r="H97" s="34"/>
      <c r="I97" s="34"/>
      <c r="J97" s="34"/>
      <c r="K97" s="34"/>
      <c r="L97" s="34"/>
      <c r="M97" s="34"/>
    </row>
    <row r="98" spans="1:13" s="22" customFormat="1" ht="13.5">
      <c r="A98" s="3"/>
      <c r="B98" s="3"/>
      <c r="C98" s="2"/>
      <c r="D98" s="3"/>
      <c r="E98" s="3"/>
      <c r="F98" s="34"/>
      <c r="G98" s="34"/>
      <c r="H98" s="34"/>
      <c r="I98" s="34"/>
      <c r="J98" s="34"/>
      <c r="K98" s="34"/>
      <c r="L98" s="34"/>
      <c r="M98" s="34"/>
    </row>
    <row r="99" spans="1:13" s="22" customFormat="1" ht="13.5">
      <c r="A99" s="3"/>
      <c r="B99" s="3"/>
      <c r="C99" s="2"/>
      <c r="D99" s="3"/>
      <c r="E99" s="3"/>
      <c r="F99" s="34"/>
      <c r="G99" s="34"/>
      <c r="H99" s="34"/>
      <c r="I99" s="34"/>
      <c r="J99" s="34"/>
      <c r="K99" s="34"/>
      <c r="L99" s="34"/>
      <c r="M99" s="34"/>
    </row>
    <row r="100" spans="1:13" s="22" customFormat="1" ht="13.5">
      <c r="A100" s="3"/>
      <c r="B100" s="3"/>
      <c r="C100" s="2"/>
      <c r="D100" s="3"/>
      <c r="E100" s="3"/>
      <c r="F100" s="34"/>
      <c r="G100" s="34"/>
      <c r="H100" s="34"/>
      <c r="I100" s="34"/>
      <c r="J100" s="34"/>
      <c r="K100" s="34"/>
      <c r="L100" s="34"/>
      <c r="M100" s="34"/>
    </row>
    <row r="101" spans="1:13" s="22" customFormat="1" ht="13.5">
      <c r="A101" s="3"/>
      <c r="B101" s="3"/>
      <c r="C101" s="2"/>
      <c r="D101" s="3"/>
      <c r="E101" s="3"/>
      <c r="F101" s="34"/>
      <c r="G101" s="34"/>
      <c r="H101" s="34"/>
      <c r="I101" s="34"/>
      <c r="J101" s="34"/>
      <c r="K101" s="34"/>
      <c r="L101" s="34"/>
      <c r="M101" s="34"/>
    </row>
    <row r="102" spans="1:13" s="22" customFormat="1" ht="13.5">
      <c r="A102" s="3"/>
      <c r="B102" s="3"/>
      <c r="C102" s="2"/>
      <c r="D102" s="3"/>
      <c r="E102" s="3"/>
      <c r="F102" s="34"/>
      <c r="G102" s="34"/>
      <c r="H102" s="34"/>
      <c r="I102" s="34"/>
      <c r="J102" s="34"/>
      <c r="K102" s="34"/>
      <c r="L102" s="34"/>
      <c r="M102" s="34"/>
    </row>
    <row r="103" spans="1:13" s="22" customFormat="1" ht="13.5">
      <c r="A103" s="3"/>
      <c r="B103" s="3"/>
      <c r="C103" s="2"/>
      <c r="D103" s="3"/>
      <c r="E103" s="3"/>
      <c r="F103" s="34"/>
      <c r="G103" s="34"/>
      <c r="H103" s="34"/>
      <c r="I103" s="34"/>
      <c r="J103" s="34"/>
      <c r="K103" s="34"/>
      <c r="L103" s="34"/>
      <c r="M103" s="34"/>
    </row>
    <row r="104" spans="1:13" s="22" customFormat="1" ht="13.5">
      <c r="A104" s="3"/>
      <c r="B104" s="3"/>
      <c r="C104" s="2"/>
      <c r="D104" s="3"/>
      <c r="E104" s="3"/>
      <c r="F104" s="34"/>
      <c r="G104" s="34"/>
      <c r="H104" s="34"/>
      <c r="I104" s="34"/>
      <c r="J104" s="34"/>
      <c r="K104" s="34"/>
      <c r="L104" s="34"/>
      <c r="M104" s="34"/>
    </row>
    <row r="105" spans="1:13" s="22" customFormat="1" ht="13.5">
      <c r="A105" s="3"/>
      <c r="B105" s="3"/>
      <c r="C105" s="2"/>
      <c r="D105" s="3"/>
      <c r="E105" s="3"/>
      <c r="F105" s="34"/>
      <c r="G105" s="34"/>
      <c r="H105" s="34"/>
      <c r="I105" s="34"/>
      <c r="J105" s="34"/>
      <c r="K105" s="34"/>
      <c r="L105" s="34"/>
      <c r="M105" s="34"/>
    </row>
    <row r="106" spans="1:13" s="22" customFormat="1" ht="13.5">
      <c r="A106" s="3"/>
      <c r="B106" s="3"/>
      <c r="C106" s="2"/>
      <c r="D106" s="3"/>
      <c r="E106" s="3"/>
      <c r="F106" s="34"/>
      <c r="G106" s="34"/>
      <c r="H106" s="34"/>
      <c r="I106" s="34"/>
      <c r="J106" s="34"/>
      <c r="K106" s="34"/>
      <c r="L106" s="34"/>
      <c r="M106" s="34"/>
    </row>
    <row r="107" spans="1:13" s="22" customFormat="1" ht="13.5">
      <c r="A107" s="3"/>
      <c r="B107" s="3"/>
      <c r="C107" s="2"/>
      <c r="D107" s="3"/>
      <c r="E107" s="3"/>
      <c r="F107" s="34"/>
      <c r="G107" s="34"/>
      <c r="H107" s="34"/>
      <c r="I107" s="34"/>
      <c r="J107" s="34"/>
      <c r="K107" s="34"/>
      <c r="L107" s="34"/>
      <c r="M107" s="34"/>
    </row>
    <row r="108" spans="1:13" s="22" customFormat="1" ht="13.5">
      <c r="A108" s="3"/>
      <c r="B108" s="3"/>
      <c r="C108" s="2"/>
      <c r="D108" s="3"/>
      <c r="E108" s="3"/>
    </row>
    <row r="109" spans="1:13" s="22" customFormat="1" ht="13.5">
      <c r="C109" s="1"/>
    </row>
    <row r="110" spans="1:13" s="22" customFormat="1" ht="13.5">
      <c r="C110" s="1"/>
    </row>
    <row r="111" spans="1:13" s="22" customFormat="1" ht="13.5">
      <c r="C111" s="1"/>
    </row>
    <row r="112" spans="1:13" s="22" customFormat="1" ht="13.5">
      <c r="C112" s="1"/>
    </row>
    <row r="113" spans="3:3" s="22" customFormat="1" ht="13.5">
      <c r="C113" s="1"/>
    </row>
    <row r="114" spans="3:3" s="22" customFormat="1" ht="13.5">
      <c r="C114" s="1"/>
    </row>
    <row r="115" spans="3:3" s="22" customFormat="1" ht="13.5">
      <c r="C115" s="1"/>
    </row>
    <row r="116" spans="3:3" s="22" customFormat="1" ht="13.5">
      <c r="C116" s="1"/>
    </row>
    <row r="117" spans="3:3" s="22" customFormat="1" ht="13.5">
      <c r="C117" s="1"/>
    </row>
    <row r="118" spans="3:3" s="22" customFormat="1" ht="13.5">
      <c r="C118" s="1"/>
    </row>
    <row r="119" spans="3:3" s="22" customFormat="1" ht="13.5">
      <c r="C119" s="1"/>
    </row>
    <row r="120" spans="3:3" s="22" customFormat="1" ht="13.5">
      <c r="C120" s="1"/>
    </row>
    <row r="121" spans="3:3" s="22" customFormat="1" ht="13.5">
      <c r="C121" s="1"/>
    </row>
    <row r="122" spans="3:3" s="22" customFormat="1" ht="13.5">
      <c r="C122" s="1"/>
    </row>
    <row r="123" spans="3:3" s="22" customFormat="1" ht="13.5">
      <c r="C123" s="1"/>
    </row>
    <row r="124" spans="3:3" s="22" customFormat="1" ht="13.5">
      <c r="C124" s="1"/>
    </row>
    <row r="125" spans="3:3" s="22" customFormat="1" ht="13.5">
      <c r="C125" s="1"/>
    </row>
    <row r="126" spans="3:3" s="22" customFormat="1" ht="13.5">
      <c r="C126" s="1"/>
    </row>
    <row r="127" spans="3:3" s="22" customFormat="1" ht="13.5">
      <c r="C127" s="1"/>
    </row>
    <row r="128" spans="3:3" s="22" customFormat="1" ht="13.5">
      <c r="C128" s="1"/>
    </row>
    <row r="129" spans="3:3" s="22" customFormat="1" ht="13.5">
      <c r="C129" s="1"/>
    </row>
    <row r="130" spans="3:3" s="22" customFormat="1" ht="13.5">
      <c r="C130" s="1"/>
    </row>
    <row r="131" spans="3:3" s="22" customFormat="1" ht="13.5">
      <c r="C131" s="1"/>
    </row>
    <row r="132" spans="3:3" s="22" customFormat="1" ht="13.5">
      <c r="C132" s="1"/>
    </row>
    <row r="133" spans="3:3" s="22" customFormat="1" ht="13.5">
      <c r="C133" s="1"/>
    </row>
    <row r="134" spans="3:3" s="22" customFormat="1" ht="13.5">
      <c r="C134" s="1"/>
    </row>
    <row r="135" spans="3:3" s="22" customFormat="1" ht="13.5">
      <c r="C135" s="1"/>
    </row>
    <row r="136" spans="3:3" s="36" customFormat="1" ht="13.5"/>
    <row r="137" spans="3:3" s="36" customFormat="1" ht="13.5"/>
    <row r="138" spans="3:3" s="36" customFormat="1" ht="13.5"/>
    <row r="139" spans="3:3" s="36" customFormat="1" ht="13.5"/>
    <row r="140" spans="3:3" s="36" customFormat="1" ht="13.5"/>
    <row r="141" spans="3:3" s="36" customFormat="1" ht="13.5"/>
    <row r="142" spans="3:3" s="36" customFormat="1" ht="13.5"/>
    <row r="143" spans="3:3" s="36" customFormat="1" ht="13.5"/>
  </sheetData>
  <mergeCells count="24">
    <mergeCell ref="D65:E65"/>
    <mergeCell ref="H65:I65"/>
    <mergeCell ref="A25:A32"/>
    <mergeCell ref="K7:L7"/>
    <mergeCell ref="M7:M8"/>
    <mergeCell ref="A7:A8"/>
    <mergeCell ref="B7:B8"/>
    <mergeCell ref="C7:C8"/>
    <mergeCell ref="D7:D8"/>
    <mergeCell ref="E7:F7"/>
    <mergeCell ref="G7:H7"/>
    <mergeCell ref="I7:J7"/>
    <mergeCell ref="A46:A48"/>
    <mergeCell ref="A1:M1"/>
    <mergeCell ref="A2:M2"/>
    <mergeCell ref="A3:M3"/>
    <mergeCell ref="A4:G4"/>
    <mergeCell ref="C5:K5"/>
    <mergeCell ref="A6:G6"/>
    <mergeCell ref="A55:A58"/>
    <mergeCell ref="A51:A54"/>
    <mergeCell ref="A12:A23"/>
    <mergeCell ref="A33:A37"/>
    <mergeCell ref="A38:A42"/>
  </mergeCells>
  <pageMargins left="0.15748031496062992" right="0.19685039370078741" top="0.39370078740157483" bottom="0.39370078740157483" header="0.31496062992125984" footer="0.31496062992125984"/>
  <pageSetup paperSize="9" scale="79" orientation="landscape" r:id="rId1"/>
  <rowBreaks count="1" manualBreakCount="1">
    <brk id="4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view="pageBreakPreview" zoomScale="60" zoomScaleNormal="100" workbookViewId="0">
      <selection activeCell="J12" sqref="J12"/>
    </sheetView>
  </sheetViews>
  <sheetFormatPr defaultColWidth="9.140625" defaultRowHeight="15"/>
  <cols>
    <col min="1" max="1" width="5" customWidth="1"/>
    <col min="3" max="3" width="44.28515625" customWidth="1"/>
    <col min="4" max="4" width="8" customWidth="1"/>
    <col min="5" max="5" width="11" customWidth="1"/>
    <col min="6" max="6" width="11.7109375" style="237" customWidth="1"/>
    <col min="7" max="7" width="8.140625" customWidth="1"/>
    <col min="8" max="8" width="12.140625" customWidth="1"/>
    <col min="9" max="9" width="8.42578125" customWidth="1"/>
    <col min="10" max="10" width="14" customWidth="1"/>
    <col min="11" max="11" width="8.140625" customWidth="1"/>
    <col min="12" max="12" width="15.7109375" customWidth="1"/>
    <col min="13" max="13" width="18.7109375" customWidth="1"/>
    <col min="15" max="15" width="11.42578125" customWidth="1"/>
  </cols>
  <sheetData>
    <row r="1" spans="1:16" s="36" customFormat="1" ht="26.25" customHeight="1">
      <c r="A1" s="277" t="s">
        <v>163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6"/>
      <c r="O1" s="14"/>
      <c r="P1" s="14"/>
    </row>
    <row r="2" spans="1:16" s="36" customFormat="1" ht="17.25" customHeight="1">
      <c r="A2" s="278" t="s">
        <v>30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6"/>
      <c r="O2" s="7"/>
      <c r="P2" s="7"/>
    </row>
    <row r="3" spans="1:16" s="36" customFormat="1" ht="15.75">
      <c r="A3" s="278" t="s">
        <v>31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6"/>
      <c r="O3" s="7"/>
      <c r="P3" s="7"/>
    </row>
    <row r="4" spans="1:16" s="36" customFormat="1" ht="15.75">
      <c r="A4" s="279" t="s">
        <v>1</v>
      </c>
      <c r="B4" s="279"/>
      <c r="C4" s="279"/>
      <c r="D4" s="279"/>
      <c r="E4" s="279"/>
      <c r="F4" s="279"/>
      <c r="G4" s="279"/>
      <c r="H4" s="8"/>
      <c r="I4" s="8"/>
      <c r="J4" s="8"/>
      <c r="K4" s="8"/>
      <c r="L4" s="8"/>
      <c r="M4" s="8"/>
      <c r="N4" s="6"/>
      <c r="O4" s="7"/>
      <c r="P4" s="7"/>
    </row>
    <row r="5" spans="1:16" s="36" customFormat="1" ht="15.75">
      <c r="A5" s="42"/>
      <c r="B5" s="42"/>
      <c r="C5" s="280" t="s">
        <v>2</v>
      </c>
      <c r="D5" s="280"/>
      <c r="E5" s="280"/>
      <c r="F5" s="280"/>
      <c r="G5" s="280"/>
      <c r="H5" s="280"/>
      <c r="I5" s="280"/>
      <c r="J5" s="280"/>
      <c r="K5" s="280"/>
      <c r="L5" s="9">
        <f>M58</f>
        <v>0</v>
      </c>
      <c r="M5" s="10" t="s">
        <v>16</v>
      </c>
      <c r="N5" s="6"/>
      <c r="O5" s="7"/>
      <c r="P5" s="7"/>
    </row>
    <row r="6" spans="1:16" s="36" customFormat="1" ht="18.75" customHeight="1">
      <c r="A6" s="267" t="s">
        <v>404</v>
      </c>
      <c r="B6" s="267"/>
      <c r="C6" s="267"/>
      <c r="D6" s="267"/>
      <c r="E6" s="267"/>
      <c r="F6" s="267"/>
      <c r="G6" s="267"/>
      <c r="H6" s="8"/>
      <c r="I6" s="8"/>
      <c r="J6" s="8"/>
      <c r="K6" s="8"/>
      <c r="L6" s="8"/>
      <c r="M6" s="8"/>
      <c r="N6" s="6"/>
      <c r="O6" s="7"/>
      <c r="P6" s="7"/>
    </row>
    <row r="7" spans="1:16" s="36" customFormat="1" ht="38.25" customHeight="1">
      <c r="A7" s="285" t="s">
        <v>3</v>
      </c>
      <c r="B7" s="285" t="s">
        <v>4</v>
      </c>
      <c r="C7" s="284" t="s">
        <v>5</v>
      </c>
      <c r="D7" s="284" t="s">
        <v>6</v>
      </c>
      <c r="E7" s="284" t="s">
        <v>7</v>
      </c>
      <c r="F7" s="284"/>
      <c r="G7" s="284" t="s">
        <v>8</v>
      </c>
      <c r="H7" s="284"/>
      <c r="I7" s="284" t="s">
        <v>9</v>
      </c>
      <c r="J7" s="284"/>
      <c r="K7" s="284" t="s">
        <v>10</v>
      </c>
      <c r="L7" s="284"/>
      <c r="M7" s="285" t="s">
        <v>11</v>
      </c>
      <c r="N7" s="6"/>
      <c r="O7" s="7"/>
      <c r="P7" s="7"/>
    </row>
    <row r="8" spans="1:16" s="36" customFormat="1" ht="40.5">
      <c r="A8" s="285"/>
      <c r="B8" s="285"/>
      <c r="C8" s="284"/>
      <c r="D8" s="284"/>
      <c r="E8" s="43" t="s">
        <v>12</v>
      </c>
      <c r="F8" s="230" t="s">
        <v>11</v>
      </c>
      <c r="G8" s="43" t="s">
        <v>13</v>
      </c>
      <c r="H8" s="11" t="s">
        <v>11</v>
      </c>
      <c r="I8" s="12" t="s">
        <v>13</v>
      </c>
      <c r="J8" s="13" t="s">
        <v>11</v>
      </c>
      <c r="K8" s="43" t="s">
        <v>13</v>
      </c>
      <c r="L8" s="43" t="s">
        <v>11</v>
      </c>
      <c r="M8" s="285"/>
      <c r="N8" s="6"/>
      <c r="O8" s="7"/>
      <c r="P8" s="7"/>
    </row>
    <row r="9" spans="1:16" s="36" customFormat="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31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6"/>
      <c r="O9" s="7"/>
      <c r="P9" s="7"/>
    </row>
    <row r="10" spans="1:16" s="36" customFormat="1" ht="59.25" customHeight="1">
      <c r="A10" s="24"/>
      <c r="B10" s="24"/>
      <c r="C10" s="211" t="s">
        <v>524</v>
      </c>
      <c r="D10" s="24"/>
      <c r="E10" s="24"/>
      <c r="F10" s="231"/>
      <c r="G10" s="24"/>
      <c r="H10" s="24"/>
      <c r="I10" s="24"/>
      <c r="J10" s="24"/>
      <c r="K10" s="24"/>
      <c r="L10" s="24"/>
      <c r="M10" s="24"/>
      <c r="N10" s="6"/>
      <c r="O10" s="7"/>
      <c r="P10" s="7"/>
    </row>
    <row r="11" spans="1:16" s="22" customFormat="1" ht="76.5" customHeight="1">
      <c r="A11" s="25" t="s">
        <v>14</v>
      </c>
      <c r="B11" s="25"/>
      <c r="C11" s="38" t="s">
        <v>532</v>
      </c>
      <c r="D11" s="20"/>
      <c r="E11" s="20"/>
      <c r="F11" s="232"/>
      <c r="G11" s="39"/>
      <c r="H11" s="37"/>
      <c r="I11" s="27"/>
      <c r="J11" s="27"/>
      <c r="K11" s="27"/>
      <c r="L11" s="26"/>
      <c r="M11" s="26"/>
    </row>
    <row r="12" spans="1:16" s="22" customFormat="1" ht="60" customHeight="1">
      <c r="A12" s="274" t="s">
        <v>136</v>
      </c>
      <c r="B12" s="25" t="s">
        <v>165</v>
      </c>
      <c r="C12" s="105" t="s">
        <v>408</v>
      </c>
      <c r="D12" s="33" t="s">
        <v>80</v>
      </c>
      <c r="E12" s="21"/>
      <c r="F12" s="117">
        <v>41491</v>
      </c>
      <c r="G12" s="21"/>
      <c r="H12" s="35"/>
      <c r="I12" s="120"/>
      <c r="J12" s="35"/>
      <c r="K12" s="20"/>
      <c r="L12" s="40"/>
      <c r="M12" s="121"/>
    </row>
    <row r="13" spans="1:16" s="22" customFormat="1" ht="16.5" customHeight="1">
      <c r="A13" s="276"/>
      <c r="B13" s="25" t="s">
        <v>166</v>
      </c>
      <c r="C13" s="163" t="s">
        <v>523</v>
      </c>
      <c r="D13" s="159" t="s">
        <v>20</v>
      </c>
      <c r="E13" s="33">
        <f>16.33/100*1.05</f>
        <v>0.17146499999999998</v>
      </c>
      <c r="F13" s="97">
        <f>E13*F12</f>
        <v>7114.2543149999992</v>
      </c>
      <c r="G13" s="26"/>
      <c r="H13" s="26"/>
      <c r="I13" s="159"/>
      <c r="J13" s="159"/>
      <c r="K13" s="110"/>
      <c r="L13" s="35"/>
      <c r="M13" s="26"/>
    </row>
    <row r="14" spans="1:16" s="22" customFormat="1" ht="51" customHeight="1">
      <c r="A14" s="274" t="s">
        <v>137</v>
      </c>
      <c r="B14" s="25" t="s">
        <v>167</v>
      </c>
      <c r="C14" s="105" t="s">
        <v>168</v>
      </c>
      <c r="D14" s="33" t="s">
        <v>80</v>
      </c>
      <c r="E14" s="21"/>
      <c r="F14" s="117">
        <f>F12</f>
        <v>41491</v>
      </c>
      <c r="G14" s="21"/>
      <c r="H14" s="40"/>
      <c r="I14" s="120"/>
      <c r="J14" s="40"/>
      <c r="K14" s="20"/>
      <c r="L14" s="40"/>
      <c r="M14" s="121"/>
    </row>
    <row r="15" spans="1:16" s="22" customFormat="1" ht="13.5" customHeight="1">
      <c r="A15" s="275"/>
      <c r="B15" s="25"/>
      <c r="C15" s="90" t="s">
        <v>526</v>
      </c>
      <c r="D15" s="41" t="s">
        <v>15</v>
      </c>
      <c r="E15" s="20">
        <f>0.0188*1.05</f>
        <v>1.9740000000000001E-2</v>
      </c>
      <c r="F15" s="114">
        <f>E15*F14</f>
        <v>819.03233999999998</v>
      </c>
      <c r="G15" s="26"/>
      <c r="H15" s="27"/>
      <c r="I15" s="26"/>
      <c r="J15" s="26"/>
      <c r="K15" s="27"/>
      <c r="L15" s="27"/>
      <c r="M15" s="26"/>
    </row>
    <row r="16" spans="1:16" s="22" customFormat="1" ht="13.5" customHeight="1">
      <c r="A16" s="275"/>
      <c r="B16" s="25" t="s">
        <v>166</v>
      </c>
      <c r="C16" s="105" t="s">
        <v>527</v>
      </c>
      <c r="D16" s="20" t="s">
        <v>85</v>
      </c>
      <c r="E16" s="21">
        <f>0.042*1.15</f>
        <v>4.8300000000000003E-2</v>
      </c>
      <c r="F16" s="97">
        <f>E16*F14</f>
        <v>2004.0153</v>
      </c>
      <c r="G16" s="21"/>
      <c r="H16" s="35"/>
      <c r="I16" s="20"/>
      <c r="J16" s="35"/>
      <c r="K16" s="110"/>
      <c r="L16" s="35"/>
      <c r="M16" s="110"/>
    </row>
    <row r="17" spans="1:16" s="22" customFormat="1" ht="13.5" customHeight="1">
      <c r="A17" s="275"/>
      <c r="B17" s="25"/>
      <c r="C17" s="105" t="s">
        <v>28</v>
      </c>
      <c r="D17" s="20" t="s">
        <v>16</v>
      </c>
      <c r="E17" s="21">
        <v>2.7399999999999998E-3</v>
      </c>
      <c r="F17" s="97">
        <f>E17*F14</f>
        <v>113.68534</v>
      </c>
      <c r="G17" s="21"/>
      <c r="H17" s="35"/>
      <c r="I17" s="20"/>
      <c r="J17" s="35"/>
      <c r="K17" s="120"/>
      <c r="L17" s="35"/>
      <c r="M17" s="110"/>
    </row>
    <row r="18" spans="1:16" s="22" customFormat="1" ht="13.5" customHeight="1">
      <c r="A18" s="275"/>
      <c r="B18" s="25" t="s">
        <v>225</v>
      </c>
      <c r="C18" s="105" t="s">
        <v>514</v>
      </c>
      <c r="D18" s="33" t="s">
        <v>80</v>
      </c>
      <c r="E18" s="106">
        <f>0.09/1000</f>
        <v>8.9999999999999992E-5</v>
      </c>
      <c r="F18" s="153">
        <f>E18*F14</f>
        <v>3.7341899999999995</v>
      </c>
      <c r="G18" s="88"/>
      <c r="H18" s="35"/>
      <c r="I18" s="35"/>
      <c r="J18" s="35"/>
      <c r="K18" s="120"/>
      <c r="L18" s="35"/>
      <c r="M18" s="26"/>
    </row>
    <row r="19" spans="1:16" s="22" customFormat="1" ht="16.5" customHeight="1">
      <c r="A19" s="275"/>
      <c r="B19" s="25" t="s">
        <v>169</v>
      </c>
      <c r="C19" s="105" t="s">
        <v>87</v>
      </c>
      <c r="D19" s="33" t="s">
        <v>80</v>
      </c>
      <c r="E19" s="21"/>
      <c r="F19" s="117">
        <f>F14</f>
        <v>41491</v>
      </c>
      <c r="G19" s="227"/>
      <c r="H19" s="40"/>
      <c r="I19" s="120"/>
      <c r="J19" s="35"/>
      <c r="K19" s="20"/>
      <c r="L19" s="40"/>
      <c r="M19" s="121"/>
    </row>
    <row r="20" spans="1:16" s="22" customFormat="1" ht="13.5" customHeight="1">
      <c r="A20" s="276"/>
      <c r="B20" s="25" t="s">
        <v>170</v>
      </c>
      <c r="C20" s="105" t="s">
        <v>528</v>
      </c>
      <c r="D20" s="20" t="s">
        <v>85</v>
      </c>
      <c r="E20" s="21">
        <f>0.0104*1.15</f>
        <v>1.1959999999999998E-2</v>
      </c>
      <c r="F20" s="97">
        <f>E20*F19</f>
        <v>496.23235999999991</v>
      </c>
      <c r="G20" s="227"/>
      <c r="H20" s="35"/>
      <c r="I20" s="20"/>
      <c r="J20" s="35"/>
      <c r="K20" s="27"/>
      <c r="L20" s="35"/>
      <c r="M20" s="110"/>
    </row>
    <row r="21" spans="1:16" s="22" customFormat="1" ht="13.5" customHeight="1">
      <c r="A21" s="274"/>
      <c r="B21" s="25"/>
      <c r="C21" s="105" t="s">
        <v>28</v>
      </c>
      <c r="D21" s="20" t="s">
        <v>16</v>
      </c>
      <c r="E21" s="21">
        <f>0.24/1000</f>
        <v>2.3999999999999998E-4</v>
      </c>
      <c r="F21" s="97">
        <f>E21*F19</f>
        <v>9.9578399999999991</v>
      </c>
      <c r="G21" s="227"/>
      <c r="H21" s="35"/>
      <c r="I21" s="20"/>
      <c r="J21" s="35"/>
      <c r="K21" s="18"/>
      <c r="L21" s="35"/>
      <c r="M21" s="110"/>
    </row>
    <row r="22" spans="1:16" s="22" customFormat="1" ht="13.5" customHeight="1">
      <c r="A22" s="275"/>
      <c r="B22" s="25" t="s">
        <v>225</v>
      </c>
      <c r="C22" s="105" t="s">
        <v>514</v>
      </c>
      <c r="D22" s="33" t="s">
        <v>80</v>
      </c>
      <c r="E22" s="106">
        <f>0.08/1000</f>
        <v>8.0000000000000007E-5</v>
      </c>
      <c r="F22" s="153">
        <f>E22*F19</f>
        <v>3.3192800000000005</v>
      </c>
      <c r="G22" s="88"/>
      <c r="H22" s="35"/>
      <c r="I22" s="35"/>
      <c r="J22" s="35"/>
      <c r="K22" s="120"/>
      <c r="L22" s="35"/>
      <c r="M22" s="26"/>
    </row>
    <row r="23" spans="1:16" s="22" customFormat="1" ht="14.25" customHeight="1">
      <c r="A23" s="276"/>
      <c r="B23" s="25" t="s">
        <v>82</v>
      </c>
      <c r="C23" s="105" t="s">
        <v>89</v>
      </c>
      <c r="D23" s="20" t="s">
        <v>17</v>
      </c>
      <c r="E23" s="21"/>
      <c r="F23" s="229">
        <f>F14*2.8</f>
        <v>116174.79999999999</v>
      </c>
      <c r="G23" s="21"/>
      <c r="H23" s="35"/>
      <c r="I23" s="20"/>
      <c r="J23" s="35"/>
      <c r="K23" s="110"/>
      <c r="L23" s="40"/>
      <c r="M23" s="121"/>
    </row>
    <row r="24" spans="1:16" s="22" customFormat="1" ht="56.25" customHeight="1">
      <c r="A24" s="25" t="s">
        <v>75</v>
      </c>
      <c r="B24" s="25"/>
      <c r="C24" s="105" t="s">
        <v>533</v>
      </c>
      <c r="D24" s="20"/>
      <c r="E24" s="33"/>
      <c r="F24" s="117"/>
      <c r="G24" s="21"/>
      <c r="H24" s="35"/>
      <c r="I24" s="20"/>
      <c r="J24" s="35"/>
      <c r="K24" s="20"/>
      <c r="L24" s="40"/>
      <c r="M24" s="121"/>
    </row>
    <row r="25" spans="1:16" s="22" customFormat="1" ht="52.5" customHeight="1">
      <c r="A25" s="274" t="s">
        <v>411</v>
      </c>
      <c r="B25" s="25" t="s">
        <v>171</v>
      </c>
      <c r="C25" s="38" t="s">
        <v>612</v>
      </c>
      <c r="D25" s="20" t="s">
        <v>80</v>
      </c>
      <c r="E25" s="33"/>
      <c r="F25" s="117">
        <v>2190</v>
      </c>
      <c r="G25" s="39"/>
      <c r="H25" s="37"/>
      <c r="I25" s="27"/>
      <c r="J25" s="16"/>
      <c r="K25" s="23"/>
      <c r="L25" s="16"/>
      <c r="M25" s="16"/>
      <c r="P25" s="22">
        <f>87350*0.95</f>
        <v>82982.5</v>
      </c>
    </row>
    <row r="26" spans="1:16" s="22" customFormat="1" ht="13.5" customHeight="1">
      <c r="A26" s="275"/>
      <c r="B26" s="25"/>
      <c r="C26" s="90" t="s">
        <v>529</v>
      </c>
      <c r="D26" s="41" t="s">
        <v>15</v>
      </c>
      <c r="E26" s="119">
        <f>8.6*1.15</f>
        <v>9.8899999999999988</v>
      </c>
      <c r="F26" s="114">
        <f>E26*F25</f>
        <v>21659.1</v>
      </c>
      <c r="G26" s="26"/>
      <c r="H26" s="27"/>
      <c r="I26" s="26"/>
      <c r="J26" s="26"/>
      <c r="K26" s="27"/>
      <c r="L26" s="27"/>
      <c r="M26" s="26"/>
    </row>
    <row r="27" spans="1:16" s="22" customFormat="1" ht="13.5" customHeight="1">
      <c r="A27" s="276"/>
      <c r="B27" s="25" t="s">
        <v>172</v>
      </c>
      <c r="C27" s="38" t="s">
        <v>530</v>
      </c>
      <c r="D27" s="20" t="s">
        <v>85</v>
      </c>
      <c r="E27" s="119">
        <f>6.7*1.05</f>
        <v>7.0350000000000001</v>
      </c>
      <c r="F27" s="97">
        <f>E27*F25</f>
        <v>15406.65</v>
      </c>
      <c r="G27" s="21"/>
      <c r="H27" s="35"/>
      <c r="I27" s="20"/>
      <c r="J27" s="35"/>
      <c r="K27" s="110"/>
      <c r="L27" s="35"/>
      <c r="M27" s="110"/>
    </row>
    <row r="28" spans="1:16" s="22" customFormat="1" ht="55.5" customHeight="1">
      <c r="A28" s="274" t="s">
        <v>412</v>
      </c>
      <c r="B28" s="25" t="s">
        <v>167</v>
      </c>
      <c r="C28" s="105" t="s">
        <v>611</v>
      </c>
      <c r="D28" s="33" t="s">
        <v>80</v>
      </c>
      <c r="E28" s="21"/>
      <c r="F28" s="117">
        <f>F25</f>
        <v>2190</v>
      </c>
      <c r="G28" s="21"/>
      <c r="H28" s="40"/>
      <c r="I28" s="120"/>
      <c r="J28" s="40"/>
      <c r="K28" s="20"/>
      <c r="L28" s="40"/>
      <c r="M28" s="121"/>
    </row>
    <row r="29" spans="1:16" s="22" customFormat="1" ht="13.5" customHeight="1">
      <c r="A29" s="275"/>
      <c r="B29" s="25"/>
      <c r="C29" s="90" t="s">
        <v>526</v>
      </c>
      <c r="D29" s="41" t="s">
        <v>15</v>
      </c>
      <c r="E29" s="20">
        <f>0.0188*1.05</f>
        <v>1.9740000000000001E-2</v>
      </c>
      <c r="F29" s="114">
        <f>E29*F28</f>
        <v>43.230600000000003</v>
      </c>
      <c r="G29" s="26"/>
      <c r="H29" s="27"/>
      <c r="I29" s="26"/>
      <c r="J29" s="26"/>
      <c r="K29" s="27"/>
      <c r="L29" s="27"/>
      <c r="M29" s="26"/>
    </row>
    <row r="30" spans="1:16" s="22" customFormat="1" ht="13.5" customHeight="1">
      <c r="A30" s="275"/>
      <c r="B30" s="25" t="s">
        <v>166</v>
      </c>
      <c r="C30" s="105" t="s">
        <v>527</v>
      </c>
      <c r="D30" s="20" t="s">
        <v>85</v>
      </c>
      <c r="E30" s="21">
        <f>0.042*1.15</f>
        <v>4.8300000000000003E-2</v>
      </c>
      <c r="F30" s="97">
        <f>E30*F28</f>
        <v>105.777</v>
      </c>
      <c r="G30" s="21"/>
      <c r="H30" s="35"/>
      <c r="I30" s="20"/>
      <c r="J30" s="35"/>
      <c r="K30" s="110"/>
      <c r="L30" s="35"/>
      <c r="M30" s="110"/>
    </row>
    <row r="31" spans="1:16" s="22" customFormat="1" ht="13.5" customHeight="1">
      <c r="A31" s="275"/>
      <c r="B31" s="25"/>
      <c r="C31" s="105" t="s">
        <v>28</v>
      </c>
      <c r="D31" s="20" t="s">
        <v>16</v>
      </c>
      <c r="E31" s="21">
        <v>2.7399999999999998E-3</v>
      </c>
      <c r="F31" s="97">
        <f>E31*F28</f>
        <v>6.0005999999999995</v>
      </c>
      <c r="G31" s="21"/>
      <c r="H31" s="35"/>
      <c r="I31" s="20"/>
      <c r="J31" s="35"/>
      <c r="K31" s="120"/>
      <c r="L31" s="35"/>
      <c r="M31" s="110"/>
    </row>
    <row r="32" spans="1:16" s="22" customFormat="1" ht="13.5" customHeight="1">
      <c r="A32" s="275"/>
      <c r="B32" s="25" t="s">
        <v>225</v>
      </c>
      <c r="C32" s="105" t="s">
        <v>514</v>
      </c>
      <c r="D32" s="33" t="s">
        <v>80</v>
      </c>
      <c r="E32" s="106">
        <f>0.09/1000</f>
        <v>8.9999999999999992E-5</v>
      </c>
      <c r="F32" s="153">
        <f>E32*F28</f>
        <v>0.19709999999999997</v>
      </c>
      <c r="G32" s="88"/>
      <c r="H32" s="35"/>
      <c r="I32" s="20"/>
      <c r="J32" s="35"/>
      <c r="K32" s="120"/>
      <c r="L32" s="35"/>
      <c r="M32" s="110"/>
    </row>
    <row r="33" spans="1:13" s="22" customFormat="1" ht="13.5" customHeight="1">
      <c r="A33" s="275"/>
      <c r="B33" s="25" t="s">
        <v>169</v>
      </c>
      <c r="C33" s="105" t="s">
        <v>87</v>
      </c>
      <c r="D33" s="33" t="s">
        <v>80</v>
      </c>
      <c r="E33" s="21"/>
      <c r="F33" s="117">
        <f>F28</f>
        <v>2190</v>
      </c>
      <c r="G33" s="227"/>
      <c r="H33" s="40"/>
      <c r="I33" s="120"/>
      <c r="J33" s="35"/>
      <c r="K33" s="20"/>
      <c r="L33" s="40"/>
      <c r="M33" s="121"/>
    </row>
    <row r="34" spans="1:13" s="22" customFormat="1" ht="13.5" customHeight="1">
      <c r="A34" s="275"/>
      <c r="B34" s="25" t="s">
        <v>170</v>
      </c>
      <c r="C34" s="105" t="s">
        <v>528</v>
      </c>
      <c r="D34" s="20" t="s">
        <v>85</v>
      </c>
      <c r="E34" s="21">
        <f>0.0104*1.15</f>
        <v>1.1959999999999998E-2</v>
      </c>
      <c r="F34" s="97">
        <f>E34*F33</f>
        <v>26.192399999999996</v>
      </c>
      <c r="G34" s="227"/>
      <c r="H34" s="35"/>
      <c r="I34" s="20"/>
      <c r="J34" s="35"/>
      <c r="K34" s="27"/>
      <c r="L34" s="35"/>
      <c r="M34" s="110"/>
    </row>
    <row r="35" spans="1:13" s="22" customFormat="1" ht="13.5" customHeight="1">
      <c r="A35" s="275"/>
      <c r="B35" s="25"/>
      <c r="C35" s="105" t="s">
        <v>28</v>
      </c>
      <c r="D35" s="20" t="s">
        <v>16</v>
      </c>
      <c r="E35" s="21">
        <f>0.24/1000</f>
        <v>2.3999999999999998E-4</v>
      </c>
      <c r="F35" s="97">
        <f>E35*F33</f>
        <v>0.52559999999999996</v>
      </c>
      <c r="G35" s="227"/>
      <c r="H35" s="35"/>
      <c r="I35" s="20"/>
      <c r="J35" s="35"/>
      <c r="K35" s="18"/>
      <c r="L35" s="35"/>
      <c r="M35" s="110"/>
    </row>
    <row r="36" spans="1:13" s="22" customFormat="1" ht="13.5" customHeight="1">
      <c r="A36" s="275"/>
      <c r="B36" s="25" t="s">
        <v>225</v>
      </c>
      <c r="C36" s="105" t="s">
        <v>514</v>
      </c>
      <c r="D36" s="33" t="s">
        <v>80</v>
      </c>
      <c r="E36" s="106">
        <f>0.08/1000</f>
        <v>8.0000000000000007E-5</v>
      </c>
      <c r="F36" s="153">
        <f>E36*F33</f>
        <v>0.17520000000000002</v>
      </c>
      <c r="G36" s="88"/>
      <c r="H36" s="35"/>
      <c r="I36" s="20"/>
      <c r="J36" s="35"/>
      <c r="K36" s="18"/>
      <c r="L36" s="35"/>
      <c r="M36" s="110"/>
    </row>
    <row r="37" spans="1:13" s="22" customFormat="1" ht="13.5" customHeight="1">
      <c r="A37" s="276"/>
      <c r="B37" s="25" t="s">
        <v>82</v>
      </c>
      <c r="C37" s="105" t="s">
        <v>89</v>
      </c>
      <c r="D37" s="20" t="s">
        <v>17</v>
      </c>
      <c r="E37" s="21"/>
      <c r="F37" s="233">
        <f>F28*2.8</f>
        <v>6132</v>
      </c>
      <c r="G37" s="21"/>
      <c r="H37" s="35"/>
      <c r="I37" s="20"/>
      <c r="J37" s="35"/>
      <c r="K37" s="110"/>
      <c r="L37" s="40"/>
      <c r="M37" s="121"/>
    </row>
    <row r="38" spans="1:13" s="22" customFormat="1" ht="45" customHeight="1">
      <c r="A38" s="25" t="s">
        <v>18</v>
      </c>
      <c r="B38" s="25"/>
      <c r="C38" s="38" t="s">
        <v>531</v>
      </c>
      <c r="D38" s="20"/>
      <c r="E38" s="20"/>
      <c r="F38" s="232"/>
      <c r="G38" s="39"/>
      <c r="H38" s="37"/>
      <c r="I38" s="27"/>
      <c r="J38" s="27"/>
      <c r="K38" s="27"/>
      <c r="L38" s="26"/>
      <c r="M38" s="26"/>
    </row>
    <row r="39" spans="1:13" s="22" customFormat="1" ht="44.25" customHeight="1">
      <c r="A39" s="274" t="s">
        <v>152</v>
      </c>
      <c r="B39" s="25" t="s">
        <v>98</v>
      </c>
      <c r="C39" s="105" t="s">
        <v>99</v>
      </c>
      <c r="D39" s="33" t="s">
        <v>80</v>
      </c>
      <c r="E39" s="21"/>
      <c r="F39" s="117">
        <v>178</v>
      </c>
      <c r="G39" s="21"/>
      <c r="H39" s="40"/>
      <c r="I39" s="120"/>
      <c r="J39" s="40"/>
      <c r="K39" s="20"/>
      <c r="L39" s="40"/>
      <c r="M39" s="121"/>
    </row>
    <row r="40" spans="1:13" s="22" customFormat="1" ht="13.5" customHeight="1">
      <c r="A40" s="275"/>
      <c r="B40" s="25"/>
      <c r="C40" s="90" t="s">
        <v>19</v>
      </c>
      <c r="D40" s="41" t="s">
        <v>15</v>
      </c>
      <c r="E40" s="106">
        <f>1.05*0.00725</f>
        <v>7.6125000000000003E-3</v>
      </c>
      <c r="F40" s="97">
        <f>E40*F39</f>
        <v>1.3550250000000001</v>
      </c>
      <c r="G40" s="99"/>
      <c r="H40" s="100"/>
      <c r="I40" s="35"/>
      <c r="J40" s="35"/>
      <c r="K40" s="35"/>
      <c r="L40" s="99"/>
      <c r="M40" s="35"/>
    </row>
    <row r="41" spans="1:13" s="22" customFormat="1" ht="13.5" customHeight="1">
      <c r="A41" s="275"/>
      <c r="B41" s="25" t="s">
        <v>100</v>
      </c>
      <c r="C41" s="105" t="s">
        <v>86</v>
      </c>
      <c r="D41" s="20" t="s">
        <v>85</v>
      </c>
      <c r="E41" s="106">
        <f>1.15*0.0162</f>
        <v>1.8629999999999997E-2</v>
      </c>
      <c r="F41" s="153">
        <f>E41*F39</f>
        <v>3.3161399999999994</v>
      </c>
      <c r="G41" s="99"/>
      <c r="H41" s="100"/>
      <c r="I41" s="35"/>
      <c r="J41" s="35"/>
      <c r="K41" s="27"/>
      <c r="L41" s="35"/>
      <c r="M41" s="26"/>
    </row>
    <row r="42" spans="1:13" s="22" customFormat="1" ht="13.5" customHeight="1">
      <c r="A42" s="275"/>
      <c r="B42" s="25"/>
      <c r="C42" s="105" t="s">
        <v>28</v>
      </c>
      <c r="D42" s="20" t="s">
        <v>16</v>
      </c>
      <c r="E42" s="106">
        <f>1.35*0.001</f>
        <v>1.3500000000000001E-3</v>
      </c>
      <c r="F42" s="97">
        <f>E42*F39</f>
        <v>0.24030000000000001</v>
      </c>
      <c r="G42" s="99"/>
      <c r="H42" s="100"/>
      <c r="I42" s="35"/>
      <c r="J42" s="35"/>
      <c r="K42" s="18"/>
      <c r="L42" s="35"/>
      <c r="M42" s="26"/>
    </row>
    <row r="43" spans="1:13" s="22" customFormat="1" ht="13.5" customHeight="1">
      <c r="A43" s="275"/>
      <c r="B43" s="25" t="s">
        <v>225</v>
      </c>
      <c r="C43" s="105" t="s">
        <v>514</v>
      </c>
      <c r="D43" s="33" t="s">
        <v>80</v>
      </c>
      <c r="E43" s="106">
        <f>0.04/1000</f>
        <v>4.0000000000000003E-5</v>
      </c>
      <c r="F43" s="232">
        <f>E43*F39</f>
        <v>7.1200000000000005E-3</v>
      </c>
      <c r="G43" s="88"/>
      <c r="H43" s="35"/>
      <c r="I43" s="35"/>
      <c r="J43" s="35"/>
      <c r="K43" s="120"/>
      <c r="L43" s="35"/>
      <c r="M43" s="26"/>
    </row>
    <row r="44" spans="1:13" s="22" customFormat="1" ht="13.5" customHeight="1">
      <c r="A44" s="275"/>
      <c r="B44" s="25" t="s">
        <v>101</v>
      </c>
      <c r="C44" s="105" t="s">
        <v>87</v>
      </c>
      <c r="D44" s="33" t="s">
        <v>80</v>
      </c>
      <c r="E44" s="106"/>
      <c r="F44" s="229">
        <f>F39</f>
        <v>178</v>
      </c>
      <c r="G44" s="122"/>
      <c r="H44" s="220"/>
      <c r="I44" s="101"/>
      <c r="J44" s="16"/>
      <c r="K44" s="16"/>
      <c r="L44" s="16"/>
      <c r="M44" s="16"/>
    </row>
    <row r="45" spans="1:13" s="22" customFormat="1" ht="13.5" customHeight="1">
      <c r="A45" s="275"/>
      <c r="B45" s="25"/>
      <c r="C45" s="90" t="s">
        <v>19</v>
      </c>
      <c r="D45" s="41" t="s">
        <v>15</v>
      </c>
      <c r="E45" s="106">
        <f>1.05*0.00323</f>
        <v>3.3915E-3</v>
      </c>
      <c r="F45" s="152">
        <f>E45*F44</f>
        <v>0.60368699999999997</v>
      </c>
      <c r="G45" s="18"/>
      <c r="H45" s="27"/>
      <c r="I45" s="26"/>
      <c r="J45" s="26"/>
      <c r="K45" s="26"/>
      <c r="L45" s="27"/>
      <c r="M45" s="26"/>
    </row>
    <row r="46" spans="1:13" s="22" customFormat="1" ht="13.5" customHeight="1">
      <c r="A46" s="275"/>
      <c r="B46" s="25" t="s">
        <v>102</v>
      </c>
      <c r="C46" s="105" t="s">
        <v>88</v>
      </c>
      <c r="D46" s="20" t="s">
        <v>85</v>
      </c>
      <c r="E46" s="106">
        <f>1.15*0.00362</f>
        <v>4.163E-3</v>
      </c>
      <c r="F46" s="152">
        <f>E46*F44</f>
        <v>0.74101400000000006</v>
      </c>
      <c r="G46" s="18"/>
      <c r="H46" s="27"/>
      <c r="I46" s="27"/>
      <c r="J46" s="27"/>
      <c r="K46" s="27"/>
      <c r="L46" s="26"/>
      <c r="M46" s="26"/>
    </row>
    <row r="47" spans="1:13" s="22" customFormat="1" ht="13.5" customHeight="1">
      <c r="A47" s="276"/>
      <c r="B47" s="25"/>
      <c r="C47" s="105" t="s">
        <v>28</v>
      </c>
      <c r="D47" s="20" t="s">
        <v>16</v>
      </c>
      <c r="E47" s="106">
        <v>1.8000000000000001E-4</v>
      </c>
      <c r="F47" s="152">
        <f>E47*F44</f>
        <v>3.2039999999999999E-2</v>
      </c>
      <c r="G47" s="122"/>
      <c r="H47" s="123"/>
      <c r="I47" s="122"/>
      <c r="J47" s="27"/>
      <c r="K47" s="18"/>
      <c r="L47" s="26"/>
      <c r="M47" s="26"/>
    </row>
    <row r="48" spans="1:13" s="22" customFormat="1" ht="13.5" customHeight="1">
      <c r="A48" s="274"/>
      <c r="B48" s="25" t="s">
        <v>225</v>
      </c>
      <c r="C48" s="105" t="s">
        <v>514</v>
      </c>
      <c r="D48" s="33" t="s">
        <v>80</v>
      </c>
      <c r="E48" s="106">
        <f>0.02/1000</f>
        <v>2.0000000000000002E-5</v>
      </c>
      <c r="F48" s="232">
        <f>E48*F44</f>
        <v>3.5600000000000002E-3</v>
      </c>
      <c r="G48" s="88"/>
      <c r="H48" s="35"/>
      <c r="I48" s="35"/>
      <c r="J48" s="35"/>
      <c r="K48" s="120"/>
      <c r="L48" s="35"/>
      <c r="M48" s="26"/>
    </row>
    <row r="49" spans="1:16" s="22" customFormat="1" ht="13.5" customHeight="1">
      <c r="A49" s="276"/>
      <c r="B49" s="25" t="s">
        <v>82</v>
      </c>
      <c r="C49" s="105" t="s">
        <v>164</v>
      </c>
      <c r="D49" s="20" t="s">
        <v>17</v>
      </c>
      <c r="E49" s="106"/>
      <c r="F49" s="233">
        <f>F39*1.95</f>
        <v>347.09999999999997</v>
      </c>
      <c r="G49" s="123"/>
      <c r="H49" s="123"/>
      <c r="I49" s="122"/>
      <c r="J49" s="123"/>
      <c r="K49" s="110"/>
      <c r="L49" s="16"/>
      <c r="M49" s="16"/>
    </row>
    <row r="50" spans="1:16" s="22" customFormat="1" ht="32.25" customHeight="1">
      <c r="A50" s="274" t="s">
        <v>153</v>
      </c>
      <c r="B50" s="25" t="s">
        <v>117</v>
      </c>
      <c r="C50" s="38" t="s">
        <v>173</v>
      </c>
      <c r="D50" s="33" t="s">
        <v>80</v>
      </c>
      <c r="E50" s="20"/>
      <c r="F50" s="117">
        <f>F39</f>
        <v>178</v>
      </c>
      <c r="G50" s="39"/>
      <c r="H50" s="37"/>
      <c r="I50" s="27"/>
      <c r="J50" s="27"/>
      <c r="K50" s="27"/>
      <c r="L50" s="16"/>
      <c r="M50" s="16"/>
    </row>
    <row r="51" spans="1:16" s="22" customFormat="1" ht="13.5" customHeight="1">
      <c r="A51" s="275"/>
      <c r="B51" s="25" t="s">
        <v>119</v>
      </c>
      <c r="C51" s="38" t="s">
        <v>174</v>
      </c>
      <c r="D51" s="20" t="s">
        <v>20</v>
      </c>
      <c r="E51" s="20">
        <f>1.85*6*0.001</f>
        <v>1.1100000000000002E-2</v>
      </c>
      <c r="F51" s="153">
        <f>E51*F50</f>
        <v>1.9758000000000004</v>
      </c>
      <c r="G51" s="39"/>
      <c r="H51" s="37"/>
      <c r="I51" s="27"/>
      <c r="J51" s="27"/>
      <c r="K51" s="27"/>
      <c r="L51" s="26"/>
      <c r="M51" s="26"/>
    </row>
    <row r="52" spans="1:16" s="22" customFormat="1" ht="13.5" customHeight="1">
      <c r="A52" s="275"/>
      <c r="B52" s="25" t="s">
        <v>102</v>
      </c>
      <c r="C52" s="38" t="s">
        <v>393</v>
      </c>
      <c r="D52" s="20" t="s">
        <v>20</v>
      </c>
      <c r="E52" s="20">
        <f>10.5*0.001*1.05</f>
        <v>1.1025000000000002E-2</v>
      </c>
      <c r="F52" s="153">
        <f>E52*F50</f>
        <v>1.9624500000000002</v>
      </c>
      <c r="G52" s="39"/>
      <c r="H52" s="37"/>
      <c r="I52" s="27"/>
      <c r="J52" s="27"/>
      <c r="K52" s="27"/>
      <c r="L52" s="26"/>
      <c r="M52" s="26"/>
    </row>
    <row r="53" spans="1:16" s="22" customFormat="1" ht="13.5" customHeight="1">
      <c r="A53" s="276"/>
      <c r="B53" s="25" t="s">
        <v>122</v>
      </c>
      <c r="C53" s="38" t="s">
        <v>556</v>
      </c>
      <c r="D53" s="20" t="s">
        <v>20</v>
      </c>
      <c r="E53" s="20">
        <f>1.85*6*0.001*1.05</f>
        <v>1.1655000000000002E-2</v>
      </c>
      <c r="F53" s="153">
        <f>E53*F50</f>
        <v>2.0745900000000006</v>
      </c>
      <c r="G53" s="39"/>
      <c r="H53" s="37"/>
      <c r="I53" s="27"/>
      <c r="J53" s="27"/>
      <c r="K53" s="26"/>
      <c r="L53" s="26"/>
      <c r="M53" s="26"/>
    </row>
    <row r="54" spans="1:16" s="22" customFormat="1">
      <c r="A54" s="25"/>
      <c r="B54" s="31"/>
      <c r="C54" s="32" t="s">
        <v>11</v>
      </c>
      <c r="D54" s="33" t="s">
        <v>16</v>
      </c>
      <c r="E54" s="26"/>
      <c r="F54" s="114"/>
      <c r="G54" s="28"/>
      <c r="H54" s="26"/>
      <c r="I54" s="27"/>
      <c r="J54" s="26"/>
      <c r="K54" s="27"/>
      <c r="L54" s="26"/>
      <c r="M54" s="29"/>
      <c r="N54"/>
      <c r="O54"/>
    </row>
    <row r="55" spans="1:16" s="22" customFormat="1">
      <c r="A55" s="25"/>
      <c r="B55" s="31"/>
      <c r="C55" s="32" t="s">
        <v>25</v>
      </c>
      <c r="D55" s="33" t="s">
        <v>26</v>
      </c>
      <c r="E55" s="18">
        <v>10</v>
      </c>
      <c r="F55" s="114"/>
      <c r="G55" s="28"/>
      <c r="H55" s="26"/>
      <c r="I55" s="27"/>
      <c r="J55" s="26"/>
      <c r="K55" s="27"/>
      <c r="L55" s="26"/>
      <c r="M55" s="29"/>
      <c r="N55"/>
      <c r="O55" s="17"/>
    </row>
    <row r="56" spans="1:16" s="22" customFormat="1">
      <c r="A56" s="25"/>
      <c r="B56" s="31"/>
      <c r="C56" s="32" t="s">
        <v>11</v>
      </c>
      <c r="D56" s="33" t="s">
        <v>16</v>
      </c>
      <c r="E56" s="18"/>
      <c r="F56" s="114"/>
      <c r="G56" s="28"/>
      <c r="H56" s="26"/>
      <c r="I56" s="27"/>
      <c r="J56" s="26"/>
      <c r="K56" s="27"/>
      <c r="L56" s="26"/>
      <c r="M56" s="29"/>
      <c r="N56"/>
      <c r="O56"/>
    </row>
    <row r="57" spans="1:16" s="22" customFormat="1">
      <c r="A57" s="25"/>
      <c r="B57" s="31"/>
      <c r="C57" s="32" t="s">
        <v>27</v>
      </c>
      <c r="D57" s="33" t="s">
        <v>26</v>
      </c>
      <c r="E57" s="18">
        <v>8</v>
      </c>
      <c r="F57" s="114"/>
      <c r="G57" s="28"/>
      <c r="H57" s="26"/>
      <c r="I57" s="27"/>
      <c r="J57" s="26"/>
      <c r="K57" s="27"/>
      <c r="L57" s="26"/>
      <c r="M57" s="29"/>
      <c r="N57"/>
      <c r="O57" s="17">
        <f>M50+M49+M44+M39+M37+M33+M28+M25+M23+M19+M14+M12</f>
        <v>0</v>
      </c>
      <c r="P57" s="34">
        <f>M54-O57</f>
        <v>0</v>
      </c>
    </row>
    <row r="58" spans="1:16" s="22" customFormat="1">
      <c r="A58" s="25"/>
      <c r="B58" s="31"/>
      <c r="C58" s="32" t="s">
        <v>11</v>
      </c>
      <c r="D58" s="33" t="s">
        <v>16</v>
      </c>
      <c r="E58" s="18"/>
      <c r="F58" s="114"/>
      <c r="G58" s="28"/>
      <c r="H58" s="26"/>
      <c r="I58" s="27"/>
      <c r="J58" s="26"/>
      <c r="K58" s="27"/>
      <c r="L58" s="26"/>
      <c r="M58" s="29"/>
      <c r="N58"/>
      <c r="O58"/>
    </row>
    <row r="59" spans="1:16" s="22" customFormat="1" ht="13.5">
      <c r="A59" s="3"/>
      <c r="B59" s="3"/>
      <c r="C59" s="2"/>
      <c r="D59" s="3"/>
      <c r="E59" s="3"/>
      <c r="F59" s="234"/>
      <c r="G59" s="34"/>
      <c r="H59" s="34"/>
      <c r="I59" s="34"/>
      <c r="J59" s="34"/>
      <c r="K59" s="34"/>
      <c r="L59" s="34"/>
      <c r="M59" s="34"/>
    </row>
    <row r="60" spans="1:16" s="22" customFormat="1" ht="13.5">
      <c r="A60" s="3"/>
      <c r="B60" s="3"/>
      <c r="C60" s="2"/>
      <c r="D60" s="3"/>
      <c r="E60" s="3"/>
      <c r="F60" s="234"/>
      <c r="G60" s="34"/>
      <c r="H60" s="34"/>
      <c r="I60" s="34"/>
      <c r="J60" s="34"/>
      <c r="K60" s="34"/>
      <c r="L60" s="34"/>
      <c r="M60" s="34"/>
    </row>
    <row r="61" spans="1:16" s="22" customFormat="1" ht="13.5">
      <c r="A61" s="3"/>
      <c r="B61" s="3"/>
      <c r="C61" s="2" t="s">
        <v>521</v>
      </c>
      <c r="D61" s="265"/>
      <c r="E61" s="265"/>
      <c r="F61" s="234"/>
      <c r="G61" s="34"/>
      <c r="H61" s="266"/>
      <c r="I61" s="266"/>
      <c r="J61" s="34"/>
      <c r="K61" s="34"/>
      <c r="L61" s="34"/>
      <c r="M61" s="34"/>
    </row>
    <row r="62" spans="1:16" s="22" customFormat="1" ht="13.5">
      <c r="A62" s="3"/>
      <c r="B62" s="3"/>
      <c r="C62" s="2"/>
      <c r="D62" s="3"/>
      <c r="E62" s="3"/>
      <c r="F62" s="234"/>
      <c r="G62" s="34"/>
      <c r="H62" s="34"/>
      <c r="I62" s="34"/>
      <c r="J62" s="34"/>
      <c r="K62" s="34"/>
      <c r="L62" s="34"/>
      <c r="M62" s="34"/>
    </row>
    <row r="63" spans="1:16" s="22" customFormat="1" ht="13.5">
      <c r="A63" s="3"/>
      <c r="B63" s="3"/>
      <c r="C63" s="2"/>
      <c r="D63" s="3"/>
      <c r="E63" s="3"/>
      <c r="F63" s="234"/>
      <c r="G63" s="34"/>
      <c r="H63" s="34"/>
      <c r="I63" s="34"/>
      <c r="J63" s="34"/>
      <c r="K63" s="34"/>
      <c r="L63" s="34"/>
      <c r="M63" s="34"/>
    </row>
    <row r="64" spans="1:16" s="22" customFormat="1" ht="13.5">
      <c r="A64" s="3"/>
      <c r="B64" s="3"/>
      <c r="C64" s="2"/>
      <c r="D64" s="3"/>
      <c r="E64" s="3"/>
      <c r="F64" s="234"/>
      <c r="G64" s="34"/>
      <c r="H64" s="34"/>
      <c r="I64" s="34"/>
      <c r="J64" s="34"/>
      <c r="K64" s="34"/>
      <c r="L64" s="34"/>
      <c r="M64" s="34"/>
    </row>
    <row r="65" spans="1:13" s="22" customFormat="1" ht="13.5">
      <c r="A65" s="3"/>
      <c r="B65" s="3"/>
      <c r="C65" s="2"/>
      <c r="D65" s="3"/>
      <c r="E65" s="3"/>
      <c r="F65" s="234"/>
      <c r="G65" s="34"/>
      <c r="H65" s="34"/>
      <c r="I65" s="34"/>
      <c r="J65" s="34"/>
      <c r="K65" s="34"/>
      <c r="L65" s="34"/>
      <c r="M65" s="34"/>
    </row>
    <row r="66" spans="1:13" s="22" customFormat="1" ht="13.5">
      <c r="A66" s="3"/>
      <c r="B66" s="3"/>
      <c r="C66" s="2"/>
      <c r="D66" s="3"/>
      <c r="E66" s="3"/>
      <c r="F66" s="234"/>
      <c r="G66" s="34"/>
      <c r="H66" s="34"/>
      <c r="I66" s="34"/>
      <c r="J66" s="34"/>
      <c r="K66" s="34"/>
      <c r="L66" s="34"/>
      <c r="M66" s="34"/>
    </row>
    <row r="67" spans="1:13" s="22" customFormat="1" ht="13.5">
      <c r="A67" s="3"/>
      <c r="B67" s="3"/>
      <c r="C67" s="2"/>
      <c r="D67" s="3"/>
      <c r="E67" s="3"/>
      <c r="F67" s="234"/>
      <c r="G67" s="34"/>
      <c r="H67" s="34"/>
      <c r="I67" s="34"/>
      <c r="J67" s="34"/>
      <c r="K67" s="34"/>
      <c r="L67" s="34"/>
      <c r="M67" s="34"/>
    </row>
    <row r="68" spans="1:13" s="22" customFormat="1" ht="13.5">
      <c r="A68" s="3"/>
      <c r="B68" s="3"/>
      <c r="C68" s="2"/>
      <c r="D68" s="3"/>
      <c r="E68" s="3"/>
      <c r="F68" s="234"/>
      <c r="G68" s="34"/>
      <c r="H68" s="34"/>
      <c r="I68" s="34"/>
      <c r="J68" s="34"/>
      <c r="K68" s="34"/>
      <c r="L68" s="34"/>
      <c r="M68" s="34"/>
    </row>
    <row r="69" spans="1:13" s="22" customFormat="1" ht="13.5">
      <c r="A69" s="3"/>
      <c r="B69" s="3"/>
      <c r="C69" s="2"/>
      <c r="D69" s="3"/>
      <c r="E69" s="3"/>
      <c r="F69" s="234"/>
      <c r="G69" s="34"/>
      <c r="H69" s="34"/>
      <c r="I69" s="34"/>
      <c r="J69" s="34"/>
      <c r="K69" s="34"/>
      <c r="L69" s="34"/>
      <c r="M69" s="34"/>
    </row>
    <row r="70" spans="1:13" s="22" customFormat="1" ht="13.5">
      <c r="A70" s="3"/>
      <c r="B70" s="3"/>
      <c r="C70" s="2"/>
      <c r="D70" s="3"/>
      <c r="E70" s="3"/>
      <c r="F70" s="234"/>
      <c r="G70" s="34"/>
      <c r="H70" s="34"/>
      <c r="I70" s="34"/>
      <c r="J70" s="34"/>
      <c r="K70" s="34"/>
      <c r="L70" s="34"/>
      <c r="M70" s="34"/>
    </row>
    <row r="71" spans="1:13" s="22" customFormat="1" ht="13.5">
      <c r="A71" s="3"/>
      <c r="B71" s="3"/>
      <c r="C71" s="2"/>
      <c r="D71" s="3"/>
      <c r="E71" s="3"/>
      <c r="F71" s="234"/>
      <c r="G71" s="34"/>
      <c r="H71" s="34"/>
      <c r="I71" s="34"/>
      <c r="J71" s="34"/>
      <c r="K71" s="34"/>
      <c r="L71" s="34"/>
      <c r="M71" s="34"/>
    </row>
    <row r="72" spans="1:13" s="22" customFormat="1" ht="13.5">
      <c r="A72" s="3"/>
      <c r="B72" s="3"/>
      <c r="C72" s="2"/>
      <c r="D72" s="3"/>
      <c r="E72" s="3"/>
      <c r="F72" s="234"/>
      <c r="G72" s="34"/>
      <c r="H72" s="34"/>
      <c r="I72" s="34"/>
      <c r="J72" s="34"/>
      <c r="K72" s="34"/>
      <c r="L72" s="34"/>
      <c r="M72" s="34"/>
    </row>
    <row r="73" spans="1:13" s="22" customFormat="1" ht="13.5">
      <c r="A73" s="3"/>
      <c r="B73" s="3"/>
      <c r="C73" s="2"/>
      <c r="D73" s="3"/>
      <c r="E73" s="3"/>
      <c r="F73" s="234"/>
      <c r="G73" s="34"/>
      <c r="H73" s="34"/>
      <c r="I73" s="34"/>
      <c r="J73" s="34"/>
      <c r="K73" s="34"/>
      <c r="L73" s="34"/>
      <c r="M73" s="34"/>
    </row>
    <row r="74" spans="1:13" s="22" customFormat="1" ht="13.5">
      <c r="A74" s="3"/>
      <c r="B74" s="3"/>
      <c r="C74" s="2"/>
      <c r="D74" s="3"/>
      <c r="E74" s="3"/>
      <c r="F74" s="234"/>
      <c r="G74" s="34"/>
      <c r="H74" s="34"/>
      <c r="I74" s="34"/>
      <c r="J74" s="34"/>
      <c r="K74" s="34"/>
      <c r="L74" s="34"/>
      <c r="M74" s="34"/>
    </row>
    <row r="75" spans="1:13" s="22" customFormat="1" ht="13.5">
      <c r="A75" s="3"/>
      <c r="B75" s="3"/>
      <c r="C75" s="2"/>
      <c r="D75" s="3"/>
      <c r="E75" s="3"/>
      <c r="F75" s="234"/>
      <c r="G75" s="34"/>
      <c r="H75" s="34"/>
      <c r="I75" s="34"/>
      <c r="J75" s="34"/>
      <c r="K75" s="34"/>
      <c r="L75" s="34"/>
      <c r="M75" s="34"/>
    </row>
    <row r="76" spans="1:13" s="22" customFormat="1" ht="13.5">
      <c r="A76" s="3"/>
      <c r="B76" s="3"/>
      <c r="C76" s="2"/>
      <c r="D76" s="3"/>
      <c r="E76" s="3"/>
      <c r="F76" s="234"/>
      <c r="G76" s="34"/>
      <c r="H76" s="34"/>
      <c r="I76" s="34"/>
      <c r="J76" s="34"/>
      <c r="K76" s="34"/>
      <c r="L76" s="34"/>
      <c r="M76" s="34"/>
    </row>
    <row r="77" spans="1:13" s="22" customFormat="1" ht="13.5">
      <c r="A77" s="3"/>
      <c r="B77" s="3"/>
      <c r="C77" s="2"/>
      <c r="D77" s="3"/>
      <c r="E77" s="3"/>
      <c r="F77" s="234"/>
      <c r="G77" s="34"/>
      <c r="H77" s="34"/>
      <c r="I77" s="34"/>
      <c r="J77" s="34"/>
      <c r="K77" s="34"/>
      <c r="L77" s="34"/>
      <c r="M77" s="34"/>
    </row>
    <row r="78" spans="1:13" s="22" customFormat="1" ht="13.5">
      <c r="A78" s="3"/>
      <c r="B78" s="3"/>
      <c r="C78" s="2"/>
      <c r="D78" s="3"/>
      <c r="E78" s="3"/>
      <c r="F78" s="234"/>
      <c r="G78" s="34"/>
      <c r="H78" s="34"/>
      <c r="I78" s="34"/>
      <c r="J78" s="34"/>
      <c r="K78" s="34"/>
      <c r="L78" s="34"/>
      <c r="M78" s="34"/>
    </row>
    <row r="79" spans="1:13" s="22" customFormat="1" ht="13.5">
      <c r="A79" s="3"/>
      <c r="B79" s="3"/>
      <c r="C79" s="2"/>
      <c r="D79" s="3"/>
      <c r="E79" s="3"/>
      <c r="F79" s="234"/>
      <c r="G79" s="34"/>
      <c r="H79" s="34"/>
      <c r="I79" s="34"/>
      <c r="J79" s="34"/>
      <c r="K79" s="34"/>
      <c r="L79" s="34"/>
      <c r="M79" s="34"/>
    </row>
    <row r="80" spans="1:13" s="22" customFormat="1" ht="13.5">
      <c r="A80" s="3"/>
      <c r="B80" s="3"/>
      <c r="C80" s="2"/>
      <c r="D80" s="3"/>
      <c r="E80" s="3"/>
      <c r="F80" s="234"/>
      <c r="G80" s="34"/>
      <c r="H80" s="34"/>
      <c r="I80" s="34"/>
      <c r="J80" s="34"/>
      <c r="K80" s="34"/>
      <c r="L80" s="34"/>
      <c r="M80" s="34"/>
    </row>
    <row r="81" spans="1:13" s="22" customFormat="1" ht="13.5">
      <c r="A81" s="3"/>
      <c r="B81" s="3"/>
      <c r="C81" s="2"/>
      <c r="D81" s="3"/>
      <c r="E81" s="3"/>
      <c r="F81" s="234"/>
      <c r="G81" s="34"/>
      <c r="H81" s="34"/>
      <c r="I81" s="34"/>
      <c r="J81" s="34"/>
      <c r="K81" s="34"/>
      <c r="L81" s="34"/>
      <c r="M81" s="34"/>
    </row>
    <row r="82" spans="1:13" s="22" customFormat="1" ht="13.5">
      <c r="A82" s="3"/>
      <c r="B82" s="3"/>
      <c r="C82" s="2"/>
      <c r="D82" s="3"/>
      <c r="E82" s="3"/>
      <c r="F82" s="234"/>
      <c r="G82" s="34"/>
      <c r="H82" s="34"/>
      <c r="I82" s="34"/>
      <c r="J82" s="34"/>
      <c r="K82" s="34"/>
      <c r="L82" s="34"/>
      <c r="M82" s="34"/>
    </row>
    <row r="83" spans="1:13" s="22" customFormat="1" ht="13.5">
      <c r="A83" s="3"/>
      <c r="B83" s="3"/>
      <c r="C83" s="2"/>
      <c r="D83" s="3"/>
      <c r="E83" s="3"/>
      <c r="F83" s="234"/>
      <c r="G83" s="34"/>
      <c r="H83" s="34"/>
      <c r="I83" s="34"/>
      <c r="J83" s="34"/>
      <c r="K83" s="34"/>
      <c r="L83" s="34"/>
      <c r="M83" s="34"/>
    </row>
    <row r="84" spans="1:13" s="22" customFormat="1" ht="13.5">
      <c r="A84" s="3"/>
      <c r="B84" s="3"/>
      <c r="C84" s="2"/>
      <c r="D84" s="3"/>
      <c r="E84" s="3"/>
      <c r="F84" s="234"/>
      <c r="G84" s="34"/>
      <c r="H84" s="34"/>
      <c r="I84" s="34"/>
      <c r="J84" s="34"/>
      <c r="K84" s="34"/>
      <c r="L84" s="34"/>
      <c r="M84" s="34"/>
    </row>
    <row r="85" spans="1:13" s="22" customFormat="1" ht="13.5">
      <c r="A85" s="3"/>
      <c r="B85" s="3"/>
      <c r="C85" s="2"/>
      <c r="D85" s="3"/>
      <c r="E85" s="3"/>
      <c r="F85" s="234"/>
      <c r="G85" s="34"/>
      <c r="H85" s="34"/>
      <c r="I85" s="34"/>
      <c r="J85" s="34"/>
      <c r="K85" s="34"/>
      <c r="L85" s="34"/>
      <c r="M85" s="34"/>
    </row>
    <row r="86" spans="1:13" s="22" customFormat="1" ht="13.5">
      <c r="A86" s="3"/>
      <c r="B86" s="3"/>
      <c r="C86" s="2"/>
      <c r="D86" s="3"/>
      <c r="E86" s="3"/>
      <c r="F86" s="234"/>
      <c r="G86" s="34"/>
      <c r="H86" s="34"/>
      <c r="I86" s="34"/>
      <c r="J86" s="34"/>
      <c r="K86" s="34"/>
      <c r="L86" s="34"/>
      <c r="M86" s="34"/>
    </row>
    <row r="87" spans="1:13" s="22" customFormat="1" ht="13.5">
      <c r="A87" s="3"/>
      <c r="B87" s="3"/>
      <c r="C87" s="2"/>
      <c r="D87" s="3"/>
      <c r="E87" s="3"/>
      <c r="F87" s="234"/>
      <c r="G87" s="34"/>
      <c r="H87" s="34"/>
      <c r="I87" s="34"/>
      <c r="J87" s="34"/>
      <c r="K87" s="34"/>
      <c r="L87" s="34"/>
      <c r="M87" s="34"/>
    </row>
    <row r="88" spans="1:13" s="22" customFormat="1" ht="13.5">
      <c r="A88" s="3"/>
      <c r="B88" s="3"/>
      <c r="C88" s="2"/>
      <c r="D88" s="3"/>
      <c r="E88" s="3"/>
      <c r="F88" s="234"/>
      <c r="G88" s="34"/>
      <c r="H88" s="34"/>
      <c r="I88" s="34"/>
      <c r="J88" s="34"/>
      <c r="K88" s="34"/>
      <c r="L88" s="34"/>
      <c r="M88" s="34"/>
    </row>
    <row r="89" spans="1:13" s="22" customFormat="1" ht="13.5">
      <c r="A89" s="3"/>
      <c r="B89" s="3"/>
      <c r="C89" s="2"/>
      <c r="D89" s="3"/>
      <c r="E89" s="3"/>
      <c r="F89" s="234"/>
      <c r="G89" s="34"/>
      <c r="H89" s="34"/>
      <c r="I89" s="34"/>
      <c r="J89" s="34"/>
      <c r="K89" s="34"/>
      <c r="L89" s="34"/>
      <c r="M89" s="34"/>
    </row>
    <row r="90" spans="1:13" s="22" customFormat="1" ht="13.5">
      <c r="A90" s="3"/>
      <c r="B90" s="3"/>
      <c r="C90" s="2"/>
      <c r="D90" s="3"/>
      <c r="E90" s="3"/>
      <c r="F90" s="234"/>
      <c r="G90" s="34"/>
      <c r="H90" s="34"/>
      <c r="I90" s="34"/>
      <c r="J90" s="34"/>
      <c r="K90" s="34"/>
      <c r="L90" s="34"/>
      <c r="M90" s="34"/>
    </row>
    <row r="91" spans="1:13" s="22" customFormat="1" ht="13.5">
      <c r="A91" s="3"/>
      <c r="B91" s="3"/>
      <c r="C91" s="2"/>
      <c r="D91" s="3"/>
      <c r="E91" s="3"/>
      <c r="F91" s="234"/>
      <c r="G91" s="34"/>
      <c r="H91" s="34"/>
      <c r="I91" s="34"/>
      <c r="J91" s="34"/>
      <c r="K91" s="34"/>
      <c r="L91" s="34"/>
      <c r="M91" s="34"/>
    </row>
    <row r="92" spans="1:13" s="22" customFormat="1" ht="13.5">
      <c r="A92" s="3"/>
      <c r="B92" s="3"/>
      <c r="C92" s="2"/>
      <c r="D92" s="3"/>
      <c r="E92" s="3"/>
      <c r="F92" s="234"/>
      <c r="G92" s="34"/>
      <c r="H92" s="34"/>
      <c r="I92" s="34"/>
      <c r="J92" s="34"/>
      <c r="K92" s="34"/>
      <c r="L92" s="34"/>
      <c r="M92" s="34"/>
    </row>
    <row r="93" spans="1:13" s="22" customFormat="1" ht="13.5">
      <c r="A93" s="3"/>
      <c r="B93" s="3"/>
      <c r="C93" s="2"/>
      <c r="D93" s="3"/>
      <c r="E93" s="3"/>
      <c r="F93" s="234"/>
      <c r="G93" s="34"/>
      <c r="H93" s="34"/>
      <c r="I93" s="34"/>
      <c r="J93" s="34"/>
      <c r="K93" s="34"/>
      <c r="L93" s="34"/>
      <c r="M93" s="34"/>
    </row>
    <row r="94" spans="1:13" s="22" customFormat="1" ht="13.5">
      <c r="A94" s="3"/>
      <c r="B94" s="3"/>
      <c r="C94" s="2"/>
      <c r="D94" s="3"/>
      <c r="E94" s="3"/>
      <c r="F94" s="234"/>
      <c r="G94" s="34"/>
      <c r="H94" s="34"/>
      <c r="I94" s="34"/>
      <c r="J94" s="34"/>
      <c r="K94" s="34"/>
      <c r="L94" s="34"/>
      <c r="M94" s="34"/>
    </row>
    <row r="95" spans="1:13" s="22" customFormat="1" ht="13.5">
      <c r="A95" s="3"/>
      <c r="B95" s="3"/>
      <c r="C95" s="2"/>
      <c r="D95" s="3"/>
      <c r="E95" s="3"/>
      <c r="F95" s="234"/>
      <c r="G95" s="34"/>
      <c r="H95" s="34"/>
      <c r="I95" s="34"/>
      <c r="J95" s="34"/>
      <c r="K95" s="34"/>
      <c r="L95" s="34"/>
      <c r="M95" s="34"/>
    </row>
    <row r="96" spans="1:13" s="22" customFormat="1" ht="13.5">
      <c r="A96" s="3"/>
      <c r="B96" s="3"/>
      <c r="C96" s="2"/>
      <c r="D96" s="3"/>
      <c r="E96" s="3"/>
      <c r="F96" s="234"/>
      <c r="G96" s="34"/>
      <c r="H96" s="34"/>
      <c r="I96" s="34"/>
      <c r="J96" s="34"/>
      <c r="K96" s="34"/>
      <c r="L96" s="34"/>
      <c r="M96" s="34"/>
    </row>
    <row r="97" spans="1:13" s="22" customFormat="1" ht="13.5">
      <c r="A97" s="3"/>
      <c r="B97" s="3"/>
      <c r="C97" s="2"/>
      <c r="D97" s="3"/>
      <c r="E97" s="3"/>
      <c r="F97" s="234"/>
      <c r="G97" s="34"/>
      <c r="H97" s="34"/>
      <c r="I97" s="34"/>
      <c r="J97" s="34"/>
      <c r="K97" s="34"/>
      <c r="L97" s="34"/>
      <c r="M97" s="34"/>
    </row>
    <row r="98" spans="1:13" s="22" customFormat="1" ht="13.5">
      <c r="A98" s="3"/>
      <c r="B98" s="3"/>
      <c r="C98" s="2"/>
      <c r="D98" s="3"/>
      <c r="E98" s="3"/>
      <c r="F98" s="234"/>
      <c r="G98" s="34"/>
      <c r="H98" s="34"/>
      <c r="I98" s="34"/>
      <c r="J98" s="34"/>
      <c r="K98" s="34"/>
      <c r="L98" s="34"/>
      <c r="M98" s="34"/>
    </row>
    <row r="99" spans="1:13" s="22" customFormat="1" ht="13.5">
      <c r="A99" s="3"/>
      <c r="B99" s="3"/>
      <c r="C99" s="2"/>
      <c r="D99" s="3"/>
      <c r="E99" s="3"/>
      <c r="F99" s="234"/>
      <c r="G99" s="34"/>
      <c r="H99" s="34"/>
      <c r="I99" s="34"/>
      <c r="J99" s="34"/>
      <c r="K99" s="34"/>
      <c r="L99" s="34"/>
      <c r="M99" s="34"/>
    </row>
    <row r="100" spans="1:13" s="22" customFormat="1" ht="13.5">
      <c r="A100" s="3"/>
      <c r="B100" s="3"/>
      <c r="C100" s="2"/>
      <c r="D100" s="3"/>
      <c r="E100" s="3"/>
      <c r="F100" s="234"/>
      <c r="G100" s="34"/>
      <c r="H100" s="34"/>
      <c r="I100" s="34"/>
      <c r="J100" s="34"/>
      <c r="K100" s="34"/>
      <c r="L100" s="34"/>
      <c r="M100" s="34"/>
    </row>
    <row r="101" spans="1:13" s="22" customFormat="1" ht="13.5">
      <c r="A101" s="3"/>
      <c r="B101" s="3"/>
      <c r="C101" s="2"/>
      <c r="D101" s="3"/>
      <c r="E101" s="3"/>
      <c r="F101" s="234"/>
      <c r="G101" s="34"/>
      <c r="H101" s="34"/>
      <c r="I101" s="34"/>
      <c r="J101" s="34"/>
      <c r="K101" s="34"/>
      <c r="L101" s="34"/>
      <c r="M101" s="34"/>
    </row>
    <row r="102" spans="1:13" s="22" customFormat="1" ht="13.5">
      <c r="A102" s="3"/>
      <c r="B102" s="3"/>
      <c r="C102" s="2"/>
      <c r="D102" s="3"/>
      <c r="E102" s="3"/>
      <c r="F102" s="235"/>
    </row>
    <row r="103" spans="1:13" s="22" customFormat="1" ht="13.5">
      <c r="C103" s="1"/>
      <c r="F103" s="235"/>
    </row>
    <row r="104" spans="1:13" s="22" customFormat="1" ht="13.5">
      <c r="C104" s="1"/>
      <c r="F104" s="235"/>
    </row>
    <row r="105" spans="1:13" s="22" customFormat="1" ht="13.5">
      <c r="C105" s="1"/>
      <c r="F105" s="235"/>
    </row>
    <row r="106" spans="1:13" s="22" customFormat="1" ht="13.5">
      <c r="C106" s="1"/>
      <c r="F106" s="235"/>
    </row>
    <row r="107" spans="1:13" s="22" customFormat="1" ht="13.5">
      <c r="C107" s="1"/>
      <c r="F107" s="235"/>
    </row>
    <row r="108" spans="1:13" s="22" customFormat="1" ht="13.5">
      <c r="C108" s="1"/>
      <c r="F108" s="235"/>
    </row>
    <row r="109" spans="1:13" s="22" customFormat="1" ht="13.5">
      <c r="C109" s="1"/>
      <c r="F109" s="235"/>
    </row>
    <row r="110" spans="1:13" s="22" customFormat="1" ht="13.5">
      <c r="C110" s="1"/>
      <c r="F110" s="235"/>
    </row>
    <row r="111" spans="1:13" s="22" customFormat="1" ht="13.5">
      <c r="C111" s="1"/>
      <c r="F111" s="235"/>
    </row>
    <row r="112" spans="1:13" s="22" customFormat="1" ht="13.5">
      <c r="C112" s="1"/>
      <c r="F112" s="235"/>
    </row>
    <row r="113" spans="3:6" s="22" customFormat="1" ht="13.5">
      <c r="C113" s="1"/>
      <c r="F113" s="235"/>
    </row>
    <row r="114" spans="3:6" s="22" customFormat="1" ht="13.5">
      <c r="C114" s="1"/>
      <c r="F114" s="235"/>
    </row>
    <row r="115" spans="3:6" s="22" customFormat="1" ht="13.5">
      <c r="C115" s="1"/>
      <c r="F115" s="235"/>
    </row>
    <row r="116" spans="3:6" s="22" customFormat="1" ht="13.5">
      <c r="C116" s="1"/>
      <c r="F116" s="235"/>
    </row>
    <row r="117" spans="3:6" s="22" customFormat="1" ht="13.5">
      <c r="C117" s="1"/>
      <c r="F117" s="235"/>
    </row>
    <row r="118" spans="3:6" s="22" customFormat="1" ht="13.5">
      <c r="C118" s="1"/>
      <c r="F118" s="235"/>
    </row>
    <row r="119" spans="3:6" s="22" customFormat="1" ht="13.5">
      <c r="C119" s="1"/>
      <c r="F119" s="235"/>
    </row>
    <row r="120" spans="3:6" s="22" customFormat="1" ht="13.5">
      <c r="C120" s="1"/>
      <c r="F120" s="235"/>
    </row>
    <row r="121" spans="3:6" s="22" customFormat="1" ht="13.5">
      <c r="C121" s="1"/>
      <c r="F121" s="235"/>
    </row>
    <row r="122" spans="3:6" s="22" customFormat="1" ht="13.5">
      <c r="C122" s="1"/>
      <c r="F122" s="235"/>
    </row>
    <row r="123" spans="3:6" s="22" customFormat="1" ht="13.5">
      <c r="C123" s="1"/>
      <c r="F123" s="235"/>
    </row>
    <row r="124" spans="3:6" s="22" customFormat="1" ht="13.5">
      <c r="C124" s="1"/>
      <c r="F124" s="235"/>
    </row>
    <row r="125" spans="3:6" s="22" customFormat="1" ht="13.5">
      <c r="C125" s="1"/>
      <c r="F125" s="235"/>
    </row>
    <row r="126" spans="3:6" s="22" customFormat="1" ht="13.5">
      <c r="C126" s="1"/>
      <c r="F126" s="235"/>
    </row>
    <row r="127" spans="3:6" s="22" customFormat="1" ht="13.5">
      <c r="C127" s="1"/>
      <c r="F127" s="235"/>
    </row>
    <row r="128" spans="3:6" s="22" customFormat="1" ht="13.5">
      <c r="C128" s="1"/>
      <c r="F128" s="235"/>
    </row>
    <row r="129" spans="3:6" s="22" customFormat="1" ht="13.5">
      <c r="C129" s="1"/>
      <c r="F129" s="235"/>
    </row>
    <row r="130" spans="3:6" s="36" customFormat="1" ht="13.5">
      <c r="F130" s="236"/>
    </row>
    <row r="131" spans="3:6" s="36" customFormat="1" ht="13.5">
      <c r="F131" s="236"/>
    </row>
    <row r="132" spans="3:6" s="36" customFormat="1" ht="13.5">
      <c r="F132" s="236"/>
    </row>
    <row r="133" spans="3:6" s="36" customFormat="1" ht="13.5">
      <c r="F133" s="236"/>
    </row>
    <row r="134" spans="3:6" s="36" customFormat="1" ht="13.5">
      <c r="F134" s="236"/>
    </row>
    <row r="135" spans="3:6" s="36" customFormat="1" ht="13.5">
      <c r="F135" s="236"/>
    </row>
    <row r="136" spans="3:6" s="36" customFormat="1" ht="13.5">
      <c r="F136" s="236"/>
    </row>
    <row r="137" spans="3:6" s="36" customFormat="1" ht="13.5">
      <c r="F137" s="236"/>
    </row>
  </sheetData>
  <mergeCells count="25">
    <mergeCell ref="D61:E61"/>
    <mergeCell ref="H61:I61"/>
    <mergeCell ref="A50:A53"/>
    <mergeCell ref="A25:A27"/>
    <mergeCell ref="A28:A37"/>
    <mergeCell ref="A12:A13"/>
    <mergeCell ref="A14:A20"/>
    <mergeCell ref="A21:A23"/>
    <mergeCell ref="A39:A47"/>
    <mergeCell ref="A48:A49"/>
    <mergeCell ref="I7:J7"/>
    <mergeCell ref="K7:L7"/>
    <mergeCell ref="M7:M8"/>
    <mergeCell ref="A7:A8"/>
    <mergeCell ref="B7:B8"/>
    <mergeCell ref="C7:C8"/>
    <mergeCell ref="D7:D8"/>
    <mergeCell ref="E7:F7"/>
    <mergeCell ref="G7:H7"/>
    <mergeCell ref="A6:G6"/>
    <mergeCell ref="A1:M1"/>
    <mergeCell ref="A2:M2"/>
    <mergeCell ref="A3:M3"/>
    <mergeCell ref="A4:G4"/>
    <mergeCell ref="C5:K5"/>
  </mergeCells>
  <pageMargins left="0.15748031496062992" right="0.19685039370078741" top="0.39370078740157483" bottom="0.3937007874015748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view="pageBreakPreview" zoomScale="60" zoomScaleNormal="100" workbookViewId="0">
      <selection activeCell="L17" sqref="L17"/>
    </sheetView>
  </sheetViews>
  <sheetFormatPr defaultColWidth="9.140625" defaultRowHeight="15"/>
  <cols>
    <col min="1" max="1" width="4.140625" customWidth="1"/>
    <col min="3" max="3" width="40.140625" customWidth="1"/>
    <col min="6" max="6" width="9.140625" style="237"/>
    <col min="7" max="7" width="8.140625" customWidth="1"/>
    <col min="8" max="8" width="14.85546875" customWidth="1"/>
    <col min="9" max="9" width="8.42578125" customWidth="1"/>
    <col min="10" max="10" width="12.28515625" customWidth="1"/>
    <col min="12" max="12" width="14.5703125" customWidth="1"/>
    <col min="13" max="13" width="14.140625" customWidth="1"/>
    <col min="15" max="15" width="10.42578125" bestFit="1" customWidth="1"/>
  </cols>
  <sheetData>
    <row r="1" spans="1:16" s="36" customFormat="1" ht="31.5" customHeight="1">
      <c r="A1" s="277" t="s">
        <v>163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6"/>
      <c r="O1" s="14"/>
      <c r="P1" s="14"/>
    </row>
    <row r="2" spans="1:16" s="36" customFormat="1" ht="17.25" customHeight="1">
      <c r="A2" s="278" t="s">
        <v>90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6"/>
      <c r="O2" s="7"/>
      <c r="P2" s="7"/>
    </row>
    <row r="3" spans="1:16" s="36" customFormat="1" ht="15.75">
      <c r="A3" s="278" t="s">
        <v>416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6"/>
      <c r="O3" s="7"/>
      <c r="P3" s="7"/>
    </row>
    <row r="4" spans="1:16" s="36" customFormat="1" ht="15.75">
      <c r="A4" s="279" t="s">
        <v>1</v>
      </c>
      <c r="B4" s="279"/>
      <c r="C4" s="279"/>
      <c r="D4" s="279"/>
      <c r="E4" s="279"/>
      <c r="F4" s="279"/>
      <c r="G4" s="279"/>
      <c r="H4" s="8"/>
      <c r="I4" s="8"/>
      <c r="J4" s="8"/>
      <c r="K4" s="8"/>
      <c r="L4" s="8"/>
      <c r="M4" s="8"/>
      <c r="N4" s="6"/>
      <c r="O4" s="7"/>
      <c r="P4" s="7"/>
    </row>
    <row r="5" spans="1:16" s="36" customFormat="1" ht="15.75">
      <c r="A5" s="42"/>
      <c r="B5" s="42"/>
      <c r="C5" s="280" t="s">
        <v>2</v>
      </c>
      <c r="D5" s="280"/>
      <c r="E5" s="280"/>
      <c r="F5" s="280"/>
      <c r="G5" s="280"/>
      <c r="H5" s="280"/>
      <c r="I5" s="280"/>
      <c r="J5" s="280"/>
      <c r="K5" s="280"/>
      <c r="L5" s="9">
        <f>M136</f>
        <v>0</v>
      </c>
      <c r="M5" s="10" t="s">
        <v>16</v>
      </c>
      <c r="N5" s="6"/>
      <c r="O5" s="7"/>
      <c r="P5" s="7"/>
    </row>
    <row r="6" spans="1:16" s="36" customFormat="1" ht="18.75" customHeight="1">
      <c r="A6" s="267" t="s">
        <v>404</v>
      </c>
      <c r="B6" s="267"/>
      <c r="C6" s="267"/>
      <c r="D6" s="267"/>
      <c r="E6" s="267"/>
      <c r="F6" s="267"/>
      <c r="G6" s="267"/>
      <c r="H6" s="8"/>
      <c r="I6" s="8"/>
      <c r="J6" s="8"/>
      <c r="K6" s="8"/>
      <c r="L6" s="8"/>
      <c r="M6" s="8"/>
      <c r="N6" s="6"/>
      <c r="O6" s="7"/>
      <c r="P6" s="7"/>
    </row>
    <row r="7" spans="1:16" s="36" customFormat="1" ht="38.25" customHeight="1">
      <c r="A7" s="285" t="s">
        <v>3</v>
      </c>
      <c r="B7" s="285" t="s">
        <v>4</v>
      </c>
      <c r="C7" s="284" t="s">
        <v>5</v>
      </c>
      <c r="D7" s="284" t="s">
        <v>6</v>
      </c>
      <c r="E7" s="284" t="s">
        <v>7</v>
      </c>
      <c r="F7" s="284"/>
      <c r="G7" s="284" t="s">
        <v>8</v>
      </c>
      <c r="H7" s="284"/>
      <c r="I7" s="284" t="s">
        <v>9</v>
      </c>
      <c r="J7" s="284"/>
      <c r="K7" s="284" t="s">
        <v>10</v>
      </c>
      <c r="L7" s="284"/>
      <c r="M7" s="285" t="s">
        <v>11</v>
      </c>
      <c r="N7" s="6"/>
      <c r="O7" s="7"/>
      <c r="P7" s="7"/>
    </row>
    <row r="8" spans="1:16" s="36" customFormat="1" ht="40.5">
      <c r="A8" s="285"/>
      <c r="B8" s="285"/>
      <c r="C8" s="284"/>
      <c r="D8" s="284"/>
      <c r="E8" s="43" t="s">
        <v>12</v>
      </c>
      <c r="F8" s="230" t="s">
        <v>11</v>
      </c>
      <c r="G8" s="43" t="s">
        <v>13</v>
      </c>
      <c r="H8" s="11" t="s">
        <v>11</v>
      </c>
      <c r="I8" s="12" t="s">
        <v>13</v>
      </c>
      <c r="J8" s="13" t="s">
        <v>11</v>
      </c>
      <c r="K8" s="43" t="s">
        <v>13</v>
      </c>
      <c r="L8" s="43" t="s">
        <v>11</v>
      </c>
      <c r="M8" s="285"/>
      <c r="N8" s="6"/>
      <c r="O8" s="7"/>
      <c r="P8" s="7"/>
    </row>
    <row r="9" spans="1:16" s="36" customFormat="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31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6"/>
      <c r="O9" s="7"/>
      <c r="P9" s="7"/>
    </row>
    <row r="10" spans="1:16" s="36" customFormat="1" ht="67.5">
      <c r="A10" s="214"/>
      <c r="B10" s="24"/>
      <c r="C10" s="211" t="s">
        <v>524</v>
      </c>
      <c r="D10" s="24"/>
      <c r="E10" s="24"/>
      <c r="F10" s="231"/>
      <c r="G10" s="24"/>
      <c r="H10" s="24"/>
      <c r="I10" s="24"/>
      <c r="J10" s="24"/>
      <c r="K10" s="24"/>
      <c r="L10" s="24"/>
      <c r="M10" s="24"/>
      <c r="N10" s="6"/>
      <c r="O10" s="7"/>
      <c r="P10" s="7"/>
    </row>
    <row r="11" spans="1:16" s="36" customFormat="1" ht="15.75">
      <c r="A11" s="214"/>
      <c r="B11" s="24"/>
      <c r="C11" s="216" t="s">
        <v>418</v>
      </c>
      <c r="D11" s="24"/>
      <c r="E11" s="24"/>
      <c r="F11" s="231"/>
      <c r="G11" s="24"/>
      <c r="H11" s="24"/>
      <c r="I11" s="24"/>
      <c r="J11" s="24"/>
      <c r="K11" s="24"/>
      <c r="L11" s="24"/>
      <c r="M11" s="24"/>
      <c r="N11" s="6"/>
      <c r="O11" s="7"/>
      <c r="P11" s="7"/>
    </row>
    <row r="12" spans="1:16" s="36" customFormat="1" ht="54.75" customHeight="1">
      <c r="A12" s="274" t="s">
        <v>14</v>
      </c>
      <c r="B12" s="25" t="s">
        <v>165</v>
      </c>
      <c r="C12" s="105" t="s">
        <v>536</v>
      </c>
      <c r="D12" s="33" t="s">
        <v>80</v>
      </c>
      <c r="E12" s="21"/>
      <c r="F12" s="117">
        <v>928</v>
      </c>
      <c r="G12" s="21"/>
      <c r="H12" s="35"/>
      <c r="I12" s="120"/>
      <c r="J12" s="35"/>
      <c r="K12" s="20"/>
      <c r="L12" s="40"/>
      <c r="M12" s="121"/>
      <c r="N12" s="6"/>
      <c r="O12" s="7"/>
      <c r="P12" s="7"/>
    </row>
    <row r="13" spans="1:16" s="36" customFormat="1" ht="16.5">
      <c r="A13" s="276"/>
      <c r="B13" s="25" t="s">
        <v>166</v>
      </c>
      <c r="C13" s="163" t="s">
        <v>523</v>
      </c>
      <c r="D13" s="159" t="s">
        <v>20</v>
      </c>
      <c r="E13" s="33">
        <f>16.33/100*1.05</f>
        <v>0.17146499999999998</v>
      </c>
      <c r="F13" s="97">
        <f>E13*F12</f>
        <v>159.11951999999997</v>
      </c>
      <c r="G13" s="26"/>
      <c r="H13" s="26"/>
      <c r="I13" s="159"/>
      <c r="J13" s="159"/>
      <c r="K13" s="110"/>
      <c r="L13" s="35"/>
      <c r="M13" s="26"/>
      <c r="N13" s="6"/>
      <c r="O13" s="7"/>
      <c r="P13" s="7"/>
    </row>
    <row r="14" spans="1:16" s="22" customFormat="1" ht="47.25" customHeight="1">
      <c r="A14" s="274" t="s">
        <v>75</v>
      </c>
      <c r="B14" s="25" t="s">
        <v>414</v>
      </c>
      <c r="C14" s="190" t="s">
        <v>413</v>
      </c>
      <c r="D14" s="33" t="s">
        <v>80</v>
      </c>
      <c r="E14" s="21"/>
      <c r="F14" s="117">
        <f>F12</f>
        <v>928</v>
      </c>
      <c r="G14" s="21"/>
      <c r="H14" s="35"/>
      <c r="I14" s="120"/>
      <c r="J14" s="40"/>
      <c r="K14" s="20"/>
      <c r="L14" s="40"/>
      <c r="M14" s="121"/>
    </row>
    <row r="15" spans="1:16" s="22" customFormat="1" ht="13.5" customHeight="1">
      <c r="A15" s="275"/>
      <c r="B15" s="25"/>
      <c r="C15" s="90" t="s">
        <v>534</v>
      </c>
      <c r="D15" s="41" t="s">
        <v>15</v>
      </c>
      <c r="E15" s="20">
        <f>0.016*1.15</f>
        <v>1.84E-2</v>
      </c>
      <c r="F15" s="97">
        <f>E15*F14</f>
        <v>17.075199999999999</v>
      </c>
      <c r="G15" s="99"/>
      <c r="H15" s="100"/>
      <c r="I15" s="35"/>
      <c r="J15" s="35"/>
      <c r="K15" s="35"/>
      <c r="L15" s="99"/>
      <c r="M15" s="35"/>
    </row>
    <row r="16" spans="1:16" s="22" customFormat="1" ht="13.5" customHeight="1">
      <c r="A16" s="276"/>
      <c r="B16" s="25" t="s">
        <v>100</v>
      </c>
      <c r="C16" s="105" t="s">
        <v>535</v>
      </c>
      <c r="D16" s="20" t="s">
        <v>85</v>
      </c>
      <c r="E16" s="21">
        <f>0.0359*1.05</f>
        <v>3.7695000000000006E-2</v>
      </c>
      <c r="F16" s="153">
        <f>E16*F14</f>
        <v>34.980960000000003</v>
      </c>
      <c r="G16" s="99"/>
      <c r="H16" s="100"/>
      <c r="I16" s="35"/>
      <c r="J16" s="35"/>
      <c r="K16" s="110"/>
      <c r="L16" s="35"/>
      <c r="M16" s="26"/>
    </row>
    <row r="17" spans="1:13" s="22" customFormat="1" ht="47.25" customHeight="1">
      <c r="A17" s="25" t="s">
        <v>18</v>
      </c>
      <c r="B17" s="25"/>
      <c r="C17" s="105" t="s">
        <v>603</v>
      </c>
      <c r="D17" s="20"/>
      <c r="E17" s="33"/>
      <c r="F17" s="117"/>
      <c r="G17" s="21"/>
      <c r="H17" s="35"/>
      <c r="I17" s="20"/>
      <c r="J17" s="35"/>
      <c r="K17" s="20"/>
      <c r="L17" s="40"/>
      <c r="M17" s="121"/>
    </row>
    <row r="18" spans="1:13" s="22" customFormat="1" ht="35.25" customHeight="1">
      <c r="A18" s="275" t="s">
        <v>152</v>
      </c>
      <c r="B18" s="25" t="s">
        <v>171</v>
      </c>
      <c r="C18" s="190" t="s">
        <v>410</v>
      </c>
      <c r="D18" s="20" t="s">
        <v>80</v>
      </c>
      <c r="E18" s="33"/>
      <c r="F18" s="117">
        <v>103</v>
      </c>
      <c r="G18" s="39"/>
      <c r="H18" s="37"/>
      <c r="I18" s="27"/>
      <c r="J18" s="16"/>
      <c r="K18" s="23"/>
      <c r="L18" s="16"/>
      <c r="M18" s="16"/>
    </row>
    <row r="19" spans="1:13" s="22" customFormat="1" ht="13.5" customHeight="1">
      <c r="A19" s="275"/>
      <c r="B19" s="25"/>
      <c r="C19" s="105" t="s">
        <v>529</v>
      </c>
      <c r="D19" s="41" t="s">
        <v>15</v>
      </c>
      <c r="E19" s="119">
        <f>8.6*1.15</f>
        <v>9.8899999999999988</v>
      </c>
      <c r="F19" s="114">
        <f>E19*F18</f>
        <v>1018.6699999999998</v>
      </c>
      <c r="G19" s="26"/>
      <c r="H19" s="27"/>
      <c r="I19" s="26"/>
      <c r="J19" s="26"/>
      <c r="K19" s="27"/>
      <c r="L19" s="27"/>
      <c r="M19" s="26"/>
    </row>
    <row r="20" spans="1:13" s="22" customFormat="1" ht="13.5" customHeight="1">
      <c r="A20" s="276"/>
      <c r="B20" s="25" t="s">
        <v>172</v>
      </c>
      <c r="C20" s="190" t="s">
        <v>530</v>
      </c>
      <c r="D20" s="20" t="s">
        <v>85</v>
      </c>
      <c r="E20" s="119">
        <f>6.7*1.05</f>
        <v>7.0350000000000001</v>
      </c>
      <c r="F20" s="97">
        <f>E20*F18</f>
        <v>724.60500000000002</v>
      </c>
      <c r="G20" s="21"/>
      <c r="H20" s="35"/>
      <c r="I20" s="20"/>
      <c r="J20" s="35"/>
      <c r="K20" s="110"/>
      <c r="L20" s="35"/>
      <c r="M20" s="110"/>
    </row>
    <row r="21" spans="1:13" s="22" customFormat="1" ht="45" customHeight="1">
      <c r="A21" s="274" t="s">
        <v>153</v>
      </c>
      <c r="B21" s="25" t="s">
        <v>415</v>
      </c>
      <c r="C21" s="190" t="s">
        <v>425</v>
      </c>
      <c r="D21" s="33" t="s">
        <v>80</v>
      </c>
      <c r="E21" s="20"/>
      <c r="F21" s="117">
        <f>F18</f>
        <v>103</v>
      </c>
      <c r="G21" s="39"/>
      <c r="H21" s="40"/>
      <c r="I21" s="27"/>
      <c r="J21" s="16"/>
      <c r="K21" s="23"/>
      <c r="L21" s="16"/>
      <c r="M21" s="16"/>
    </row>
    <row r="22" spans="1:13" s="22" customFormat="1" ht="13.5" customHeight="1">
      <c r="A22" s="275"/>
      <c r="B22" s="25"/>
      <c r="C22" s="90" t="s">
        <v>537</v>
      </c>
      <c r="D22" s="41" t="s">
        <v>15</v>
      </c>
      <c r="E22" s="106">
        <f>1.2*1.15</f>
        <v>1.38</v>
      </c>
      <c r="F22" s="97">
        <f>E22*F21</f>
        <v>142.13999999999999</v>
      </c>
      <c r="G22" s="99"/>
      <c r="H22" s="100"/>
      <c r="I22" s="35"/>
      <c r="J22" s="35"/>
      <c r="K22" s="35"/>
      <c r="L22" s="99"/>
      <c r="M22" s="35"/>
    </row>
    <row r="23" spans="1:13" s="22" customFormat="1" ht="13.5" customHeight="1">
      <c r="A23" s="276"/>
      <c r="B23" s="25" t="s">
        <v>169</v>
      </c>
      <c r="C23" s="105" t="s">
        <v>87</v>
      </c>
      <c r="D23" s="33" t="s">
        <v>80</v>
      </c>
      <c r="E23" s="106"/>
      <c r="F23" s="229">
        <f>F21</f>
        <v>103</v>
      </c>
      <c r="G23" s="123"/>
      <c r="H23" s="220"/>
      <c r="I23" s="101"/>
      <c r="J23" s="16"/>
      <c r="K23" s="16"/>
      <c r="L23" s="16"/>
      <c r="M23" s="16"/>
    </row>
    <row r="24" spans="1:13" s="22" customFormat="1" ht="13.5" customHeight="1">
      <c r="A24" s="274"/>
      <c r="B24" s="25" t="s">
        <v>102</v>
      </c>
      <c r="C24" s="105" t="s">
        <v>88</v>
      </c>
      <c r="D24" s="20" t="s">
        <v>85</v>
      </c>
      <c r="E24" s="106">
        <f>1.15*0.00362</f>
        <v>4.163E-3</v>
      </c>
      <c r="F24" s="152">
        <f>E24*F23</f>
        <v>0.42878899999999998</v>
      </c>
      <c r="G24" s="26"/>
      <c r="H24" s="27"/>
      <c r="I24" s="27"/>
      <c r="J24" s="27"/>
      <c r="K24" s="27"/>
      <c r="L24" s="26"/>
      <c r="M24" s="26"/>
    </row>
    <row r="25" spans="1:13" s="22" customFormat="1" ht="13.5" customHeight="1">
      <c r="A25" s="275"/>
      <c r="B25" s="25"/>
      <c r="C25" s="105" t="s">
        <v>28</v>
      </c>
      <c r="D25" s="20" t="s">
        <v>16</v>
      </c>
      <c r="E25" s="106">
        <v>1.8000000000000001E-4</v>
      </c>
      <c r="F25" s="152">
        <f>E25*F23</f>
        <v>1.8540000000000001E-2</v>
      </c>
      <c r="G25" s="123"/>
      <c r="H25" s="123"/>
      <c r="I25" s="122"/>
      <c r="J25" s="27"/>
      <c r="K25" s="18"/>
      <c r="L25" s="26"/>
      <c r="M25" s="26"/>
    </row>
    <row r="26" spans="1:13" s="22" customFormat="1" ht="13.5" customHeight="1">
      <c r="A26" s="275"/>
      <c r="B26" s="25" t="s">
        <v>225</v>
      </c>
      <c r="C26" s="105" t="s">
        <v>514</v>
      </c>
      <c r="D26" s="33" t="s">
        <v>80</v>
      </c>
      <c r="E26" s="106">
        <f>0.08/1000</f>
        <v>8.0000000000000007E-5</v>
      </c>
      <c r="F26" s="153">
        <f>E26*F23</f>
        <v>8.2400000000000008E-3</v>
      </c>
      <c r="G26" s="88"/>
      <c r="H26" s="35"/>
      <c r="I26" s="35"/>
      <c r="J26" s="35"/>
      <c r="K26" s="120"/>
      <c r="L26" s="35"/>
      <c r="M26" s="26"/>
    </row>
    <row r="27" spans="1:13" s="22" customFormat="1" ht="13.5" customHeight="1">
      <c r="A27" s="276"/>
      <c r="B27" s="25" t="s">
        <v>82</v>
      </c>
      <c r="C27" s="105" t="s">
        <v>89</v>
      </c>
      <c r="D27" s="20" t="s">
        <v>17</v>
      </c>
      <c r="E27" s="106"/>
      <c r="F27" s="233">
        <f>F21*2.8</f>
        <v>288.39999999999998</v>
      </c>
      <c r="G27" s="123"/>
      <c r="H27" s="123"/>
      <c r="I27" s="122"/>
      <c r="J27" s="123"/>
      <c r="K27" s="110"/>
      <c r="L27" s="16"/>
      <c r="M27" s="16"/>
    </row>
    <row r="28" spans="1:13" s="22" customFormat="1" ht="18" customHeight="1">
      <c r="A28" s="274" t="s">
        <v>21</v>
      </c>
      <c r="B28" s="25" t="s">
        <v>115</v>
      </c>
      <c r="C28" s="38" t="s">
        <v>417</v>
      </c>
      <c r="D28" s="149" t="s">
        <v>80</v>
      </c>
      <c r="E28" s="20"/>
      <c r="F28" s="117">
        <v>65</v>
      </c>
      <c r="G28" s="39"/>
      <c r="H28" s="79"/>
      <c r="I28" s="118"/>
      <c r="J28" s="16"/>
      <c r="K28" s="23"/>
      <c r="L28" s="16"/>
      <c r="M28" s="16"/>
    </row>
    <row r="29" spans="1:13" s="22" customFormat="1" ht="13.5" customHeight="1">
      <c r="A29" s="275"/>
      <c r="B29" s="25"/>
      <c r="C29" s="105" t="s">
        <v>538</v>
      </c>
      <c r="D29" s="20" t="s">
        <v>15</v>
      </c>
      <c r="E29" s="106">
        <f>1.37*1.05</f>
        <v>1.4385000000000001</v>
      </c>
      <c r="F29" s="97">
        <f>E29*F28</f>
        <v>93.502500000000012</v>
      </c>
      <c r="G29" s="99"/>
      <c r="H29" s="107"/>
      <c r="I29" s="88"/>
      <c r="J29" s="35"/>
      <c r="K29" s="26"/>
      <c r="L29" s="35"/>
      <c r="M29" s="26"/>
    </row>
    <row r="30" spans="1:13" s="22" customFormat="1" ht="13.5" customHeight="1">
      <c r="A30" s="275"/>
      <c r="B30" s="25"/>
      <c r="C30" s="105" t="s">
        <v>28</v>
      </c>
      <c r="D30" s="20" t="s">
        <v>16</v>
      </c>
      <c r="E30" s="106">
        <v>0.28299999999999997</v>
      </c>
      <c r="F30" s="152">
        <f>E30*F28</f>
        <v>18.395</v>
      </c>
      <c r="G30" s="123"/>
      <c r="H30" s="123"/>
      <c r="I30" s="122"/>
      <c r="J30" s="27"/>
      <c r="K30" s="18"/>
      <c r="L30" s="26"/>
      <c r="M30" s="26"/>
    </row>
    <row r="31" spans="1:13" s="22" customFormat="1" ht="13.5" customHeight="1">
      <c r="A31" s="275"/>
      <c r="B31" s="25" t="s">
        <v>225</v>
      </c>
      <c r="C31" s="38" t="s">
        <v>498</v>
      </c>
      <c r="D31" s="149" t="s">
        <v>80</v>
      </c>
      <c r="E31" s="20">
        <v>1.02</v>
      </c>
      <c r="F31" s="97">
        <f>E31*F28</f>
        <v>66.3</v>
      </c>
      <c r="G31" s="150"/>
      <c r="H31" s="35"/>
      <c r="I31" s="18"/>
      <c r="J31" s="26"/>
      <c r="K31" s="26"/>
      <c r="L31" s="26"/>
      <c r="M31" s="26"/>
    </row>
    <row r="32" spans="1:13" s="22" customFormat="1" ht="13.5" customHeight="1">
      <c r="A32" s="275"/>
      <c r="B32" s="25"/>
      <c r="C32" s="38" t="s">
        <v>23</v>
      </c>
      <c r="D32" s="20" t="s">
        <v>16</v>
      </c>
      <c r="E32" s="20">
        <v>0.62</v>
      </c>
      <c r="F32" s="97">
        <f>E32*F28</f>
        <v>40.299999999999997</v>
      </c>
      <c r="G32" s="18"/>
      <c r="H32" s="35"/>
      <c r="I32" s="27"/>
      <c r="J32" s="27"/>
      <c r="K32" s="27"/>
      <c r="L32" s="26"/>
      <c r="M32" s="26"/>
    </row>
    <row r="33" spans="1:13" s="22" customFormat="1" ht="22.5" customHeight="1">
      <c r="A33" s="271" t="s">
        <v>83</v>
      </c>
      <c r="B33" s="25" t="s">
        <v>175</v>
      </c>
      <c r="C33" s="38" t="s">
        <v>176</v>
      </c>
      <c r="D33" s="33" t="s">
        <v>80</v>
      </c>
      <c r="E33" s="20"/>
      <c r="F33" s="97">
        <v>366.6</v>
      </c>
      <c r="G33" s="39"/>
      <c r="H33" s="40"/>
      <c r="I33" s="118"/>
      <c r="J33" s="16"/>
      <c r="K33" s="23"/>
      <c r="L33" s="16"/>
      <c r="M33" s="16"/>
    </row>
    <row r="34" spans="1:13" s="22" customFormat="1" ht="13.5" customHeight="1">
      <c r="A34" s="272"/>
      <c r="B34" s="25"/>
      <c r="C34" s="90" t="s">
        <v>394</v>
      </c>
      <c r="D34" s="41" t="s">
        <v>15</v>
      </c>
      <c r="E34" s="106">
        <f>5.65*1.15</f>
        <v>6.4974999999999996</v>
      </c>
      <c r="F34" s="233">
        <f>E34*F33</f>
        <v>2381.9834999999998</v>
      </c>
      <c r="G34" s="123"/>
      <c r="H34" s="123"/>
      <c r="I34" s="88"/>
      <c r="J34" s="26"/>
      <c r="K34" s="26"/>
      <c r="L34" s="27"/>
      <c r="M34" s="26"/>
    </row>
    <row r="35" spans="1:13" s="22" customFormat="1" ht="13.5" customHeight="1">
      <c r="A35" s="272"/>
      <c r="B35" s="25" t="s">
        <v>132</v>
      </c>
      <c r="C35" s="105" t="s">
        <v>395</v>
      </c>
      <c r="D35" s="20" t="s">
        <v>20</v>
      </c>
      <c r="E35" s="110">
        <f>0.82*1.15</f>
        <v>0.94299999999999984</v>
      </c>
      <c r="F35" s="97">
        <f>E35*F33</f>
        <v>345.70379999999994</v>
      </c>
      <c r="G35" s="88"/>
      <c r="H35" s="35"/>
      <c r="I35" s="88"/>
      <c r="J35" s="35"/>
      <c r="K35" s="26"/>
      <c r="L35" s="35"/>
      <c r="M35" s="26"/>
    </row>
    <row r="36" spans="1:13" s="22" customFormat="1" ht="13.5" customHeight="1">
      <c r="A36" s="272"/>
      <c r="B36" s="25"/>
      <c r="C36" s="105" t="s">
        <v>78</v>
      </c>
      <c r="D36" s="20" t="s">
        <v>16</v>
      </c>
      <c r="E36" s="110">
        <v>0.73</v>
      </c>
      <c r="F36" s="97">
        <f>E36*F33</f>
        <v>267.61799999999999</v>
      </c>
      <c r="G36" s="88"/>
      <c r="H36" s="35"/>
      <c r="I36" s="88"/>
      <c r="J36" s="35"/>
      <c r="K36" s="18"/>
      <c r="L36" s="35"/>
      <c r="M36" s="26"/>
    </row>
    <row r="37" spans="1:13" s="22" customFormat="1" ht="15.75" customHeight="1">
      <c r="A37" s="272"/>
      <c r="B37" s="25" t="s">
        <v>177</v>
      </c>
      <c r="C37" s="38" t="s">
        <v>179</v>
      </c>
      <c r="D37" s="33" t="s">
        <v>80</v>
      </c>
      <c r="E37" s="20"/>
      <c r="F37" s="97">
        <f>F33</f>
        <v>366.6</v>
      </c>
      <c r="G37" s="150"/>
      <c r="H37" s="88"/>
      <c r="I37" s="27"/>
      <c r="J37" s="27"/>
      <c r="K37" s="27"/>
      <c r="L37" s="26"/>
      <c r="M37" s="18"/>
    </row>
    <row r="38" spans="1:13" s="22" customFormat="1" ht="16.5" customHeight="1">
      <c r="A38" s="273"/>
      <c r="B38" s="103" t="s">
        <v>419</v>
      </c>
      <c r="C38" s="105" t="s">
        <v>129</v>
      </c>
      <c r="D38" s="20" t="s">
        <v>80</v>
      </c>
      <c r="E38" s="165">
        <v>2.0899999999999998E-2</v>
      </c>
      <c r="F38" s="97">
        <f>E38*F33</f>
        <v>7.6619399999999995</v>
      </c>
      <c r="G38" s="155"/>
      <c r="H38" s="35"/>
      <c r="I38" s="88"/>
      <c r="J38" s="35"/>
      <c r="K38" s="26"/>
      <c r="L38" s="35"/>
      <c r="M38" s="26"/>
    </row>
    <row r="39" spans="1:13" s="22" customFormat="1" ht="16.5" customHeight="1">
      <c r="A39" s="271" t="s">
        <v>22</v>
      </c>
      <c r="B39" s="15" t="s">
        <v>126</v>
      </c>
      <c r="C39" s="102" t="s">
        <v>127</v>
      </c>
      <c r="D39" s="20" t="s">
        <v>24</v>
      </c>
      <c r="E39" s="15"/>
      <c r="F39" s="238">
        <v>3400</v>
      </c>
      <c r="G39" s="103"/>
      <c r="H39" s="104"/>
      <c r="I39" s="104"/>
      <c r="J39" s="104"/>
      <c r="K39" s="104"/>
      <c r="L39" s="104"/>
      <c r="M39" s="104"/>
    </row>
    <row r="40" spans="1:13" s="22" customFormat="1" ht="16.5" customHeight="1">
      <c r="A40" s="272"/>
      <c r="B40" s="15"/>
      <c r="C40" s="112" t="s">
        <v>539</v>
      </c>
      <c r="D40" s="113" t="s">
        <v>15</v>
      </c>
      <c r="E40" s="108">
        <f>1.15*0.564</f>
        <v>0.64859999999999984</v>
      </c>
      <c r="F40" s="114">
        <f>E40*F39</f>
        <v>2205.2399999999993</v>
      </c>
      <c r="G40" s="114"/>
      <c r="H40" s="115"/>
      <c r="I40" s="35"/>
      <c r="J40" s="114"/>
      <c r="K40" s="115"/>
      <c r="L40" s="115"/>
      <c r="M40" s="114"/>
    </row>
    <row r="41" spans="1:13" s="22" customFormat="1" ht="16.5" customHeight="1">
      <c r="A41" s="272"/>
      <c r="B41" s="15"/>
      <c r="C41" s="112" t="s">
        <v>78</v>
      </c>
      <c r="D41" s="96" t="s">
        <v>16</v>
      </c>
      <c r="E41" s="5">
        <v>4.0899999999999999E-2</v>
      </c>
      <c r="F41" s="153">
        <f>E41*F39</f>
        <v>139.06</v>
      </c>
      <c r="G41" s="96"/>
      <c r="H41" s="96"/>
      <c r="I41" s="117"/>
      <c r="J41" s="96"/>
      <c r="K41" s="18"/>
      <c r="L41" s="35"/>
      <c r="M41" s="97"/>
    </row>
    <row r="42" spans="1:13" s="22" customFormat="1" ht="16.5" customHeight="1">
      <c r="A42" s="272"/>
      <c r="B42" s="69" t="s">
        <v>420</v>
      </c>
      <c r="C42" s="151" t="s">
        <v>128</v>
      </c>
      <c r="D42" s="37" t="s">
        <v>17</v>
      </c>
      <c r="E42" s="5">
        <v>4.4999999999999997E-3</v>
      </c>
      <c r="F42" s="153">
        <f>E42*F39</f>
        <v>15.299999999999999</v>
      </c>
      <c r="G42" s="88"/>
      <c r="H42" s="35"/>
      <c r="I42" s="37"/>
      <c r="J42" s="37"/>
      <c r="K42" s="37"/>
      <c r="L42" s="37"/>
      <c r="M42" s="35"/>
    </row>
    <row r="43" spans="1:13" s="22" customFormat="1" ht="16.5" customHeight="1">
      <c r="A43" s="272"/>
      <c r="B43" s="103" t="s">
        <v>419</v>
      </c>
      <c r="C43" s="151" t="s">
        <v>129</v>
      </c>
      <c r="D43" s="20" t="s">
        <v>80</v>
      </c>
      <c r="E43" s="5">
        <v>7.4999999999999997E-3</v>
      </c>
      <c r="F43" s="153">
        <f>E43*F39</f>
        <v>25.5</v>
      </c>
      <c r="G43" s="88"/>
      <c r="H43" s="35"/>
      <c r="I43" s="37"/>
      <c r="J43" s="37"/>
      <c r="K43" s="37"/>
      <c r="L43" s="37"/>
      <c r="M43" s="35"/>
    </row>
    <row r="44" spans="1:13" s="22" customFormat="1" ht="16.5" customHeight="1">
      <c r="A44" s="273"/>
      <c r="B44" s="15"/>
      <c r="C44" s="105" t="s">
        <v>23</v>
      </c>
      <c r="D44" s="20" t="s">
        <v>16</v>
      </c>
      <c r="E44" s="108">
        <v>0.26500000000000001</v>
      </c>
      <c r="F44" s="97">
        <f>E44*F39</f>
        <v>901</v>
      </c>
      <c r="G44" s="18"/>
      <c r="H44" s="35"/>
      <c r="I44" s="107"/>
      <c r="J44" s="154"/>
      <c r="K44" s="107"/>
      <c r="L44" s="107"/>
      <c r="M44" s="35"/>
    </row>
    <row r="45" spans="1:13" s="22" customFormat="1" ht="33" customHeight="1">
      <c r="A45" s="271" t="s">
        <v>84</v>
      </c>
      <c r="B45" s="27" t="s">
        <v>191</v>
      </c>
      <c r="C45" s="140" t="s">
        <v>190</v>
      </c>
      <c r="D45" s="96" t="s">
        <v>17</v>
      </c>
      <c r="E45" s="116"/>
      <c r="F45" s="239">
        <v>1.069</v>
      </c>
      <c r="G45" s="117"/>
      <c r="H45" s="40"/>
      <c r="I45" s="23"/>
      <c r="J45" s="23"/>
      <c r="K45" s="23"/>
      <c r="L45" s="162"/>
      <c r="M45" s="162"/>
    </row>
    <row r="46" spans="1:13" s="22" customFormat="1" ht="16.5" customHeight="1">
      <c r="A46" s="272"/>
      <c r="B46" s="27" t="s">
        <v>192</v>
      </c>
      <c r="C46" s="140" t="s">
        <v>540</v>
      </c>
      <c r="D46" s="96" t="s">
        <v>20</v>
      </c>
      <c r="E46" s="116">
        <f>0.3*1.05</f>
        <v>0.315</v>
      </c>
      <c r="F46" s="239">
        <f>E46*F45</f>
        <v>0.33673500000000001</v>
      </c>
      <c r="G46" s="117"/>
      <c r="H46" s="35"/>
      <c r="I46" s="27"/>
      <c r="J46" s="27"/>
      <c r="K46" s="27"/>
      <c r="L46" s="97"/>
      <c r="M46" s="97"/>
    </row>
    <row r="47" spans="1:13" s="22" customFormat="1" ht="16.5" customHeight="1">
      <c r="A47" s="273"/>
      <c r="B47" s="169" t="s">
        <v>189</v>
      </c>
      <c r="C47" s="140" t="s">
        <v>128</v>
      </c>
      <c r="D47" s="96" t="s">
        <v>17</v>
      </c>
      <c r="E47" s="116">
        <v>1.03</v>
      </c>
      <c r="F47" s="239">
        <f>E47*F45</f>
        <v>1.10107</v>
      </c>
      <c r="G47" s="117"/>
      <c r="H47" s="35"/>
      <c r="I47" s="27"/>
      <c r="J47" s="27"/>
      <c r="K47" s="27"/>
      <c r="L47" s="97"/>
      <c r="M47" s="97"/>
    </row>
    <row r="48" spans="1:13" s="22" customFormat="1" ht="34.5" customHeight="1">
      <c r="A48" s="75" t="s">
        <v>125</v>
      </c>
      <c r="B48" s="168"/>
      <c r="C48" s="105" t="s">
        <v>421</v>
      </c>
      <c r="D48" s="20"/>
      <c r="E48" s="165"/>
      <c r="F48" s="97"/>
      <c r="G48" s="155"/>
      <c r="H48" s="35"/>
      <c r="I48" s="88"/>
      <c r="J48" s="35"/>
      <c r="K48" s="26"/>
      <c r="L48" s="35"/>
      <c r="M48" s="26"/>
    </row>
    <row r="49" spans="1:13" s="22" customFormat="1" ht="34.5" customHeight="1">
      <c r="A49" s="271" t="s">
        <v>193</v>
      </c>
      <c r="B49" s="69" t="s">
        <v>414</v>
      </c>
      <c r="C49" s="105" t="s">
        <v>604</v>
      </c>
      <c r="D49" s="20" t="s">
        <v>80</v>
      </c>
      <c r="E49" s="165"/>
      <c r="F49" s="117">
        <v>600</v>
      </c>
      <c r="G49" s="155"/>
      <c r="H49" s="35"/>
      <c r="I49" s="88"/>
      <c r="J49" s="40"/>
      <c r="K49" s="16"/>
      <c r="L49" s="40"/>
      <c r="M49" s="16"/>
    </row>
    <row r="50" spans="1:13" s="22" customFormat="1" ht="16.5" customHeight="1">
      <c r="A50" s="272"/>
      <c r="B50" s="25"/>
      <c r="C50" s="105" t="s">
        <v>534</v>
      </c>
      <c r="D50" s="41" t="s">
        <v>15</v>
      </c>
      <c r="E50" s="20">
        <f>0.016*1.15</f>
        <v>1.84E-2</v>
      </c>
      <c r="F50" s="97">
        <f>E50*F49</f>
        <v>11.04</v>
      </c>
      <c r="G50" s="99"/>
      <c r="H50" s="100"/>
      <c r="I50" s="35"/>
      <c r="J50" s="35"/>
      <c r="K50" s="35"/>
      <c r="L50" s="99"/>
      <c r="M50" s="35"/>
    </row>
    <row r="51" spans="1:13" s="22" customFormat="1" ht="16.5" customHeight="1">
      <c r="A51" s="273"/>
      <c r="B51" s="25" t="s">
        <v>100</v>
      </c>
      <c r="C51" s="105" t="s">
        <v>535</v>
      </c>
      <c r="D51" s="20" t="s">
        <v>85</v>
      </c>
      <c r="E51" s="21">
        <f>0.0359*1.05</f>
        <v>3.7695000000000006E-2</v>
      </c>
      <c r="F51" s="153">
        <f>E51*F49</f>
        <v>22.617000000000004</v>
      </c>
      <c r="G51" s="99"/>
      <c r="H51" s="100"/>
      <c r="I51" s="35"/>
      <c r="J51" s="35"/>
      <c r="K51" s="110"/>
      <c r="L51" s="35"/>
      <c r="M51" s="26"/>
    </row>
    <row r="52" spans="1:13" s="22" customFormat="1" ht="36.75" customHeight="1">
      <c r="A52" s="271" t="s">
        <v>194</v>
      </c>
      <c r="B52" s="25" t="s">
        <v>117</v>
      </c>
      <c r="C52" s="190" t="s">
        <v>118</v>
      </c>
      <c r="D52" s="33" t="s">
        <v>80</v>
      </c>
      <c r="E52" s="20"/>
      <c r="F52" s="117">
        <f>F49</f>
        <v>600</v>
      </c>
      <c r="G52" s="39"/>
      <c r="H52" s="37"/>
      <c r="I52" s="27"/>
      <c r="J52" s="27"/>
      <c r="K52" s="27"/>
      <c r="L52" s="16"/>
      <c r="M52" s="16"/>
    </row>
    <row r="53" spans="1:13" s="22" customFormat="1" ht="16.5" customHeight="1">
      <c r="A53" s="273"/>
      <c r="B53" s="25" t="s">
        <v>119</v>
      </c>
      <c r="C53" s="190" t="s">
        <v>120</v>
      </c>
      <c r="D53" s="20" t="s">
        <v>20</v>
      </c>
      <c r="E53" s="20">
        <f>1.85*6*0.001</f>
        <v>1.1100000000000002E-2</v>
      </c>
      <c r="F53" s="153">
        <f>E53*F52</f>
        <v>6.660000000000001</v>
      </c>
      <c r="G53" s="39"/>
      <c r="H53" s="37"/>
      <c r="I53" s="27"/>
      <c r="J53" s="27"/>
      <c r="K53" s="27"/>
      <c r="L53" s="26"/>
      <c r="M53" s="26"/>
    </row>
    <row r="54" spans="1:13" s="22" customFormat="1" ht="16.5" customHeight="1">
      <c r="A54" s="271"/>
      <c r="B54" s="25" t="s">
        <v>102</v>
      </c>
      <c r="C54" s="190" t="s">
        <v>393</v>
      </c>
      <c r="D54" s="20" t="s">
        <v>20</v>
      </c>
      <c r="E54" s="20">
        <f>10.5*0.001*1.05</f>
        <v>1.1025000000000002E-2</v>
      </c>
      <c r="F54" s="153">
        <f>E54*F52</f>
        <v>6.6150000000000011</v>
      </c>
      <c r="G54" s="39"/>
      <c r="H54" s="37"/>
      <c r="I54" s="27"/>
      <c r="J54" s="27"/>
      <c r="K54" s="27"/>
      <c r="L54" s="26"/>
      <c r="M54" s="26"/>
    </row>
    <row r="55" spans="1:13" s="22" customFormat="1" ht="16.5" customHeight="1">
      <c r="A55" s="273"/>
      <c r="B55" s="25" t="s">
        <v>122</v>
      </c>
      <c r="C55" s="190" t="s">
        <v>555</v>
      </c>
      <c r="D55" s="20" t="s">
        <v>20</v>
      </c>
      <c r="E55" s="20">
        <f>1.85*6*0.001*1.05</f>
        <v>1.1655000000000002E-2</v>
      </c>
      <c r="F55" s="153">
        <f>E55*F52</f>
        <v>6.9930000000000012</v>
      </c>
      <c r="G55" s="39"/>
      <c r="H55" s="37"/>
      <c r="I55" s="27"/>
      <c r="J55" s="27"/>
      <c r="K55" s="26"/>
      <c r="L55" s="26"/>
      <c r="M55" s="26"/>
    </row>
    <row r="56" spans="1:13" s="22" customFormat="1" ht="45.75" customHeight="1">
      <c r="A56" s="271" t="s">
        <v>211</v>
      </c>
      <c r="B56" s="25" t="s">
        <v>167</v>
      </c>
      <c r="C56" s="105" t="s">
        <v>605</v>
      </c>
      <c r="D56" s="33" t="s">
        <v>80</v>
      </c>
      <c r="E56" s="21"/>
      <c r="F56" s="117">
        <f>928-600</f>
        <v>328</v>
      </c>
      <c r="G56" s="21"/>
      <c r="H56" s="40"/>
      <c r="I56" s="120"/>
      <c r="J56" s="40"/>
      <c r="K56" s="20"/>
      <c r="L56" s="40"/>
      <c r="M56" s="121"/>
    </row>
    <row r="57" spans="1:13" s="22" customFormat="1" ht="16.5" customHeight="1">
      <c r="A57" s="272"/>
      <c r="B57" s="25"/>
      <c r="C57" s="90" t="s">
        <v>526</v>
      </c>
      <c r="D57" s="41" t="s">
        <v>15</v>
      </c>
      <c r="E57" s="20">
        <f>0.0188*1.15</f>
        <v>2.162E-2</v>
      </c>
      <c r="F57" s="114">
        <f>E57*F56</f>
        <v>7.0913599999999999</v>
      </c>
      <c r="G57" s="26"/>
      <c r="H57" s="27"/>
      <c r="I57" s="26"/>
      <c r="J57" s="26"/>
      <c r="K57" s="27"/>
      <c r="L57" s="27"/>
      <c r="M57" s="26"/>
    </row>
    <row r="58" spans="1:13" s="22" customFormat="1" ht="16.5" customHeight="1">
      <c r="A58" s="272"/>
      <c r="B58" s="25" t="s">
        <v>166</v>
      </c>
      <c r="C58" s="105" t="s">
        <v>527</v>
      </c>
      <c r="D58" s="20" t="s">
        <v>85</v>
      </c>
      <c r="E58" s="21">
        <f>0.042*1.05</f>
        <v>4.4100000000000007E-2</v>
      </c>
      <c r="F58" s="97">
        <f>E58*F56</f>
        <v>14.464800000000002</v>
      </c>
      <c r="G58" s="21"/>
      <c r="H58" s="35"/>
      <c r="I58" s="20"/>
      <c r="J58" s="35"/>
      <c r="K58" s="110"/>
      <c r="L58" s="35"/>
      <c r="M58" s="110"/>
    </row>
    <row r="59" spans="1:13" s="22" customFormat="1" ht="16.5" customHeight="1">
      <c r="A59" s="272"/>
      <c r="B59" s="25"/>
      <c r="C59" s="105" t="s">
        <v>28</v>
      </c>
      <c r="D59" s="20" t="s">
        <v>16</v>
      </c>
      <c r="E59" s="21">
        <v>2.7399999999999998E-3</v>
      </c>
      <c r="F59" s="97">
        <f>E59*F56</f>
        <v>0.89871999999999996</v>
      </c>
      <c r="G59" s="21"/>
      <c r="H59" s="35"/>
      <c r="I59" s="20"/>
      <c r="J59" s="35"/>
      <c r="K59" s="120"/>
      <c r="L59" s="35"/>
      <c r="M59" s="110"/>
    </row>
    <row r="60" spans="1:13" s="22" customFormat="1" ht="16.5" customHeight="1">
      <c r="A60" s="272"/>
      <c r="B60" s="25" t="s">
        <v>225</v>
      </c>
      <c r="C60" s="105" t="s">
        <v>514</v>
      </c>
      <c r="D60" s="33" t="s">
        <v>80</v>
      </c>
      <c r="E60" s="106">
        <f>0.09/1000</f>
        <v>8.9999999999999992E-5</v>
      </c>
      <c r="F60" s="153">
        <f>E60*F56</f>
        <v>2.9519999999999998E-2</v>
      </c>
      <c r="G60" s="88"/>
      <c r="H60" s="35"/>
      <c r="I60" s="20"/>
      <c r="J60" s="35"/>
      <c r="K60" s="120"/>
      <c r="L60" s="35"/>
      <c r="M60" s="110"/>
    </row>
    <row r="61" spans="1:13" s="22" customFormat="1" ht="16.5" customHeight="1">
      <c r="A61" s="272"/>
      <c r="B61" s="25" t="s">
        <v>169</v>
      </c>
      <c r="C61" s="105" t="s">
        <v>87</v>
      </c>
      <c r="D61" s="33" t="s">
        <v>80</v>
      </c>
      <c r="E61" s="21"/>
      <c r="F61" s="97">
        <f>F56</f>
        <v>328</v>
      </c>
      <c r="G61" s="227"/>
      <c r="H61" s="40"/>
      <c r="I61" s="120"/>
      <c r="J61" s="35"/>
      <c r="K61" s="20"/>
      <c r="L61" s="40"/>
      <c r="M61" s="121"/>
    </row>
    <row r="62" spans="1:13" s="22" customFormat="1" ht="16.5" customHeight="1">
      <c r="A62" s="272"/>
      <c r="B62" s="25" t="s">
        <v>170</v>
      </c>
      <c r="C62" s="105" t="s">
        <v>392</v>
      </c>
      <c r="D62" s="20" t="s">
        <v>85</v>
      </c>
      <c r="E62" s="21">
        <f>0.0104*1.15</f>
        <v>1.1959999999999998E-2</v>
      </c>
      <c r="F62" s="97">
        <f>E62*F61</f>
        <v>3.9228799999999993</v>
      </c>
      <c r="G62" s="227"/>
      <c r="H62" s="35"/>
      <c r="I62" s="20"/>
      <c r="J62" s="35"/>
      <c r="K62" s="27"/>
      <c r="L62" s="35"/>
      <c r="M62" s="110"/>
    </row>
    <row r="63" spans="1:13" s="22" customFormat="1" ht="16.5" customHeight="1">
      <c r="A63" s="272"/>
      <c r="B63" s="25"/>
      <c r="C63" s="105" t="s">
        <v>28</v>
      </c>
      <c r="D63" s="20" t="s">
        <v>16</v>
      </c>
      <c r="E63" s="21">
        <f>0.24/1000</f>
        <v>2.3999999999999998E-4</v>
      </c>
      <c r="F63" s="97">
        <f>E63*F61</f>
        <v>7.8719999999999998E-2</v>
      </c>
      <c r="G63" s="227"/>
      <c r="H63" s="35"/>
      <c r="I63" s="20"/>
      <c r="J63" s="35"/>
      <c r="K63" s="18"/>
      <c r="L63" s="35"/>
      <c r="M63" s="110"/>
    </row>
    <row r="64" spans="1:13" s="22" customFormat="1" ht="16.5" customHeight="1">
      <c r="A64" s="272"/>
      <c r="B64" s="25" t="s">
        <v>225</v>
      </c>
      <c r="C64" s="105" t="s">
        <v>514</v>
      </c>
      <c r="D64" s="33" t="s">
        <v>80</v>
      </c>
      <c r="E64" s="106">
        <f>0.08/1000</f>
        <v>8.0000000000000007E-5</v>
      </c>
      <c r="F64" s="153">
        <f>E64*F61</f>
        <v>2.6240000000000003E-2</v>
      </c>
      <c r="G64" s="88"/>
      <c r="H64" s="35"/>
      <c r="I64" s="20"/>
      <c r="J64" s="35"/>
      <c r="K64" s="120"/>
      <c r="L64" s="35"/>
      <c r="M64" s="110"/>
    </row>
    <row r="65" spans="1:13" s="22" customFormat="1" ht="16.5" customHeight="1">
      <c r="A65" s="273"/>
      <c r="B65" s="25" t="s">
        <v>82</v>
      </c>
      <c r="C65" s="105" t="s">
        <v>89</v>
      </c>
      <c r="D65" s="20" t="s">
        <v>17</v>
      </c>
      <c r="E65" s="21"/>
      <c r="F65" s="233">
        <f>F56*2.8</f>
        <v>918.4</v>
      </c>
      <c r="G65" s="21"/>
      <c r="H65" s="35"/>
      <c r="I65" s="20"/>
      <c r="J65" s="35"/>
      <c r="K65" s="110"/>
      <c r="L65" s="40"/>
      <c r="M65" s="121"/>
    </row>
    <row r="66" spans="1:13" s="22" customFormat="1" ht="16.5" customHeight="1">
      <c r="A66" s="75"/>
      <c r="B66" s="103"/>
      <c r="C66" s="174" t="s">
        <v>424</v>
      </c>
      <c r="D66" s="20"/>
      <c r="E66" s="165"/>
      <c r="F66" s="97"/>
      <c r="G66" s="155"/>
      <c r="H66" s="35"/>
      <c r="I66" s="88"/>
      <c r="J66" s="35"/>
      <c r="K66" s="26"/>
      <c r="L66" s="35"/>
      <c r="M66" s="26"/>
    </row>
    <row r="67" spans="1:13" s="22" customFormat="1" ht="56.25" customHeight="1">
      <c r="A67" s="271" t="s">
        <v>217</v>
      </c>
      <c r="B67" s="25" t="s">
        <v>165</v>
      </c>
      <c r="C67" s="105" t="s">
        <v>601</v>
      </c>
      <c r="D67" s="33" t="s">
        <v>80</v>
      </c>
      <c r="E67" s="21"/>
      <c r="F67" s="117">
        <v>3367</v>
      </c>
      <c r="G67" s="21"/>
      <c r="H67" s="35"/>
      <c r="I67" s="120"/>
      <c r="J67" s="35"/>
      <c r="K67" s="20"/>
      <c r="L67" s="40"/>
      <c r="M67" s="121"/>
    </row>
    <row r="68" spans="1:13" s="22" customFormat="1" ht="18.75" customHeight="1">
      <c r="A68" s="273"/>
      <c r="B68" s="25" t="s">
        <v>166</v>
      </c>
      <c r="C68" s="163" t="s">
        <v>523</v>
      </c>
      <c r="D68" s="159" t="s">
        <v>20</v>
      </c>
      <c r="E68" s="33">
        <f>16.33/100*1.05</f>
        <v>0.17146499999999998</v>
      </c>
      <c r="F68" s="97">
        <f>E68*F67</f>
        <v>577.32265499999994</v>
      </c>
      <c r="G68" s="26"/>
      <c r="H68" s="26"/>
      <c r="I68" s="159"/>
      <c r="J68" s="159"/>
      <c r="K68" s="110"/>
      <c r="L68" s="35"/>
      <c r="M68" s="26"/>
    </row>
    <row r="69" spans="1:13" s="22" customFormat="1" ht="48.75" customHeight="1">
      <c r="A69" s="271" t="s">
        <v>227</v>
      </c>
      <c r="B69" s="25" t="s">
        <v>414</v>
      </c>
      <c r="C69" s="190" t="s">
        <v>413</v>
      </c>
      <c r="D69" s="33" t="s">
        <v>80</v>
      </c>
      <c r="E69" s="21"/>
      <c r="F69" s="117">
        <f>F67</f>
        <v>3367</v>
      </c>
      <c r="G69" s="21"/>
      <c r="H69" s="35"/>
      <c r="I69" s="120"/>
      <c r="J69" s="40"/>
      <c r="K69" s="20"/>
      <c r="L69" s="40"/>
      <c r="M69" s="121"/>
    </row>
    <row r="70" spans="1:13" s="22" customFormat="1" ht="16.5" customHeight="1">
      <c r="A70" s="272"/>
      <c r="B70" s="25"/>
      <c r="C70" s="105" t="s">
        <v>534</v>
      </c>
      <c r="D70" s="41" t="s">
        <v>15</v>
      </c>
      <c r="E70" s="20">
        <f>0.016*1.15</f>
        <v>1.84E-2</v>
      </c>
      <c r="F70" s="97">
        <f>E70*F69</f>
        <v>61.952799999999996</v>
      </c>
      <c r="G70" s="99"/>
      <c r="H70" s="100"/>
      <c r="I70" s="35"/>
      <c r="J70" s="35"/>
      <c r="K70" s="35"/>
      <c r="L70" s="99"/>
      <c r="M70" s="35"/>
    </row>
    <row r="71" spans="1:13" s="22" customFormat="1" ht="16.5" customHeight="1">
      <c r="A71" s="273"/>
      <c r="B71" s="25" t="s">
        <v>100</v>
      </c>
      <c r="C71" s="105" t="s">
        <v>535</v>
      </c>
      <c r="D71" s="20" t="s">
        <v>85</v>
      </c>
      <c r="E71" s="21">
        <f>0.0359*1.05</f>
        <v>3.7695000000000006E-2</v>
      </c>
      <c r="F71" s="153">
        <f>E71*F69</f>
        <v>126.91906500000002</v>
      </c>
      <c r="G71" s="99"/>
      <c r="H71" s="100"/>
      <c r="I71" s="35"/>
      <c r="J71" s="35"/>
      <c r="K71" s="110"/>
      <c r="L71" s="35"/>
      <c r="M71" s="26"/>
    </row>
    <row r="72" spans="1:13" s="22" customFormat="1" ht="42.75" customHeight="1">
      <c r="A72" s="75" t="s">
        <v>243</v>
      </c>
      <c r="B72" s="215"/>
      <c r="C72" s="105" t="s">
        <v>409</v>
      </c>
      <c r="D72" s="20"/>
      <c r="E72" s="33"/>
      <c r="F72" s="117"/>
      <c r="G72" s="21"/>
      <c r="H72" s="35"/>
      <c r="I72" s="20"/>
      <c r="J72" s="35"/>
      <c r="K72" s="20"/>
      <c r="L72" s="40"/>
      <c r="M72" s="121"/>
    </row>
    <row r="73" spans="1:13" s="22" customFormat="1" ht="46.5" customHeight="1">
      <c r="A73" s="271" t="s">
        <v>251</v>
      </c>
      <c r="B73" s="25" t="s">
        <v>171</v>
      </c>
      <c r="C73" s="190" t="s">
        <v>606</v>
      </c>
      <c r="D73" s="20" t="s">
        <v>80</v>
      </c>
      <c r="E73" s="33"/>
      <c r="F73" s="117">
        <v>374</v>
      </c>
      <c r="G73" s="39"/>
      <c r="H73" s="37"/>
      <c r="I73" s="27"/>
      <c r="J73" s="16"/>
      <c r="K73" s="23"/>
      <c r="L73" s="16"/>
      <c r="M73" s="16"/>
    </row>
    <row r="74" spans="1:13" s="22" customFormat="1" ht="16.5" customHeight="1">
      <c r="A74" s="272"/>
      <c r="B74" s="25"/>
      <c r="C74" s="105" t="s">
        <v>529</v>
      </c>
      <c r="D74" s="41" t="s">
        <v>15</v>
      </c>
      <c r="E74" s="119">
        <f>8.6*1.15</f>
        <v>9.8899999999999988</v>
      </c>
      <c r="F74" s="114">
        <f>E74*F73</f>
        <v>3698.8599999999997</v>
      </c>
      <c r="G74" s="26"/>
      <c r="H74" s="27"/>
      <c r="I74" s="26"/>
      <c r="J74" s="26"/>
      <c r="K74" s="27"/>
      <c r="L74" s="27"/>
      <c r="M74" s="26"/>
    </row>
    <row r="75" spans="1:13" s="22" customFormat="1" ht="16.5" customHeight="1">
      <c r="A75" s="273"/>
      <c r="B75" s="25" t="s">
        <v>172</v>
      </c>
      <c r="C75" s="190" t="s">
        <v>530</v>
      </c>
      <c r="D75" s="20" t="s">
        <v>85</v>
      </c>
      <c r="E75" s="119">
        <f>6.7*1.05</f>
        <v>7.0350000000000001</v>
      </c>
      <c r="F75" s="97">
        <f>E75*F73</f>
        <v>2631.09</v>
      </c>
      <c r="G75" s="21"/>
      <c r="H75" s="35"/>
      <c r="I75" s="20"/>
      <c r="J75" s="35"/>
      <c r="K75" s="110"/>
      <c r="L75" s="35"/>
      <c r="M75" s="110"/>
    </row>
    <row r="76" spans="1:13" s="22" customFormat="1" ht="45" customHeight="1">
      <c r="A76" s="271" t="s">
        <v>252</v>
      </c>
      <c r="B76" s="25" t="s">
        <v>415</v>
      </c>
      <c r="C76" s="190" t="s">
        <v>425</v>
      </c>
      <c r="D76" s="33" t="s">
        <v>80</v>
      </c>
      <c r="E76" s="20"/>
      <c r="F76" s="117">
        <f>F73</f>
        <v>374</v>
      </c>
      <c r="G76" s="39"/>
      <c r="H76" s="37"/>
      <c r="I76" s="27"/>
      <c r="J76" s="16"/>
      <c r="K76" s="23"/>
      <c r="L76" s="16"/>
      <c r="M76" s="16"/>
    </row>
    <row r="77" spans="1:13" s="22" customFormat="1" ht="16.5" customHeight="1">
      <c r="A77" s="273"/>
      <c r="B77" s="25"/>
      <c r="C77" s="90" t="s">
        <v>537</v>
      </c>
      <c r="D77" s="41" t="s">
        <v>15</v>
      </c>
      <c r="E77" s="106">
        <f>1.2*1.15</f>
        <v>1.38</v>
      </c>
      <c r="F77" s="97">
        <f>E77*F76</f>
        <v>516.12</v>
      </c>
      <c r="G77" s="99"/>
      <c r="H77" s="100"/>
      <c r="I77" s="35"/>
      <c r="J77" s="35"/>
      <c r="K77" s="35"/>
      <c r="L77" s="99"/>
      <c r="M77" s="35"/>
    </row>
    <row r="78" spans="1:13" s="22" customFormat="1" ht="16.5" customHeight="1">
      <c r="A78" s="271"/>
      <c r="B78" s="25" t="s">
        <v>169</v>
      </c>
      <c r="C78" s="105" t="s">
        <v>87</v>
      </c>
      <c r="D78" s="33" t="s">
        <v>80</v>
      </c>
      <c r="E78" s="106"/>
      <c r="F78" s="229">
        <f>F76</f>
        <v>374</v>
      </c>
      <c r="G78" s="123"/>
      <c r="H78" s="220"/>
      <c r="I78" s="101"/>
      <c r="J78" s="16"/>
      <c r="K78" s="16"/>
      <c r="L78" s="16"/>
      <c r="M78" s="16"/>
    </row>
    <row r="79" spans="1:13" s="22" customFormat="1" ht="16.5" customHeight="1">
      <c r="A79" s="272"/>
      <c r="B79" s="25" t="s">
        <v>102</v>
      </c>
      <c r="C79" s="105" t="s">
        <v>88</v>
      </c>
      <c r="D79" s="20" t="s">
        <v>85</v>
      </c>
      <c r="E79" s="106">
        <f>1.05*0.00362</f>
        <v>3.8010000000000001E-3</v>
      </c>
      <c r="F79" s="152">
        <f>E79*F78</f>
        <v>1.4215740000000001</v>
      </c>
      <c r="G79" s="26"/>
      <c r="H79" s="27"/>
      <c r="I79" s="27"/>
      <c r="J79" s="27"/>
      <c r="K79" s="27"/>
      <c r="L79" s="26"/>
      <c r="M79" s="26"/>
    </row>
    <row r="80" spans="1:13" s="22" customFormat="1" ht="16.5" customHeight="1">
      <c r="A80" s="272"/>
      <c r="B80" s="25"/>
      <c r="C80" s="105" t="s">
        <v>28</v>
      </c>
      <c r="D80" s="20" t="s">
        <v>16</v>
      </c>
      <c r="E80" s="106">
        <v>1.8000000000000001E-4</v>
      </c>
      <c r="F80" s="152">
        <f>E80*F78</f>
        <v>6.7320000000000005E-2</v>
      </c>
      <c r="G80" s="123"/>
      <c r="H80" s="123"/>
      <c r="I80" s="122"/>
      <c r="J80" s="27"/>
      <c r="K80" s="18"/>
      <c r="L80" s="26"/>
      <c r="M80" s="26"/>
    </row>
    <row r="81" spans="1:13" s="22" customFormat="1" ht="16.5" customHeight="1">
      <c r="A81" s="272"/>
      <c r="B81" s="25" t="s">
        <v>225</v>
      </c>
      <c r="C81" s="105" t="s">
        <v>514</v>
      </c>
      <c r="D81" s="33" t="s">
        <v>80</v>
      </c>
      <c r="E81" s="106">
        <f>0.08/1000</f>
        <v>8.0000000000000007E-5</v>
      </c>
      <c r="F81" s="153">
        <f>E81*F78</f>
        <v>2.9920000000000002E-2</v>
      </c>
      <c r="G81" s="88"/>
      <c r="H81" s="35"/>
      <c r="I81" s="20"/>
      <c r="J81" s="35"/>
      <c r="K81" s="18"/>
      <c r="L81" s="35"/>
      <c r="M81" s="110"/>
    </row>
    <row r="82" spans="1:13" s="22" customFormat="1" ht="16.5" customHeight="1">
      <c r="A82" s="273"/>
      <c r="B82" s="25" t="s">
        <v>82</v>
      </c>
      <c r="C82" s="105" t="s">
        <v>89</v>
      </c>
      <c r="D82" s="20" t="s">
        <v>17</v>
      </c>
      <c r="E82" s="106"/>
      <c r="F82" s="233">
        <f>F76*2.8</f>
        <v>1047.2</v>
      </c>
      <c r="G82" s="123"/>
      <c r="H82" s="123"/>
      <c r="I82" s="122"/>
      <c r="J82" s="123"/>
      <c r="K82" s="110"/>
      <c r="L82" s="16"/>
      <c r="M82" s="16"/>
    </row>
    <row r="83" spans="1:13" s="22" customFormat="1" ht="16.5" customHeight="1">
      <c r="A83" s="271" t="s">
        <v>254</v>
      </c>
      <c r="B83" s="25" t="s">
        <v>123</v>
      </c>
      <c r="C83" s="38" t="s">
        <v>426</v>
      </c>
      <c r="D83" s="149" t="s">
        <v>80</v>
      </c>
      <c r="E83" s="20"/>
      <c r="F83" s="97">
        <v>610.20000000000005</v>
      </c>
      <c r="G83" s="39"/>
      <c r="H83" s="40"/>
      <c r="I83" s="118"/>
      <c r="J83" s="16"/>
      <c r="K83" s="23"/>
      <c r="L83" s="16"/>
      <c r="M83" s="16"/>
    </row>
    <row r="84" spans="1:13" s="22" customFormat="1" ht="16.5" customHeight="1">
      <c r="A84" s="272"/>
      <c r="B84" s="25"/>
      <c r="C84" s="105" t="s">
        <v>19</v>
      </c>
      <c r="D84" s="20" t="s">
        <v>15</v>
      </c>
      <c r="E84" s="106">
        <f>2.12*1.15</f>
        <v>2.4379999999999997</v>
      </c>
      <c r="F84" s="97">
        <f>E84*F83</f>
        <v>1487.6676</v>
      </c>
      <c r="G84" s="99"/>
      <c r="H84" s="164"/>
      <c r="I84" s="35"/>
      <c r="J84" s="35"/>
      <c r="K84" s="26"/>
      <c r="L84" s="35"/>
      <c r="M84" s="26"/>
    </row>
    <row r="85" spans="1:13" s="22" customFormat="1" ht="16.5" customHeight="1">
      <c r="A85" s="272"/>
      <c r="B85" s="25"/>
      <c r="C85" s="105" t="s">
        <v>28</v>
      </c>
      <c r="D85" s="20" t="s">
        <v>16</v>
      </c>
      <c r="E85" s="106">
        <v>0.10100000000000001</v>
      </c>
      <c r="F85" s="152">
        <f>E85*F83</f>
        <v>61.630200000000009</v>
      </c>
      <c r="G85" s="123"/>
      <c r="H85" s="101"/>
      <c r="I85" s="122"/>
      <c r="J85" s="27"/>
      <c r="K85" s="18"/>
      <c r="L85" s="26"/>
      <c r="M85" s="26"/>
    </row>
    <row r="86" spans="1:13" s="22" customFormat="1" ht="16.5" customHeight="1">
      <c r="A86" s="273"/>
      <c r="B86" s="25" t="s">
        <v>225</v>
      </c>
      <c r="C86" s="38" t="s">
        <v>499</v>
      </c>
      <c r="D86" s="149" t="s">
        <v>80</v>
      </c>
      <c r="E86" s="110">
        <v>1.1000000000000001</v>
      </c>
      <c r="F86" s="97">
        <f>E86*F83</f>
        <v>671.22000000000014</v>
      </c>
      <c r="G86" s="150"/>
      <c r="H86" s="35"/>
      <c r="I86" s="18"/>
      <c r="J86" s="26"/>
      <c r="K86" s="26"/>
      <c r="L86" s="26"/>
      <c r="M86" s="26"/>
    </row>
    <row r="87" spans="1:13" s="22" customFormat="1" ht="18.75" customHeight="1">
      <c r="A87" s="271" t="s">
        <v>255</v>
      </c>
      <c r="B87" s="25" t="s">
        <v>175</v>
      </c>
      <c r="C87" s="38" t="s">
        <v>176</v>
      </c>
      <c r="D87" s="33" t="s">
        <v>80</v>
      </c>
      <c r="E87" s="20"/>
      <c r="F87" s="97">
        <v>1068.8</v>
      </c>
      <c r="G87" s="39"/>
      <c r="H87" s="40"/>
      <c r="I87" s="118"/>
      <c r="J87" s="16"/>
      <c r="K87" s="23"/>
      <c r="L87" s="16"/>
      <c r="M87" s="16"/>
    </row>
    <row r="88" spans="1:13" s="22" customFormat="1" ht="16.5" customHeight="1">
      <c r="A88" s="272"/>
      <c r="B88" s="25"/>
      <c r="C88" s="90" t="s">
        <v>541</v>
      </c>
      <c r="D88" s="41" t="s">
        <v>15</v>
      </c>
      <c r="E88" s="106">
        <f>5.65*1.15</f>
        <v>6.4974999999999996</v>
      </c>
      <c r="F88" s="233">
        <f>E88*F87</f>
        <v>6944.5279999999993</v>
      </c>
      <c r="G88" s="123"/>
      <c r="H88" s="123"/>
      <c r="I88" s="88"/>
      <c r="J88" s="26"/>
      <c r="K88" s="26"/>
      <c r="L88" s="27"/>
      <c r="M88" s="26"/>
    </row>
    <row r="89" spans="1:13" s="22" customFormat="1" ht="16.5" customHeight="1">
      <c r="A89" s="272"/>
      <c r="B89" s="25" t="s">
        <v>132</v>
      </c>
      <c r="C89" s="105" t="s">
        <v>542</v>
      </c>
      <c r="D89" s="20" t="s">
        <v>20</v>
      </c>
      <c r="E89" s="110">
        <f>0.82*1.05</f>
        <v>0.86099999999999999</v>
      </c>
      <c r="F89" s="97">
        <f>E89*F87</f>
        <v>920.2367999999999</v>
      </c>
      <c r="G89" s="88"/>
      <c r="H89" s="35"/>
      <c r="I89" s="88"/>
      <c r="J89" s="35"/>
      <c r="K89" s="26"/>
      <c r="L89" s="35"/>
      <c r="M89" s="26"/>
    </row>
    <row r="90" spans="1:13" s="22" customFormat="1" ht="16.5" customHeight="1">
      <c r="A90" s="272"/>
      <c r="B90" s="25"/>
      <c r="C90" s="105" t="s">
        <v>78</v>
      </c>
      <c r="D90" s="20" t="s">
        <v>16</v>
      </c>
      <c r="E90" s="110">
        <v>0.73</v>
      </c>
      <c r="F90" s="97">
        <f>E90*F87</f>
        <v>780.22399999999993</v>
      </c>
      <c r="G90" s="88"/>
      <c r="H90" s="35"/>
      <c r="I90" s="88"/>
      <c r="J90" s="35"/>
      <c r="K90" s="18"/>
      <c r="L90" s="35"/>
      <c r="M90" s="26"/>
    </row>
    <row r="91" spans="1:13" s="22" customFormat="1" ht="16.5" customHeight="1">
      <c r="A91" s="272"/>
      <c r="B91" s="25" t="s">
        <v>177</v>
      </c>
      <c r="C91" s="38" t="s">
        <v>179</v>
      </c>
      <c r="D91" s="33" t="s">
        <v>80</v>
      </c>
      <c r="E91" s="20"/>
      <c r="F91" s="97">
        <f>F87</f>
        <v>1068.8</v>
      </c>
      <c r="G91" s="150"/>
      <c r="H91" s="88"/>
      <c r="I91" s="27"/>
      <c r="J91" s="27"/>
      <c r="K91" s="27"/>
      <c r="L91" s="26"/>
      <c r="M91" s="18"/>
    </row>
    <row r="92" spans="1:13" s="22" customFormat="1" ht="16.5" customHeight="1">
      <c r="A92" s="273"/>
      <c r="B92" s="103" t="s">
        <v>419</v>
      </c>
      <c r="C92" s="105" t="s">
        <v>129</v>
      </c>
      <c r="D92" s="20" t="s">
        <v>80</v>
      </c>
      <c r="E92" s="165">
        <v>2.0899999999999998E-2</v>
      </c>
      <c r="F92" s="97">
        <f>E92*F87</f>
        <v>22.337919999999997</v>
      </c>
      <c r="G92" s="155"/>
      <c r="H92" s="35"/>
      <c r="I92" s="88"/>
      <c r="J92" s="35"/>
      <c r="K92" s="26"/>
      <c r="L92" s="35"/>
      <c r="M92" s="26"/>
    </row>
    <row r="93" spans="1:13" s="22" customFormat="1" ht="26.25" customHeight="1">
      <c r="A93" s="69" t="s">
        <v>256</v>
      </c>
      <c r="B93" s="15"/>
      <c r="C93" s="140" t="s">
        <v>180</v>
      </c>
      <c r="D93" s="20"/>
      <c r="E93" s="108"/>
      <c r="F93" s="97"/>
      <c r="G93" s="18"/>
      <c r="H93" s="35"/>
      <c r="I93" s="107"/>
      <c r="J93" s="154"/>
      <c r="K93" s="107"/>
      <c r="L93" s="107"/>
      <c r="M93" s="35"/>
    </row>
    <row r="94" spans="1:13" s="22" customFormat="1" ht="15" customHeight="1">
      <c r="A94" s="271" t="s">
        <v>427</v>
      </c>
      <c r="B94" s="116" t="s">
        <v>181</v>
      </c>
      <c r="C94" s="140" t="s">
        <v>182</v>
      </c>
      <c r="D94" s="96" t="s">
        <v>17</v>
      </c>
      <c r="E94" s="116"/>
      <c r="F94" s="223">
        <v>243.9</v>
      </c>
      <c r="G94" s="28"/>
      <c r="H94" s="16"/>
      <c r="I94" s="23"/>
      <c r="J94" s="16"/>
      <c r="K94" s="166"/>
      <c r="L94" s="16"/>
      <c r="M94" s="16"/>
    </row>
    <row r="95" spans="1:13" s="22" customFormat="1" ht="15.75" customHeight="1">
      <c r="A95" s="272"/>
      <c r="B95" s="111"/>
      <c r="C95" s="167" t="s">
        <v>543</v>
      </c>
      <c r="D95" s="113" t="s">
        <v>15</v>
      </c>
      <c r="E95" s="35">
        <f>13.3*1.15</f>
        <v>15.295</v>
      </c>
      <c r="F95" s="152">
        <f>E95*F94</f>
        <v>3730.4504999999999</v>
      </c>
      <c r="G95" s="114"/>
      <c r="H95" s="115"/>
      <c r="I95" s="18"/>
      <c r="J95" s="35"/>
      <c r="K95" s="168"/>
      <c r="L95" s="99"/>
      <c r="M95" s="35"/>
    </row>
    <row r="96" spans="1:13" s="22" customFormat="1" ht="17.25" customHeight="1">
      <c r="A96" s="272"/>
      <c r="B96" s="169" t="s">
        <v>430</v>
      </c>
      <c r="C96" s="112" t="s">
        <v>183</v>
      </c>
      <c r="D96" s="96" t="s">
        <v>17</v>
      </c>
      <c r="E96" s="35">
        <v>0.01</v>
      </c>
      <c r="F96" s="153">
        <f>E96*F94</f>
        <v>2.4390000000000001</v>
      </c>
      <c r="G96" s="117"/>
      <c r="H96" s="35"/>
      <c r="I96" s="117"/>
      <c r="J96" s="96"/>
      <c r="K96" s="170"/>
      <c r="L96" s="97"/>
      <c r="M96" s="97"/>
    </row>
    <row r="97" spans="1:13" s="22" customFormat="1" ht="16.5" customHeight="1">
      <c r="A97" s="273"/>
      <c r="B97" s="169" t="s">
        <v>188</v>
      </c>
      <c r="C97" s="140" t="s">
        <v>500</v>
      </c>
      <c r="D97" s="20" t="s">
        <v>17</v>
      </c>
      <c r="E97" s="116"/>
      <c r="F97" s="223">
        <f>F94</f>
        <v>243.9</v>
      </c>
      <c r="G97" s="155"/>
      <c r="H97" s="35"/>
      <c r="I97" s="27"/>
      <c r="J97" s="27"/>
      <c r="K97" s="26"/>
      <c r="L97" s="35"/>
      <c r="M97" s="26"/>
    </row>
    <row r="98" spans="1:13" s="22" customFormat="1" ht="31.5" customHeight="1">
      <c r="A98" s="69" t="s">
        <v>428</v>
      </c>
      <c r="B98" s="27" t="s">
        <v>130</v>
      </c>
      <c r="C98" s="140" t="s">
        <v>396</v>
      </c>
      <c r="D98" s="96" t="s">
        <v>17</v>
      </c>
      <c r="E98" s="116"/>
      <c r="F98" s="223">
        <f>F94</f>
        <v>243.9</v>
      </c>
      <c r="G98" s="155"/>
      <c r="H98" s="35"/>
      <c r="I98" s="27"/>
      <c r="J98" s="27"/>
      <c r="K98" s="26"/>
      <c r="L98" s="162"/>
      <c r="M98" s="162"/>
    </row>
    <row r="99" spans="1:13" s="22" customFormat="1" ht="13.5" customHeight="1">
      <c r="A99" s="271" t="s">
        <v>429</v>
      </c>
      <c r="B99" s="141" t="s">
        <v>184</v>
      </c>
      <c r="C99" s="140" t="s">
        <v>185</v>
      </c>
      <c r="D99" s="96" t="s">
        <v>17</v>
      </c>
      <c r="E99" s="116"/>
      <c r="F99" s="223">
        <f>F98</f>
        <v>243.9</v>
      </c>
      <c r="G99" s="155"/>
      <c r="H99" s="40"/>
      <c r="I99" s="23"/>
      <c r="J99" s="16"/>
      <c r="K99" s="23"/>
      <c r="L99" s="162"/>
      <c r="M99" s="162"/>
    </row>
    <row r="100" spans="1:13" s="22" customFormat="1" ht="13.5" customHeight="1">
      <c r="A100" s="272"/>
      <c r="B100" s="111"/>
      <c r="C100" s="112" t="s">
        <v>544</v>
      </c>
      <c r="D100" s="113" t="s">
        <v>15</v>
      </c>
      <c r="E100" s="35">
        <f>37.4*1.15</f>
        <v>43.01</v>
      </c>
      <c r="F100" s="152">
        <f>E100*F99</f>
        <v>10490.138999999999</v>
      </c>
      <c r="G100" s="114"/>
      <c r="H100" s="115"/>
      <c r="I100" s="18"/>
      <c r="J100" s="114"/>
      <c r="K100" s="115"/>
      <c r="L100" s="115"/>
      <c r="M100" s="114"/>
    </row>
    <row r="101" spans="1:13" s="22" customFormat="1" ht="13.5" customHeight="1">
      <c r="A101" s="272"/>
      <c r="B101" s="111"/>
      <c r="C101" s="112" t="s">
        <v>78</v>
      </c>
      <c r="D101" s="96" t="s">
        <v>16</v>
      </c>
      <c r="E101" s="35">
        <v>6.32</v>
      </c>
      <c r="F101" s="153">
        <f>E101*F99</f>
        <v>1541.4480000000001</v>
      </c>
      <c r="G101" s="96"/>
      <c r="H101" s="96"/>
      <c r="I101" s="117"/>
      <c r="J101" s="96"/>
      <c r="K101" s="117"/>
      <c r="L101" s="35"/>
      <c r="M101" s="97"/>
    </row>
    <row r="102" spans="1:13" s="22" customFormat="1" ht="13.5" customHeight="1">
      <c r="A102" s="272"/>
      <c r="B102" s="103" t="s">
        <v>431</v>
      </c>
      <c r="C102" s="140" t="s">
        <v>186</v>
      </c>
      <c r="D102" s="20" t="s">
        <v>80</v>
      </c>
      <c r="E102" s="116">
        <v>0.75</v>
      </c>
      <c r="F102" s="239">
        <f>E102*F98</f>
        <v>182.92500000000001</v>
      </c>
      <c r="G102" s="155"/>
      <c r="H102" s="35"/>
      <c r="I102" s="27"/>
      <c r="J102" s="27"/>
      <c r="K102" s="27"/>
      <c r="L102" s="97"/>
      <c r="M102" s="97"/>
    </row>
    <row r="103" spans="1:13" s="22" customFormat="1" ht="13.5" customHeight="1">
      <c r="A103" s="272"/>
      <c r="B103" s="169" t="s">
        <v>432</v>
      </c>
      <c r="C103" s="140" t="s">
        <v>187</v>
      </c>
      <c r="D103" s="96" t="s">
        <v>17</v>
      </c>
      <c r="E103" s="116">
        <v>0.06</v>
      </c>
      <c r="F103" s="239">
        <f>E103*F99</f>
        <v>14.634</v>
      </c>
      <c r="G103" s="155"/>
      <c r="H103" s="35"/>
      <c r="I103" s="27"/>
      <c r="J103" s="27"/>
      <c r="K103" s="27"/>
      <c r="L103" s="97"/>
      <c r="M103" s="97"/>
    </row>
    <row r="104" spans="1:13" s="22" customFormat="1" ht="13.5" customHeight="1">
      <c r="A104" s="273"/>
      <c r="B104" s="111"/>
      <c r="C104" s="140" t="s">
        <v>23</v>
      </c>
      <c r="D104" s="96" t="s">
        <v>16</v>
      </c>
      <c r="E104" s="116">
        <v>7.63</v>
      </c>
      <c r="F104" s="239">
        <f>E104*F99</f>
        <v>1860.9570000000001</v>
      </c>
      <c r="G104" s="117"/>
      <c r="H104" s="35"/>
      <c r="I104" s="27"/>
      <c r="J104" s="27"/>
      <c r="K104" s="27"/>
      <c r="L104" s="97"/>
      <c r="M104" s="97"/>
    </row>
    <row r="105" spans="1:13" s="22" customFormat="1" ht="21" customHeight="1">
      <c r="A105" s="271" t="s">
        <v>433</v>
      </c>
      <c r="B105" s="15" t="s">
        <v>126</v>
      </c>
      <c r="C105" s="102" t="s">
        <v>127</v>
      </c>
      <c r="D105" s="20" t="s">
        <v>24</v>
      </c>
      <c r="E105" s="15"/>
      <c r="F105" s="238">
        <v>12214</v>
      </c>
      <c r="G105" s="103"/>
      <c r="H105" s="104"/>
      <c r="I105" s="104"/>
      <c r="J105" s="104"/>
      <c r="K105" s="104"/>
      <c r="L105" s="104"/>
      <c r="M105" s="104"/>
    </row>
    <row r="106" spans="1:13" s="22" customFormat="1" ht="13.5" customHeight="1">
      <c r="A106" s="272"/>
      <c r="B106" s="15"/>
      <c r="C106" s="112" t="s">
        <v>539</v>
      </c>
      <c r="D106" s="113" t="s">
        <v>15</v>
      </c>
      <c r="E106" s="108">
        <f>0.564*1.15</f>
        <v>0.64859999999999984</v>
      </c>
      <c r="F106" s="114">
        <f>E106*F105</f>
        <v>7922.0003999999981</v>
      </c>
      <c r="G106" s="114"/>
      <c r="H106" s="115"/>
      <c r="I106" s="35"/>
      <c r="J106" s="114"/>
      <c r="K106" s="115"/>
      <c r="L106" s="115"/>
      <c r="M106" s="114"/>
    </row>
    <row r="107" spans="1:13" s="22" customFormat="1" ht="13.5" customHeight="1">
      <c r="A107" s="272"/>
      <c r="B107" s="15"/>
      <c r="C107" s="112" t="s">
        <v>78</v>
      </c>
      <c r="D107" s="96" t="s">
        <v>16</v>
      </c>
      <c r="E107" s="5">
        <v>4.0899999999999999E-2</v>
      </c>
      <c r="F107" s="153">
        <f>E107*F105</f>
        <v>499.55259999999998</v>
      </c>
      <c r="G107" s="96"/>
      <c r="H107" s="96"/>
      <c r="I107" s="117"/>
      <c r="J107" s="96"/>
      <c r="K107" s="18"/>
      <c r="L107" s="35"/>
      <c r="M107" s="97"/>
    </row>
    <row r="108" spans="1:13" s="22" customFormat="1" ht="13.5" customHeight="1">
      <c r="A108" s="272"/>
      <c r="B108" s="69" t="s">
        <v>189</v>
      </c>
      <c r="C108" s="151" t="s">
        <v>128</v>
      </c>
      <c r="D108" s="37" t="s">
        <v>17</v>
      </c>
      <c r="E108" s="5">
        <v>4.4999999999999997E-3</v>
      </c>
      <c r="F108" s="232">
        <f>E108*F105</f>
        <v>54.962999999999994</v>
      </c>
      <c r="G108" s="88"/>
      <c r="H108" s="35"/>
      <c r="I108" s="37"/>
      <c r="J108" s="37"/>
      <c r="K108" s="37"/>
      <c r="L108" s="37"/>
      <c r="M108" s="35"/>
    </row>
    <row r="109" spans="1:13" s="22" customFormat="1" ht="13.5" customHeight="1">
      <c r="A109" s="272"/>
      <c r="B109" s="103" t="s">
        <v>178</v>
      </c>
      <c r="C109" s="151" t="s">
        <v>129</v>
      </c>
      <c r="D109" s="20" t="s">
        <v>80</v>
      </c>
      <c r="E109" s="5">
        <v>7.4999999999999997E-3</v>
      </c>
      <c r="F109" s="232">
        <f>E109*F105</f>
        <v>91.60499999999999</v>
      </c>
      <c r="G109" s="88"/>
      <c r="H109" s="35"/>
      <c r="I109" s="37"/>
      <c r="J109" s="37"/>
      <c r="K109" s="37"/>
      <c r="L109" s="37"/>
      <c r="M109" s="35"/>
    </row>
    <row r="110" spans="1:13" s="22" customFormat="1" ht="13.5" customHeight="1">
      <c r="A110" s="273"/>
      <c r="B110" s="15"/>
      <c r="C110" s="105" t="s">
        <v>23</v>
      </c>
      <c r="D110" s="20" t="s">
        <v>16</v>
      </c>
      <c r="E110" s="108">
        <v>0.26500000000000001</v>
      </c>
      <c r="F110" s="97">
        <f>E110*F105</f>
        <v>3236.71</v>
      </c>
      <c r="G110" s="18"/>
      <c r="H110" s="35"/>
      <c r="I110" s="107"/>
      <c r="J110" s="154"/>
      <c r="K110" s="107"/>
      <c r="L110" s="107"/>
      <c r="M110" s="35"/>
    </row>
    <row r="111" spans="1:13" s="22" customFormat="1" ht="30.75" customHeight="1">
      <c r="A111" s="271" t="s">
        <v>434</v>
      </c>
      <c r="B111" s="27" t="s">
        <v>191</v>
      </c>
      <c r="C111" s="140" t="s">
        <v>190</v>
      </c>
      <c r="D111" s="96" t="s">
        <v>17</v>
      </c>
      <c r="E111" s="116"/>
      <c r="F111" s="223">
        <v>2.67</v>
      </c>
      <c r="G111" s="117"/>
      <c r="H111" s="40"/>
      <c r="I111" s="23"/>
      <c r="J111" s="23"/>
      <c r="K111" s="23"/>
      <c r="L111" s="162"/>
      <c r="M111" s="162"/>
    </row>
    <row r="112" spans="1:13" s="22" customFormat="1" ht="13.5" customHeight="1">
      <c r="A112" s="272"/>
      <c r="B112" s="27" t="s">
        <v>192</v>
      </c>
      <c r="C112" s="140" t="s">
        <v>540</v>
      </c>
      <c r="D112" s="96" t="s">
        <v>20</v>
      </c>
      <c r="E112" s="116">
        <f>0.3*1.05</f>
        <v>0.315</v>
      </c>
      <c r="F112" s="239">
        <f>E112*F111</f>
        <v>0.84104999999999996</v>
      </c>
      <c r="G112" s="117"/>
      <c r="H112" s="35"/>
      <c r="I112" s="27"/>
      <c r="J112" s="27"/>
      <c r="K112" s="27"/>
      <c r="L112" s="97"/>
      <c r="M112" s="97"/>
    </row>
    <row r="113" spans="1:13" s="22" customFormat="1" ht="13.5" customHeight="1">
      <c r="A113" s="273"/>
      <c r="B113" s="169" t="s">
        <v>189</v>
      </c>
      <c r="C113" s="140" t="s">
        <v>128</v>
      </c>
      <c r="D113" s="96" t="s">
        <v>17</v>
      </c>
      <c r="E113" s="116">
        <v>1.03</v>
      </c>
      <c r="F113" s="239">
        <f>E113*F111</f>
        <v>2.7501000000000002</v>
      </c>
      <c r="G113" s="117"/>
      <c r="H113" s="35"/>
      <c r="I113" s="27"/>
      <c r="J113" s="27"/>
      <c r="K113" s="27"/>
      <c r="L113" s="97"/>
      <c r="M113" s="97"/>
    </row>
    <row r="114" spans="1:13" s="22" customFormat="1" ht="31.5" customHeight="1">
      <c r="A114" s="25" t="s">
        <v>435</v>
      </c>
      <c r="B114" s="103"/>
      <c r="C114" s="105" t="s">
        <v>421</v>
      </c>
      <c r="D114" s="20"/>
      <c r="E114" s="165"/>
      <c r="F114" s="97"/>
      <c r="G114" s="155"/>
      <c r="H114" s="35"/>
      <c r="I114" s="88"/>
      <c r="J114" s="35"/>
      <c r="K114" s="26"/>
      <c r="L114" s="35"/>
      <c r="M114" s="26"/>
    </row>
    <row r="115" spans="1:13" s="22" customFormat="1" ht="36.75" customHeight="1">
      <c r="A115" s="274" t="s">
        <v>436</v>
      </c>
      <c r="B115" s="15" t="s">
        <v>414</v>
      </c>
      <c r="C115" s="105" t="s">
        <v>604</v>
      </c>
      <c r="D115" s="20" t="s">
        <v>80</v>
      </c>
      <c r="E115" s="165"/>
      <c r="F115" s="117">
        <v>2030</v>
      </c>
      <c r="G115" s="155"/>
      <c r="H115" s="35"/>
      <c r="I115" s="88"/>
      <c r="J115" s="40"/>
      <c r="K115" s="16"/>
      <c r="L115" s="40"/>
      <c r="M115" s="16"/>
    </row>
    <row r="116" spans="1:13" s="22" customFormat="1" ht="13.5" customHeight="1">
      <c r="A116" s="275"/>
      <c r="B116" s="25"/>
      <c r="C116" s="90" t="s">
        <v>534</v>
      </c>
      <c r="D116" s="41" t="s">
        <v>15</v>
      </c>
      <c r="E116" s="20">
        <f>0.016*1.05</f>
        <v>1.6800000000000002E-2</v>
      </c>
      <c r="F116" s="97">
        <f>E116*F115</f>
        <v>34.104000000000006</v>
      </c>
      <c r="G116" s="99"/>
      <c r="H116" s="100"/>
      <c r="I116" s="35"/>
      <c r="J116" s="35"/>
      <c r="K116" s="35"/>
      <c r="L116" s="99"/>
      <c r="M116" s="35"/>
    </row>
    <row r="117" spans="1:13" s="22" customFormat="1" ht="13.5" customHeight="1">
      <c r="A117" s="275"/>
      <c r="B117" s="25" t="s">
        <v>100</v>
      </c>
      <c r="C117" s="105" t="s">
        <v>535</v>
      </c>
      <c r="D117" s="20" t="s">
        <v>85</v>
      </c>
      <c r="E117" s="21">
        <f>0.0359*1.15</f>
        <v>4.1284999999999995E-2</v>
      </c>
      <c r="F117" s="153">
        <f>E117*F115</f>
        <v>83.808549999999997</v>
      </c>
      <c r="G117" s="99"/>
      <c r="H117" s="100"/>
      <c r="I117" s="35"/>
      <c r="J117" s="35"/>
      <c r="K117" s="110"/>
      <c r="L117" s="35"/>
      <c r="M117" s="26"/>
    </row>
    <row r="118" spans="1:13" s="22" customFormat="1" ht="32.25" customHeight="1">
      <c r="A118" s="274" t="s">
        <v>437</v>
      </c>
      <c r="B118" s="25" t="s">
        <v>117</v>
      </c>
      <c r="C118" s="38" t="s">
        <v>118</v>
      </c>
      <c r="D118" s="33" t="s">
        <v>80</v>
      </c>
      <c r="E118" s="20"/>
      <c r="F118" s="117">
        <f>F115</f>
        <v>2030</v>
      </c>
      <c r="G118" s="39"/>
      <c r="H118" s="37"/>
      <c r="I118" s="27"/>
      <c r="J118" s="27"/>
      <c r="K118" s="27"/>
      <c r="L118" s="16"/>
      <c r="M118" s="16"/>
    </row>
    <row r="119" spans="1:13" s="22" customFormat="1" ht="13.5" customHeight="1">
      <c r="A119" s="275"/>
      <c r="B119" s="25" t="s">
        <v>119</v>
      </c>
      <c r="C119" s="38" t="s">
        <v>120</v>
      </c>
      <c r="D119" s="20" t="s">
        <v>20</v>
      </c>
      <c r="E119" s="20">
        <f>1.85*6*0.001</f>
        <v>1.1100000000000002E-2</v>
      </c>
      <c r="F119" s="153">
        <f>E119*F118</f>
        <v>22.533000000000005</v>
      </c>
      <c r="G119" s="39"/>
      <c r="H119" s="37"/>
      <c r="I119" s="27"/>
      <c r="J119" s="27"/>
      <c r="K119" s="27"/>
      <c r="L119" s="26"/>
      <c r="M119" s="26"/>
    </row>
    <row r="120" spans="1:13" s="22" customFormat="1" ht="13.5" customHeight="1">
      <c r="A120" s="275"/>
      <c r="B120" s="25" t="s">
        <v>102</v>
      </c>
      <c r="C120" s="38" t="s">
        <v>121</v>
      </c>
      <c r="D120" s="20" t="s">
        <v>20</v>
      </c>
      <c r="E120" s="20">
        <f>10.5*0.001*1.05</f>
        <v>1.1025000000000002E-2</v>
      </c>
      <c r="F120" s="153">
        <f>E120*F118</f>
        <v>22.380750000000003</v>
      </c>
      <c r="G120" s="39"/>
      <c r="H120" s="37"/>
      <c r="I120" s="27"/>
      <c r="J120" s="27"/>
      <c r="K120" s="27"/>
      <c r="L120" s="26"/>
      <c r="M120" s="26"/>
    </row>
    <row r="121" spans="1:13" s="22" customFormat="1" ht="13.5" customHeight="1">
      <c r="A121" s="276"/>
      <c r="B121" s="25" t="s">
        <v>122</v>
      </c>
      <c r="C121" s="38" t="s">
        <v>555</v>
      </c>
      <c r="D121" s="20" t="s">
        <v>20</v>
      </c>
      <c r="E121" s="20">
        <f>1.85*6*0.001*1.05</f>
        <v>1.1655000000000002E-2</v>
      </c>
      <c r="F121" s="153">
        <f>E121*F118</f>
        <v>23.659650000000003</v>
      </c>
      <c r="G121" s="39"/>
      <c r="H121" s="37"/>
      <c r="I121" s="27"/>
      <c r="J121" s="27"/>
      <c r="K121" s="26"/>
      <c r="L121" s="26"/>
      <c r="M121" s="26"/>
    </row>
    <row r="122" spans="1:13" s="22" customFormat="1" ht="51" customHeight="1">
      <c r="A122" s="274" t="s">
        <v>438</v>
      </c>
      <c r="B122" s="25" t="s">
        <v>167</v>
      </c>
      <c r="C122" s="105" t="s">
        <v>605</v>
      </c>
      <c r="D122" s="33" t="s">
        <v>80</v>
      </c>
      <c r="E122" s="21"/>
      <c r="F122" s="117">
        <v>1337</v>
      </c>
      <c r="G122" s="21"/>
      <c r="H122" s="40"/>
      <c r="I122" s="120"/>
      <c r="J122" s="40"/>
      <c r="K122" s="20"/>
      <c r="L122" s="40"/>
      <c r="M122" s="121"/>
    </row>
    <row r="123" spans="1:13" s="22" customFormat="1" ht="13.5" customHeight="1">
      <c r="A123" s="275"/>
      <c r="B123" s="25"/>
      <c r="C123" s="90" t="s">
        <v>526</v>
      </c>
      <c r="D123" s="41" t="s">
        <v>15</v>
      </c>
      <c r="E123" s="20">
        <f>0.0188*1.15</f>
        <v>2.162E-2</v>
      </c>
      <c r="F123" s="114">
        <f>E123*F122</f>
        <v>28.905940000000001</v>
      </c>
      <c r="G123" s="26"/>
      <c r="H123" s="27"/>
      <c r="I123" s="26"/>
      <c r="J123" s="26"/>
      <c r="K123" s="27"/>
      <c r="L123" s="27"/>
      <c r="M123" s="26"/>
    </row>
    <row r="124" spans="1:13" s="22" customFormat="1" ht="13.5" customHeight="1">
      <c r="A124" s="275"/>
      <c r="B124" s="25" t="s">
        <v>166</v>
      </c>
      <c r="C124" s="105" t="s">
        <v>527</v>
      </c>
      <c r="D124" s="20" t="s">
        <v>85</v>
      </c>
      <c r="E124" s="21">
        <f>0.042*1.05</f>
        <v>4.4100000000000007E-2</v>
      </c>
      <c r="F124" s="97">
        <f>E124*F122</f>
        <v>58.961700000000008</v>
      </c>
      <c r="G124" s="21"/>
      <c r="H124" s="35"/>
      <c r="I124" s="20"/>
      <c r="J124" s="35"/>
      <c r="K124" s="110"/>
      <c r="L124" s="35"/>
      <c r="M124" s="110"/>
    </row>
    <row r="125" spans="1:13" s="22" customFormat="1" ht="13.5" customHeight="1">
      <c r="A125" s="275"/>
      <c r="B125" s="25"/>
      <c r="C125" s="105" t="s">
        <v>28</v>
      </c>
      <c r="D125" s="20" t="s">
        <v>16</v>
      </c>
      <c r="E125" s="21">
        <v>2.7399999999999998E-3</v>
      </c>
      <c r="F125" s="97">
        <f>E125*F122</f>
        <v>3.6633799999999996</v>
      </c>
      <c r="G125" s="21"/>
      <c r="H125" s="35"/>
      <c r="I125" s="20"/>
      <c r="J125" s="35"/>
      <c r="K125" s="120"/>
      <c r="L125" s="35"/>
      <c r="M125" s="110"/>
    </row>
    <row r="126" spans="1:13" s="22" customFormat="1" ht="13.5" customHeight="1">
      <c r="A126" s="275"/>
      <c r="B126" s="25" t="s">
        <v>225</v>
      </c>
      <c r="C126" s="105" t="s">
        <v>514</v>
      </c>
      <c r="D126" s="33" t="s">
        <v>80</v>
      </c>
      <c r="E126" s="106">
        <f>0.09/1000</f>
        <v>8.9999999999999992E-5</v>
      </c>
      <c r="F126" s="153">
        <f>E126*F122</f>
        <v>0.12032999999999999</v>
      </c>
      <c r="G126" s="88"/>
      <c r="H126" s="35"/>
      <c r="I126" s="20"/>
      <c r="J126" s="35"/>
      <c r="K126" s="120"/>
      <c r="L126" s="35"/>
      <c r="M126" s="110"/>
    </row>
    <row r="127" spans="1:13" s="22" customFormat="1" ht="13.5" customHeight="1">
      <c r="A127" s="275"/>
      <c r="B127" s="25" t="s">
        <v>169</v>
      </c>
      <c r="C127" s="105" t="s">
        <v>87</v>
      </c>
      <c r="D127" s="33" t="s">
        <v>80</v>
      </c>
      <c r="E127" s="21"/>
      <c r="F127" s="97">
        <f>F122</f>
        <v>1337</v>
      </c>
      <c r="G127" s="227"/>
      <c r="H127" s="40"/>
      <c r="I127" s="120"/>
      <c r="J127" s="35"/>
      <c r="K127" s="20"/>
      <c r="L127" s="40"/>
      <c r="M127" s="121"/>
    </row>
    <row r="128" spans="1:13" s="22" customFormat="1" ht="13.5" customHeight="1">
      <c r="A128" s="275"/>
      <c r="B128" s="25" t="s">
        <v>170</v>
      </c>
      <c r="C128" s="105" t="s">
        <v>528</v>
      </c>
      <c r="D128" s="20" t="s">
        <v>85</v>
      </c>
      <c r="E128" s="21">
        <f>0.0104*1.05</f>
        <v>1.0919999999999999E-2</v>
      </c>
      <c r="F128" s="97">
        <f>E128*F127</f>
        <v>14.600039999999998</v>
      </c>
      <c r="G128" s="227"/>
      <c r="H128" s="35"/>
      <c r="I128" s="20"/>
      <c r="J128" s="35"/>
      <c r="K128" s="27"/>
      <c r="L128" s="35"/>
      <c r="M128" s="110"/>
    </row>
    <row r="129" spans="1:16" s="22" customFormat="1" ht="13.5" customHeight="1">
      <c r="A129" s="275"/>
      <c r="B129" s="25"/>
      <c r="C129" s="105" t="s">
        <v>28</v>
      </c>
      <c r="D129" s="20" t="s">
        <v>16</v>
      </c>
      <c r="E129" s="21">
        <f>0.24/1000</f>
        <v>2.3999999999999998E-4</v>
      </c>
      <c r="F129" s="97">
        <f>E129*F127</f>
        <v>0.32088</v>
      </c>
      <c r="G129" s="227"/>
      <c r="H129" s="35"/>
      <c r="I129" s="20"/>
      <c r="J129" s="35"/>
      <c r="K129" s="18"/>
      <c r="L129" s="35"/>
      <c r="M129" s="110"/>
    </row>
    <row r="130" spans="1:16" s="22" customFormat="1" ht="13.5" customHeight="1">
      <c r="A130" s="275"/>
      <c r="B130" s="25" t="s">
        <v>225</v>
      </c>
      <c r="C130" s="105" t="s">
        <v>514</v>
      </c>
      <c r="D130" s="33" t="s">
        <v>80</v>
      </c>
      <c r="E130" s="106">
        <f>0.08/1000</f>
        <v>8.0000000000000007E-5</v>
      </c>
      <c r="F130" s="153">
        <f>E130*F127</f>
        <v>0.10696000000000001</v>
      </c>
      <c r="G130" s="88"/>
      <c r="H130" s="35"/>
      <c r="I130" s="20"/>
      <c r="J130" s="35"/>
      <c r="K130" s="120"/>
      <c r="L130" s="35"/>
      <c r="M130" s="110"/>
    </row>
    <row r="131" spans="1:16" s="22" customFormat="1" ht="13.5" customHeight="1">
      <c r="A131" s="276"/>
      <c r="B131" s="25" t="s">
        <v>82</v>
      </c>
      <c r="C131" s="105" t="s">
        <v>89</v>
      </c>
      <c r="D131" s="20" t="s">
        <v>17</v>
      </c>
      <c r="E131" s="21"/>
      <c r="F131" s="233">
        <f>F122*2.8</f>
        <v>3743.6</v>
      </c>
      <c r="G131" s="21"/>
      <c r="H131" s="35"/>
      <c r="I131" s="20"/>
      <c r="J131" s="35"/>
      <c r="K131" s="110"/>
      <c r="L131" s="40"/>
      <c r="M131" s="121"/>
    </row>
    <row r="132" spans="1:16" s="22" customFormat="1">
      <c r="A132" s="25"/>
      <c r="B132" s="31"/>
      <c r="C132" s="32" t="s">
        <v>11</v>
      </c>
      <c r="D132" s="33" t="s">
        <v>16</v>
      </c>
      <c r="E132" s="26"/>
      <c r="F132" s="114"/>
      <c r="G132" s="28"/>
      <c r="H132" s="26"/>
      <c r="I132" s="27"/>
      <c r="J132" s="26"/>
      <c r="K132" s="27"/>
      <c r="L132" s="26"/>
      <c r="M132" s="29"/>
      <c r="N132"/>
      <c r="O132"/>
    </row>
    <row r="133" spans="1:16" s="22" customFormat="1">
      <c r="A133" s="25"/>
      <c r="B133" s="31"/>
      <c r="C133" s="32" t="s">
        <v>25</v>
      </c>
      <c r="D133" s="33" t="s">
        <v>26</v>
      </c>
      <c r="E133" s="18">
        <v>10</v>
      </c>
      <c r="F133" s="114"/>
      <c r="G133" s="28"/>
      <c r="H133" s="26"/>
      <c r="I133" s="27"/>
      <c r="J133" s="26"/>
      <c r="K133" s="27"/>
      <c r="L133" s="26"/>
      <c r="M133" s="29"/>
      <c r="N133"/>
      <c r="O133" s="17"/>
    </row>
    <row r="134" spans="1:16" s="22" customFormat="1">
      <c r="A134" s="25"/>
      <c r="B134" s="31"/>
      <c r="C134" s="32" t="s">
        <v>11</v>
      </c>
      <c r="D134" s="33" t="s">
        <v>16</v>
      </c>
      <c r="E134" s="18"/>
      <c r="F134" s="114"/>
      <c r="G134" s="28"/>
      <c r="H134" s="26"/>
      <c r="I134" s="27"/>
      <c r="J134" s="26"/>
      <c r="K134" s="27"/>
      <c r="L134" s="26"/>
      <c r="M134" s="29"/>
      <c r="N134"/>
      <c r="O134"/>
    </row>
    <row r="135" spans="1:16" s="22" customFormat="1">
      <c r="A135" s="25"/>
      <c r="B135" s="31"/>
      <c r="C135" s="32" t="s">
        <v>27</v>
      </c>
      <c r="D135" s="33" t="s">
        <v>26</v>
      </c>
      <c r="E135" s="18">
        <v>8</v>
      </c>
      <c r="F135" s="114"/>
      <c r="G135" s="28"/>
      <c r="H135" s="26"/>
      <c r="I135" s="27"/>
      <c r="J135" s="26"/>
      <c r="K135" s="27"/>
      <c r="L135" s="26"/>
      <c r="M135" s="29"/>
      <c r="N135"/>
      <c r="O135" s="17">
        <f>M131+M127+M122+M118+M115+M111+M105+M99+M98+M94+M87+M83+M82+M78+M76+M73+M69+M67+M65+M61+M56+M52+M49+M45+M39+M33+M28+M27+M23+M21+M18+M14+M12</f>
        <v>0</v>
      </c>
      <c r="P135" s="34">
        <v>0</v>
      </c>
    </row>
    <row r="136" spans="1:16" s="22" customFormat="1">
      <c r="A136" s="25"/>
      <c r="B136" s="31"/>
      <c r="C136" s="32" t="s">
        <v>11</v>
      </c>
      <c r="D136" s="33" t="s">
        <v>16</v>
      </c>
      <c r="E136" s="18"/>
      <c r="F136" s="114"/>
      <c r="G136" s="28"/>
      <c r="H136" s="26"/>
      <c r="I136" s="27"/>
      <c r="J136" s="26"/>
      <c r="K136" s="27"/>
      <c r="L136" s="26"/>
      <c r="M136" s="29"/>
      <c r="N136"/>
      <c r="O136"/>
    </row>
    <row r="137" spans="1:16" s="22" customFormat="1" ht="13.5">
      <c r="A137" s="3"/>
      <c r="B137" s="3"/>
      <c r="C137" s="2"/>
      <c r="D137" s="3"/>
      <c r="E137" s="3"/>
      <c r="F137" s="234"/>
      <c r="G137" s="34"/>
      <c r="H137" s="34"/>
      <c r="I137" s="34"/>
      <c r="J137" s="34"/>
      <c r="K137" s="34"/>
      <c r="L137" s="34"/>
      <c r="M137" s="34"/>
    </row>
    <row r="138" spans="1:16" s="22" customFormat="1" ht="13.5">
      <c r="A138" s="3"/>
      <c r="B138" s="3"/>
      <c r="C138" s="2"/>
      <c r="D138" s="3"/>
      <c r="E138" s="3"/>
      <c r="F138" s="234"/>
      <c r="G138" s="34"/>
      <c r="H138" s="34"/>
      <c r="I138" s="34"/>
      <c r="J138" s="34"/>
      <c r="K138" s="34"/>
      <c r="L138" s="34"/>
      <c r="M138" s="34"/>
    </row>
    <row r="139" spans="1:16" s="22" customFormat="1" ht="13.5">
      <c r="A139" s="3"/>
      <c r="B139" s="3"/>
      <c r="C139" s="2"/>
      <c r="D139" s="3"/>
      <c r="E139" s="3"/>
      <c r="F139" s="234"/>
      <c r="G139" s="34"/>
      <c r="H139" s="34"/>
      <c r="I139" s="34"/>
      <c r="J139" s="34"/>
      <c r="K139" s="34"/>
      <c r="L139" s="34"/>
      <c r="M139" s="34"/>
    </row>
    <row r="140" spans="1:16" s="22" customFormat="1" ht="13.5">
      <c r="A140" s="3"/>
      <c r="B140" s="3"/>
      <c r="C140" s="2"/>
      <c r="D140" s="3"/>
      <c r="E140" s="3"/>
      <c r="F140" s="234"/>
      <c r="G140" s="34"/>
      <c r="H140" s="34"/>
      <c r="I140" s="34"/>
      <c r="J140" s="34"/>
      <c r="K140" s="34"/>
      <c r="L140" s="34"/>
      <c r="M140" s="34"/>
    </row>
    <row r="141" spans="1:16" s="22" customFormat="1" ht="13.5">
      <c r="A141" s="3"/>
      <c r="B141" s="3"/>
      <c r="C141" s="2" t="s">
        <v>521</v>
      </c>
      <c r="D141" s="265"/>
      <c r="E141" s="265"/>
      <c r="F141" s="234"/>
      <c r="G141" s="34"/>
      <c r="H141" s="266" t="s">
        <v>522</v>
      </c>
      <c r="I141" s="266"/>
      <c r="J141" s="34"/>
      <c r="K141" s="34"/>
      <c r="L141" s="34"/>
      <c r="M141" s="34"/>
    </row>
    <row r="142" spans="1:16" s="22" customFormat="1" ht="13.5">
      <c r="A142" s="3"/>
      <c r="B142" s="3"/>
      <c r="C142" s="2"/>
      <c r="D142" s="3"/>
      <c r="E142" s="3"/>
      <c r="F142" s="234"/>
      <c r="G142" s="34"/>
      <c r="H142" s="34"/>
      <c r="I142" s="34"/>
      <c r="J142" s="34"/>
      <c r="K142" s="34"/>
      <c r="L142" s="34"/>
      <c r="M142" s="34"/>
    </row>
    <row r="143" spans="1:16" s="22" customFormat="1" ht="13.5">
      <c r="A143" s="3"/>
      <c r="B143" s="3"/>
      <c r="C143" s="2"/>
      <c r="D143" s="3"/>
      <c r="E143" s="3"/>
      <c r="F143" s="234"/>
      <c r="G143" s="34"/>
      <c r="H143" s="34"/>
      <c r="I143" s="34"/>
      <c r="J143" s="34"/>
      <c r="K143" s="34"/>
      <c r="L143" s="34"/>
      <c r="M143" s="34"/>
    </row>
    <row r="144" spans="1:16" s="22" customFormat="1" ht="13.5">
      <c r="A144" s="3"/>
      <c r="B144" s="3"/>
      <c r="C144" s="2"/>
      <c r="D144" s="3"/>
      <c r="E144" s="3"/>
      <c r="F144" s="234"/>
      <c r="G144" s="34"/>
      <c r="H144" s="34"/>
      <c r="I144" s="34"/>
      <c r="J144" s="34"/>
      <c r="K144" s="34"/>
      <c r="L144" s="34"/>
      <c r="M144" s="34"/>
    </row>
    <row r="145" spans="1:13" s="22" customFormat="1" ht="13.5">
      <c r="A145" s="3"/>
      <c r="B145" s="3"/>
      <c r="C145" s="2"/>
      <c r="D145" s="3"/>
      <c r="E145" s="3"/>
      <c r="F145" s="234"/>
      <c r="G145" s="34"/>
      <c r="H145" s="34"/>
      <c r="I145" s="34"/>
      <c r="J145" s="34"/>
      <c r="K145" s="34"/>
      <c r="L145" s="34"/>
      <c r="M145" s="34"/>
    </row>
    <row r="146" spans="1:13" s="22" customFormat="1" ht="13.5">
      <c r="A146" s="3"/>
      <c r="B146" s="3"/>
      <c r="C146" s="2"/>
      <c r="D146" s="3"/>
      <c r="E146" s="3"/>
      <c r="F146" s="234"/>
      <c r="G146" s="34"/>
      <c r="H146" s="34"/>
      <c r="I146" s="34"/>
      <c r="J146" s="34"/>
      <c r="K146" s="34"/>
      <c r="L146" s="34"/>
      <c r="M146" s="34"/>
    </row>
    <row r="147" spans="1:13" s="22" customFormat="1" ht="13.5">
      <c r="A147" s="3"/>
      <c r="B147" s="3"/>
      <c r="C147" s="2"/>
      <c r="D147" s="3"/>
      <c r="E147" s="3"/>
      <c r="F147" s="234"/>
      <c r="G147" s="34"/>
      <c r="H147" s="34"/>
      <c r="I147" s="34"/>
      <c r="J147" s="34"/>
      <c r="K147" s="34"/>
      <c r="L147" s="34"/>
      <c r="M147" s="34"/>
    </row>
    <row r="148" spans="1:13" s="22" customFormat="1" ht="13.5">
      <c r="A148" s="3"/>
      <c r="B148" s="3"/>
      <c r="C148" s="2"/>
      <c r="D148" s="3"/>
      <c r="E148" s="3"/>
      <c r="F148" s="234"/>
      <c r="G148" s="34"/>
      <c r="H148" s="34"/>
      <c r="I148" s="34"/>
      <c r="J148" s="34"/>
      <c r="K148" s="34"/>
      <c r="L148" s="34"/>
      <c r="M148" s="34"/>
    </row>
    <row r="149" spans="1:13" s="22" customFormat="1" ht="13.5">
      <c r="A149" s="3"/>
      <c r="B149" s="3"/>
      <c r="C149" s="2"/>
      <c r="D149" s="3"/>
      <c r="E149" s="3"/>
      <c r="F149" s="234"/>
      <c r="G149" s="34"/>
      <c r="H149" s="34"/>
      <c r="I149" s="34"/>
      <c r="J149" s="34"/>
      <c r="K149" s="34"/>
      <c r="L149" s="34"/>
      <c r="M149" s="34"/>
    </row>
    <row r="150" spans="1:13" s="22" customFormat="1" ht="13.5">
      <c r="A150" s="3"/>
      <c r="B150" s="3"/>
      <c r="C150" s="2"/>
      <c r="D150" s="3"/>
      <c r="E150" s="3"/>
      <c r="F150" s="234"/>
      <c r="G150" s="34"/>
      <c r="H150" s="34"/>
      <c r="I150" s="34"/>
      <c r="J150" s="34"/>
      <c r="K150" s="34"/>
      <c r="L150" s="34"/>
      <c r="M150" s="34"/>
    </row>
    <row r="151" spans="1:13" s="22" customFormat="1" ht="13.5">
      <c r="A151" s="3"/>
      <c r="B151" s="3"/>
      <c r="C151" s="2"/>
      <c r="D151" s="3"/>
      <c r="E151" s="3"/>
      <c r="F151" s="234"/>
      <c r="G151" s="34"/>
      <c r="H151" s="34"/>
      <c r="I151" s="34"/>
      <c r="J151" s="34"/>
      <c r="K151" s="34"/>
      <c r="L151" s="34"/>
      <c r="M151" s="34"/>
    </row>
    <row r="152" spans="1:13" s="22" customFormat="1" ht="13.5">
      <c r="A152" s="3"/>
      <c r="B152" s="3"/>
      <c r="C152" s="2"/>
      <c r="D152" s="3"/>
      <c r="E152" s="3"/>
      <c r="F152" s="234"/>
      <c r="G152" s="34"/>
      <c r="H152" s="34"/>
      <c r="I152" s="34"/>
      <c r="J152" s="34"/>
      <c r="K152" s="34"/>
      <c r="L152" s="34"/>
      <c r="M152" s="34"/>
    </row>
    <row r="153" spans="1:13" s="22" customFormat="1" ht="13.5">
      <c r="A153" s="3"/>
      <c r="B153" s="3"/>
      <c r="C153" s="2"/>
      <c r="D153" s="3"/>
      <c r="E153" s="3"/>
      <c r="F153" s="234"/>
      <c r="G153" s="34"/>
      <c r="H153" s="34"/>
      <c r="I153" s="34"/>
      <c r="J153" s="34"/>
      <c r="K153" s="34"/>
      <c r="L153" s="34"/>
      <c r="M153" s="34"/>
    </row>
    <row r="154" spans="1:13" s="22" customFormat="1" ht="13.5">
      <c r="A154" s="3"/>
      <c r="B154" s="3"/>
      <c r="C154" s="2"/>
      <c r="D154" s="3"/>
      <c r="E154" s="3"/>
      <c r="F154" s="234"/>
      <c r="G154" s="34"/>
      <c r="H154" s="34"/>
      <c r="I154" s="34"/>
      <c r="J154" s="34"/>
      <c r="K154" s="34"/>
      <c r="L154" s="34"/>
      <c r="M154" s="34"/>
    </row>
    <row r="155" spans="1:13" s="22" customFormat="1" ht="13.5">
      <c r="A155" s="3"/>
      <c r="B155" s="3"/>
      <c r="C155" s="2"/>
      <c r="D155" s="3"/>
      <c r="E155" s="3"/>
      <c r="F155" s="234"/>
      <c r="G155" s="34"/>
      <c r="H155" s="34"/>
      <c r="I155" s="34"/>
      <c r="J155" s="34"/>
      <c r="K155" s="34"/>
      <c r="L155" s="34"/>
      <c r="M155" s="34"/>
    </row>
    <row r="156" spans="1:13" s="22" customFormat="1" ht="13.5">
      <c r="A156" s="3"/>
      <c r="B156" s="3"/>
      <c r="C156" s="2"/>
      <c r="D156" s="3"/>
      <c r="E156" s="3"/>
      <c r="F156" s="234"/>
      <c r="G156" s="34"/>
      <c r="H156" s="34"/>
      <c r="I156" s="34"/>
      <c r="J156" s="34"/>
      <c r="K156" s="34"/>
      <c r="L156" s="34"/>
      <c r="M156" s="34"/>
    </row>
    <row r="157" spans="1:13" s="22" customFormat="1" ht="13.5">
      <c r="A157" s="3"/>
      <c r="B157" s="3"/>
      <c r="C157" s="2"/>
      <c r="D157" s="3"/>
      <c r="E157" s="3"/>
      <c r="F157" s="234"/>
      <c r="G157" s="34"/>
      <c r="H157" s="34"/>
      <c r="I157" s="34"/>
      <c r="J157" s="34"/>
      <c r="K157" s="34"/>
      <c r="L157" s="34"/>
      <c r="M157" s="34"/>
    </row>
    <row r="158" spans="1:13" s="22" customFormat="1" ht="13.5">
      <c r="A158" s="3"/>
      <c r="B158" s="3"/>
      <c r="C158" s="2"/>
      <c r="D158" s="3"/>
      <c r="E158" s="3"/>
      <c r="F158" s="234"/>
      <c r="G158" s="34"/>
      <c r="H158" s="34"/>
      <c r="I158" s="34"/>
      <c r="J158" s="34"/>
      <c r="K158" s="34"/>
      <c r="L158" s="34"/>
      <c r="M158" s="34"/>
    </row>
    <row r="159" spans="1:13" s="22" customFormat="1" ht="13.5">
      <c r="A159" s="3"/>
      <c r="B159" s="3"/>
      <c r="C159" s="2"/>
      <c r="D159" s="3"/>
      <c r="E159" s="3"/>
      <c r="F159" s="234"/>
      <c r="G159" s="34"/>
      <c r="H159" s="34"/>
      <c r="I159" s="34"/>
      <c r="J159" s="34"/>
      <c r="K159" s="34"/>
      <c r="L159" s="34"/>
      <c r="M159" s="34"/>
    </row>
    <row r="160" spans="1:13" s="22" customFormat="1" ht="13.5">
      <c r="A160" s="3"/>
      <c r="B160" s="3"/>
      <c r="C160" s="2"/>
      <c r="D160" s="3"/>
      <c r="E160" s="3"/>
      <c r="F160" s="234"/>
      <c r="G160" s="34"/>
      <c r="H160" s="34"/>
      <c r="I160" s="34"/>
      <c r="J160" s="34"/>
      <c r="K160" s="34"/>
      <c r="L160" s="34"/>
      <c r="M160" s="34"/>
    </row>
    <row r="161" spans="1:13" s="22" customFormat="1" ht="13.5">
      <c r="A161" s="3"/>
      <c r="B161" s="3"/>
      <c r="C161" s="2"/>
      <c r="D161" s="3"/>
      <c r="E161" s="3"/>
      <c r="F161" s="234"/>
      <c r="G161" s="34"/>
      <c r="H161" s="34"/>
      <c r="I161" s="34"/>
      <c r="J161" s="34"/>
      <c r="K161" s="34"/>
      <c r="L161" s="34"/>
      <c r="M161" s="34"/>
    </row>
    <row r="162" spans="1:13" s="22" customFormat="1" ht="13.5">
      <c r="A162" s="3"/>
      <c r="B162" s="3"/>
      <c r="C162" s="2"/>
      <c r="D162" s="3"/>
      <c r="E162" s="3"/>
      <c r="F162" s="234"/>
      <c r="G162" s="34"/>
      <c r="H162" s="34"/>
      <c r="I162" s="34"/>
      <c r="J162" s="34"/>
      <c r="K162" s="34"/>
      <c r="L162" s="34"/>
      <c r="M162" s="34"/>
    </row>
    <row r="163" spans="1:13" s="22" customFormat="1" ht="13.5">
      <c r="A163" s="3"/>
      <c r="B163" s="3"/>
      <c r="C163" s="2"/>
      <c r="D163" s="3"/>
      <c r="E163" s="3"/>
      <c r="F163" s="234"/>
      <c r="G163" s="34"/>
      <c r="H163" s="34"/>
      <c r="I163" s="34"/>
      <c r="J163" s="34"/>
      <c r="K163" s="34"/>
      <c r="L163" s="34"/>
      <c r="M163" s="34"/>
    </row>
    <row r="164" spans="1:13" s="22" customFormat="1" ht="13.5">
      <c r="A164" s="3"/>
      <c r="B164" s="3"/>
      <c r="C164" s="2"/>
      <c r="D164" s="3"/>
      <c r="E164" s="3"/>
      <c r="F164" s="234"/>
      <c r="G164" s="34"/>
      <c r="H164" s="34"/>
      <c r="I164" s="34"/>
      <c r="J164" s="34"/>
      <c r="K164" s="34"/>
      <c r="L164" s="34"/>
      <c r="M164" s="34"/>
    </row>
    <row r="165" spans="1:13" s="22" customFormat="1" ht="13.5">
      <c r="A165" s="3"/>
      <c r="B165" s="3"/>
      <c r="C165" s="2"/>
      <c r="D165" s="3"/>
      <c r="E165" s="3"/>
      <c r="F165" s="234"/>
      <c r="G165" s="34"/>
      <c r="H165" s="34"/>
      <c r="I165" s="34"/>
      <c r="J165" s="34"/>
      <c r="K165" s="34"/>
      <c r="L165" s="34"/>
      <c r="M165" s="34"/>
    </row>
    <row r="166" spans="1:13" s="22" customFormat="1" ht="13.5">
      <c r="A166" s="3"/>
      <c r="B166" s="3"/>
      <c r="C166" s="2"/>
      <c r="D166" s="3"/>
      <c r="E166" s="3"/>
      <c r="F166" s="234"/>
      <c r="G166" s="34"/>
      <c r="H166" s="34"/>
      <c r="I166" s="34"/>
      <c r="J166" s="34"/>
      <c r="K166" s="34"/>
      <c r="L166" s="34"/>
      <c r="M166" s="34"/>
    </row>
    <row r="167" spans="1:13" s="22" customFormat="1" ht="13.5">
      <c r="A167" s="3"/>
      <c r="B167" s="3"/>
      <c r="C167" s="2"/>
      <c r="D167" s="3"/>
      <c r="E167" s="3"/>
      <c r="F167" s="234"/>
      <c r="G167" s="34"/>
      <c r="H167" s="34"/>
      <c r="I167" s="34"/>
      <c r="J167" s="34"/>
      <c r="K167" s="34"/>
      <c r="L167" s="34"/>
      <c r="M167" s="34"/>
    </row>
    <row r="168" spans="1:13" s="22" customFormat="1" ht="13.5">
      <c r="A168" s="3"/>
      <c r="B168" s="3"/>
      <c r="C168" s="2"/>
      <c r="D168" s="3"/>
      <c r="E168" s="3"/>
      <c r="F168" s="234"/>
      <c r="G168" s="34"/>
      <c r="H168" s="34"/>
      <c r="I168" s="34"/>
      <c r="J168" s="34"/>
      <c r="K168" s="34"/>
      <c r="L168" s="34"/>
      <c r="M168" s="34"/>
    </row>
    <row r="169" spans="1:13" s="22" customFormat="1" ht="13.5">
      <c r="A169" s="3"/>
      <c r="B169" s="3"/>
      <c r="C169" s="2"/>
      <c r="D169" s="3"/>
      <c r="E169" s="3"/>
      <c r="F169" s="234"/>
      <c r="G169" s="34"/>
      <c r="H169" s="34"/>
      <c r="I169" s="34"/>
      <c r="J169" s="34"/>
      <c r="K169" s="34"/>
      <c r="L169" s="34"/>
      <c r="M169" s="34"/>
    </row>
    <row r="170" spans="1:13" s="22" customFormat="1" ht="13.5">
      <c r="A170" s="3"/>
      <c r="B170" s="3"/>
      <c r="C170" s="2"/>
      <c r="D170" s="3"/>
      <c r="E170" s="3"/>
      <c r="F170" s="234"/>
      <c r="G170" s="34"/>
      <c r="H170" s="34"/>
      <c r="I170" s="34"/>
      <c r="J170" s="34"/>
      <c r="K170" s="34"/>
      <c r="L170" s="34"/>
      <c r="M170" s="34"/>
    </row>
    <row r="171" spans="1:13" s="22" customFormat="1" ht="13.5">
      <c r="A171" s="3"/>
      <c r="B171" s="3"/>
      <c r="C171" s="2"/>
      <c r="D171" s="3"/>
      <c r="E171" s="3"/>
      <c r="F171" s="234"/>
      <c r="G171" s="34"/>
      <c r="H171" s="34"/>
      <c r="I171" s="34"/>
      <c r="J171" s="34"/>
      <c r="K171" s="34"/>
      <c r="L171" s="34"/>
      <c r="M171" s="34"/>
    </row>
    <row r="172" spans="1:13" s="22" customFormat="1" ht="13.5">
      <c r="A172" s="3"/>
      <c r="B172" s="3"/>
      <c r="C172" s="2"/>
      <c r="D172" s="3"/>
      <c r="E172" s="3"/>
      <c r="F172" s="234"/>
      <c r="G172" s="34"/>
      <c r="H172" s="34"/>
      <c r="I172" s="34"/>
      <c r="J172" s="34"/>
      <c r="K172" s="34"/>
      <c r="L172" s="34"/>
      <c r="M172" s="34"/>
    </row>
    <row r="173" spans="1:13" s="22" customFormat="1" ht="13.5">
      <c r="A173" s="3"/>
      <c r="B173" s="3"/>
      <c r="C173" s="2"/>
      <c r="D173" s="3"/>
      <c r="E173" s="3"/>
      <c r="F173" s="234"/>
      <c r="G173" s="34"/>
      <c r="H173" s="34"/>
      <c r="I173" s="34"/>
      <c r="J173" s="34"/>
      <c r="K173" s="34"/>
      <c r="L173" s="34"/>
      <c r="M173" s="34"/>
    </row>
    <row r="174" spans="1:13" s="22" customFormat="1" ht="13.5">
      <c r="A174" s="3"/>
      <c r="B174" s="3"/>
      <c r="C174" s="2"/>
      <c r="D174" s="3"/>
      <c r="E174" s="3"/>
      <c r="F174" s="234"/>
      <c r="G174" s="34"/>
      <c r="H174" s="34"/>
      <c r="I174" s="34"/>
      <c r="J174" s="34"/>
      <c r="K174" s="34"/>
      <c r="L174" s="34"/>
      <c r="M174" s="34"/>
    </row>
    <row r="175" spans="1:13" s="22" customFormat="1" ht="13.5">
      <c r="A175" s="3"/>
      <c r="B175" s="3"/>
      <c r="C175" s="2"/>
      <c r="D175" s="3"/>
      <c r="E175" s="3"/>
      <c r="F175" s="234"/>
      <c r="G175" s="34"/>
      <c r="H175" s="34"/>
      <c r="I175" s="34"/>
      <c r="J175" s="34"/>
      <c r="K175" s="34"/>
      <c r="L175" s="34"/>
      <c r="M175" s="34"/>
    </row>
    <row r="176" spans="1:13" s="22" customFormat="1" ht="13.5">
      <c r="A176" s="3"/>
      <c r="B176" s="3"/>
      <c r="C176" s="2"/>
      <c r="D176" s="3"/>
      <c r="E176" s="3"/>
      <c r="F176" s="234"/>
      <c r="G176" s="34"/>
      <c r="H176" s="34"/>
      <c r="I176" s="34"/>
      <c r="J176" s="34"/>
      <c r="K176" s="34"/>
      <c r="L176" s="34"/>
      <c r="M176" s="34"/>
    </row>
    <row r="177" spans="1:13" s="22" customFormat="1" ht="13.5">
      <c r="A177" s="3"/>
      <c r="B177" s="3"/>
      <c r="C177" s="2"/>
      <c r="D177" s="3"/>
      <c r="E177" s="3"/>
      <c r="F177" s="234"/>
      <c r="G177" s="34"/>
      <c r="H177" s="34"/>
      <c r="I177" s="34"/>
      <c r="J177" s="34"/>
      <c r="K177" s="34"/>
      <c r="L177" s="34"/>
      <c r="M177" s="34"/>
    </row>
    <row r="178" spans="1:13" s="22" customFormat="1" ht="13.5">
      <c r="A178" s="3"/>
      <c r="B178" s="3"/>
      <c r="C178" s="2"/>
      <c r="D178" s="3"/>
      <c r="E178" s="3"/>
      <c r="F178" s="234"/>
      <c r="G178" s="34"/>
      <c r="H178" s="34"/>
      <c r="I178" s="34"/>
      <c r="J178" s="34"/>
      <c r="K178" s="34"/>
      <c r="L178" s="34"/>
      <c r="M178" s="34"/>
    </row>
    <row r="179" spans="1:13" s="22" customFormat="1" ht="13.5">
      <c r="A179" s="3"/>
      <c r="B179" s="3"/>
      <c r="C179" s="2"/>
      <c r="D179" s="3"/>
      <c r="E179" s="3"/>
      <c r="F179" s="234"/>
      <c r="G179" s="34"/>
      <c r="H179" s="34"/>
      <c r="I179" s="34"/>
      <c r="J179" s="34"/>
      <c r="K179" s="34"/>
      <c r="L179" s="34"/>
      <c r="M179" s="34"/>
    </row>
    <row r="180" spans="1:13" s="22" customFormat="1" ht="13.5">
      <c r="A180" s="3"/>
      <c r="B180" s="3"/>
      <c r="C180" s="2"/>
      <c r="D180" s="3"/>
      <c r="E180" s="3"/>
      <c r="F180" s="235"/>
    </row>
    <row r="181" spans="1:13" s="22" customFormat="1" ht="13.5">
      <c r="C181" s="1"/>
      <c r="F181" s="235"/>
    </row>
    <row r="182" spans="1:13" s="22" customFormat="1" ht="13.5">
      <c r="C182" s="1"/>
      <c r="F182" s="235"/>
    </row>
    <row r="183" spans="1:13" s="22" customFormat="1" ht="13.5">
      <c r="C183" s="1"/>
      <c r="F183" s="235"/>
    </row>
    <row r="184" spans="1:13" s="22" customFormat="1" ht="13.5">
      <c r="C184" s="1"/>
      <c r="F184" s="235"/>
    </row>
    <row r="185" spans="1:13" s="22" customFormat="1" ht="13.5">
      <c r="C185" s="1"/>
      <c r="F185" s="235"/>
    </row>
    <row r="186" spans="1:13" s="22" customFormat="1" ht="13.5">
      <c r="C186" s="1"/>
      <c r="F186" s="235"/>
    </row>
    <row r="187" spans="1:13" s="22" customFormat="1" ht="13.5">
      <c r="C187" s="1"/>
      <c r="F187" s="235"/>
    </row>
    <row r="188" spans="1:13" s="22" customFormat="1" ht="13.5">
      <c r="C188" s="1"/>
      <c r="F188" s="235"/>
    </row>
    <row r="189" spans="1:13" s="22" customFormat="1" ht="13.5">
      <c r="C189" s="1"/>
      <c r="F189" s="235"/>
    </row>
    <row r="190" spans="1:13" s="22" customFormat="1" ht="13.5">
      <c r="C190" s="1"/>
      <c r="F190" s="235"/>
    </row>
    <row r="191" spans="1:13" s="22" customFormat="1" ht="13.5">
      <c r="C191" s="1"/>
      <c r="F191" s="235"/>
    </row>
    <row r="192" spans="1:13" s="22" customFormat="1" ht="13.5">
      <c r="C192" s="1"/>
      <c r="F192" s="235"/>
    </row>
    <row r="193" spans="3:6" s="22" customFormat="1" ht="13.5">
      <c r="C193" s="1"/>
      <c r="F193" s="235"/>
    </row>
    <row r="194" spans="3:6" s="22" customFormat="1" ht="13.5">
      <c r="C194" s="1"/>
      <c r="F194" s="235"/>
    </row>
    <row r="195" spans="3:6" s="22" customFormat="1" ht="13.5">
      <c r="C195" s="1"/>
      <c r="F195" s="235"/>
    </row>
    <row r="196" spans="3:6" s="22" customFormat="1" ht="13.5">
      <c r="C196" s="1"/>
      <c r="F196" s="235"/>
    </row>
    <row r="197" spans="3:6" s="22" customFormat="1" ht="13.5">
      <c r="C197" s="1"/>
      <c r="F197" s="235"/>
    </row>
    <row r="198" spans="3:6" s="22" customFormat="1" ht="13.5">
      <c r="C198" s="1"/>
      <c r="F198" s="235"/>
    </row>
    <row r="199" spans="3:6" s="22" customFormat="1" ht="13.5">
      <c r="C199" s="1"/>
      <c r="F199" s="235"/>
    </row>
    <row r="200" spans="3:6" s="22" customFormat="1" ht="13.5">
      <c r="C200" s="1"/>
      <c r="F200" s="235"/>
    </row>
    <row r="201" spans="3:6" s="22" customFormat="1" ht="13.5">
      <c r="C201" s="1"/>
      <c r="F201" s="235"/>
    </row>
    <row r="202" spans="3:6" s="22" customFormat="1" ht="13.5">
      <c r="C202" s="1"/>
      <c r="F202" s="235"/>
    </row>
    <row r="203" spans="3:6" s="22" customFormat="1" ht="13.5">
      <c r="C203" s="1"/>
      <c r="F203" s="235"/>
    </row>
    <row r="204" spans="3:6" s="22" customFormat="1" ht="13.5">
      <c r="C204" s="1"/>
      <c r="F204" s="235"/>
    </row>
    <row r="205" spans="3:6" s="22" customFormat="1" ht="13.5">
      <c r="C205" s="1"/>
      <c r="F205" s="235"/>
    </row>
    <row r="206" spans="3:6" s="22" customFormat="1" ht="13.5">
      <c r="C206" s="1"/>
      <c r="F206" s="235"/>
    </row>
    <row r="207" spans="3:6" s="22" customFormat="1" ht="13.5">
      <c r="C207" s="1"/>
      <c r="F207" s="235"/>
    </row>
    <row r="208" spans="3:6" s="36" customFormat="1" ht="13.5">
      <c r="F208" s="236"/>
    </row>
    <row r="209" spans="6:6" s="36" customFormat="1" ht="13.5">
      <c r="F209" s="236"/>
    </row>
    <row r="210" spans="6:6" s="36" customFormat="1" ht="13.5">
      <c r="F210" s="236"/>
    </row>
    <row r="211" spans="6:6" s="36" customFormat="1" ht="13.5">
      <c r="F211" s="236"/>
    </row>
    <row r="212" spans="6:6" s="36" customFormat="1" ht="13.5">
      <c r="F212" s="236"/>
    </row>
    <row r="213" spans="6:6" s="36" customFormat="1" ht="13.5">
      <c r="F213" s="236"/>
    </row>
    <row r="214" spans="6:6" s="36" customFormat="1" ht="13.5">
      <c r="F214" s="236"/>
    </row>
    <row r="215" spans="6:6" s="36" customFormat="1" ht="13.5">
      <c r="F215" s="236"/>
    </row>
  </sheetData>
  <mergeCells count="44">
    <mergeCell ref="D141:E141"/>
    <mergeCell ref="H141:I141"/>
    <mergeCell ref="A6:G6"/>
    <mergeCell ref="A1:M1"/>
    <mergeCell ref="A2:M2"/>
    <mergeCell ref="A3:M3"/>
    <mergeCell ref="A4:G4"/>
    <mergeCell ref="C5:K5"/>
    <mergeCell ref="K7:L7"/>
    <mergeCell ref="M7:M8"/>
    <mergeCell ref="A7:A8"/>
    <mergeCell ref="B7:B8"/>
    <mergeCell ref="C7:C8"/>
    <mergeCell ref="D7:D8"/>
    <mergeCell ref="E7:F7"/>
    <mergeCell ref="G7:H7"/>
    <mergeCell ref="A14:A16"/>
    <mergeCell ref="I7:J7"/>
    <mergeCell ref="A28:A32"/>
    <mergeCell ref="A115:A117"/>
    <mergeCell ref="A12:A13"/>
    <mergeCell ref="A18:A20"/>
    <mergeCell ref="A21:A23"/>
    <mergeCell ref="A24:A27"/>
    <mergeCell ref="A76:A77"/>
    <mergeCell ref="A78:A82"/>
    <mergeCell ref="A83:A86"/>
    <mergeCell ref="A87:A92"/>
    <mergeCell ref="A122:A131"/>
    <mergeCell ref="A118:A121"/>
    <mergeCell ref="A33:A38"/>
    <mergeCell ref="A94:A97"/>
    <mergeCell ref="A99:A104"/>
    <mergeCell ref="A105:A110"/>
    <mergeCell ref="A111:A113"/>
    <mergeCell ref="A39:A44"/>
    <mergeCell ref="A45:A47"/>
    <mergeCell ref="A49:A51"/>
    <mergeCell ref="A52:A53"/>
    <mergeCell ref="A54:A55"/>
    <mergeCell ref="A56:A65"/>
    <mergeCell ref="A67:A68"/>
    <mergeCell ref="A69:A71"/>
    <mergeCell ref="A73:A75"/>
  </mergeCells>
  <pageMargins left="0.15748031496062992" right="0.19685039370078741" top="0.39370078740157483" bottom="0.3937007874015748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5"/>
  <sheetViews>
    <sheetView view="pageBreakPreview" topLeftCell="B1" zoomScale="60" zoomScaleNormal="100" workbookViewId="0">
      <selection activeCell="L15" sqref="L15:L16"/>
    </sheetView>
  </sheetViews>
  <sheetFormatPr defaultColWidth="9.140625" defaultRowHeight="15"/>
  <cols>
    <col min="1" max="1" width="5" customWidth="1"/>
    <col min="2" max="2" width="8.85546875" customWidth="1"/>
    <col min="3" max="3" width="39.85546875" customWidth="1"/>
    <col min="6" max="6" width="9.140625" style="237"/>
    <col min="7" max="7" width="8.140625" customWidth="1"/>
    <col min="8" max="8" width="9.85546875" customWidth="1"/>
    <col min="9" max="9" width="7.42578125" customWidth="1"/>
    <col min="11" max="11" width="8.42578125" customWidth="1"/>
    <col min="13" max="13" width="10.42578125" customWidth="1"/>
    <col min="15" max="15" width="9.42578125" bestFit="1" customWidth="1"/>
  </cols>
  <sheetData>
    <row r="1" spans="1:16" s="36" customFormat="1" ht="26.25" customHeight="1">
      <c r="A1" s="277" t="s">
        <v>163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6"/>
      <c r="O1" s="14"/>
      <c r="P1" s="14"/>
    </row>
    <row r="2" spans="1:16" s="36" customFormat="1" ht="17.25" customHeight="1">
      <c r="A2" s="278" t="s">
        <v>195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6"/>
      <c r="O2" s="7"/>
      <c r="P2" s="7"/>
    </row>
    <row r="3" spans="1:16" s="36" customFormat="1" ht="15.75">
      <c r="A3" s="278" t="s">
        <v>196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6"/>
      <c r="O3" s="7"/>
      <c r="P3" s="7"/>
    </row>
    <row r="4" spans="1:16" s="36" customFormat="1" ht="15.75">
      <c r="A4" s="279" t="s">
        <v>1</v>
      </c>
      <c r="B4" s="279"/>
      <c r="C4" s="279"/>
      <c r="D4" s="279"/>
      <c r="E4" s="279"/>
      <c r="F4" s="279"/>
      <c r="G4" s="279"/>
      <c r="H4" s="8"/>
      <c r="I4" s="8"/>
      <c r="J4" s="8"/>
      <c r="K4" s="8"/>
      <c r="L4" s="8"/>
      <c r="M4" s="8"/>
      <c r="N4" s="6"/>
      <c r="O4" s="7"/>
      <c r="P4" s="7"/>
    </row>
    <row r="5" spans="1:16" s="36" customFormat="1" ht="15.75">
      <c r="A5" s="42"/>
      <c r="B5" s="42"/>
      <c r="C5" s="280" t="s">
        <v>2</v>
      </c>
      <c r="D5" s="280"/>
      <c r="E5" s="280"/>
      <c r="F5" s="280"/>
      <c r="G5" s="280"/>
      <c r="H5" s="280"/>
      <c r="I5" s="280"/>
      <c r="J5" s="280"/>
      <c r="K5" s="280"/>
      <c r="L5" s="9">
        <f>M156</f>
        <v>0</v>
      </c>
      <c r="M5" s="10" t="s">
        <v>16</v>
      </c>
      <c r="N5" s="6"/>
      <c r="O5" s="7"/>
      <c r="P5" s="7"/>
    </row>
    <row r="6" spans="1:16" s="36" customFormat="1" ht="18.75" customHeight="1">
      <c r="A6" s="267" t="s">
        <v>404</v>
      </c>
      <c r="B6" s="267"/>
      <c r="C6" s="267"/>
      <c r="D6" s="267"/>
      <c r="E6" s="267"/>
      <c r="F6" s="267"/>
      <c r="G6" s="267"/>
      <c r="H6" s="8"/>
      <c r="I6" s="8"/>
      <c r="J6" s="8"/>
      <c r="K6" s="8"/>
      <c r="L6" s="8"/>
      <c r="M6" s="8"/>
      <c r="N6" s="6"/>
      <c r="O6" s="7"/>
      <c r="P6" s="7"/>
    </row>
    <row r="7" spans="1:16" s="36" customFormat="1" ht="38.25" customHeight="1">
      <c r="A7" s="285" t="s">
        <v>3</v>
      </c>
      <c r="B7" s="285" t="s">
        <v>4</v>
      </c>
      <c r="C7" s="284" t="s">
        <v>5</v>
      </c>
      <c r="D7" s="284" t="s">
        <v>6</v>
      </c>
      <c r="E7" s="284" t="s">
        <v>7</v>
      </c>
      <c r="F7" s="284"/>
      <c r="G7" s="284" t="s">
        <v>8</v>
      </c>
      <c r="H7" s="284"/>
      <c r="I7" s="284" t="s">
        <v>9</v>
      </c>
      <c r="J7" s="284"/>
      <c r="K7" s="284" t="s">
        <v>10</v>
      </c>
      <c r="L7" s="284"/>
      <c r="M7" s="285" t="s">
        <v>11</v>
      </c>
      <c r="N7" s="6"/>
      <c r="O7" s="7"/>
      <c r="P7" s="7"/>
    </row>
    <row r="8" spans="1:16" s="36" customFormat="1" ht="40.5">
      <c r="A8" s="285"/>
      <c r="B8" s="285"/>
      <c r="C8" s="284"/>
      <c r="D8" s="284"/>
      <c r="E8" s="43" t="s">
        <v>12</v>
      </c>
      <c r="F8" s="230" t="s">
        <v>11</v>
      </c>
      <c r="G8" s="43" t="s">
        <v>13</v>
      </c>
      <c r="H8" s="11" t="s">
        <v>11</v>
      </c>
      <c r="I8" s="12" t="s">
        <v>13</v>
      </c>
      <c r="J8" s="13" t="s">
        <v>11</v>
      </c>
      <c r="K8" s="43" t="s">
        <v>13</v>
      </c>
      <c r="L8" s="43" t="s">
        <v>11</v>
      </c>
      <c r="M8" s="285"/>
      <c r="N8" s="6"/>
      <c r="O8" s="7"/>
      <c r="P8" s="7"/>
    </row>
    <row r="9" spans="1:16" s="36" customFormat="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31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6"/>
      <c r="O9" s="7"/>
      <c r="P9" s="7"/>
    </row>
    <row r="10" spans="1:16" s="36" customFormat="1" ht="57.75" customHeight="1">
      <c r="A10" s="214"/>
      <c r="B10" s="24"/>
      <c r="C10" s="211" t="s">
        <v>524</v>
      </c>
      <c r="D10" s="24"/>
      <c r="E10" s="24"/>
      <c r="F10" s="231"/>
      <c r="G10" s="24"/>
      <c r="H10" s="24"/>
      <c r="I10" s="24"/>
      <c r="J10" s="24"/>
      <c r="K10" s="24"/>
      <c r="L10" s="24"/>
      <c r="M10" s="24"/>
      <c r="N10" s="6"/>
      <c r="O10" s="7"/>
      <c r="P10" s="7"/>
    </row>
    <row r="11" spans="1:16" s="22" customFormat="1" ht="53.25" customHeight="1">
      <c r="A11" s="274" t="s">
        <v>14</v>
      </c>
      <c r="B11" s="25" t="s">
        <v>165</v>
      </c>
      <c r="C11" s="105" t="s">
        <v>601</v>
      </c>
      <c r="D11" s="33" t="s">
        <v>80</v>
      </c>
      <c r="E11" s="21"/>
      <c r="F11" s="97">
        <v>1570.7</v>
      </c>
      <c r="G11" s="21"/>
      <c r="H11" s="35"/>
      <c r="I11" s="120"/>
      <c r="J11" s="35"/>
      <c r="K11" s="20"/>
      <c r="L11" s="40"/>
      <c r="M11" s="121"/>
    </row>
    <row r="12" spans="1:16" s="22" customFormat="1" ht="13.5" customHeight="1">
      <c r="A12" s="276"/>
      <c r="B12" s="25" t="s">
        <v>166</v>
      </c>
      <c r="C12" s="163" t="s">
        <v>523</v>
      </c>
      <c r="D12" s="159" t="s">
        <v>20</v>
      </c>
      <c r="E12" s="33">
        <f>16.33/100*1.05</f>
        <v>0.17146499999999998</v>
      </c>
      <c r="F12" s="97">
        <f>E12*F11</f>
        <v>269.32007549999997</v>
      </c>
      <c r="G12" s="26"/>
      <c r="H12" s="26"/>
      <c r="I12" s="159"/>
      <c r="J12" s="159"/>
      <c r="K12" s="110"/>
      <c r="L12" s="35"/>
      <c r="M12" s="26"/>
    </row>
    <row r="13" spans="1:16" s="22" customFormat="1" ht="52.5" customHeight="1">
      <c r="A13" s="274" t="s">
        <v>75</v>
      </c>
      <c r="B13" s="25" t="s">
        <v>414</v>
      </c>
      <c r="C13" s="190" t="s">
        <v>413</v>
      </c>
      <c r="D13" s="33" t="s">
        <v>80</v>
      </c>
      <c r="E13" s="21"/>
      <c r="F13" s="97">
        <f>F11</f>
        <v>1570.7</v>
      </c>
      <c r="G13" s="21"/>
      <c r="H13" s="35"/>
      <c r="I13" s="120"/>
      <c r="J13" s="40"/>
      <c r="K13" s="20"/>
      <c r="L13" s="40"/>
      <c r="M13" s="121"/>
    </row>
    <row r="14" spans="1:16" s="22" customFormat="1" ht="13.5" customHeight="1">
      <c r="A14" s="275"/>
      <c r="B14" s="25"/>
      <c r="C14" s="105" t="s">
        <v>534</v>
      </c>
      <c r="D14" s="41" t="s">
        <v>15</v>
      </c>
      <c r="E14" s="20">
        <f>0.016*1.15</f>
        <v>1.84E-2</v>
      </c>
      <c r="F14" s="97">
        <f>E14*F13</f>
        <v>28.900880000000001</v>
      </c>
      <c r="G14" s="99"/>
      <c r="H14" s="100"/>
      <c r="I14" s="35"/>
      <c r="J14" s="35"/>
      <c r="K14" s="35"/>
      <c r="L14" s="99"/>
      <c r="M14" s="35"/>
    </row>
    <row r="15" spans="1:16" s="22" customFormat="1" ht="13.5" customHeight="1">
      <c r="A15" s="275"/>
      <c r="B15" s="25" t="s">
        <v>100</v>
      </c>
      <c r="C15" s="105" t="s">
        <v>535</v>
      </c>
      <c r="D15" s="20" t="s">
        <v>85</v>
      </c>
      <c r="E15" s="21">
        <f>0.0359*1.05</f>
        <v>3.7695000000000006E-2</v>
      </c>
      <c r="F15" s="153">
        <f>E15*F13</f>
        <v>59.20753650000001</v>
      </c>
      <c r="G15" s="99"/>
      <c r="H15" s="100"/>
      <c r="I15" s="35"/>
      <c r="J15" s="35"/>
      <c r="K15" s="110"/>
      <c r="L15" s="35"/>
      <c r="M15" s="26"/>
    </row>
    <row r="16" spans="1:16" s="22" customFormat="1" ht="58.5" customHeight="1">
      <c r="A16" s="25" t="s">
        <v>18</v>
      </c>
      <c r="B16" s="215"/>
      <c r="C16" s="105" t="s">
        <v>602</v>
      </c>
      <c r="D16" s="20"/>
      <c r="E16" s="33"/>
      <c r="F16" s="117"/>
      <c r="G16" s="21"/>
      <c r="H16" s="35"/>
      <c r="I16" s="20"/>
      <c r="J16" s="35"/>
      <c r="K16" s="20"/>
      <c r="L16" s="40"/>
      <c r="M16" s="121"/>
    </row>
    <row r="17" spans="1:13" s="22" customFormat="1" ht="36.75" customHeight="1">
      <c r="A17" s="275" t="s">
        <v>152</v>
      </c>
      <c r="B17" s="25" t="s">
        <v>171</v>
      </c>
      <c r="C17" s="190" t="s">
        <v>410</v>
      </c>
      <c r="D17" s="20" t="s">
        <v>80</v>
      </c>
      <c r="E17" s="33"/>
      <c r="F17" s="97">
        <v>174.5</v>
      </c>
      <c r="G17" s="39"/>
      <c r="H17" s="37"/>
      <c r="I17" s="27"/>
      <c r="J17" s="16"/>
      <c r="K17" s="23"/>
      <c r="L17" s="16"/>
      <c r="M17" s="16"/>
    </row>
    <row r="18" spans="1:13" s="22" customFormat="1" ht="13.5" customHeight="1">
      <c r="A18" s="275"/>
      <c r="B18" s="25"/>
      <c r="C18" s="105" t="s">
        <v>529</v>
      </c>
      <c r="D18" s="41" t="s">
        <v>15</v>
      </c>
      <c r="E18" s="119">
        <f>8.6*1.15</f>
        <v>9.8899999999999988</v>
      </c>
      <c r="F18" s="114">
        <f>E18*F17</f>
        <v>1725.8049999999998</v>
      </c>
      <c r="G18" s="26"/>
      <c r="H18" s="27"/>
      <c r="I18" s="26"/>
      <c r="J18" s="26"/>
      <c r="K18" s="27"/>
      <c r="L18" s="27"/>
      <c r="M18" s="26"/>
    </row>
    <row r="19" spans="1:13" s="22" customFormat="1" ht="13.5" customHeight="1">
      <c r="A19" s="276"/>
      <c r="B19" s="25" t="s">
        <v>172</v>
      </c>
      <c r="C19" s="190" t="s">
        <v>530</v>
      </c>
      <c r="D19" s="20" t="s">
        <v>85</v>
      </c>
      <c r="E19" s="119">
        <f>6.7*1.05</f>
        <v>7.0350000000000001</v>
      </c>
      <c r="F19" s="97">
        <f>E19*F17</f>
        <v>1227.6075000000001</v>
      </c>
      <c r="G19" s="21"/>
      <c r="H19" s="35"/>
      <c r="I19" s="20"/>
      <c r="J19" s="35"/>
      <c r="K19" s="110"/>
      <c r="L19" s="35"/>
      <c r="M19" s="110"/>
    </row>
    <row r="20" spans="1:13" s="22" customFormat="1" ht="52.5" customHeight="1">
      <c r="A20" s="274" t="s">
        <v>153</v>
      </c>
      <c r="B20" s="25" t="s">
        <v>415</v>
      </c>
      <c r="C20" s="190" t="s">
        <v>425</v>
      </c>
      <c r="D20" s="33" t="s">
        <v>80</v>
      </c>
      <c r="E20" s="20"/>
      <c r="F20" s="97">
        <f>F17</f>
        <v>174.5</v>
      </c>
      <c r="G20" s="39"/>
      <c r="H20" s="37"/>
      <c r="I20" s="27"/>
      <c r="J20" s="16"/>
      <c r="K20" s="23"/>
      <c r="L20" s="16"/>
      <c r="M20" s="16"/>
    </row>
    <row r="21" spans="1:13" s="22" customFormat="1" ht="13.5" customHeight="1">
      <c r="A21" s="275"/>
      <c r="B21" s="25"/>
      <c r="C21" s="90" t="s">
        <v>537</v>
      </c>
      <c r="D21" s="41" t="s">
        <v>15</v>
      </c>
      <c r="E21" s="106">
        <f>1.2*1.15</f>
        <v>1.38</v>
      </c>
      <c r="F21" s="97">
        <f>E21*F20</f>
        <v>240.80999999999997</v>
      </c>
      <c r="G21" s="99"/>
      <c r="H21" s="100"/>
      <c r="I21" s="35"/>
      <c r="J21" s="35"/>
      <c r="K21" s="35"/>
      <c r="L21" s="99"/>
      <c r="M21" s="35"/>
    </row>
    <row r="22" spans="1:13" s="22" customFormat="1" ht="13.5" customHeight="1">
      <c r="A22" s="275"/>
      <c r="B22" s="25" t="s">
        <v>169</v>
      </c>
      <c r="C22" s="105" t="s">
        <v>87</v>
      </c>
      <c r="D22" s="33" t="s">
        <v>80</v>
      </c>
      <c r="E22" s="106"/>
      <c r="F22" s="233">
        <f>F20</f>
        <v>174.5</v>
      </c>
      <c r="G22" s="123"/>
      <c r="H22" s="220"/>
      <c r="I22" s="101"/>
      <c r="J22" s="16"/>
      <c r="K22" s="16"/>
      <c r="L22" s="16"/>
      <c r="M22" s="16"/>
    </row>
    <row r="23" spans="1:13" s="22" customFormat="1" ht="13.5" customHeight="1">
      <c r="A23" s="276"/>
      <c r="B23" s="25" t="s">
        <v>102</v>
      </c>
      <c r="C23" s="105" t="s">
        <v>88</v>
      </c>
      <c r="D23" s="20" t="s">
        <v>85</v>
      </c>
      <c r="E23" s="106">
        <f>1.05*0.00362</f>
        <v>3.8010000000000001E-3</v>
      </c>
      <c r="F23" s="152">
        <f>E23*F22</f>
        <v>0.66327449999999999</v>
      </c>
      <c r="G23" s="26"/>
      <c r="H23" s="27"/>
      <c r="I23" s="27"/>
      <c r="J23" s="27"/>
      <c r="K23" s="27"/>
      <c r="L23" s="26"/>
      <c r="M23" s="26"/>
    </row>
    <row r="24" spans="1:13" s="22" customFormat="1" ht="13.5" customHeight="1">
      <c r="A24" s="274"/>
      <c r="B24" s="25"/>
      <c r="C24" s="105" t="s">
        <v>28</v>
      </c>
      <c r="D24" s="20" t="s">
        <v>16</v>
      </c>
      <c r="E24" s="106">
        <v>1.8000000000000001E-4</v>
      </c>
      <c r="F24" s="152">
        <f>E24*F22</f>
        <v>3.141E-2</v>
      </c>
      <c r="G24" s="123"/>
      <c r="H24" s="123"/>
      <c r="I24" s="122"/>
      <c r="J24" s="27"/>
      <c r="K24" s="18"/>
      <c r="L24" s="26"/>
      <c r="M24" s="26"/>
    </row>
    <row r="25" spans="1:13" s="22" customFormat="1" ht="13.5" customHeight="1">
      <c r="A25" s="275"/>
      <c r="B25" s="25" t="s">
        <v>225</v>
      </c>
      <c r="C25" s="105" t="s">
        <v>514</v>
      </c>
      <c r="D25" s="33" t="s">
        <v>80</v>
      </c>
      <c r="E25" s="106">
        <f>0.08/1000</f>
        <v>8.0000000000000007E-5</v>
      </c>
      <c r="F25" s="153">
        <f>E25*F22</f>
        <v>1.3960000000000002E-2</v>
      </c>
      <c r="G25" s="88"/>
      <c r="H25" s="35"/>
      <c r="I25" s="35"/>
      <c r="J25" s="35"/>
      <c r="K25" s="120"/>
      <c r="L25" s="35"/>
      <c r="M25" s="26"/>
    </row>
    <row r="26" spans="1:13" s="22" customFormat="1" ht="13.5" customHeight="1">
      <c r="A26" s="276"/>
      <c r="B26" s="25" t="s">
        <v>82</v>
      </c>
      <c r="C26" s="105" t="s">
        <v>89</v>
      </c>
      <c r="D26" s="20" t="s">
        <v>17</v>
      </c>
      <c r="E26" s="106"/>
      <c r="F26" s="233">
        <f>F20*2.8</f>
        <v>488.59999999999997</v>
      </c>
      <c r="G26" s="123"/>
      <c r="H26" s="123"/>
      <c r="I26" s="122"/>
      <c r="J26" s="123"/>
      <c r="K26" s="110"/>
      <c r="L26" s="16"/>
      <c r="M26" s="16"/>
    </row>
    <row r="27" spans="1:13" s="22" customFormat="1" ht="30.75" customHeight="1">
      <c r="A27" s="274" t="s">
        <v>21</v>
      </c>
      <c r="B27" s="25" t="s">
        <v>197</v>
      </c>
      <c r="C27" s="38" t="s">
        <v>198</v>
      </c>
      <c r="D27" s="171" t="s">
        <v>24</v>
      </c>
      <c r="E27" s="20"/>
      <c r="F27" s="117">
        <v>594</v>
      </c>
      <c r="G27" s="39"/>
      <c r="H27" s="40"/>
      <c r="I27" s="118"/>
      <c r="J27" s="16"/>
      <c r="K27" s="23"/>
      <c r="L27" s="16"/>
      <c r="M27" s="16"/>
    </row>
    <row r="28" spans="1:13" s="22" customFormat="1" ht="13.5" customHeight="1">
      <c r="A28" s="275"/>
      <c r="B28" s="25"/>
      <c r="C28" s="105" t="s">
        <v>546</v>
      </c>
      <c r="D28" s="20" t="s">
        <v>15</v>
      </c>
      <c r="E28" s="106">
        <f>0.442*1.15</f>
        <v>0.50829999999999997</v>
      </c>
      <c r="F28" s="97">
        <f>E28*F27</f>
        <v>301.93019999999996</v>
      </c>
      <c r="G28" s="99"/>
      <c r="H28" s="107"/>
      <c r="I28" s="35"/>
      <c r="J28" s="35"/>
      <c r="K28" s="26"/>
      <c r="L28" s="35"/>
      <c r="M28" s="26"/>
    </row>
    <row r="29" spans="1:13" s="22" customFormat="1" ht="13.5" customHeight="1">
      <c r="A29" s="275"/>
      <c r="B29" s="25"/>
      <c r="C29" s="105" t="s">
        <v>28</v>
      </c>
      <c r="D29" s="20" t="s">
        <v>16</v>
      </c>
      <c r="E29" s="106">
        <v>7.5800000000000006E-2</v>
      </c>
      <c r="F29" s="152">
        <f>E29*F27</f>
        <v>45.025200000000005</v>
      </c>
      <c r="G29" s="123"/>
      <c r="H29" s="123"/>
      <c r="I29" s="122"/>
      <c r="J29" s="27"/>
      <c r="K29" s="18"/>
      <c r="L29" s="26"/>
      <c r="M29" s="26"/>
    </row>
    <row r="30" spans="1:13" s="22" customFormat="1" ht="13.5" customHeight="1">
      <c r="A30" s="275"/>
      <c r="B30" s="160" t="s">
        <v>199</v>
      </c>
      <c r="C30" s="91" t="s">
        <v>200</v>
      </c>
      <c r="D30" s="20" t="s">
        <v>80</v>
      </c>
      <c r="E30" s="33">
        <v>4.3E-3</v>
      </c>
      <c r="F30" s="114">
        <f>E30*F27</f>
        <v>2.5541999999999998</v>
      </c>
      <c r="G30" s="18"/>
      <c r="H30" s="97"/>
      <c r="I30" s="26"/>
      <c r="J30" s="26"/>
      <c r="K30" s="26"/>
      <c r="L30" s="158"/>
      <c r="M30" s="26"/>
    </row>
    <row r="31" spans="1:13" s="22" customFormat="1" ht="13.5" customHeight="1">
      <c r="A31" s="275"/>
      <c r="B31" s="172" t="s">
        <v>201</v>
      </c>
      <c r="C31" s="105" t="s">
        <v>202</v>
      </c>
      <c r="D31" s="173" t="s">
        <v>80</v>
      </c>
      <c r="E31" s="5">
        <v>1.61E-2</v>
      </c>
      <c r="F31" s="153">
        <f>E31*F27</f>
        <v>9.5633999999999997</v>
      </c>
      <c r="G31" s="18"/>
      <c r="H31" s="35"/>
      <c r="I31" s="107"/>
      <c r="J31" s="154"/>
      <c r="K31" s="107"/>
      <c r="L31" s="107"/>
      <c r="M31" s="35"/>
    </row>
    <row r="32" spans="1:13" s="22" customFormat="1" ht="13.5" customHeight="1">
      <c r="A32" s="276"/>
      <c r="B32" s="25"/>
      <c r="C32" s="38" t="s">
        <v>23</v>
      </c>
      <c r="D32" s="20" t="s">
        <v>16</v>
      </c>
      <c r="E32" s="20">
        <v>4.8999999999999998E-3</v>
      </c>
      <c r="F32" s="232">
        <f>E32*F27</f>
        <v>2.9106000000000001</v>
      </c>
      <c r="G32" s="18"/>
      <c r="H32" s="35"/>
      <c r="I32" s="18"/>
      <c r="J32" s="26"/>
      <c r="K32" s="27"/>
      <c r="L32" s="27"/>
      <c r="M32" s="35"/>
    </row>
    <row r="33" spans="1:13" s="22" customFormat="1" ht="18" customHeight="1">
      <c r="A33" s="25"/>
      <c r="B33" s="25"/>
      <c r="C33" s="174" t="s">
        <v>203</v>
      </c>
      <c r="D33" s="20"/>
      <c r="E33" s="21"/>
      <c r="F33" s="233"/>
      <c r="G33" s="21"/>
      <c r="H33" s="35"/>
      <c r="I33" s="20"/>
      <c r="J33" s="35"/>
      <c r="K33" s="20"/>
      <c r="L33" s="40"/>
      <c r="M33" s="121"/>
    </row>
    <row r="34" spans="1:13" s="22" customFormat="1" ht="18" customHeight="1">
      <c r="A34" s="274" t="s">
        <v>83</v>
      </c>
      <c r="B34" s="25" t="s">
        <v>123</v>
      </c>
      <c r="C34" s="38" t="s">
        <v>204</v>
      </c>
      <c r="D34" s="149" t="s">
        <v>80</v>
      </c>
      <c r="E34" s="20"/>
      <c r="F34" s="97">
        <v>50.6</v>
      </c>
      <c r="G34" s="39"/>
      <c r="H34" s="40"/>
      <c r="I34" s="118"/>
      <c r="J34" s="16"/>
      <c r="K34" s="23"/>
      <c r="L34" s="16"/>
      <c r="M34" s="16"/>
    </row>
    <row r="35" spans="1:13" s="22" customFormat="1" ht="13.5" customHeight="1">
      <c r="A35" s="275"/>
      <c r="B35" s="25"/>
      <c r="C35" s="105" t="s">
        <v>19</v>
      </c>
      <c r="D35" s="20" t="s">
        <v>15</v>
      </c>
      <c r="E35" s="106">
        <f>2.12*1.15</f>
        <v>2.4379999999999997</v>
      </c>
      <c r="F35" s="97">
        <f>E35*F34</f>
        <v>123.36279999999999</v>
      </c>
      <c r="G35" s="99"/>
      <c r="H35" s="164"/>
      <c r="I35" s="35"/>
      <c r="J35" s="35"/>
      <c r="K35" s="26"/>
      <c r="L35" s="35"/>
      <c r="M35" s="26"/>
    </row>
    <row r="36" spans="1:13" s="22" customFormat="1" ht="13.5" customHeight="1">
      <c r="A36" s="275"/>
      <c r="B36" s="25"/>
      <c r="C36" s="105" t="s">
        <v>28</v>
      </c>
      <c r="D36" s="20" t="s">
        <v>16</v>
      </c>
      <c r="E36" s="106">
        <v>0.10100000000000001</v>
      </c>
      <c r="F36" s="152">
        <f>E36*F34</f>
        <v>5.1106000000000007</v>
      </c>
      <c r="G36" s="123"/>
      <c r="H36" s="101"/>
      <c r="I36" s="122"/>
      <c r="J36" s="27"/>
      <c r="K36" s="18"/>
      <c r="L36" s="26"/>
      <c r="M36" s="26"/>
    </row>
    <row r="37" spans="1:13" s="22" customFormat="1" ht="13.5" customHeight="1">
      <c r="A37" s="276"/>
      <c r="B37" s="25" t="s">
        <v>225</v>
      </c>
      <c r="C37" s="38" t="s">
        <v>499</v>
      </c>
      <c r="D37" s="149" t="s">
        <v>80</v>
      </c>
      <c r="E37" s="110">
        <v>1.1000000000000001</v>
      </c>
      <c r="F37" s="97">
        <f>E37*F34</f>
        <v>55.660000000000004</v>
      </c>
      <c r="G37" s="150"/>
      <c r="H37" s="35"/>
      <c r="I37" s="18"/>
      <c r="J37" s="26"/>
      <c r="K37" s="26"/>
      <c r="L37" s="26"/>
      <c r="M37" s="26"/>
    </row>
    <row r="38" spans="1:13" s="22" customFormat="1" ht="20.25" customHeight="1">
      <c r="A38" s="274" t="s">
        <v>22</v>
      </c>
      <c r="B38" s="25" t="s">
        <v>115</v>
      </c>
      <c r="C38" s="38" t="s">
        <v>205</v>
      </c>
      <c r="D38" s="149" t="s">
        <v>80</v>
      </c>
      <c r="E38" s="20"/>
      <c r="F38" s="97">
        <v>200.6</v>
      </c>
      <c r="G38" s="39"/>
      <c r="H38" s="40"/>
      <c r="I38" s="118"/>
      <c r="J38" s="16"/>
      <c r="K38" s="23"/>
      <c r="L38" s="118"/>
      <c r="M38" s="16"/>
    </row>
    <row r="39" spans="1:13" s="22" customFormat="1" ht="13.5" customHeight="1">
      <c r="A39" s="275"/>
      <c r="B39" s="25"/>
      <c r="C39" s="105" t="s">
        <v>538</v>
      </c>
      <c r="D39" s="20" t="s">
        <v>15</v>
      </c>
      <c r="E39" s="106">
        <f>1.37*1.15</f>
        <v>1.5754999999999999</v>
      </c>
      <c r="F39" s="97">
        <f>E39*F38</f>
        <v>316.0453</v>
      </c>
      <c r="G39" s="99"/>
      <c r="H39" s="107"/>
      <c r="I39" s="88"/>
      <c r="J39" s="35"/>
      <c r="K39" s="26"/>
      <c r="L39" s="35"/>
      <c r="M39" s="26"/>
    </row>
    <row r="40" spans="1:13" s="22" customFormat="1" ht="13.5" customHeight="1">
      <c r="A40" s="275"/>
      <c r="B40" s="25"/>
      <c r="C40" s="105" t="s">
        <v>28</v>
      </c>
      <c r="D40" s="20" t="s">
        <v>16</v>
      </c>
      <c r="E40" s="106">
        <v>0.28299999999999997</v>
      </c>
      <c r="F40" s="152">
        <f>E40*F38</f>
        <v>56.769799999999996</v>
      </c>
      <c r="G40" s="123"/>
      <c r="H40" s="123"/>
      <c r="I40" s="122"/>
      <c r="J40" s="27"/>
      <c r="K40" s="18"/>
      <c r="L40" s="26"/>
      <c r="M40" s="26"/>
    </row>
    <row r="41" spans="1:13" s="22" customFormat="1" ht="13.5" customHeight="1">
      <c r="A41" s="275"/>
      <c r="B41" s="25" t="s">
        <v>225</v>
      </c>
      <c r="C41" s="38" t="s">
        <v>498</v>
      </c>
      <c r="D41" s="149" t="s">
        <v>80</v>
      </c>
      <c r="E41" s="20">
        <v>1.02</v>
      </c>
      <c r="F41" s="97">
        <f>E41*F38</f>
        <v>204.61199999999999</v>
      </c>
      <c r="G41" s="150"/>
      <c r="H41" s="35"/>
      <c r="I41" s="18"/>
      <c r="J41" s="26"/>
      <c r="K41" s="26"/>
      <c r="L41" s="26"/>
      <c r="M41" s="26"/>
    </row>
    <row r="42" spans="1:13" s="22" customFormat="1" ht="13.5" customHeight="1">
      <c r="A42" s="276"/>
      <c r="B42" s="25"/>
      <c r="C42" s="38" t="s">
        <v>23</v>
      </c>
      <c r="D42" s="20" t="s">
        <v>16</v>
      </c>
      <c r="E42" s="20">
        <v>0.62</v>
      </c>
      <c r="F42" s="97">
        <f>E42*F38</f>
        <v>124.372</v>
      </c>
      <c r="G42" s="18"/>
      <c r="H42" s="35"/>
      <c r="I42" s="27"/>
      <c r="J42" s="27"/>
      <c r="K42" s="27"/>
      <c r="L42" s="26"/>
      <c r="M42" s="26"/>
    </row>
    <row r="43" spans="1:13" s="22" customFormat="1" ht="29.25" customHeight="1">
      <c r="A43" s="274" t="s">
        <v>84</v>
      </c>
      <c r="B43" s="25" t="s">
        <v>207</v>
      </c>
      <c r="C43" s="38" t="s">
        <v>206</v>
      </c>
      <c r="D43" s="149" t="s">
        <v>80</v>
      </c>
      <c r="E43" s="20"/>
      <c r="F43" s="97">
        <v>194.02</v>
      </c>
      <c r="G43" s="39"/>
      <c r="H43" s="40"/>
      <c r="I43" s="118"/>
      <c r="J43" s="16"/>
      <c r="K43" s="23"/>
      <c r="L43" s="16"/>
      <c r="M43" s="16"/>
    </row>
    <row r="44" spans="1:13" s="22" customFormat="1" ht="13.5" customHeight="1">
      <c r="A44" s="275"/>
      <c r="B44" s="25"/>
      <c r="C44" s="90" t="s">
        <v>547</v>
      </c>
      <c r="D44" s="41" t="s">
        <v>15</v>
      </c>
      <c r="E44" s="106">
        <f>5.56*1.15</f>
        <v>6.3939999999999992</v>
      </c>
      <c r="F44" s="233">
        <f>E44*F43</f>
        <v>1240.5638799999999</v>
      </c>
      <c r="G44" s="123"/>
      <c r="H44" s="123"/>
      <c r="I44" s="35"/>
      <c r="J44" s="26"/>
      <c r="K44" s="26"/>
      <c r="L44" s="27"/>
      <c r="M44" s="26"/>
    </row>
    <row r="45" spans="1:13" s="22" customFormat="1" ht="13.5" customHeight="1">
      <c r="A45" s="275"/>
      <c r="B45" s="25" t="s">
        <v>132</v>
      </c>
      <c r="C45" s="105" t="s">
        <v>545</v>
      </c>
      <c r="D45" s="20" t="s">
        <v>20</v>
      </c>
      <c r="E45" s="110">
        <f>1.31*1.05</f>
        <v>1.3755000000000002</v>
      </c>
      <c r="F45" s="97">
        <f>E45*F43</f>
        <v>266.87451000000004</v>
      </c>
      <c r="G45" s="88"/>
      <c r="H45" s="35"/>
      <c r="I45" s="88"/>
      <c r="J45" s="35"/>
      <c r="K45" s="26"/>
      <c r="L45" s="35"/>
      <c r="M45" s="26"/>
    </row>
    <row r="46" spans="1:13" s="22" customFormat="1" ht="13.5" customHeight="1">
      <c r="A46" s="275"/>
      <c r="B46" s="25" t="s">
        <v>209</v>
      </c>
      <c r="C46" s="38" t="s">
        <v>208</v>
      </c>
      <c r="D46" s="20" t="s">
        <v>77</v>
      </c>
      <c r="E46" s="120"/>
      <c r="F46" s="97">
        <v>218</v>
      </c>
      <c r="G46" s="150"/>
      <c r="H46" s="88"/>
      <c r="I46" s="18"/>
      <c r="J46" s="26"/>
      <c r="K46" s="27"/>
      <c r="L46" s="27"/>
      <c r="M46" s="18"/>
    </row>
    <row r="47" spans="1:13" s="22" customFormat="1" ht="13.5" customHeight="1">
      <c r="A47" s="276"/>
      <c r="B47" s="25"/>
      <c r="C47" s="38" t="s">
        <v>23</v>
      </c>
      <c r="D47" s="20" t="s">
        <v>16</v>
      </c>
      <c r="E47" s="20">
        <v>4.5599999999999996</v>
      </c>
      <c r="F47" s="97">
        <f>E47*F43</f>
        <v>884.73119999999994</v>
      </c>
      <c r="G47" s="18"/>
      <c r="H47" s="35"/>
      <c r="I47" s="27"/>
      <c r="J47" s="27"/>
      <c r="K47" s="27"/>
      <c r="L47" s="26"/>
      <c r="M47" s="26"/>
    </row>
    <row r="48" spans="1:13" s="22" customFormat="1" ht="27" customHeight="1">
      <c r="A48" s="25" t="s">
        <v>125</v>
      </c>
      <c r="B48" s="25"/>
      <c r="C48" s="175" t="s">
        <v>210</v>
      </c>
      <c r="D48" s="20"/>
      <c r="E48" s="20"/>
      <c r="F48" s="232"/>
      <c r="G48" s="39"/>
      <c r="H48" s="37"/>
      <c r="I48" s="27"/>
      <c r="J48" s="27"/>
      <c r="K48" s="27"/>
      <c r="L48" s="26"/>
      <c r="M48" s="26"/>
    </row>
    <row r="49" spans="1:13" s="22" customFormat="1" ht="22.5" customHeight="1">
      <c r="A49" s="286" t="s">
        <v>193</v>
      </c>
      <c r="B49" s="15" t="s">
        <v>126</v>
      </c>
      <c r="C49" s="102" t="s">
        <v>127</v>
      </c>
      <c r="D49" s="20" t="s">
        <v>24</v>
      </c>
      <c r="E49" s="15"/>
      <c r="F49" s="238">
        <v>1259</v>
      </c>
      <c r="G49" s="103"/>
      <c r="H49" s="104"/>
      <c r="I49" s="104"/>
      <c r="J49" s="104"/>
      <c r="K49" s="104"/>
      <c r="L49" s="104"/>
      <c r="M49" s="104"/>
    </row>
    <row r="50" spans="1:13" s="22" customFormat="1" ht="13.5" customHeight="1">
      <c r="A50" s="287"/>
      <c r="B50" s="15"/>
      <c r="C50" s="112" t="s">
        <v>97</v>
      </c>
      <c r="D50" s="113" t="s">
        <v>15</v>
      </c>
      <c r="E50" s="108">
        <f>0.564*1.15</f>
        <v>0.64859999999999984</v>
      </c>
      <c r="F50" s="114">
        <f>E50*F49</f>
        <v>816.58739999999977</v>
      </c>
      <c r="G50" s="114"/>
      <c r="H50" s="115"/>
      <c r="I50" s="35"/>
      <c r="J50" s="114"/>
      <c r="K50" s="115"/>
      <c r="L50" s="115"/>
      <c r="M50" s="114"/>
    </row>
    <row r="51" spans="1:13" s="22" customFormat="1" ht="13.5" customHeight="1">
      <c r="A51" s="286"/>
      <c r="B51" s="15"/>
      <c r="C51" s="112" t="s">
        <v>78</v>
      </c>
      <c r="D51" s="96" t="s">
        <v>16</v>
      </c>
      <c r="E51" s="5">
        <v>4.0899999999999999E-2</v>
      </c>
      <c r="F51" s="117">
        <f>E51*F49</f>
        <v>51.493099999999998</v>
      </c>
      <c r="G51" s="96"/>
      <c r="H51" s="96"/>
      <c r="I51" s="117"/>
      <c r="J51" s="96"/>
      <c r="K51" s="18"/>
      <c r="L51" s="35"/>
      <c r="M51" s="97"/>
    </row>
    <row r="52" spans="1:13" s="22" customFormat="1" ht="13.5" customHeight="1">
      <c r="A52" s="288"/>
      <c r="B52" s="69" t="s">
        <v>189</v>
      </c>
      <c r="C52" s="151" t="s">
        <v>128</v>
      </c>
      <c r="D52" s="37" t="s">
        <v>17</v>
      </c>
      <c r="E52" s="5">
        <v>4.4999999999999997E-3</v>
      </c>
      <c r="F52" s="97">
        <f>E52*F49</f>
        <v>5.6654999999999998</v>
      </c>
      <c r="G52" s="88"/>
      <c r="H52" s="35"/>
      <c r="I52" s="37"/>
      <c r="J52" s="37"/>
      <c r="K52" s="37"/>
      <c r="L52" s="37"/>
      <c r="M52" s="35"/>
    </row>
    <row r="53" spans="1:13" s="22" customFormat="1" ht="13.5" customHeight="1">
      <c r="A53" s="288"/>
      <c r="B53" s="103" t="s">
        <v>419</v>
      </c>
      <c r="C53" s="151" t="s">
        <v>129</v>
      </c>
      <c r="D53" s="20" t="s">
        <v>80</v>
      </c>
      <c r="E53" s="5">
        <v>7.4999999999999997E-3</v>
      </c>
      <c r="F53" s="97">
        <f>E53*F49</f>
        <v>9.442499999999999</v>
      </c>
      <c r="G53" s="88"/>
      <c r="H53" s="35"/>
      <c r="I53" s="37"/>
      <c r="J53" s="37"/>
      <c r="K53" s="37"/>
      <c r="L53" s="37"/>
      <c r="M53" s="35"/>
    </row>
    <row r="54" spans="1:13" s="22" customFormat="1" ht="13.5" customHeight="1">
      <c r="A54" s="287"/>
      <c r="B54" s="15"/>
      <c r="C54" s="105" t="s">
        <v>23</v>
      </c>
      <c r="D54" s="20" t="s">
        <v>16</v>
      </c>
      <c r="E54" s="108">
        <v>0.26500000000000001</v>
      </c>
      <c r="F54" s="97">
        <f>E54*F49</f>
        <v>333.63499999999999</v>
      </c>
      <c r="G54" s="18"/>
      <c r="H54" s="35"/>
      <c r="I54" s="107"/>
      <c r="J54" s="154"/>
      <c r="K54" s="107"/>
      <c r="L54" s="107"/>
      <c r="M54" s="35"/>
    </row>
    <row r="55" spans="1:13" s="22" customFormat="1" ht="18.75" customHeight="1">
      <c r="A55" s="289" t="s">
        <v>194</v>
      </c>
      <c r="B55" s="176" t="s">
        <v>214</v>
      </c>
      <c r="C55" s="177" t="s">
        <v>215</v>
      </c>
      <c r="D55" s="171" t="s">
        <v>24</v>
      </c>
      <c r="E55" s="178"/>
      <c r="F55" s="242">
        <v>49</v>
      </c>
      <c r="G55" s="178"/>
      <c r="H55" s="40"/>
      <c r="I55" s="35"/>
      <c r="J55" s="40"/>
      <c r="K55" s="40"/>
      <c r="L55" s="40"/>
      <c r="M55" s="40"/>
    </row>
    <row r="56" spans="1:13" s="22" customFormat="1" ht="13.5" customHeight="1">
      <c r="A56" s="290"/>
      <c r="B56" s="176"/>
      <c r="C56" s="177" t="s">
        <v>548</v>
      </c>
      <c r="D56" s="33" t="s">
        <v>15</v>
      </c>
      <c r="E56" s="33">
        <f>1.16*1.15</f>
        <v>1.3339999999999999</v>
      </c>
      <c r="F56" s="114">
        <f>E56*F55</f>
        <v>65.366</v>
      </c>
      <c r="G56" s="26"/>
      <c r="H56" s="27"/>
      <c r="I56" s="35"/>
      <c r="J56" s="180"/>
      <c r="K56" s="180"/>
      <c r="L56" s="181"/>
      <c r="M56" s="180"/>
    </row>
    <row r="57" spans="1:13" s="22" customFormat="1" ht="13.5" customHeight="1">
      <c r="A57" s="290"/>
      <c r="B57" s="176"/>
      <c r="C57" s="177" t="s">
        <v>78</v>
      </c>
      <c r="D57" s="178" t="s">
        <v>16</v>
      </c>
      <c r="E57" s="178">
        <v>6.13E-2</v>
      </c>
      <c r="F57" s="243">
        <f>E57*F55</f>
        <v>3.0036999999999998</v>
      </c>
      <c r="G57" s="178"/>
      <c r="H57" s="178"/>
      <c r="I57" s="182"/>
      <c r="J57" s="178"/>
      <c r="K57" s="150"/>
      <c r="L57" s="35"/>
      <c r="M57" s="26"/>
    </row>
    <row r="58" spans="1:13" s="22" customFormat="1" ht="13.5" customHeight="1">
      <c r="A58" s="290"/>
      <c r="B58" s="69" t="s">
        <v>189</v>
      </c>
      <c r="C58" s="177" t="s">
        <v>128</v>
      </c>
      <c r="D58" s="178" t="s">
        <v>17</v>
      </c>
      <c r="E58" s="178">
        <v>6.7999999999999996E-3</v>
      </c>
      <c r="F58" s="244">
        <f>E58*F55</f>
        <v>0.3332</v>
      </c>
      <c r="G58" s="88"/>
      <c r="H58" s="35"/>
      <c r="I58" s="178"/>
      <c r="J58" s="178"/>
      <c r="K58" s="178"/>
      <c r="L58" s="178"/>
      <c r="M58" s="183"/>
    </row>
    <row r="59" spans="1:13" s="22" customFormat="1" ht="13.5" customHeight="1">
      <c r="A59" s="290"/>
      <c r="B59" s="103" t="s">
        <v>419</v>
      </c>
      <c r="C59" s="151" t="s">
        <v>129</v>
      </c>
      <c r="D59" s="20" t="s">
        <v>80</v>
      </c>
      <c r="E59" s="5">
        <v>7.4999999999999997E-3</v>
      </c>
      <c r="F59" s="232">
        <f>E59*F55</f>
        <v>0.36749999999999999</v>
      </c>
      <c r="G59" s="88"/>
      <c r="H59" s="35"/>
      <c r="I59" s="37"/>
      <c r="J59" s="37"/>
      <c r="K59" s="37"/>
      <c r="L59" s="37"/>
      <c r="M59" s="35"/>
    </row>
    <row r="60" spans="1:13" s="22" customFormat="1" ht="13.5" customHeight="1">
      <c r="A60" s="290"/>
      <c r="B60" s="176"/>
      <c r="C60" s="177" t="s">
        <v>216</v>
      </c>
      <c r="D60" s="171" t="s">
        <v>24</v>
      </c>
      <c r="E60" s="178">
        <v>2.34</v>
      </c>
      <c r="F60" s="245">
        <f>E60*F55</f>
        <v>114.66</v>
      </c>
      <c r="G60" s="179"/>
      <c r="H60" s="35"/>
      <c r="I60" s="178"/>
      <c r="J60" s="178"/>
      <c r="K60" s="178"/>
      <c r="L60" s="178"/>
      <c r="M60" s="183"/>
    </row>
    <row r="61" spans="1:13" s="22" customFormat="1" ht="13.5" customHeight="1">
      <c r="A61" s="291"/>
      <c r="B61" s="176"/>
      <c r="C61" s="184" t="s">
        <v>23</v>
      </c>
      <c r="D61" s="171" t="s">
        <v>16</v>
      </c>
      <c r="E61" s="185">
        <v>0.58799999999999997</v>
      </c>
      <c r="F61" s="245">
        <f>E61*F55</f>
        <v>28.811999999999998</v>
      </c>
      <c r="G61" s="150"/>
      <c r="H61" s="35"/>
      <c r="I61" s="186"/>
      <c r="J61" s="187"/>
      <c r="K61" s="186"/>
      <c r="L61" s="186"/>
      <c r="M61" s="183"/>
    </row>
    <row r="62" spans="1:13" s="22" customFormat="1" ht="27.75" customHeight="1">
      <c r="A62" s="25" t="s">
        <v>211</v>
      </c>
      <c r="B62" s="15"/>
      <c r="C62" s="174" t="s">
        <v>218</v>
      </c>
      <c r="D62" s="20"/>
      <c r="E62" s="108"/>
      <c r="F62" s="97"/>
      <c r="G62" s="18"/>
      <c r="H62" s="35"/>
      <c r="I62" s="107"/>
      <c r="J62" s="154"/>
      <c r="K62" s="107"/>
      <c r="L62" s="107"/>
      <c r="M62" s="35"/>
    </row>
    <row r="63" spans="1:13" s="22" customFormat="1" ht="43.5" customHeight="1">
      <c r="A63" s="274" t="s">
        <v>212</v>
      </c>
      <c r="B63" s="25" t="s">
        <v>220</v>
      </c>
      <c r="C63" s="105" t="s">
        <v>221</v>
      </c>
      <c r="D63" s="20" t="s">
        <v>80</v>
      </c>
      <c r="E63" s="20"/>
      <c r="F63" s="97">
        <f>19.25+229.6</f>
        <v>248.85</v>
      </c>
      <c r="G63" s="21"/>
      <c r="H63" s="40"/>
      <c r="I63" s="188"/>
      <c r="J63" s="40"/>
      <c r="K63" s="188"/>
      <c r="L63" s="40"/>
      <c r="M63" s="121"/>
    </row>
    <row r="64" spans="1:13" s="22" customFormat="1" ht="13.5" customHeight="1">
      <c r="A64" s="275"/>
      <c r="B64" s="20"/>
      <c r="C64" s="105" t="s">
        <v>549</v>
      </c>
      <c r="D64" s="20" t="s">
        <v>15</v>
      </c>
      <c r="E64" s="110">
        <f>25.2*1.15</f>
        <v>28.979999999999997</v>
      </c>
      <c r="F64" s="97">
        <f>E64*F63</f>
        <v>7211.6729999999989</v>
      </c>
      <c r="G64" s="99"/>
      <c r="H64" s="107"/>
      <c r="I64" s="97"/>
      <c r="J64" s="35"/>
      <c r="K64" s="35"/>
      <c r="L64" s="99"/>
      <c r="M64" s="35"/>
    </row>
    <row r="65" spans="1:13" s="22" customFormat="1" ht="13.5" customHeight="1">
      <c r="A65" s="275"/>
      <c r="B65" s="20"/>
      <c r="C65" s="105" t="s">
        <v>28</v>
      </c>
      <c r="D65" s="20" t="s">
        <v>16</v>
      </c>
      <c r="E65" s="106">
        <v>0.23</v>
      </c>
      <c r="F65" s="153">
        <f>E65*F63</f>
        <v>57.235500000000002</v>
      </c>
      <c r="G65" s="99"/>
      <c r="H65" s="107"/>
      <c r="I65" s="88"/>
      <c r="J65" s="35"/>
      <c r="K65" s="18"/>
      <c r="L65" s="35"/>
      <c r="M65" s="26"/>
    </row>
    <row r="66" spans="1:13" s="22" customFormat="1" ht="13.5" customHeight="1">
      <c r="A66" s="275"/>
      <c r="B66" s="25" t="s">
        <v>225</v>
      </c>
      <c r="C66" s="189" t="s">
        <v>501</v>
      </c>
      <c r="D66" s="149" t="s">
        <v>80</v>
      </c>
      <c r="E66" s="106"/>
      <c r="F66" s="97">
        <f>F63</f>
        <v>248.85</v>
      </c>
      <c r="G66" s="88"/>
      <c r="H66" s="26"/>
      <c r="I66" s="88"/>
      <c r="J66" s="40"/>
      <c r="K66" s="26"/>
      <c r="L66" s="26"/>
      <c r="M66" s="26"/>
    </row>
    <row r="67" spans="1:13" s="22" customFormat="1" ht="13.5" customHeight="1">
      <c r="A67" s="275"/>
      <c r="B67" s="103" t="s">
        <v>178</v>
      </c>
      <c r="C67" s="140" t="s">
        <v>129</v>
      </c>
      <c r="D67" s="33" t="s">
        <v>80</v>
      </c>
      <c r="E67" s="116">
        <v>0.05</v>
      </c>
      <c r="F67" s="223">
        <f>E67*F63</f>
        <v>12.442500000000001</v>
      </c>
      <c r="G67" s="155"/>
      <c r="H67" s="35"/>
      <c r="I67" s="27"/>
      <c r="J67" s="27"/>
      <c r="K67" s="27"/>
      <c r="L67" s="16"/>
      <c r="M67" s="35"/>
    </row>
    <row r="68" spans="1:13" s="22" customFormat="1" ht="13.5" customHeight="1">
      <c r="A68" s="275"/>
      <c r="B68" s="25" t="s">
        <v>439</v>
      </c>
      <c r="C68" s="190" t="s">
        <v>502</v>
      </c>
      <c r="D68" s="20" t="s">
        <v>17</v>
      </c>
      <c r="E68" s="20"/>
      <c r="F68" s="232">
        <v>6.9755000000000003</v>
      </c>
      <c r="G68" s="150"/>
      <c r="H68" s="35"/>
      <c r="I68" s="18"/>
      <c r="J68" s="26"/>
      <c r="K68" s="26"/>
      <c r="L68" s="26"/>
      <c r="M68" s="26"/>
    </row>
    <row r="69" spans="1:13" s="22" customFormat="1" ht="13.5" customHeight="1">
      <c r="A69" s="275"/>
      <c r="B69" s="25" t="s">
        <v>222</v>
      </c>
      <c r="C69" s="190" t="s">
        <v>503</v>
      </c>
      <c r="D69" s="20" t="s">
        <v>17</v>
      </c>
      <c r="E69" s="20"/>
      <c r="F69" s="232">
        <v>1.806</v>
      </c>
      <c r="G69" s="150"/>
      <c r="H69" s="35"/>
      <c r="I69" s="18"/>
      <c r="J69" s="26"/>
      <c r="K69" s="26"/>
      <c r="L69" s="26"/>
      <c r="M69" s="26"/>
    </row>
    <row r="70" spans="1:13" s="22" customFormat="1" ht="13.5" customHeight="1">
      <c r="A70" s="275"/>
      <c r="B70" s="141" t="s">
        <v>223</v>
      </c>
      <c r="C70" s="140" t="s">
        <v>224</v>
      </c>
      <c r="D70" s="33" t="s">
        <v>80</v>
      </c>
      <c r="E70" s="116">
        <v>0.13800000000000001</v>
      </c>
      <c r="F70" s="223">
        <f>E70*F63</f>
        <v>34.341300000000004</v>
      </c>
      <c r="G70" s="155"/>
      <c r="H70" s="35"/>
      <c r="I70" s="27"/>
      <c r="J70" s="27"/>
      <c r="K70" s="27"/>
      <c r="L70" s="16"/>
      <c r="M70" s="35"/>
    </row>
    <row r="71" spans="1:13" s="22" customFormat="1" ht="13.5" customHeight="1">
      <c r="A71" s="276"/>
      <c r="B71" s="15"/>
      <c r="C71" s="4" t="s">
        <v>23</v>
      </c>
      <c r="D71" s="149" t="s">
        <v>16</v>
      </c>
      <c r="E71" s="116">
        <v>2.54</v>
      </c>
      <c r="F71" s="114">
        <f>E71*F63</f>
        <v>632.07899999999995</v>
      </c>
      <c r="G71" s="191"/>
      <c r="H71" s="35"/>
      <c r="I71" s="26"/>
      <c r="J71" s="16"/>
      <c r="K71" s="16"/>
      <c r="L71" s="16"/>
      <c r="M71" s="35"/>
    </row>
    <row r="72" spans="1:13" s="22" customFormat="1" ht="18.75" customHeight="1">
      <c r="A72" s="274" t="s">
        <v>213</v>
      </c>
      <c r="B72" s="15" t="s">
        <v>126</v>
      </c>
      <c r="C72" s="102" t="s">
        <v>127</v>
      </c>
      <c r="D72" s="20" t="s">
        <v>24</v>
      </c>
      <c r="E72" s="15"/>
      <c r="F72" s="238">
        <v>595</v>
      </c>
      <c r="G72" s="103"/>
      <c r="H72" s="104"/>
      <c r="I72" s="104"/>
      <c r="J72" s="104"/>
      <c r="K72" s="104"/>
      <c r="L72" s="104"/>
      <c r="M72" s="104"/>
    </row>
    <row r="73" spans="1:13" s="22" customFormat="1" ht="13.5" customHeight="1">
      <c r="A73" s="275"/>
      <c r="B73" s="15"/>
      <c r="C73" s="112" t="s">
        <v>97</v>
      </c>
      <c r="D73" s="113" t="s">
        <v>15</v>
      </c>
      <c r="E73" s="108">
        <f>0.564*1.15</f>
        <v>0.64859999999999984</v>
      </c>
      <c r="F73" s="114">
        <f>E73*F72</f>
        <v>385.91699999999992</v>
      </c>
      <c r="G73" s="114"/>
      <c r="H73" s="115"/>
      <c r="I73" s="35"/>
      <c r="J73" s="114"/>
      <c r="K73" s="115"/>
      <c r="L73" s="115"/>
      <c r="M73" s="114"/>
    </row>
    <row r="74" spans="1:13" s="22" customFormat="1" ht="13.5" customHeight="1">
      <c r="A74" s="275"/>
      <c r="B74" s="15"/>
      <c r="C74" s="112" t="s">
        <v>78</v>
      </c>
      <c r="D74" s="96" t="s">
        <v>16</v>
      </c>
      <c r="E74" s="5">
        <v>4.0899999999999999E-2</v>
      </c>
      <c r="F74" s="117">
        <f>E74*F72</f>
        <v>24.3355</v>
      </c>
      <c r="G74" s="96"/>
      <c r="H74" s="96"/>
      <c r="I74" s="117"/>
      <c r="J74" s="96"/>
      <c r="K74" s="18"/>
      <c r="L74" s="35"/>
      <c r="M74" s="97"/>
    </row>
    <row r="75" spans="1:13" s="22" customFormat="1" ht="13.5" customHeight="1">
      <c r="A75" s="275"/>
      <c r="B75" s="69" t="s">
        <v>189</v>
      </c>
      <c r="C75" s="151" t="s">
        <v>128</v>
      </c>
      <c r="D75" s="37" t="s">
        <v>17</v>
      </c>
      <c r="E75" s="5">
        <v>4.4999999999999997E-3</v>
      </c>
      <c r="F75" s="97">
        <f>E75*F72</f>
        <v>2.6774999999999998</v>
      </c>
      <c r="G75" s="88"/>
      <c r="H75" s="35"/>
      <c r="I75" s="37"/>
      <c r="J75" s="37"/>
      <c r="K75" s="37"/>
      <c r="L75" s="37"/>
      <c r="M75" s="35"/>
    </row>
    <row r="76" spans="1:13" s="22" customFormat="1" ht="13.5" customHeight="1">
      <c r="A76" s="275"/>
      <c r="B76" s="103" t="s">
        <v>419</v>
      </c>
      <c r="C76" s="151" t="s">
        <v>129</v>
      </c>
      <c r="D76" s="20" t="s">
        <v>80</v>
      </c>
      <c r="E76" s="5">
        <v>7.4999999999999997E-3</v>
      </c>
      <c r="F76" s="97">
        <f>E76*F72</f>
        <v>4.4624999999999995</v>
      </c>
      <c r="G76" s="88"/>
      <c r="H76" s="35"/>
      <c r="I76" s="37"/>
      <c r="J76" s="37"/>
      <c r="K76" s="37"/>
      <c r="L76" s="37"/>
      <c r="M76" s="35"/>
    </row>
    <row r="77" spans="1:13" s="22" customFormat="1" ht="13.5" customHeight="1">
      <c r="A77" s="276"/>
      <c r="B77" s="15"/>
      <c r="C77" s="105" t="s">
        <v>23</v>
      </c>
      <c r="D77" s="20" t="s">
        <v>16</v>
      </c>
      <c r="E77" s="108">
        <v>0.26500000000000001</v>
      </c>
      <c r="F77" s="97">
        <f>E77*F72</f>
        <v>157.67500000000001</v>
      </c>
      <c r="G77" s="18"/>
      <c r="H77" s="35"/>
      <c r="I77" s="107"/>
      <c r="J77" s="154"/>
      <c r="K77" s="107"/>
      <c r="L77" s="107"/>
      <c r="M77" s="35"/>
    </row>
    <row r="78" spans="1:13" s="22" customFormat="1" ht="28.5" customHeight="1">
      <c r="A78" s="25"/>
      <c r="B78" s="15"/>
      <c r="C78" s="174" t="s">
        <v>228</v>
      </c>
      <c r="D78" s="20"/>
      <c r="E78" s="108"/>
      <c r="F78" s="97"/>
      <c r="G78" s="18"/>
      <c r="H78" s="35"/>
      <c r="I78" s="107"/>
      <c r="J78" s="154"/>
      <c r="K78" s="107"/>
      <c r="L78" s="107"/>
      <c r="M78" s="35"/>
    </row>
    <row r="79" spans="1:13" s="22" customFormat="1" ht="27" customHeight="1">
      <c r="A79" s="25" t="s">
        <v>217</v>
      </c>
      <c r="B79" s="15"/>
      <c r="C79" s="175" t="s">
        <v>230</v>
      </c>
      <c r="D79" s="20"/>
      <c r="E79" s="108"/>
      <c r="F79" s="97"/>
      <c r="G79" s="18"/>
      <c r="H79" s="35"/>
      <c r="I79" s="107"/>
      <c r="J79" s="154"/>
      <c r="K79" s="107"/>
      <c r="L79" s="107"/>
      <c r="M79" s="35"/>
    </row>
    <row r="80" spans="1:13" s="22" customFormat="1" ht="31.5" customHeight="1">
      <c r="A80" s="274" t="s">
        <v>219</v>
      </c>
      <c r="B80" s="25" t="s">
        <v>115</v>
      </c>
      <c r="C80" s="38" t="s">
        <v>231</v>
      </c>
      <c r="D80" s="149" t="s">
        <v>80</v>
      </c>
      <c r="E80" s="20"/>
      <c r="F80" s="97">
        <v>75.98</v>
      </c>
      <c r="G80" s="39"/>
      <c r="H80" s="40"/>
      <c r="I80" s="118"/>
      <c r="J80" s="16"/>
      <c r="K80" s="23"/>
      <c r="L80" s="16"/>
      <c r="M80" s="16"/>
    </row>
    <row r="81" spans="1:13" s="22" customFormat="1" ht="13.5" customHeight="1">
      <c r="A81" s="275"/>
      <c r="B81" s="25"/>
      <c r="C81" s="105" t="s">
        <v>19</v>
      </c>
      <c r="D81" s="20" t="s">
        <v>15</v>
      </c>
      <c r="E81" s="106">
        <f>1.37*1.15</f>
        <v>1.5754999999999999</v>
      </c>
      <c r="F81" s="97">
        <f>E81*F80</f>
        <v>119.70649</v>
      </c>
      <c r="G81" s="99"/>
      <c r="H81" s="107"/>
      <c r="I81" s="88"/>
      <c r="J81" s="35"/>
      <c r="K81" s="26"/>
      <c r="L81" s="35"/>
      <c r="M81" s="26"/>
    </row>
    <row r="82" spans="1:13" s="22" customFormat="1" ht="13.5" customHeight="1">
      <c r="A82" s="275"/>
      <c r="B82" s="25"/>
      <c r="C82" s="105" t="s">
        <v>28</v>
      </c>
      <c r="D82" s="20" t="s">
        <v>16</v>
      </c>
      <c r="E82" s="106">
        <v>0.28299999999999997</v>
      </c>
      <c r="F82" s="152">
        <f>E82*F80</f>
        <v>21.50234</v>
      </c>
      <c r="G82" s="123"/>
      <c r="H82" s="123"/>
      <c r="I82" s="122"/>
      <c r="J82" s="27"/>
      <c r="K82" s="18"/>
      <c r="L82" s="26"/>
      <c r="M82" s="26"/>
    </row>
    <row r="83" spans="1:13" s="22" customFormat="1" ht="13.5" customHeight="1">
      <c r="A83" s="275"/>
      <c r="B83" s="25" t="s">
        <v>225</v>
      </c>
      <c r="C83" s="38" t="s">
        <v>116</v>
      </c>
      <c r="D83" s="149" t="s">
        <v>80</v>
      </c>
      <c r="E83" s="20">
        <v>1.02</v>
      </c>
      <c r="F83" s="97">
        <f>E83*F80</f>
        <v>77.499600000000001</v>
      </c>
      <c r="G83" s="150"/>
      <c r="H83" s="35"/>
      <c r="I83" s="18"/>
      <c r="J83" s="26"/>
      <c r="K83" s="26"/>
      <c r="L83" s="26"/>
      <c r="M83" s="26"/>
    </row>
    <row r="84" spans="1:13" s="22" customFormat="1" ht="13.5" customHeight="1">
      <c r="A84" s="276"/>
      <c r="B84" s="25"/>
      <c r="C84" s="38" t="s">
        <v>23</v>
      </c>
      <c r="D84" s="20" t="s">
        <v>16</v>
      </c>
      <c r="E84" s="20">
        <v>0.62</v>
      </c>
      <c r="F84" s="97">
        <f>E84*F80</f>
        <v>47.107600000000005</v>
      </c>
      <c r="G84" s="18"/>
      <c r="H84" s="35"/>
      <c r="I84" s="27"/>
      <c r="J84" s="27"/>
      <c r="K84" s="27"/>
      <c r="L84" s="26"/>
      <c r="M84" s="26"/>
    </row>
    <row r="85" spans="1:13" s="22" customFormat="1" ht="35.25" customHeight="1">
      <c r="A85" s="289" t="s">
        <v>226</v>
      </c>
      <c r="B85" s="15" t="s">
        <v>232</v>
      </c>
      <c r="C85" s="4" t="s">
        <v>235</v>
      </c>
      <c r="D85" s="149" t="s">
        <v>80</v>
      </c>
      <c r="E85" s="92"/>
      <c r="F85" s="114">
        <v>979.88</v>
      </c>
      <c r="G85" s="94"/>
      <c r="H85" s="16"/>
      <c r="I85" s="26"/>
      <c r="J85" s="16"/>
      <c r="K85" s="16"/>
      <c r="L85" s="16"/>
      <c r="M85" s="16"/>
    </row>
    <row r="86" spans="1:13" s="22" customFormat="1" ht="13.5" customHeight="1">
      <c r="A86" s="290"/>
      <c r="B86" s="15"/>
      <c r="C86" s="112" t="s">
        <v>550</v>
      </c>
      <c r="D86" s="113" t="s">
        <v>15</v>
      </c>
      <c r="E86" s="35">
        <f>6.6*1.15</f>
        <v>7.589999999999999</v>
      </c>
      <c r="F86" s="114">
        <f>E86*F85</f>
        <v>7437.2891999999993</v>
      </c>
      <c r="G86" s="114"/>
      <c r="H86" s="115"/>
      <c r="I86" s="93"/>
      <c r="J86" s="114"/>
      <c r="K86" s="115"/>
      <c r="L86" s="115"/>
      <c r="M86" s="114"/>
    </row>
    <row r="87" spans="1:13" s="22" customFormat="1" ht="13.5" customHeight="1">
      <c r="A87" s="290"/>
      <c r="B87" s="20" t="s">
        <v>233</v>
      </c>
      <c r="C87" s="105" t="s">
        <v>551</v>
      </c>
      <c r="D87" s="192" t="s">
        <v>20</v>
      </c>
      <c r="E87" s="108">
        <f>0.096*1.05</f>
        <v>0.1008</v>
      </c>
      <c r="F87" s="97">
        <f>E87*F85</f>
        <v>98.771904000000006</v>
      </c>
      <c r="G87" s="155"/>
      <c r="H87" s="35"/>
      <c r="I87" s="107"/>
      <c r="J87" s="154"/>
      <c r="K87" s="26"/>
      <c r="L87" s="35"/>
      <c r="M87" s="26"/>
    </row>
    <row r="88" spans="1:13" s="22" customFormat="1" ht="13.5" customHeight="1">
      <c r="A88" s="290"/>
      <c r="B88" s="172"/>
      <c r="C88" s="112" t="s">
        <v>78</v>
      </c>
      <c r="D88" s="96" t="s">
        <v>16</v>
      </c>
      <c r="E88" s="108">
        <v>0.39900000000000002</v>
      </c>
      <c r="F88" s="153">
        <f>E88*F85</f>
        <v>390.97212000000002</v>
      </c>
      <c r="G88" s="96"/>
      <c r="H88" s="96"/>
      <c r="I88" s="117"/>
      <c r="J88" s="96"/>
      <c r="K88" s="117"/>
      <c r="L88" s="35"/>
      <c r="M88" s="26"/>
    </row>
    <row r="89" spans="1:13" s="22" customFormat="1" ht="13.5" customHeight="1">
      <c r="A89" s="290"/>
      <c r="B89" s="25" t="s">
        <v>225</v>
      </c>
      <c r="C89" s="38" t="s">
        <v>498</v>
      </c>
      <c r="D89" s="173" t="s">
        <v>80</v>
      </c>
      <c r="E89" s="108">
        <v>1.0149999999999999</v>
      </c>
      <c r="F89" s="97">
        <f>E89*F85</f>
        <v>994.57819999999992</v>
      </c>
      <c r="G89" s="88"/>
      <c r="H89" s="35"/>
      <c r="I89" s="35"/>
      <c r="J89" s="35"/>
      <c r="K89" s="26"/>
      <c r="L89" s="26"/>
      <c r="M89" s="26"/>
    </row>
    <row r="90" spans="1:13" s="22" customFormat="1" ht="13.5" customHeight="1">
      <c r="A90" s="290"/>
      <c r="B90" s="25" t="s">
        <v>419</v>
      </c>
      <c r="C90" s="140" t="s">
        <v>129</v>
      </c>
      <c r="D90" s="33" t="s">
        <v>80</v>
      </c>
      <c r="E90" s="116">
        <v>2.47E-2</v>
      </c>
      <c r="F90" s="223">
        <f>E90*F85</f>
        <v>24.203036000000001</v>
      </c>
      <c r="G90" s="155"/>
      <c r="H90" s="35"/>
      <c r="I90" s="27"/>
      <c r="J90" s="27"/>
      <c r="K90" s="27"/>
      <c r="L90" s="16"/>
      <c r="M90" s="35"/>
    </row>
    <row r="91" spans="1:13" s="22" customFormat="1" ht="13.5" customHeight="1">
      <c r="A91" s="290"/>
      <c r="B91" s="172" t="s">
        <v>440</v>
      </c>
      <c r="C91" s="105" t="s">
        <v>234</v>
      </c>
      <c r="D91" s="173" t="s">
        <v>80</v>
      </c>
      <c r="E91" s="35">
        <v>0.39</v>
      </c>
      <c r="F91" s="97">
        <f>E91*F85</f>
        <v>382.15320000000003</v>
      </c>
      <c r="G91" s="18"/>
      <c r="H91" s="35"/>
      <c r="I91" s="107"/>
      <c r="J91" s="154"/>
      <c r="K91" s="107"/>
      <c r="L91" s="107"/>
      <c r="M91" s="35"/>
    </row>
    <row r="92" spans="1:13" s="22" customFormat="1" ht="13.5" customHeight="1">
      <c r="A92" s="290"/>
      <c r="B92" s="172" t="s">
        <v>236</v>
      </c>
      <c r="C92" s="105" t="s">
        <v>237</v>
      </c>
      <c r="D92" s="173" t="s">
        <v>80</v>
      </c>
      <c r="E92" s="5">
        <v>4.6800000000000001E-2</v>
      </c>
      <c r="F92" s="97">
        <f>E92*F85</f>
        <v>45.858384000000001</v>
      </c>
      <c r="G92" s="18"/>
      <c r="H92" s="35"/>
      <c r="I92" s="107"/>
      <c r="J92" s="154"/>
      <c r="K92" s="107"/>
      <c r="L92" s="107"/>
      <c r="M92" s="35"/>
    </row>
    <row r="93" spans="1:13" s="22" customFormat="1" ht="13.5" customHeight="1">
      <c r="A93" s="290"/>
      <c r="B93" s="172" t="s">
        <v>201</v>
      </c>
      <c r="C93" s="105" t="s">
        <v>238</v>
      </c>
      <c r="D93" s="173" t="s">
        <v>80</v>
      </c>
      <c r="E93" s="5">
        <f>0.0053+0.074</f>
        <v>7.9299999999999995E-2</v>
      </c>
      <c r="F93" s="153">
        <f>E93*F85</f>
        <v>77.704483999999994</v>
      </c>
      <c r="G93" s="18"/>
      <c r="H93" s="35"/>
      <c r="I93" s="107"/>
      <c r="J93" s="154"/>
      <c r="K93" s="107"/>
      <c r="L93" s="107"/>
      <c r="M93" s="35"/>
    </row>
    <row r="94" spans="1:13" s="22" customFormat="1" ht="13.5" customHeight="1">
      <c r="A94" s="290"/>
      <c r="B94" s="69" t="s">
        <v>441</v>
      </c>
      <c r="C94" s="105" t="s">
        <v>239</v>
      </c>
      <c r="D94" s="20" t="s">
        <v>81</v>
      </c>
      <c r="E94" s="35">
        <v>1.93</v>
      </c>
      <c r="F94" s="97">
        <f>E94*F85</f>
        <v>1891.1684</v>
      </c>
      <c r="G94" s="26"/>
      <c r="H94" s="35"/>
      <c r="I94" s="107"/>
      <c r="J94" s="154"/>
      <c r="K94" s="107"/>
      <c r="L94" s="107"/>
      <c r="M94" s="35"/>
    </row>
    <row r="95" spans="1:13" s="22" customFormat="1" ht="13.5" customHeight="1">
      <c r="A95" s="290"/>
      <c r="B95" s="172"/>
      <c r="C95" s="105" t="s">
        <v>23</v>
      </c>
      <c r="D95" s="20" t="s">
        <v>16</v>
      </c>
      <c r="E95" s="35">
        <v>1.56</v>
      </c>
      <c r="F95" s="97">
        <f>E95*F85</f>
        <v>1528.6128000000001</v>
      </c>
      <c r="G95" s="117"/>
      <c r="H95" s="35"/>
      <c r="I95" s="107"/>
      <c r="J95" s="154"/>
      <c r="K95" s="107"/>
      <c r="L95" s="107"/>
      <c r="M95" s="35"/>
    </row>
    <row r="96" spans="1:13" s="22" customFormat="1" ht="17.25" customHeight="1">
      <c r="A96" s="290"/>
      <c r="B96" s="25" t="s">
        <v>240</v>
      </c>
      <c r="C96" s="38" t="s">
        <v>241</v>
      </c>
      <c r="D96" s="20" t="s">
        <v>17</v>
      </c>
      <c r="E96" s="20"/>
      <c r="F96" s="232">
        <v>36.784799999999997</v>
      </c>
      <c r="G96" s="39"/>
      <c r="H96" s="40"/>
      <c r="I96" s="118"/>
      <c r="J96" s="16"/>
      <c r="K96" s="23"/>
      <c r="L96" s="16"/>
      <c r="M96" s="16"/>
    </row>
    <row r="97" spans="1:13" s="22" customFormat="1" ht="13.5" customHeight="1">
      <c r="A97" s="290"/>
      <c r="B97" s="15"/>
      <c r="C97" s="112" t="s">
        <v>552</v>
      </c>
      <c r="D97" s="113" t="s">
        <v>15</v>
      </c>
      <c r="E97" s="35">
        <f>27.6*1.15</f>
        <v>31.74</v>
      </c>
      <c r="F97" s="114">
        <f>E97*F96</f>
        <v>1167.5495519999999</v>
      </c>
      <c r="G97" s="114"/>
      <c r="H97" s="115"/>
      <c r="I97" s="93"/>
      <c r="J97" s="114"/>
      <c r="K97" s="115"/>
      <c r="L97" s="115"/>
      <c r="M97" s="114"/>
    </row>
    <row r="98" spans="1:13" s="22" customFormat="1" ht="13.5" customHeight="1">
      <c r="A98" s="290"/>
      <c r="B98" s="20" t="s">
        <v>233</v>
      </c>
      <c r="C98" s="105" t="s">
        <v>553</v>
      </c>
      <c r="D98" s="192" t="s">
        <v>20</v>
      </c>
      <c r="E98" s="108">
        <f>4.74*1.05</f>
        <v>4.9770000000000003</v>
      </c>
      <c r="F98" s="97">
        <f>E98*F96</f>
        <v>183.07794960000001</v>
      </c>
      <c r="G98" s="155"/>
      <c r="H98" s="35"/>
      <c r="I98" s="107"/>
      <c r="J98" s="154"/>
      <c r="K98" s="26"/>
      <c r="L98" s="35"/>
      <c r="M98" s="26"/>
    </row>
    <row r="99" spans="1:13" s="22" customFormat="1" ht="13.5" customHeight="1">
      <c r="A99" s="290"/>
      <c r="B99" s="172"/>
      <c r="C99" s="112" t="s">
        <v>78</v>
      </c>
      <c r="D99" s="96" t="s">
        <v>16</v>
      </c>
      <c r="E99" s="35">
        <v>6.8</v>
      </c>
      <c r="F99" s="97">
        <f>E99*F96</f>
        <v>250.13663999999997</v>
      </c>
      <c r="G99" s="96"/>
      <c r="H99" s="96"/>
      <c r="I99" s="117"/>
      <c r="J99" s="96"/>
      <c r="K99" s="117"/>
      <c r="L99" s="35"/>
      <c r="M99" s="26"/>
    </row>
    <row r="100" spans="1:13" s="22" customFormat="1" ht="13.5" customHeight="1">
      <c r="A100" s="290"/>
      <c r="B100" s="25" t="s">
        <v>222</v>
      </c>
      <c r="C100" s="38" t="s">
        <v>504</v>
      </c>
      <c r="D100" s="20" t="s">
        <v>17</v>
      </c>
      <c r="E100" s="20"/>
      <c r="F100" s="232">
        <v>11.6328</v>
      </c>
      <c r="G100" s="150"/>
      <c r="H100" s="35"/>
      <c r="I100" s="107"/>
      <c r="J100" s="154"/>
      <c r="K100" s="26"/>
      <c r="L100" s="26"/>
      <c r="M100" s="26"/>
    </row>
    <row r="101" spans="1:13" s="22" customFormat="1" ht="13.5" customHeight="1">
      <c r="A101" s="290"/>
      <c r="B101" s="25" t="s">
        <v>242</v>
      </c>
      <c r="C101" s="38" t="s">
        <v>505</v>
      </c>
      <c r="D101" s="20" t="s">
        <v>17</v>
      </c>
      <c r="E101" s="20"/>
      <c r="F101" s="153">
        <v>25.152000000000001</v>
      </c>
      <c r="G101" s="150"/>
      <c r="H101" s="35"/>
      <c r="I101" s="107"/>
      <c r="J101" s="154"/>
      <c r="K101" s="26"/>
      <c r="L101" s="26"/>
      <c r="M101" s="26"/>
    </row>
    <row r="102" spans="1:13" s="22" customFormat="1" ht="13.5" customHeight="1">
      <c r="A102" s="291"/>
      <c r="B102" s="25"/>
      <c r="C102" s="38" t="s">
        <v>23</v>
      </c>
      <c r="D102" s="20" t="s">
        <v>16</v>
      </c>
      <c r="E102" s="110">
        <v>12.2</v>
      </c>
      <c r="F102" s="232">
        <f>E102*F96</f>
        <v>448.77455999999995</v>
      </c>
      <c r="G102" s="117"/>
      <c r="H102" s="35"/>
      <c r="I102" s="107"/>
      <c r="J102" s="154"/>
      <c r="K102" s="107"/>
      <c r="L102" s="107"/>
      <c r="M102" s="35"/>
    </row>
    <row r="103" spans="1:13" s="22" customFormat="1" ht="24.75" customHeight="1">
      <c r="A103" s="274" t="s">
        <v>445</v>
      </c>
      <c r="B103" s="15" t="s">
        <v>126</v>
      </c>
      <c r="C103" s="102" t="s">
        <v>127</v>
      </c>
      <c r="D103" s="20" t="s">
        <v>24</v>
      </c>
      <c r="E103" s="15"/>
      <c r="F103" s="246">
        <v>1362.4</v>
      </c>
      <c r="G103" s="103"/>
      <c r="H103" s="104"/>
      <c r="I103" s="104"/>
      <c r="J103" s="104"/>
      <c r="K103" s="104"/>
      <c r="L103" s="104"/>
      <c r="M103" s="104"/>
    </row>
    <row r="104" spans="1:13" s="22" customFormat="1" ht="13.5" customHeight="1">
      <c r="A104" s="275"/>
      <c r="B104" s="15"/>
      <c r="C104" s="112" t="s">
        <v>97</v>
      </c>
      <c r="D104" s="113" t="s">
        <v>15</v>
      </c>
      <c r="E104" s="108">
        <f>0.564*1.15</f>
        <v>0.64859999999999984</v>
      </c>
      <c r="F104" s="114">
        <f>E104*F103</f>
        <v>883.65263999999979</v>
      </c>
      <c r="G104" s="114"/>
      <c r="H104" s="115"/>
      <c r="I104" s="35"/>
      <c r="J104" s="114"/>
      <c r="K104" s="115"/>
      <c r="L104" s="115"/>
      <c r="M104" s="114"/>
    </row>
    <row r="105" spans="1:13" s="22" customFormat="1" ht="13.5" customHeight="1">
      <c r="A105" s="275"/>
      <c r="B105" s="15"/>
      <c r="C105" s="112" t="s">
        <v>78</v>
      </c>
      <c r="D105" s="96" t="s">
        <v>16</v>
      </c>
      <c r="E105" s="5">
        <v>4.0899999999999999E-2</v>
      </c>
      <c r="F105" s="117">
        <f>E105*F103</f>
        <v>55.722160000000002</v>
      </c>
      <c r="G105" s="96"/>
      <c r="H105" s="96"/>
      <c r="I105" s="117"/>
      <c r="J105" s="96"/>
      <c r="K105" s="18"/>
      <c r="L105" s="35"/>
      <c r="M105" s="97"/>
    </row>
    <row r="106" spans="1:13" s="22" customFormat="1" ht="13.5" customHeight="1">
      <c r="A106" s="275"/>
      <c r="B106" s="69" t="s">
        <v>189</v>
      </c>
      <c r="C106" s="151" t="s">
        <v>128</v>
      </c>
      <c r="D106" s="37" t="s">
        <v>17</v>
      </c>
      <c r="E106" s="5">
        <v>4.4999999999999997E-3</v>
      </c>
      <c r="F106" s="97">
        <f>E106*F103</f>
        <v>6.1307999999999998</v>
      </c>
      <c r="G106" s="88"/>
      <c r="H106" s="35"/>
      <c r="I106" s="37"/>
      <c r="J106" s="37"/>
      <c r="K106" s="37"/>
      <c r="L106" s="37"/>
      <c r="M106" s="35"/>
    </row>
    <row r="107" spans="1:13" s="22" customFormat="1" ht="13.5" customHeight="1">
      <c r="A107" s="275"/>
      <c r="B107" s="103" t="s">
        <v>419</v>
      </c>
      <c r="C107" s="151" t="s">
        <v>129</v>
      </c>
      <c r="D107" s="20" t="s">
        <v>80</v>
      </c>
      <c r="E107" s="5">
        <v>7.4999999999999997E-3</v>
      </c>
      <c r="F107" s="97">
        <f>E107*F103</f>
        <v>10.218</v>
      </c>
      <c r="G107" s="88"/>
      <c r="H107" s="35"/>
      <c r="I107" s="37"/>
      <c r="J107" s="37"/>
      <c r="K107" s="37"/>
      <c r="L107" s="37"/>
      <c r="M107" s="35"/>
    </row>
    <row r="108" spans="1:13" s="22" customFormat="1" ht="13.5" customHeight="1">
      <c r="A108" s="276"/>
      <c r="B108" s="15"/>
      <c r="C108" s="105" t="s">
        <v>23</v>
      </c>
      <c r="D108" s="20" t="s">
        <v>16</v>
      </c>
      <c r="E108" s="108">
        <v>0.26500000000000001</v>
      </c>
      <c r="F108" s="97">
        <f>E108*F103</f>
        <v>361.03600000000006</v>
      </c>
      <c r="G108" s="18"/>
      <c r="H108" s="35"/>
      <c r="I108" s="107"/>
      <c r="J108" s="154"/>
      <c r="K108" s="107"/>
      <c r="L108" s="107"/>
      <c r="M108" s="35"/>
    </row>
    <row r="109" spans="1:13" s="22" customFormat="1" ht="27.75" customHeight="1">
      <c r="A109" s="156" t="s">
        <v>227</v>
      </c>
      <c r="B109" s="15"/>
      <c r="C109" s="174" t="s">
        <v>244</v>
      </c>
      <c r="D109" s="20"/>
      <c r="E109" s="108"/>
      <c r="F109" s="97"/>
      <c r="G109" s="18"/>
      <c r="H109" s="35"/>
      <c r="I109" s="107"/>
      <c r="J109" s="154"/>
      <c r="K109" s="107"/>
      <c r="L109" s="107"/>
      <c r="M109" s="35"/>
    </row>
    <row r="110" spans="1:13" s="22" customFormat="1" ht="32.25" customHeight="1">
      <c r="A110" s="274" t="s">
        <v>229</v>
      </c>
      <c r="B110" s="25" t="s">
        <v>245</v>
      </c>
      <c r="C110" s="38" t="s">
        <v>246</v>
      </c>
      <c r="D110" s="20" t="s">
        <v>80</v>
      </c>
      <c r="E110" s="20"/>
      <c r="F110" s="117">
        <v>46</v>
      </c>
      <c r="G110" s="39"/>
      <c r="H110" s="40"/>
      <c r="I110" s="23"/>
      <c r="J110" s="16"/>
      <c r="K110" s="23"/>
      <c r="L110" s="16"/>
      <c r="M110" s="16"/>
    </row>
    <row r="111" spans="1:13" s="22" customFormat="1" ht="13.5" customHeight="1">
      <c r="A111" s="275"/>
      <c r="B111" s="25"/>
      <c r="C111" s="38" t="s">
        <v>554</v>
      </c>
      <c r="D111" s="20" t="s">
        <v>15</v>
      </c>
      <c r="E111" s="20">
        <f>2.3*1.5*1.15</f>
        <v>3.9674999999999994</v>
      </c>
      <c r="F111" s="97">
        <f>E111*F110</f>
        <v>182.50499999999997</v>
      </c>
      <c r="G111" s="39"/>
      <c r="H111" s="37"/>
      <c r="I111" s="93"/>
      <c r="J111" s="26"/>
      <c r="K111" s="27"/>
      <c r="L111" s="26"/>
      <c r="M111" s="26"/>
    </row>
    <row r="112" spans="1:13" s="22" customFormat="1" ht="13.5" customHeight="1">
      <c r="A112" s="275"/>
      <c r="B112" s="25" t="s">
        <v>442</v>
      </c>
      <c r="C112" s="38" t="s">
        <v>247</v>
      </c>
      <c r="D112" s="20" t="s">
        <v>80</v>
      </c>
      <c r="E112" s="20">
        <v>1.04</v>
      </c>
      <c r="F112" s="97">
        <f>E112*F110</f>
        <v>47.84</v>
      </c>
      <c r="G112" s="150"/>
      <c r="H112" s="35"/>
      <c r="I112" s="18"/>
      <c r="J112" s="26"/>
      <c r="K112" s="27"/>
      <c r="L112" s="27"/>
      <c r="M112" s="26"/>
    </row>
    <row r="113" spans="1:13" s="22" customFormat="1" ht="13.5" customHeight="1">
      <c r="A113" s="275"/>
      <c r="B113" s="25" t="s">
        <v>443</v>
      </c>
      <c r="C113" s="38" t="s">
        <v>248</v>
      </c>
      <c r="D113" s="20" t="s">
        <v>106</v>
      </c>
      <c r="E113" s="20"/>
      <c r="F113" s="117">
        <v>20</v>
      </c>
      <c r="G113" s="39"/>
      <c r="H113" s="79"/>
      <c r="I113" s="18"/>
      <c r="J113" s="18"/>
      <c r="K113" s="18"/>
      <c r="L113" s="18"/>
      <c r="M113" s="118"/>
    </row>
    <row r="114" spans="1:13" s="22" customFormat="1" ht="13.5" customHeight="1">
      <c r="A114" s="275"/>
      <c r="B114" s="25" t="s">
        <v>444</v>
      </c>
      <c r="C114" s="38" t="s">
        <v>249</v>
      </c>
      <c r="D114" s="20" t="s">
        <v>106</v>
      </c>
      <c r="E114" s="20"/>
      <c r="F114" s="117">
        <v>8</v>
      </c>
      <c r="G114" s="39"/>
      <c r="H114" s="40"/>
      <c r="I114" s="26"/>
      <c r="J114" s="26"/>
      <c r="K114" s="26"/>
      <c r="L114" s="26"/>
      <c r="M114" s="16"/>
    </row>
    <row r="115" spans="1:13" s="22" customFormat="1" ht="13.5" customHeight="1">
      <c r="A115" s="276"/>
      <c r="B115" s="25"/>
      <c r="C115" s="38" t="s">
        <v>250</v>
      </c>
      <c r="D115" s="20" t="s">
        <v>81</v>
      </c>
      <c r="E115" s="20"/>
      <c r="F115" s="117">
        <v>24</v>
      </c>
      <c r="G115" s="39"/>
      <c r="H115" s="40"/>
      <c r="I115" s="27"/>
      <c r="J115" s="27"/>
      <c r="K115" s="27"/>
      <c r="L115" s="26"/>
      <c r="M115" s="16"/>
    </row>
    <row r="116" spans="1:13" s="22" customFormat="1" ht="42.75" customHeight="1">
      <c r="A116" s="274" t="s">
        <v>446</v>
      </c>
      <c r="B116" s="25" t="s">
        <v>115</v>
      </c>
      <c r="C116" s="38" t="s">
        <v>253</v>
      </c>
      <c r="D116" s="20" t="s">
        <v>80</v>
      </c>
      <c r="E116" s="20"/>
      <c r="F116" s="97">
        <v>4.08</v>
      </c>
      <c r="G116" s="39"/>
      <c r="H116" s="40"/>
      <c r="I116" s="118"/>
      <c r="J116" s="16"/>
      <c r="K116" s="23"/>
      <c r="L116" s="16"/>
      <c r="M116" s="16"/>
    </row>
    <row r="117" spans="1:13" s="22" customFormat="1" ht="13.5" customHeight="1">
      <c r="A117" s="275"/>
      <c r="B117" s="25"/>
      <c r="C117" s="105" t="s">
        <v>538</v>
      </c>
      <c r="D117" s="20" t="s">
        <v>15</v>
      </c>
      <c r="E117" s="106">
        <f>1.37*1.15</f>
        <v>1.5754999999999999</v>
      </c>
      <c r="F117" s="97">
        <f>E117*F116</f>
        <v>6.4280399999999993</v>
      </c>
      <c r="G117" s="99"/>
      <c r="H117" s="107"/>
      <c r="I117" s="88"/>
      <c r="J117" s="35"/>
      <c r="K117" s="26"/>
      <c r="L117" s="35"/>
      <c r="M117" s="26"/>
    </row>
    <row r="118" spans="1:13" s="22" customFormat="1" ht="13.5" customHeight="1">
      <c r="A118" s="275"/>
      <c r="B118" s="25"/>
      <c r="C118" s="105" t="s">
        <v>28</v>
      </c>
      <c r="D118" s="20" t="s">
        <v>16</v>
      </c>
      <c r="E118" s="106">
        <v>0.28299999999999997</v>
      </c>
      <c r="F118" s="152">
        <f>E118*F116</f>
        <v>1.1546399999999999</v>
      </c>
      <c r="G118" s="123"/>
      <c r="H118" s="123"/>
      <c r="I118" s="122"/>
      <c r="J118" s="27"/>
      <c r="K118" s="18"/>
      <c r="L118" s="26"/>
      <c r="M118" s="26"/>
    </row>
    <row r="119" spans="1:13" s="22" customFormat="1" ht="13.5" customHeight="1">
      <c r="A119" s="275"/>
      <c r="B119" s="25" t="s">
        <v>225</v>
      </c>
      <c r="C119" s="38" t="s">
        <v>498</v>
      </c>
      <c r="D119" s="149" t="s">
        <v>80</v>
      </c>
      <c r="E119" s="20">
        <v>1.02</v>
      </c>
      <c r="F119" s="153">
        <f>E119*F116</f>
        <v>4.1616</v>
      </c>
      <c r="G119" s="150"/>
      <c r="H119" s="35"/>
      <c r="I119" s="18"/>
      <c r="J119" s="26"/>
      <c r="K119" s="26"/>
      <c r="L119" s="26"/>
      <c r="M119" s="26"/>
    </row>
    <row r="120" spans="1:13" s="22" customFormat="1" ht="13.5" customHeight="1">
      <c r="A120" s="276"/>
      <c r="B120" s="25"/>
      <c r="C120" s="38" t="s">
        <v>23</v>
      </c>
      <c r="D120" s="20" t="s">
        <v>16</v>
      </c>
      <c r="E120" s="20">
        <v>0.62</v>
      </c>
      <c r="F120" s="153">
        <f>E120*F116</f>
        <v>2.5295999999999998</v>
      </c>
      <c r="G120" s="18"/>
      <c r="H120" s="35"/>
      <c r="I120" s="27"/>
      <c r="J120" s="27"/>
      <c r="K120" s="27"/>
      <c r="L120" s="26"/>
      <c r="M120" s="26"/>
    </row>
    <row r="121" spans="1:13" s="22" customFormat="1" ht="35.25" customHeight="1">
      <c r="A121" s="156" t="s">
        <v>243</v>
      </c>
      <c r="B121" s="103"/>
      <c r="C121" s="105" t="s">
        <v>421</v>
      </c>
      <c r="D121" s="20"/>
      <c r="E121" s="165"/>
      <c r="F121" s="97"/>
      <c r="G121" s="155"/>
      <c r="H121" s="35"/>
      <c r="I121" s="88"/>
      <c r="J121" s="35"/>
      <c r="K121" s="26"/>
      <c r="L121" s="35"/>
      <c r="M121" s="26"/>
    </row>
    <row r="122" spans="1:13" s="22" customFormat="1" ht="30" customHeight="1">
      <c r="A122" s="274" t="s">
        <v>251</v>
      </c>
      <c r="B122" s="15" t="s">
        <v>414</v>
      </c>
      <c r="C122" s="105" t="s">
        <v>422</v>
      </c>
      <c r="D122" s="20" t="s">
        <v>80</v>
      </c>
      <c r="E122" s="165"/>
      <c r="F122" s="97">
        <v>1080.5</v>
      </c>
      <c r="G122" s="155"/>
      <c r="H122" s="35"/>
      <c r="I122" s="88"/>
      <c r="J122" s="40"/>
      <c r="K122" s="16"/>
      <c r="L122" s="40"/>
      <c r="M122" s="16"/>
    </row>
    <row r="123" spans="1:13" s="22" customFormat="1" ht="13.5" customHeight="1">
      <c r="A123" s="275"/>
      <c r="B123" s="25"/>
      <c r="C123" s="90" t="s">
        <v>534</v>
      </c>
      <c r="D123" s="41" t="s">
        <v>15</v>
      </c>
      <c r="E123" s="20">
        <f>0.016*1.15</f>
        <v>1.84E-2</v>
      </c>
      <c r="F123" s="97">
        <f>E123*F122</f>
        <v>19.8812</v>
      </c>
      <c r="G123" s="99"/>
      <c r="H123" s="100"/>
      <c r="I123" s="35"/>
      <c r="J123" s="35"/>
      <c r="K123" s="35"/>
      <c r="L123" s="99"/>
      <c r="M123" s="35"/>
    </row>
    <row r="124" spans="1:13" s="22" customFormat="1" ht="13.5" customHeight="1">
      <c r="A124" s="276"/>
      <c r="B124" s="25" t="s">
        <v>100</v>
      </c>
      <c r="C124" s="105" t="s">
        <v>535</v>
      </c>
      <c r="D124" s="20" t="s">
        <v>85</v>
      </c>
      <c r="E124" s="21">
        <f>0.0359*1.05</f>
        <v>3.7695000000000006E-2</v>
      </c>
      <c r="F124" s="153">
        <f>E124*F122</f>
        <v>40.729447500000006</v>
      </c>
      <c r="G124" s="99"/>
      <c r="H124" s="100"/>
      <c r="I124" s="35"/>
      <c r="J124" s="35"/>
      <c r="K124" s="110"/>
      <c r="L124" s="35"/>
      <c r="M124" s="26"/>
    </row>
    <row r="125" spans="1:13" s="22" customFormat="1" ht="36" customHeight="1">
      <c r="A125" s="274" t="s">
        <v>252</v>
      </c>
      <c r="B125" s="25" t="s">
        <v>117</v>
      </c>
      <c r="C125" s="38" t="s">
        <v>118</v>
      </c>
      <c r="D125" s="33" t="s">
        <v>80</v>
      </c>
      <c r="E125" s="20"/>
      <c r="F125" s="97">
        <f>F122</f>
        <v>1080.5</v>
      </c>
      <c r="G125" s="39"/>
      <c r="H125" s="37"/>
      <c r="I125" s="27"/>
      <c r="J125" s="27"/>
      <c r="K125" s="27"/>
      <c r="L125" s="16"/>
      <c r="M125" s="16"/>
    </row>
    <row r="126" spans="1:13" s="22" customFormat="1" ht="18" customHeight="1">
      <c r="A126" s="275"/>
      <c r="B126" s="25" t="s">
        <v>119</v>
      </c>
      <c r="C126" s="38" t="s">
        <v>120</v>
      </c>
      <c r="D126" s="20" t="s">
        <v>20</v>
      </c>
      <c r="E126" s="20">
        <f>1.85*6*0.001</f>
        <v>1.1100000000000002E-2</v>
      </c>
      <c r="F126" s="153">
        <f>E126*F125</f>
        <v>11.993550000000003</v>
      </c>
      <c r="G126" s="39"/>
      <c r="H126" s="37"/>
      <c r="I126" s="27"/>
      <c r="J126" s="27"/>
      <c r="K126" s="27"/>
      <c r="L126" s="26"/>
      <c r="M126" s="26"/>
    </row>
    <row r="127" spans="1:13" s="22" customFormat="1" ht="15.75" customHeight="1">
      <c r="A127" s="275"/>
      <c r="B127" s="25" t="s">
        <v>102</v>
      </c>
      <c r="C127" s="38" t="s">
        <v>121</v>
      </c>
      <c r="D127" s="20" t="s">
        <v>20</v>
      </c>
      <c r="E127" s="20">
        <f>10.5*0.001*1.05</f>
        <v>1.1025000000000002E-2</v>
      </c>
      <c r="F127" s="153">
        <f>E127*F125</f>
        <v>11.912512500000002</v>
      </c>
      <c r="G127" s="39"/>
      <c r="H127" s="37"/>
      <c r="I127" s="27"/>
      <c r="J127" s="27"/>
      <c r="K127" s="27"/>
      <c r="L127" s="26"/>
      <c r="M127" s="26"/>
    </row>
    <row r="128" spans="1:13" s="22" customFormat="1" ht="15.75" customHeight="1">
      <c r="A128" s="275"/>
      <c r="B128" s="25" t="s">
        <v>122</v>
      </c>
      <c r="C128" s="38" t="s">
        <v>555</v>
      </c>
      <c r="D128" s="20" t="s">
        <v>20</v>
      </c>
      <c r="E128" s="20">
        <f>1.85*6*0.001*1.05</f>
        <v>1.1655000000000002E-2</v>
      </c>
      <c r="F128" s="153">
        <f>E128*F125</f>
        <v>12.593227500000003</v>
      </c>
      <c r="G128" s="39"/>
      <c r="H128" s="37"/>
      <c r="I128" s="27"/>
      <c r="J128" s="27"/>
      <c r="K128" s="26"/>
      <c r="L128" s="26"/>
      <c r="M128" s="26"/>
    </row>
    <row r="129" spans="1:13" s="22" customFormat="1" ht="53.25" customHeight="1">
      <c r="A129" s="274" t="s">
        <v>254</v>
      </c>
      <c r="B129" s="25" t="s">
        <v>167</v>
      </c>
      <c r="C129" s="105" t="s">
        <v>605</v>
      </c>
      <c r="D129" s="33" t="s">
        <v>80</v>
      </c>
      <c r="E129" s="21"/>
      <c r="F129" s="97">
        <f>1570.7-1060.5</f>
        <v>510.20000000000005</v>
      </c>
      <c r="G129" s="21"/>
      <c r="H129" s="40"/>
      <c r="I129" s="120"/>
      <c r="J129" s="40"/>
      <c r="K129" s="20"/>
      <c r="L129" s="40"/>
      <c r="M129" s="121"/>
    </row>
    <row r="130" spans="1:13" s="22" customFormat="1" ht="14.25" customHeight="1">
      <c r="A130" s="275"/>
      <c r="B130" s="25"/>
      <c r="C130" s="90" t="s">
        <v>526</v>
      </c>
      <c r="D130" s="41" t="s">
        <v>15</v>
      </c>
      <c r="E130" s="20">
        <f>0.0188*1.05</f>
        <v>1.9740000000000001E-2</v>
      </c>
      <c r="F130" s="114">
        <f>E130*F129</f>
        <v>10.071348</v>
      </c>
      <c r="G130" s="26"/>
      <c r="H130" s="27"/>
      <c r="I130" s="26"/>
      <c r="J130" s="26"/>
      <c r="K130" s="27"/>
      <c r="L130" s="27"/>
      <c r="M130" s="26"/>
    </row>
    <row r="131" spans="1:13" s="22" customFormat="1" ht="14.25" customHeight="1">
      <c r="A131" s="275"/>
      <c r="B131" s="25" t="s">
        <v>166</v>
      </c>
      <c r="C131" s="105" t="s">
        <v>527</v>
      </c>
      <c r="D131" s="20" t="s">
        <v>85</v>
      </c>
      <c r="E131" s="21">
        <f>0.042*1.15</f>
        <v>4.8300000000000003E-2</v>
      </c>
      <c r="F131" s="97">
        <f>E131*F129</f>
        <v>24.642660000000003</v>
      </c>
      <c r="G131" s="21"/>
      <c r="H131" s="35"/>
      <c r="I131" s="20"/>
      <c r="J131" s="35"/>
      <c r="K131" s="110"/>
      <c r="L131" s="35"/>
      <c r="M131" s="110"/>
    </row>
    <row r="132" spans="1:13" s="22" customFormat="1" ht="14.25" customHeight="1">
      <c r="A132" s="275"/>
      <c r="B132" s="25"/>
      <c r="C132" s="105" t="s">
        <v>28</v>
      </c>
      <c r="D132" s="20" t="s">
        <v>16</v>
      </c>
      <c r="E132" s="21">
        <v>2.7399999999999998E-3</v>
      </c>
      <c r="F132" s="97">
        <f>E132*F129</f>
        <v>1.397948</v>
      </c>
      <c r="G132" s="21"/>
      <c r="H132" s="35"/>
      <c r="I132" s="20"/>
      <c r="J132" s="35"/>
      <c r="K132" s="120"/>
      <c r="L132" s="35"/>
      <c r="M132" s="110"/>
    </row>
    <row r="133" spans="1:13" s="22" customFormat="1" ht="14.25" customHeight="1">
      <c r="A133" s="275"/>
      <c r="B133" s="228" t="s">
        <v>225</v>
      </c>
      <c r="C133" s="105" t="s">
        <v>514</v>
      </c>
      <c r="D133" s="33" t="s">
        <v>80</v>
      </c>
      <c r="E133" s="106">
        <f>0.09/1000</f>
        <v>8.9999999999999992E-5</v>
      </c>
      <c r="F133" s="153">
        <f>E133*F129</f>
        <v>4.5918E-2</v>
      </c>
      <c r="G133" s="88"/>
      <c r="H133" s="35"/>
      <c r="I133" s="20"/>
      <c r="J133" s="35"/>
      <c r="K133" s="120"/>
      <c r="L133" s="35"/>
      <c r="M133" s="110"/>
    </row>
    <row r="134" spans="1:13" s="22" customFormat="1" ht="14.25" customHeight="1">
      <c r="A134" s="275"/>
      <c r="B134" s="25" t="s">
        <v>169</v>
      </c>
      <c r="C134" s="105" t="s">
        <v>87</v>
      </c>
      <c r="D134" s="33" t="s">
        <v>80</v>
      </c>
      <c r="E134" s="21"/>
      <c r="F134" s="97">
        <f>F129</f>
        <v>510.20000000000005</v>
      </c>
      <c r="G134" s="227"/>
      <c r="H134" s="40"/>
      <c r="I134" s="120"/>
      <c r="J134" s="35"/>
      <c r="K134" s="20"/>
      <c r="L134" s="40"/>
      <c r="M134" s="121"/>
    </row>
    <row r="135" spans="1:13" s="22" customFormat="1" ht="14.25" customHeight="1">
      <c r="A135" s="275"/>
      <c r="B135" s="25" t="s">
        <v>170</v>
      </c>
      <c r="C135" s="105" t="s">
        <v>528</v>
      </c>
      <c r="D135" s="20" t="s">
        <v>85</v>
      </c>
      <c r="E135" s="21">
        <f>0.0104*1.15</f>
        <v>1.1959999999999998E-2</v>
      </c>
      <c r="F135" s="97">
        <f>E135*F134</f>
        <v>6.1019920000000001</v>
      </c>
      <c r="G135" s="227"/>
      <c r="H135" s="35"/>
      <c r="I135" s="20"/>
      <c r="J135" s="35"/>
      <c r="K135" s="27"/>
      <c r="L135" s="35"/>
      <c r="M135" s="110"/>
    </row>
    <row r="136" spans="1:13" s="22" customFormat="1" ht="14.25" customHeight="1">
      <c r="A136" s="275"/>
      <c r="B136" s="25"/>
      <c r="C136" s="105" t="s">
        <v>28</v>
      </c>
      <c r="D136" s="20" t="s">
        <v>16</v>
      </c>
      <c r="E136" s="21">
        <f>0.24/1000</f>
        <v>2.3999999999999998E-4</v>
      </c>
      <c r="F136" s="97">
        <f>E136*F134</f>
        <v>0.122448</v>
      </c>
      <c r="G136" s="227"/>
      <c r="H136" s="35"/>
      <c r="I136" s="20"/>
      <c r="J136" s="35"/>
      <c r="K136" s="18"/>
      <c r="L136" s="35"/>
      <c r="M136" s="110"/>
    </row>
    <row r="137" spans="1:13" s="22" customFormat="1" ht="14.25" customHeight="1">
      <c r="A137" s="275"/>
      <c r="B137" s="25" t="s">
        <v>225</v>
      </c>
      <c r="C137" s="105" t="s">
        <v>514</v>
      </c>
      <c r="D137" s="33" t="s">
        <v>80</v>
      </c>
      <c r="E137" s="106">
        <f>0.08/1000</f>
        <v>8.0000000000000007E-5</v>
      </c>
      <c r="F137" s="153">
        <f>E137*F134</f>
        <v>4.0816000000000005E-2</v>
      </c>
      <c r="G137" s="88"/>
      <c r="H137" s="35"/>
      <c r="I137" s="20"/>
      <c r="J137" s="35"/>
      <c r="K137" s="120"/>
      <c r="L137" s="35"/>
      <c r="M137" s="110"/>
    </row>
    <row r="138" spans="1:13" s="22" customFormat="1" ht="14.25" customHeight="1">
      <c r="A138" s="276"/>
      <c r="B138" s="25" t="s">
        <v>82</v>
      </c>
      <c r="C138" s="105" t="s">
        <v>89</v>
      </c>
      <c r="D138" s="20" t="s">
        <v>17</v>
      </c>
      <c r="E138" s="21"/>
      <c r="F138" s="233">
        <f>F129*2.8</f>
        <v>1428.56</v>
      </c>
      <c r="G138" s="21"/>
      <c r="H138" s="35"/>
      <c r="I138" s="20"/>
      <c r="J138" s="35"/>
      <c r="K138" s="110"/>
      <c r="L138" s="40"/>
      <c r="M138" s="121"/>
    </row>
    <row r="139" spans="1:13" s="22" customFormat="1" ht="57" customHeight="1">
      <c r="A139" s="274" t="s">
        <v>255</v>
      </c>
      <c r="B139" s="25" t="s">
        <v>114</v>
      </c>
      <c r="C139" s="38" t="s">
        <v>557</v>
      </c>
      <c r="D139" s="33" t="s">
        <v>80</v>
      </c>
      <c r="E139" s="20"/>
      <c r="F139" s="117">
        <v>1610</v>
      </c>
      <c r="G139" s="18"/>
      <c r="H139" s="40"/>
      <c r="I139" s="27"/>
      <c r="J139" s="16"/>
      <c r="K139" s="23"/>
      <c r="L139" s="16"/>
      <c r="M139" s="16"/>
    </row>
    <row r="140" spans="1:13" s="22" customFormat="1" ht="13.5" customHeight="1">
      <c r="A140" s="275"/>
      <c r="B140" s="25"/>
      <c r="C140" s="90" t="s">
        <v>19</v>
      </c>
      <c r="D140" s="41" t="s">
        <v>15</v>
      </c>
      <c r="E140" s="106">
        <f>1.15*0.00925</f>
        <v>1.0637499999999999E-2</v>
      </c>
      <c r="F140" s="97">
        <f>E140*F139</f>
        <v>17.126374999999999</v>
      </c>
      <c r="G140" s="99"/>
      <c r="H140" s="100"/>
      <c r="I140" s="35"/>
      <c r="J140" s="35"/>
      <c r="K140" s="35"/>
      <c r="L140" s="99"/>
      <c r="M140" s="35"/>
    </row>
    <row r="141" spans="1:13" s="22" customFormat="1" ht="13.5" customHeight="1">
      <c r="A141" s="275"/>
      <c r="B141" s="25" t="s">
        <v>100</v>
      </c>
      <c r="C141" s="105" t="s">
        <v>86</v>
      </c>
      <c r="D141" s="20" t="s">
        <v>85</v>
      </c>
      <c r="E141" s="106">
        <f>0.0207*1.05</f>
        <v>2.1735000000000001E-2</v>
      </c>
      <c r="F141" s="153">
        <f>E141*F139</f>
        <v>34.99335</v>
      </c>
      <c r="G141" s="99"/>
      <c r="H141" s="100"/>
      <c r="I141" s="35"/>
      <c r="J141" s="35"/>
      <c r="K141" s="110"/>
      <c r="L141" s="35"/>
      <c r="M141" s="26"/>
    </row>
    <row r="142" spans="1:13" s="22" customFormat="1" ht="13.5" customHeight="1">
      <c r="A142" s="275"/>
      <c r="B142" s="25"/>
      <c r="C142" s="105" t="s">
        <v>28</v>
      </c>
      <c r="D142" s="20" t="s">
        <v>16</v>
      </c>
      <c r="E142" s="106">
        <f>1.36*0.001</f>
        <v>1.3600000000000001E-3</v>
      </c>
      <c r="F142" s="97">
        <f>E142*F139</f>
        <v>2.1896</v>
      </c>
      <c r="G142" s="99"/>
      <c r="H142" s="100"/>
      <c r="I142" s="35"/>
      <c r="J142" s="35"/>
      <c r="K142" s="120"/>
      <c r="L142" s="35"/>
      <c r="M142" s="26"/>
    </row>
    <row r="143" spans="1:13" s="22" customFormat="1" ht="13.5" customHeight="1">
      <c r="A143" s="275"/>
      <c r="B143" s="25" t="s">
        <v>225</v>
      </c>
      <c r="C143" s="105" t="s">
        <v>514</v>
      </c>
      <c r="D143" s="33" t="s">
        <v>80</v>
      </c>
      <c r="E143" s="106">
        <f>0.09/1000</f>
        <v>8.9999999999999992E-5</v>
      </c>
      <c r="F143" s="153">
        <f>E143*F139</f>
        <v>0.1449</v>
      </c>
      <c r="G143" s="88"/>
      <c r="H143" s="35"/>
      <c r="I143" s="20"/>
      <c r="J143" s="35"/>
      <c r="K143" s="120"/>
      <c r="L143" s="35"/>
      <c r="M143" s="110"/>
    </row>
    <row r="144" spans="1:13" s="22" customFormat="1" ht="13.5" customHeight="1">
      <c r="A144" s="275"/>
      <c r="B144" s="25" t="s">
        <v>101</v>
      </c>
      <c r="C144" s="105" t="s">
        <v>87</v>
      </c>
      <c r="D144" s="33" t="s">
        <v>80</v>
      </c>
      <c r="E144" s="106"/>
      <c r="F144" s="229">
        <f>F139</f>
        <v>1610</v>
      </c>
      <c r="G144" s="227"/>
      <c r="H144" s="220"/>
      <c r="I144" s="101"/>
      <c r="J144" s="16"/>
      <c r="K144" s="16"/>
      <c r="L144" s="16"/>
      <c r="M144" s="16"/>
    </row>
    <row r="145" spans="1:16" s="22" customFormat="1" ht="13.5" customHeight="1">
      <c r="A145" s="275"/>
      <c r="B145" s="25"/>
      <c r="C145" s="90" t="s">
        <v>19</v>
      </c>
      <c r="D145" s="41" t="s">
        <v>15</v>
      </c>
      <c r="E145" s="106">
        <f>1.05*0.00323</f>
        <v>3.3915E-3</v>
      </c>
      <c r="F145" s="152">
        <f>E145*F144</f>
        <v>5.4603149999999996</v>
      </c>
      <c r="G145" s="227"/>
      <c r="H145" s="27"/>
      <c r="I145" s="26"/>
      <c r="J145" s="26"/>
      <c r="K145" s="26"/>
      <c r="L145" s="27"/>
      <c r="M145" s="26"/>
    </row>
    <row r="146" spans="1:16" s="22" customFormat="1" ht="13.5" customHeight="1">
      <c r="A146" s="275"/>
      <c r="B146" s="25" t="s">
        <v>102</v>
      </c>
      <c r="C146" s="105" t="s">
        <v>88</v>
      </c>
      <c r="D146" s="20" t="s">
        <v>85</v>
      </c>
      <c r="E146" s="106">
        <f>1.15*0.00362</f>
        <v>4.163E-3</v>
      </c>
      <c r="F146" s="152">
        <f>E146*F144</f>
        <v>6.7024299999999997</v>
      </c>
      <c r="G146" s="227"/>
      <c r="H146" s="27"/>
      <c r="I146" s="27"/>
      <c r="J146" s="27"/>
      <c r="K146" s="27"/>
      <c r="L146" s="26"/>
      <c r="M146" s="26"/>
    </row>
    <row r="147" spans="1:16" s="22" customFormat="1" ht="13.5" customHeight="1">
      <c r="A147" s="275"/>
      <c r="B147" s="25"/>
      <c r="C147" s="105" t="s">
        <v>28</v>
      </c>
      <c r="D147" s="20" t="s">
        <v>16</v>
      </c>
      <c r="E147" s="106">
        <v>1.8000000000000001E-4</v>
      </c>
      <c r="F147" s="152">
        <f>E147*F144</f>
        <v>0.2898</v>
      </c>
      <c r="G147" s="88"/>
      <c r="H147" s="123"/>
      <c r="I147" s="122"/>
      <c r="J147" s="27"/>
      <c r="K147" s="18"/>
      <c r="L147" s="26"/>
      <c r="M147" s="26"/>
    </row>
    <row r="148" spans="1:16" s="22" customFormat="1" ht="13.5" customHeight="1">
      <c r="A148" s="275"/>
      <c r="B148" s="25" t="s">
        <v>225</v>
      </c>
      <c r="C148" s="105" t="s">
        <v>514</v>
      </c>
      <c r="D148" s="33" t="s">
        <v>80</v>
      </c>
      <c r="E148" s="106">
        <f>0.08/1000</f>
        <v>8.0000000000000007E-5</v>
      </c>
      <c r="F148" s="153">
        <f>E148*F144</f>
        <v>0.1288</v>
      </c>
      <c r="G148" s="88"/>
      <c r="H148" s="35"/>
      <c r="I148" s="20"/>
      <c r="J148" s="35"/>
      <c r="K148" s="120"/>
      <c r="L148" s="35"/>
      <c r="M148" s="110"/>
    </row>
    <row r="149" spans="1:16" s="22" customFormat="1" ht="13.5" customHeight="1">
      <c r="A149" s="276"/>
      <c r="B149" s="25" t="s">
        <v>82</v>
      </c>
      <c r="C149" s="105" t="s">
        <v>89</v>
      </c>
      <c r="D149" s="20" t="s">
        <v>17</v>
      </c>
      <c r="E149" s="106"/>
      <c r="F149" s="233">
        <f>F139*1.95</f>
        <v>3139.5</v>
      </c>
      <c r="G149" s="123"/>
      <c r="H149" s="123"/>
      <c r="I149" s="122"/>
      <c r="J149" s="123"/>
      <c r="K149" s="101"/>
      <c r="L149" s="16"/>
      <c r="M149" s="16"/>
    </row>
    <row r="150" spans="1:16" s="22" customFormat="1" ht="47.25" customHeight="1">
      <c r="A150" s="274" t="s">
        <v>256</v>
      </c>
      <c r="B150" s="25" t="s">
        <v>558</v>
      </c>
      <c r="C150" s="38" t="s">
        <v>607</v>
      </c>
      <c r="D150" s="33" t="s">
        <v>80</v>
      </c>
      <c r="E150" s="20"/>
      <c r="F150" s="97">
        <v>31.5</v>
      </c>
      <c r="G150" s="39"/>
      <c r="H150" s="37"/>
      <c r="I150" s="18"/>
      <c r="J150" s="40"/>
      <c r="K150" s="20"/>
      <c r="L150" s="40"/>
      <c r="M150" s="121"/>
    </row>
    <row r="151" spans="1:16" s="22" customFormat="1" ht="13.5" customHeight="1">
      <c r="A151" s="276"/>
      <c r="B151" s="25"/>
      <c r="C151" s="90" t="s">
        <v>559</v>
      </c>
      <c r="D151" s="41" t="s">
        <v>15</v>
      </c>
      <c r="E151" s="106">
        <f>3.37*1.15</f>
        <v>3.8754999999999997</v>
      </c>
      <c r="F151" s="97">
        <f>E151*F150</f>
        <v>122.07825</v>
      </c>
      <c r="G151" s="99"/>
      <c r="H151" s="100"/>
      <c r="I151" s="35"/>
      <c r="J151" s="35"/>
      <c r="K151" s="35"/>
      <c r="L151" s="99"/>
      <c r="M151" s="35"/>
    </row>
    <row r="152" spans="1:16" s="22" customFormat="1">
      <c r="A152" s="25"/>
      <c r="B152" s="31"/>
      <c r="C152" s="32" t="s">
        <v>11</v>
      </c>
      <c r="D152" s="33" t="s">
        <v>16</v>
      </c>
      <c r="E152" s="26"/>
      <c r="F152" s="114"/>
      <c r="G152" s="28"/>
      <c r="H152" s="26"/>
      <c r="I152" s="27"/>
      <c r="J152" s="26"/>
      <c r="K152" s="27"/>
      <c r="L152" s="26"/>
      <c r="M152" s="29"/>
      <c r="N152"/>
      <c r="O152"/>
    </row>
    <row r="153" spans="1:16" s="22" customFormat="1">
      <c r="A153" s="25"/>
      <c r="B153" s="31"/>
      <c r="C153" s="32" t="s">
        <v>25</v>
      </c>
      <c r="D153" s="33" t="s">
        <v>26</v>
      </c>
      <c r="E153" s="18">
        <v>10</v>
      </c>
      <c r="F153" s="114"/>
      <c r="G153" s="28"/>
      <c r="H153" s="26"/>
      <c r="I153" s="27"/>
      <c r="J153" s="26"/>
      <c r="K153" s="27"/>
      <c r="L153" s="26"/>
      <c r="M153" s="29"/>
      <c r="N153"/>
      <c r="O153" s="17"/>
    </row>
    <row r="154" spans="1:16" s="22" customFormat="1">
      <c r="A154" s="25"/>
      <c r="B154" s="31"/>
      <c r="C154" s="32" t="s">
        <v>11</v>
      </c>
      <c r="D154" s="33" t="s">
        <v>16</v>
      </c>
      <c r="E154" s="18"/>
      <c r="F154" s="114"/>
      <c r="G154" s="28"/>
      <c r="H154" s="26"/>
      <c r="I154" s="27"/>
      <c r="J154" s="26"/>
      <c r="K154" s="27"/>
      <c r="L154" s="26"/>
      <c r="M154" s="29"/>
      <c r="N154"/>
      <c r="O154"/>
    </row>
    <row r="155" spans="1:16" s="22" customFormat="1">
      <c r="A155" s="25"/>
      <c r="B155" s="31"/>
      <c r="C155" s="32" t="s">
        <v>27</v>
      </c>
      <c r="D155" s="33" t="s">
        <v>26</v>
      </c>
      <c r="E155" s="18">
        <v>8</v>
      </c>
      <c r="F155" s="114"/>
      <c r="G155" s="28"/>
      <c r="H155" s="26"/>
      <c r="I155" s="27"/>
      <c r="J155" s="26"/>
      <c r="K155" s="27"/>
      <c r="L155" s="26"/>
      <c r="M155" s="29"/>
      <c r="N155"/>
      <c r="O155" s="17">
        <f>M150+M149+M144+M139+M138+M134+M129+M125+M122+M116+M115+M114+M113+M110+M103+M96+M85+M80+M72+M63+M55+M49+M43+M38+M34+M27+M26+M22+M20+M17+M13+M11</f>
        <v>0</v>
      </c>
      <c r="P155" s="34">
        <f>M152-O155</f>
        <v>0</v>
      </c>
    </row>
    <row r="156" spans="1:16" s="22" customFormat="1">
      <c r="A156" s="25"/>
      <c r="B156" s="31"/>
      <c r="C156" s="32" t="s">
        <v>11</v>
      </c>
      <c r="D156" s="33" t="s">
        <v>16</v>
      </c>
      <c r="E156" s="18"/>
      <c r="F156" s="114"/>
      <c r="G156" s="28"/>
      <c r="H156" s="26"/>
      <c r="I156" s="27"/>
      <c r="J156" s="26"/>
      <c r="K156" s="27"/>
      <c r="L156" s="26"/>
      <c r="M156" s="29"/>
      <c r="N156"/>
      <c r="O156"/>
    </row>
    <row r="157" spans="1:16" s="22" customFormat="1" ht="13.5">
      <c r="A157" s="3"/>
      <c r="B157" s="3"/>
      <c r="C157" s="2"/>
      <c r="D157" s="3"/>
      <c r="E157" s="3"/>
      <c r="F157" s="234"/>
      <c r="G157" s="34"/>
      <c r="H157" s="34"/>
      <c r="I157" s="34"/>
      <c r="J157" s="34"/>
      <c r="K157" s="34"/>
      <c r="L157" s="34"/>
      <c r="M157" s="34"/>
    </row>
    <row r="158" spans="1:16" s="22" customFormat="1" ht="13.5">
      <c r="A158" s="3"/>
      <c r="B158" s="3"/>
      <c r="C158" s="2"/>
      <c r="D158" s="3"/>
      <c r="E158" s="3"/>
      <c r="F158" s="234"/>
      <c r="G158" s="34"/>
      <c r="H158" s="34"/>
      <c r="I158" s="34"/>
      <c r="J158" s="34"/>
      <c r="K158" s="34"/>
      <c r="L158" s="34"/>
      <c r="M158" s="34"/>
    </row>
    <row r="159" spans="1:16" s="22" customFormat="1" ht="13.5">
      <c r="A159" s="3"/>
      <c r="B159" s="3"/>
      <c r="C159" s="2"/>
      <c r="D159" s="3"/>
      <c r="E159" s="3"/>
      <c r="F159" s="234"/>
      <c r="G159" s="34"/>
      <c r="H159" s="34"/>
      <c r="I159" s="34"/>
      <c r="J159" s="34"/>
      <c r="K159" s="34"/>
      <c r="L159" s="34"/>
      <c r="M159" s="34"/>
    </row>
    <row r="160" spans="1:16" s="22" customFormat="1" ht="13.5">
      <c r="A160" s="3"/>
      <c r="B160" s="3"/>
      <c r="C160" s="2" t="s">
        <v>521</v>
      </c>
      <c r="D160" s="265"/>
      <c r="E160" s="265"/>
      <c r="F160" s="234"/>
      <c r="G160" s="34"/>
      <c r="H160" s="266" t="s">
        <v>522</v>
      </c>
      <c r="I160" s="266"/>
      <c r="J160" s="34"/>
      <c r="K160" s="34"/>
      <c r="L160" s="34"/>
      <c r="M160" s="34"/>
    </row>
    <row r="161" spans="1:13" s="22" customFormat="1" ht="13.5">
      <c r="A161" s="3"/>
      <c r="B161" s="3"/>
      <c r="C161" s="2"/>
      <c r="D161" s="3"/>
      <c r="E161" s="3"/>
      <c r="F161" s="234"/>
      <c r="G161" s="34"/>
      <c r="H161" s="34"/>
      <c r="I161" s="34"/>
      <c r="J161" s="34"/>
      <c r="K161" s="34"/>
      <c r="L161" s="34"/>
      <c r="M161" s="34"/>
    </row>
    <row r="162" spans="1:13" s="22" customFormat="1" ht="13.5">
      <c r="A162" s="3"/>
      <c r="B162" s="3"/>
      <c r="C162" s="2"/>
      <c r="D162" s="3"/>
      <c r="E162" s="3"/>
      <c r="F162" s="234"/>
      <c r="G162" s="34"/>
      <c r="H162" s="34"/>
      <c r="I162" s="34"/>
      <c r="J162" s="34"/>
      <c r="K162" s="34"/>
      <c r="L162" s="34"/>
      <c r="M162" s="34"/>
    </row>
    <row r="163" spans="1:13" s="22" customFormat="1" ht="13.5">
      <c r="A163" s="3"/>
      <c r="B163" s="3"/>
      <c r="C163" s="2"/>
      <c r="D163" s="3"/>
      <c r="E163" s="3"/>
      <c r="F163" s="247"/>
      <c r="G163" s="34"/>
      <c r="H163" s="34"/>
      <c r="I163" s="34"/>
      <c r="J163" s="34"/>
      <c r="K163" s="34"/>
      <c r="L163" s="34"/>
      <c r="M163" s="34"/>
    </row>
    <row r="164" spans="1:13" s="22" customFormat="1" ht="13.5">
      <c r="A164" s="3"/>
      <c r="B164" s="3"/>
      <c r="C164" s="2"/>
      <c r="D164" s="3"/>
      <c r="E164" s="3"/>
      <c r="F164" s="234"/>
      <c r="G164" s="34"/>
      <c r="H164" s="34"/>
      <c r="I164" s="34"/>
      <c r="J164" s="34"/>
      <c r="K164" s="34"/>
      <c r="L164" s="34"/>
      <c r="M164" s="34"/>
    </row>
    <row r="165" spans="1:13" s="22" customFormat="1" ht="13.5">
      <c r="A165" s="3"/>
      <c r="B165" s="3"/>
      <c r="C165" s="2"/>
      <c r="D165" s="3"/>
      <c r="E165" s="3"/>
      <c r="F165" s="234"/>
      <c r="G165" s="34"/>
      <c r="H165" s="34"/>
      <c r="I165" s="34"/>
      <c r="J165" s="34"/>
      <c r="K165" s="34"/>
      <c r="L165" s="34"/>
      <c r="M165" s="34"/>
    </row>
    <row r="166" spans="1:13" s="22" customFormat="1" ht="13.5">
      <c r="A166" s="3"/>
      <c r="B166" s="3"/>
      <c r="C166" s="2"/>
      <c r="D166" s="3"/>
      <c r="E166" s="3"/>
      <c r="F166" s="234"/>
      <c r="G166" s="34"/>
      <c r="H166" s="34"/>
      <c r="I166" s="34"/>
      <c r="J166" s="34"/>
      <c r="K166" s="34"/>
      <c r="L166" s="34"/>
      <c r="M166" s="34"/>
    </row>
    <row r="167" spans="1:13" s="22" customFormat="1" ht="13.5">
      <c r="A167" s="3"/>
      <c r="B167" s="3"/>
      <c r="C167" s="2"/>
      <c r="D167" s="3"/>
      <c r="E167" s="3"/>
      <c r="F167" s="234"/>
      <c r="G167" s="34"/>
      <c r="H167" s="34"/>
      <c r="I167" s="34"/>
      <c r="J167" s="34"/>
      <c r="K167" s="34"/>
      <c r="L167" s="34"/>
      <c r="M167" s="34"/>
    </row>
    <row r="168" spans="1:13" s="22" customFormat="1" ht="13.5">
      <c r="A168" s="3"/>
      <c r="B168" s="3"/>
      <c r="C168" s="2"/>
      <c r="D168" s="3"/>
      <c r="E168" s="3"/>
      <c r="F168" s="234"/>
      <c r="G168" s="34"/>
      <c r="H168" s="34"/>
      <c r="I168" s="34"/>
      <c r="J168" s="34"/>
      <c r="K168" s="34"/>
      <c r="L168" s="34"/>
      <c r="M168" s="34"/>
    </row>
    <row r="169" spans="1:13" s="22" customFormat="1" ht="13.5">
      <c r="A169" s="3"/>
      <c r="B169" s="3"/>
      <c r="C169" s="2"/>
      <c r="D169" s="3"/>
      <c r="E169" s="3"/>
      <c r="F169" s="234"/>
      <c r="G169" s="34"/>
      <c r="H169" s="34"/>
      <c r="I169" s="34"/>
      <c r="J169" s="34"/>
      <c r="K169" s="34"/>
      <c r="L169" s="34"/>
      <c r="M169" s="34"/>
    </row>
    <row r="170" spans="1:13" s="22" customFormat="1" ht="13.5">
      <c r="A170" s="3"/>
      <c r="B170" s="3"/>
      <c r="C170" s="2"/>
      <c r="D170" s="3"/>
      <c r="E170" s="3"/>
      <c r="F170" s="234"/>
      <c r="G170" s="34"/>
      <c r="H170" s="34"/>
      <c r="I170" s="34"/>
      <c r="J170" s="34"/>
      <c r="K170" s="34"/>
      <c r="L170" s="34"/>
      <c r="M170" s="34"/>
    </row>
    <row r="171" spans="1:13" s="22" customFormat="1" ht="13.5">
      <c r="A171" s="3"/>
      <c r="B171" s="3"/>
      <c r="C171" s="2"/>
      <c r="D171" s="3"/>
      <c r="E171" s="3"/>
      <c r="F171" s="234"/>
      <c r="G171" s="34"/>
      <c r="H171" s="34"/>
      <c r="I171" s="34"/>
      <c r="J171" s="34"/>
      <c r="K171" s="34"/>
      <c r="L171" s="34"/>
      <c r="M171" s="34"/>
    </row>
    <row r="172" spans="1:13" s="22" customFormat="1" ht="13.5">
      <c r="A172" s="3"/>
      <c r="B172" s="3"/>
      <c r="C172" s="2"/>
      <c r="D172" s="3"/>
      <c r="E172" s="3"/>
      <c r="F172" s="234"/>
      <c r="G172" s="34"/>
      <c r="H172" s="34"/>
      <c r="I172" s="34"/>
      <c r="J172" s="34"/>
      <c r="K172" s="34"/>
      <c r="L172" s="34"/>
      <c r="M172" s="34"/>
    </row>
    <row r="173" spans="1:13" s="22" customFormat="1" ht="13.5">
      <c r="A173" s="3"/>
      <c r="B173" s="3"/>
      <c r="C173" s="2"/>
      <c r="D173" s="3"/>
      <c r="E173" s="3"/>
      <c r="F173" s="234"/>
      <c r="G173" s="34"/>
      <c r="H173" s="34"/>
      <c r="I173" s="34"/>
      <c r="J173" s="34"/>
      <c r="K173" s="34"/>
      <c r="L173" s="34"/>
      <c r="M173" s="34"/>
    </row>
    <row r="174" spans="1:13" s="22" customFormat="1" ht="13.5">
      <c r="A174" s="3"/>
      <c r="B174" s="3"/>
      <c r="C174" s="2"/>
      <c r="D174" s="3"/>
      <c r="E174" s="3"/>
      <c r="F174" s="234"/>
      <c r="G174" s="34"/>
      <c r="H174" s="34"/>
      <c r="I174" s="34"/>
      <c r="J174" s="34"/>
      <c r="K174" s="34"/>
      <c r="L174" s="34"/>
      <c r="M174" s="34"/>
    </row>
    <row r="175" spans="1:13" s="22" customFormat="1" ht="13.5">
      <c r="A175" s="3"/>
      <c r="B175" s="3"/>
      <c r="C175" s="2"/>
      <c r="D175" s="3"/>
      <c r="E175" s="3"/>
      <c r="F175" s="234"/>
      <c r="G175" s="34"/>
      <c r="H175" s="34"/>
      <c r="I175" s="34"/>
      <c r="J175" s="34"/>
      <c r="K175" s="34"/>
      <c r="L175" s="34"/>
      <c r="M175" s="34"/>
    </row>
    <row r="176" spans="1:13" s="22" customFormat="1" ht="13.5">
      <c r="A176" s="3"/>
      <c r="B176" s="3"/>
      <c r="C176" s="2"/>
      <c r="D176" s="3"/>
      <c r="E176" s="3"/>
      <c r="F176" s="234"/>
      <c r="G176" s="34"/>
      <c r="H176" s="34"/>
      <c r="I176" s="34"/>
      <c r="J176" s="34"/>
      <c r="K176" s="34"/>
      <c r="L176" s="34"/>
      <c r="M176" s="34"/>
    </row>
    <row r="177" spans="1:13" s="22" customFormat="1" ht="13.5">
      <c r="A177" s="3"/>
      <c r="B177" s="3"/>
      <c r="C177" s="2"/>
      <c r="D177" s="3"/>
      <c r="E177" s="3"/>
      <c r="F177" s="234"/>
      <c r="G177" s="34"/>
      <c r="H177" s="34"/>
      <c r="I177" s="34"/>
      <c r="J177" s="34"/>
      <c r="K177" s="34"/>
      <c r="L177" s="34"/>
      <c r="M177" s="34"/>
    </row>
    <row r="178" spans="1:13" s="22" customFormat="1" ht="13.5">
      <c r="A178" s="3"/>
      <c r="B178" s="3"/>
      <c r="C178" s="2"/>
      <c r="D178" s="3"/>
      <c r="E178" s="3"/>
      <c r="F178" s="234"/>
      <c r="G178" s="34"/>
      <c r="H178" s="34"/>
      <c r="I178" s="34"/>
      <c r="J178" s="34"/>
      <c r="K178" s="34"/>
      <c r="L178" s="34"/>
      <c r="M178" s="34"/>
    </row>
    <row r="179" spans="1:13" s="22" customFormat="1" ht="13.5">
      <c r="A179" s="3"/>
      <c r="B179" s="3"/>
      <c r="C179" s="2"/>
      <c r="D179" s="3"/>
      <c r="E179" s="3"/>
      <c r="F179" s="234"/>
      <c r="G179" s="34"/>
      <c r="H179" s="34"/>
      <c r="I179" s="34"/>
      <c r="J179" s="34"/>
      <c r="K179" s="34"/>
      <c r="L179" s="34"/>
      <c r="M179" s="34"/>
    </row>
    <row r="180" spans="1:13" s="22" customFormat="1" ht="13.5">
      <c r="A180" s="3"/>
      <c r="B180" s="3"/>
      <c r="C180" s="2"/>
      <c r="D180" s="3"/>
      <c r="E180" s="3"/>
      <c r="F180" s="234"/>
      <c r="G180" s="34"/>
      <c r="H180" s="34"/>
      <c r="I180" s="34"/>
      <c r="J180" s="34"/>
      <c r="K180" s="34"/>
      <c r="L180" s="34"/>
      <c r="M180" s="34"/>
    </row>
    <row r="181" spans="1:13" s="22" customFormat="1" ht="13.5">
      <c r="A181" s="3"/>
      <c r="B181" s="3"/>
      <c r="C181" s="2"/>
      <c r="D181" s="3"/>
      <c r="E181" s="3"/>
      <c r="F181" s="234"/>
      <c r="G181" s="34"/>
      <c r="H181" s="34"/>
      <c r="I181" s="34"/>
      <c r="J181" s="34"/>
      <c r="K181" s="34"/>
      <c r="L181" s="34"/>
      <c r="M181" s="34"/>
    </row>
    <row r="182" spans="1:13" s="22" customFormat="1" ht="13.5">
      <c r="A182" s="3"/>
      <c r="B182" s="3"/>
      <c r="C182" s="2"/>
      <c r="D182" s="3"/>
      <c r="E182" s="3"/>
      <c r="F182" s="234"/>
      <c r="G182" s="34"/>
      <c r="H182" s="34"/>
      <c r="I182" s="34"/>
      <c r="J182" s="34"/>
      <c r="K182" s="34"/>
      <c r="L182" s="34"/>
      <c r="M182" s="34"/>
    </row>
    <row r="183" spans="1:13" s="22" customFormat="1" ht="13.5">
      <c r="A183" s="3"/>
      <c r="B183" s="3"/>
      <c r="C183" s="2"/>
      <c r="D183" s="3"/>
      <c r="E183" s="3"/>
      <c r="F183" s="234"/>
      <c r="G183" s="34"/>
      <c r="H183" s="34"/>
      <c r="I183" s="34"/>
      <c r="J183" s="34"/>
      <c r="K183" s="34"/>
      <c r="L183" s="34"/>
      <c r="M183" s="34"/>
    </row>
    <row r="184" spans="1:13" s="22" customFormat="1" ht="13.5">
      <c r="A184" s="3"/>
      <c r="B184" s="3"/>
      <c r="C184" s="2"/>
      <c r="D184" s="3"/>
      <c r="E184" s="3"/>
      <c r="F184" s="234"/>
      <c r="G184" s="34"/>
      <c r="H184" s="34"/>
      <c r="I184" s="34"/>
      <c r="J184" s="34"/>
      <c r="K184" s="34"/>
      <c r="L184" s="34"/>
      <c r="M184" s="34"/>
    </row>
    <row r="185" spans="1:13" s="22" customFormat="1" ht="13.5">
      <c r="A185" s="3"/>
      <c r="B185" s="3"/>
      <c r="C185" s="2"/>
      <c r="D185" s="3"/>
      <c r="E185" s="3"/>
      <c r="F185" s="234"/>
      <c r="G185" s="34"/>
      <c r="H185" s="34"/>
      <c r="I185" s="34"/>
      <c r="J185" s="34"/>
      <c r="K185" s="34"/>
      <c r="L185" s="34"/>
      <c r="M185" s="34"/>
    </row>
    <row r="186" spans="1:13" s="22" customFormat="1" ht="13.5">
      <c r="A186" s="3"/>
      <c r="B186" s="3"/>
      <c r="C186" s="2"/>
      <c r="D186" s="3"/>
      <c r="E186" s="3"/>
      <c r="F186" s="234"/>
      <c r="G186" s="34"/>
      <c r="H186" s="34"/>
      <c r="I186" s="34"/>
      <c r="J186" s="34"/>
      <c r="K186" s="34"/>
      <c r="L186" s="34"/>
      <c r="M186" s="34"/>
    </row>
    <row r="187" spans="1:13" s="22" customFormat="1" ht="13.5">
      <c r="A187" s="3"/>
      <c r="B187" s="3"/>
      <c r="C187" s="2"/>
      <c r="D187" s="3"/>
      <c r="E187" s="3"/>
      <c r="F187" s="234"/>
      <c r="G187" s="34"/>
      <c r="H187" s="34"/>
      <c r="I187" s="34"/>
      <c r="J187" s="34"/>
      <c r="K187" s="34"/>
      <c r="L187" s="34"/>
      <c r="M187" s="34"/>
    </row>
    <row r="188" spans="1:13" s="22" customFormat="1" ht="13.5">
      <c r="A188" s="3"/>
      <c r="B188" s="3"/>
      <c r="C188" s="2"/>
      <c r="D188" s="3"/>
      <c r="E188" s="3"/>
      <c r="F188" s="234"/>
      <c r="G188" s="34"/>
      <c r="H188" s="34"/>
      <c r="I188" s="34"/>
      <c r="J188" s="34"/>
      <c r="K188" s="34"/>
      <c r="L188" s="34"/>
      <c r="M188" s="34"/>
    </row>
    <row r="189" spans="1:13" s="22" customFormat="1" ht="13.5">
      <c r="A189" s="3"/>
      <c r="B189" s="3"/>
      <c r="C189" s="2"/>
      <c r="D189" s="3"/>
      <c r="E189" s="3"/>
      <c r="F189" s="234"/>
      <c r="G189" s="34"/>
      <c r="H189" s="34"/>
      <c r="I189" s="34"/>
      <c r="J189" s="34"/>
      <c r="K189" s="34"/>
      <c r="L189" s="34"/>
      <c r="M189" s="34"/>
    </row>
    <row r="190" spans="1:13" s="22" customFormat="1" ht="13.5">
      <c r="A190" s="3"/>
      <c r="B190" s="3"/>
      <c r="C190" s="2"/>
      <c r="D190" s="3"/>
      <c r="E190" s="3"/>
      <c r="F190" s="234"/>
      <c r="G190" s="34"/>
      <c r="H190" s="34"/>
      <c r="I190" s="34"/>
      <c r="J190" s="34"/>
      <c r="K190" s="34"/>
      <c r="L190" s="34"/>
      <c r="M190" s="34"/>
    </row>
    <row r="191" spans="1:13" s="22" customFormat="1" ht="13.5">
      <c r="A191" s="3"/>
      <c r="B191" s="3"/>
      <c r="C191" s="2"/>
      <c r="D191" s="3"/>
      <c r="E191" s="3"/>
      <c r="F191" s="234"/>
      <c r="G191" s="34"/>
      <c r="H191" s="34"/>
      <c r="I191" s="34"/>
      <c r="J191" s="34"/>
      <c r="K191" s="34"/>
      <c r="L191" s="34"/>
      <c r="M191" s="34"/>
    </row>
    <row r="192" spans="1:13" s="22" customFormat="1" ht="13.5">
      <c r="A192" s="3"/>
      <c r="B192" s="3"/>
      <c r="C192" s="2"/>
      <c r="D192" s="3"/>
      <c r="E192" s="3"/>
      <c r="F192" s="234"/>
      <c r="G192" s="34"/>
      <c r="H192" s="34"/>
      <c r="I192" s="34"/>
      <c r="J192" s="34"/>
      <c r="K192" s="34"/>
      <c r="L192" s="34"/>
      <c r="M192" s="34"/>
    </row>
    <row r="193" spans="1:13" s="22" customFormat="1" ht="13.5">
      <c r="A193" s="3"/>
      <c r="B193" s="3"/>
      <c r="C193" s="2"/>
      <c r="D193" s="3"/>
      <c r="E193" s="3"/>
      <c r="F193" s="234"/>
      <c r="G193" s="34"/>
      <c r="H193" s="34"/>
      <c r="I193" s="34"/>
      <c r="J193" s="34"/>
      <c r="K193" s="34"/>
      <c r="L193" s="34"/>
      <c r="M193" s="34"/>
    </row>
    <row r="194" spans="1:13" s="22" customFormat="1" ht="13.5">
      <c r="A194" s="3"/>
      <c r="B194" s="3"/>
      <c r="C194" s="2"/>
      <c r="D194" s="3"/>
      <c r="E194" s="3"/>
      <c r="F194" s="234"/>
      <c r="G194" s="34"/>
      <c r="H194" s="34"/>
      <c r="I194" s="34"/>
      <c r="J194" s="34"/>
      <c r="K194" s="34"/>
      <c r="L194" s="34"/>
      <c r="M194" s="34"/>
    </row>
    <row r="195" spans="1:13" s="22" customFormat="1" ht="13.5">
      <c r="A195" s="3"/>
      <c r="B195" s="3"/>
      <c r="C195" s="2"/>
      <c r="D195" s="3"/>
      <c r="E195" s="3"/>
      <c r="F195" s="234"/>
      <c r="G195" s="34"/>
      <c r="H195" s="34"/>
      <c r="I195" s="34"/>
      <c r="J195" s="34"/>
      <c r="K195" s="34"/>
      <c r="L195" s="34"/>
      <c r="M195" s="34"/>
    </row>
    <row r="196" spans="1:13" s="22" customFormat="1" ht="13.5">
      <c r="A196" s="3"/>
      <c r="B196" s="3"/>
      <c r="C196" s="2"/>
      <c r="D196" s="3"/>
      <c r="E196" s="3"/>
      <c r="F196" s="234"/>
      <c r="G196" s="34"/>
      <c r="H196" s="34"/>
      <c r="I196" s="34"/>
      <c r="J196" s="34"/>
      <c r="K196" s="34"/>
      <c r="L196" s="34"/>
      <c r="M196" s="34"/>
    </row>
    <row r="197" spans="1:13" s="22" customFormat="1" ht="13.5">
      <c r="A197" s="3"/>
      <c r="B197" s="3"/>
      <c r="C197" s="2"/>
      <c r="D197" s="3"/>
      <c r="E197" s="3"/>
      <c r="F197" s="234"/>
      <c r="G197" s="34"/>
      <c r="H197" s="34"/>
      <c r="I197" s="34"/>
      <c r="J197" s="34"/>
      <c r="K197" s="34"/>
      <c r="L197" s="34"/>
      <c r="M197" s="34"/>
    </row>
    <row r="198" spans="1:13" s="22" customFormat="1" ht="13.5">
      <c r="A198" s="3"/>
      <c r="B198" s="3"/>
      <c r="C198" s="2"/>
      <c r="D198" s="3"/>
      <c r="E198" s="3"/>
      <c r="F198" s="234"/>
      <c r="G198" s="34"/>
      <c r="H198" s="34"/>
      <c r="I198" s="34"/>
      <c r="J198" s="34"/>
      <c r="K198" s="34"/>
      <c r="L198" s="34"/>
      <c r="M198" s="34"/>
    </row>
    <row r="199" spans="1:13" s="22" customFormat="1" ht="13.5">
      <c r="A199" s="3"/>
      <c r="B199" s="3"/>
      <c r="C199" s="2"/>
      <c r="D199" s="3"/>
      <c r="E199" s="3"/>
      <c r="F199" s="234"/>
      <c r="G199" s="34"/>
      <c r="H199" s="34"/>
      <c r="I199" s="34"/>
      <c r="J199" s="34"/>
      <c r="K199" s="34"/>
      <c r="L199" s="34"/>
      <c r="M199" s="34"/>
    </row>
    <row r="200" spans="1:13" s="22" customFormat="1" ht="13.5">
      <c r="A200" s="3"/>
      <c r="B200" s="3"/>
      <c r="C200" s="2"/>
      <c r="D200" s="3"/>
      <c r="E200" s="3"/>
      <c r="F200" s="235"/>
    </row>
    <row r="201" spans="1:13" s="22" customFormat="1" ht="13.5">
      <c r="C201" s="1"/>
      <c r="F201" s="235"/>
    </row>
    <row r="202" spans="1:13" s="22" customFormat="1" ht="13.5">
      <c r="C202" s="1"/>
      <c r="F202" s="235"/>
    </row>
    <row r="203" spans="1:13" s="22" customFormat="1" ht="13.5">
      <c r="C203" s="1"/>
      <c r="F203" s="235"/>
    </row>
    <row r="204" spans="1:13" s="22" customFormat="1" ht="13.5">
      <c r="C204" s="1"/>
      <c r="F204" s="235"/>
    </row>
    <row r="205" spans="1:13" s="22" customFormat="1" ht="13.5">
      <c r="C205" s="1"/>
      <c r="F205" s="235"/>
    </row>
    <row r="206" spans="1:13" s="22" customFormat="1" ht="13.5">
      <c r="C206" s="1"/>
      <c r="F206" s="235"/>
    </row>
    <row r="207" spans="1:13" s="22" customFormat="1" ht="13.5">
      <c r="C207" s="1"/>
      <c r="F207" s="235"/>
    </row>
    <row r="208" spans="1:13" s="22" customFormat="1" ht="13.5">
      <c r="C208" s="1"/>
      <c r="F208" s="235"/>
    </row>
    <row r="209" spans="3:6" s="22" customFormat="1" ht="13.5">
      <c r="C209" s="1"/>
      <c r="F209" s="235"/>
    </row>
    <row r="210" spans="3:6" s="22" customFormat="1" ht="13.5">
      <c r="C210" s="1"/>
      <c r="F210" s="235"/>
    </row>
    <row r="211" spans="3:6" s="22" customFormat="1" ht="13.5">
      <c r="C211" s="1"/>
      <c r="F211" s="235"/>
    </row>
    <row r="212" spans="3:6" s="22" customFormat="1" ht="13.5">
      <c r="C212" s="1"/>
      <c r="F212" s="235"/>
    </row>
    <row r="213" spans="3:6" s="22" customFormat="1" ht="13.5">
      <c r="C213" s="1"/>
      <c r="F213" s="235"/>
    </row>
    <row r="214" spans="3:6" s="22" customFormat="1" ht="13.5">
      <c r="C214" s="1"/>
      <c r="F214" s="235"/>
    </row>
    <row r="215" spans="3:6" s="22" customFormat="1" ht="13.5">
      <c r="C215" s="1"/>
      <c r="F215" s="235"/>
    </row>
    <row r="216" spans="3:6" s="22" customFormat="1" ht="13.5">
      <c r="C216" s="1"/>
      <c r="F216" s="235"/>
    </row>
    <row r="217" spans="3:6" s="22" customFormat="1" ht="13.5">
      <c r="C217" s="1"/>
      <c r="F217" s="235"/>
    </row>
    <row r="218" spans="3:6" s="22" customFormat="1" ht="13.5">
      <c r="C218" s="1"/>
      <c r="F218" s="235"/>
    </row>
    <row r="219" spans="3:6" s="22" customFormat="1" ht="13.5">
      <c r="C219" s="1"/>
      <c r="F219" s="235"/>
    </row>
    <row r="220" spans="3:6" s="22" customFormat="1" ht="13.5">
      <c r="C220" s="1"/>
      <c r="F220" s="235"/>
    </row>
    <row r="221" spans="3:6" s="22" customFormat="1" ht="13.5">
      <c r="C221" s="1"/>
      <c r="F221" s="235"/>
    </row>
    <row r="222" spans="3:6" s="22" customFormat="1" ht="13.5">
      <c r="C222" s="1"/>
      <c r="F222" s="235"/>
    </row>
    <row r="223" spans="3:6" s="22" customFormat="1" ht="13.5">
      <c r="C223" s="1"/>
      <c r="F223" s="235"/>
    </row>
    <row r="224" spans="3:6" s="22" customFormat="1" ht="13.5">
      <c r="C224" s="1"/>
      <c r="F224" s="235"/>
    </row>
    <row r="225" spans="3:6" s="22" customFormat="1" ht="13.5">
      <c r="C225" s="1"/>
      <c r="F225" s="235"/>
    </row>
    <row r="226" spans="3:6" s="22" customFormat="1" ht="13.5">
      <c r="C226" s="1"/>
      <c r="F226" s="235"/>
    </row>
    <row r="227" spans="3:6" s="22" customFormat="1" ht="13.5">
      <c r="C227" s="1"/>
      <c r="F227" s="235"/>
    </row>
    <row r="228" spans="3:6" s="36" customFormat="1" ht="13.5">
      <c r="F228" s="236"/>
    </row>
    <row r="229" spans="3:6" s="36" customFormat="1" ht="13.5">
      <c r="F229" s="236"/>
    </row>
    <row r="230" spans="3:6" s="36" customFormat="1" ht="13.5">
      <c r="F230" s="236"/>
    </row>
    <row r="231" spans="3:6" s="36" customFormat="1" ht="13.5">
      <c r="F231" s="236"/>
    </row>
    <row r="232" spans="3:6" s="36" customFormat="1" ht="13.5">
      <c r="F232" s="236"/>
    </row>
    <row r="233" spans="3:6" s="36" customFormat="1" ht="13.5">
      <c r="F233" s="236"/>
    </row>
    <row r="234" spans="3:6" s="36" customFormat="1" ht="13.5">
      <c r="F234" s="236"/>
    </row>
    <row r="235" spans="3:6" s="36" customFormat="1" ht="13.5">
      <c r="F235" s="236"/>
    </row>
  </sheetData>
  <mergeCells count="41">
    <mergeCell ref="D160:E160"/>
    <mergeCell ref="H160:I160"/>
    <mergeCell ref="A49:A50"/>
    <mergeCell ref="A51:A54"/>
    <mergeCell ref="A55:A61"/>
    <mergeCell ref="A85:A102"/>
    <mergeCell ref="A80:A84"/>
    <mergeCell ref="A103:A108"/>
    <mergeCell ref="A6:G6"/>
    <mergeCell ref="A1:M1"/>
    <mergeCell ref="A2:M2"/>
    <mergeCell ref="A3:M3"/>
    <mergeCell ref="A4:G4"/>
    <mergeCell ref="C5:K5"/>
    <mergeCell ref="K7:L7"/>
    <mergeCell ref="M7:M8"/>
    <mergeCell ref="A7:A8"/>
    <mergeCell ref="B7:B8"/>
    <mergeCell ref="C7:C8"/>
    <mergeCell ref="D7:D8"/>
    <mergeCell ref="E7:F7"/>
    <mergeCell ref="G7:H7"/>
    <mergeCell ref="A34:A37"/>
    <mergeCell ref="A38:A42"/>
    <mergeCell ref="I7:J7"/>
    <mergeCell ref="A11:A12"/>
    <mergeCell ref="A13:A15"/>
    <mergeCell ref="A17:A19"/>
    <mergeCell ref="A20:A23"/>
    <mergeCell ref="A24:A26"/>
    <mergeCell ref="A27:A32"/>
    <mergeCell ref="A43:A47"/>
    <mergeCell ref="A63:A71"/>
    <mergeCell ref="A72:A77"/>
    <mergeCell ref="A139:A149"/>
    <mergeCell ref="A150:A151"/>
    <mergeCell ref="A110:A115"/>
    <mergeCell ref="A116:A120"/>
    <mergeCell ref="A122:A124"/>
    <mergeCell ref="A125:A128"/>
    <mergeCell ref="A129:A138"/>
  </mergeCells>
  <pageMargins left="0.15748031496062992" right="0.19685039370078741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view="pageBreakPreview" topLeftCell="A4" zoomScale="60" zoomScaleNormal="100" workbookViewId="0">
      <selection activeCell="J13" sqref="J13"/>
    </sheetView>
  </sheetViews>
  <sheetFormatPr defaultColWidth="9.140625" defaultRowHeight="15"/>
  <cols>
    <col min="1" max="1" width="6.42578125" customWidth="1"/>
    <col min="3" max="3" width="38.85546875" customWidth="1"/>
    <col min="6" max="6" width="9.140625" style="237"/>
    <col min="7" max="7" width="8.140625" customWidth="1"/>
    <col min="8" max="8" width="9.42578125" customWidth="1"/>
    <col min="9" max="9" width="8.42578125" customWidth="1"/>
    <col min="11" max="11" width="8.140625" customWidth="1"/>
    <col min="13" max="13" width="9.85546875" customWidth="1"/>
    <col min="15" max="15" width="10.42578125" bestFit="1" customWidth="1"/>
  </cols>
  <sheetData>
    <row r="1" spans="1:16" s="36" customFormat="1" ht="15.75">
      <c r="A1" s="277" t="s">
        <v>163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6"/>
      <c r="O1" s="14"/>
      <c r="P1" s="14"/>
    </row>
    <row r="2" spans="1:16" s="36" customFormat="1" ht="17.25" customHeight="1">
      <c r="A2" s="278" t="s">
        <v>91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6"/>
      <c r="O2" s="7"/>
      <c r="P2" s="7"/>
    </row>
    <row r="3" spans="1:16" s="36" customFormat="1" ht="15.75">
      <c r="A3" s="278" t="s">
        <v>449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6"/>
      <c r="O3" s="7"/>
      <c r="P3" s="7"/>
    </row>
    <row r="4" spans="1:16" s="36" customFormat="1" ht="15.75">
      <c r="A4" s="279" t="s">
        <v>1</v>
      </c>
      <c r="B4" s="279"/>
      <c r="C4" s="279"/>
      <c r="D4" s="279"/>
      <c r="E4" s="279"/>
      <c r="F4" s="279"/>
      <c r="G4" s="279"/>
      <c r="H4" s="8"/>
      <c r="I4" s="8"/>
      <c r="J4" s="8"/>
      <c r="K4" s="8"/>
      <c r="L4" s="8"/>
      <c r="M4" s="8"/>
      <c r="N4" s="6"/>
      <c r="O4" s="7"/>
      <c r="P4" s="7"/>
    </row>
    <row r="5" spans="1:16" s="36" customFormat="1" ht="15.75">
      <c r="A5" s="42"/>
      <c r="B5" s="42"/>
      <c r="C5" s="280" t="s">
        <v>2</v>
      </c>
      <c r="D5" s="280"/>
      <c r="E5" s="280"/>
      <c r="F5" s="280"/>
      <c r="G5" s="280"/>
      <c r="H5" s="280"/>
      <c r="I5" s="280"/>
      <c r="J5" s="280"/>
      <c r="K5" s="280"/>
      <c r="L5" s="9">
        <f>M110</f>
        <v>0</v>
      </c>
      <c r="M5" s="10" t="s">
        <v>16</v>
      </c>
      <c r="N5" s="6"/>
      <c r="O5" s="7"/>
      <c r="P5" s="7"/>
    </row>
    <row r="6" spans="1:16" s="36" customFormat="1" ht="18.75" customHeight="1">
      <c r="A6" s="267" t="s">
        <v>404</v>
      </c>
      <c r="B6" s="267"/>
      <c r="C6" s="267"/>
      <c r="D6" s="267"/>
      <c r="E6" s="267"/>
      <c r="F6" s="267"/>
      <c r="G6" s="267"/>
      <c r="H6" s="8"/>
      <c r="I6" s="8"/>
      <c r="J6" s="8"/>
      <c r="K6" s="8"/>
      <c r="L6" s="8"/>
      <c r="M6" s="8"/>
      <c r="N6" s="6"/>
      <c r="O6" s="7"/>
      <c r="P6" s="7"/>
    </row>
    <row r="7" spans="1:16" s="36" customFormat="1" ht="38.25" customHeight="1">
      <c r="A7" s="285" t="s">
        <v>3</v>
      </c>
      <c r="B7" s="285" t="s">
        <v>4</v>
      </c>
      <c r="C7" s="284" t="s">
        <v>5</v>
      </c>
      <c r="D7" s="284" t="s">
        <v>6</v>
      </c>
      <c r="E7" s="284" t="s">
        <v>7</v>
      </c>
      <c r="F7" s="284"/>
      <c r="G7" s="284" t="s">
        <v>8</v>
      </c>
      <c r="H7" s="284"/>
      <c r="I7" s="284" t="s">
        <v>9</v>
      </c>
      <c r="J7" s="284"/>
      <c r="K7" s="284" t="s">
        <v>10</v>
      </c>
      <c r="L7" s="284"/>
      <c r="M7" s="285" t="s">
        <v>11</v>
      </c>
      <c r="N7" s="6"/>
      <c r="O7" s="7"/>
      <c r="P7" s="7"/>
    </row>
    <row r="8" spans="1:16" s="36" customFormat="1" ht="34.5" customHeight="1">
      <c r="A8" s="285"/>
      <c r="B8" s="285"/>
      <c r="C8" s="284"/>
      <c r="D8" s="284"/>
      <c r="E8" s="43" t="s">
        <v>12</v>
      </c>
      <c r="F8" s="230" t="s">
        <v>11</v>
      </c>
      <c r="G8" s="43" t="s">
        <v>13</v>
      </c>
      <c r="H8" s="11" t="s">
        <v>11</v>
      </c>
      <c r="I8" s="12" t="s">
        <v>13</v>
      </c>
      <c r="J8" s="13" t="s">
        <v>11</v>
      </c>
      <c r="K8" s="43" t="s">
        <v>13</v>
      </c>
      <c r="L8" s="43" t="s">
        <v>11</v>
      </c>
      <c r="M8" s="285"/>
      <c r="N8" s="6"/>
      <c r="O8" s="7"/>
      <c r="P8" s="7"/>
    </row>
    <row r="9" spans="1:16" s="36" customFormat="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31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6"/>
      <c r="O9" s="7"/>
      <c r="P9" s="7"/>
    </row>
    <row r="10" spans="1:16" s="36" customFormat="1" ht="57.75" customHeight="1">
      <c r="A10" s="214"/>
      <c r="B10" s="24"/>
      <c r="C10" s="211" t="s">
        <v>524</v>
      </c>
      <c r="D10" s="24"/>
      <c r="E10" s="24"/>
      <c r="F10" s="231"/>
      <c r="G10" s="24"/>
      <c r="H10" s="24"/>
      <c r="I10" s="24"/>
      <c r="J10" s="24"/>
      <c r="K10" s="24"/>
      <c r="L10" s="24"/>
      <c r="M10" s="24"/>
      <c r="N10" s="6"/>
      <c r="O10" s="7"/>
      <c r="P10" s="7"/>
    </row>
    <row r="11" spans="1:16" s="36" customFormat="1" ht="44.25" customHeight="1">
      <c r="A11" s="274" t="s">
        <v>14</v>
      </c>
      <c r="B11" s="25" t="s">
        <v>165</v>
      </c>
      <c r="C11" s="105" t="s">
        <v>601</v>
      </c>
      <c r="D11" s="33" t="s">
        <v>80</v>
      </c>
      <c r="E11" s="21"/>
      <c r="F11" s="117">
        <v>6658</v>
      </c>
      <c r="G11" s="21"/>
      <c r="H11" s="35"/>
      <c r="I11" s="120"/>
      <c r="J11" s="35"/>
      <c r="K11" s="20"/>
      <c r="L11" s="40"/>
      <c r="M11" s="121"/>
      <c r="N11" s="6"/>
      <c r="O11" s="7"/>
      <c r="P11" s="7"/>
    </row>
    <row r="12" spans="1:16" s="36" customFormat="1" ht="21" customHeight="1">
      <c r="A12" s="276"/>
      <c r="B12" s="25" t="s">
        <v>166</v>
      </c>
      <c r="C12" s="163" t="s">
        <v>523</v>
      </c>
      <c r="D12" s="159" t="s">
        <v>20</v>
      </c>
      <c r="E12" s="33">
        <f>16.33/100*1.05</f>
        <v>0.17146499999999998</v>
      </c>
      <c r="F12" s="97">
        <f>E12*F11</f>
        <v>1141.6139699999999</v>
      </c>
      <c r="G12" s="26"/>
      <c r="H12" s="26"/>
      <c r="I12" s="159"/>
      <c r="J12" s="159"/>
      <c r="K12" s="110"/>
      <c r="L12" s="35"/>
      <c r="M12" s="26"/>
      <c r="N12" s="6"/>
      <c r="O12" s="7"/>
      <c r="P12" s="7"/>
    </row>
    <row r="13" spans="1:16" s="36" customFormat="1" ht="40.5">
      <c r="A13" s="292">
        <v>2</v>
      </c>
      <c r="B13" s="25" t="s">
        <v>414</v>
      </c>
      <c r="C13" s="190" t="s">
        <v>413</v>
      </c>
      <c r="D13" s="33" t="s">
        <v>80</v>
      </c>
      <c r="E13" s="21"/>
      <c r="F13" s="117">
        <f>F11</f>
        <v>6658</v>
      </c>
      <c r="G13" s="21"/>
      <c r="H13" s="35"/>
      <c r="I13" s="120"/>
      <c r="J13" s="40"/>
      <c r="K13" s="20"/>
      <c r="L13" s="40"/>
      <c r="M13" s="121"/>
      <c r="N13" s="6"/>
      <c r="O13" s="7"/>
      <c r="P13" s="7"/>
    </row>
    <row r="14" spans="1:16" s="36" customFormat="1" ht="15.75">
      <c r="A14" s="293"/>
      <c r="B14" s="25"/>
      <c r="C14" s="105" t="s">
        <v>534</v>
      </c>
      <c r="D14" s="41" t="s">
        <v>15</v>
      </c>
      <c r="E14" s="20">
        <f>0.016*1.15</f>
        <v>1.84E-2</v>
      </c>
      <c r="F14" s="97">
        <f>E14*F13</f>
        <v>122.5072</v>
      </c>
      <c r="G14" s="99"/>
      <c r="H14" s="100"/>
      <c r="I14" s="35"/>
      <c r="J14" s="35"/>
      <c r="K14" s="35"/>
      <c r="L14" s="99"/>
      <c r="M14" s="35"/>
      <c r="N14" s="6"/>
      <c r="O14" s="7"/>
      <c r="P14" s="7"/>
    </row>
    <row r="15" spans="1:16" s="36" customFormat="1" ht="15.75">
      <c r="A15" s="294"/>
      <c r="B15" s="25" t="s">
        <v>100</v>
      </c>
      <c r="C15" s="105" t="s">
        <v>535</v>
      </c>
      <c r="D15" s="20" t="s">
        <v>85</v>
      </c>
      <c r="E15" s="21">
        <f>0.0359*1.05</f>
        <v>3.7695000000000006E-2</v>
      </c>
      <c r="F15" s="153">
        <f>E15*F13</f>
        <v>250.97331000000005</v>
      </c>
      <c r="G15" s="99"/>
      <c r="H15" s="100"/>
      <c r="I15" s="35"/>
      <c r="J15" s="35"/>
      <c r="K15" s="110"/>
      <c r="L15" s="35"/>
      <c r="M15" s="26"/>
      <c r="N15" s="6"/>
      <c r="O15" s="7"/>
      <c r="P15" s="7"/>
    </row>
    <row r="16" spans="1:16" s="36" customFormat="1" ht="54">
      <c r="A16" s="218">
        <v>3</v>
      </c>
      <c r="B16" s="215"/>
      <c r="C16" s="105" t="s">
        <v>603</v>
      </c>
      <c r="D16" s="20"/>
      <c r="E16" s="33"/>
      <c r="F16" s="117"/>
      <c r="G16" s="21"/>
      <c r="H16" s="35"/>
      <c r="I16" s="20"/>
      <c r="J16" s="35"/>
      <c r="K16" s="20"/>
      <c r="L16" s="40"/>
      <c r="M16" s="121"/>
      <c r="N16" s="6"/>
      <c r="O16" s="7"/>
      <c r="P16" s="7"/>
    </row>
    <row r="17" spans="1:16" s="36" customFormat="1" ht="40.5">
      <c r="A17" s="292" t="s">
        <v>152</v>
      </c>
      <c r="B17" s="25" t="s">
        <v>171</v>
      </c>
      <c r="C17" s="190" t="s">
        <v>410</v>
      </c>
      <c r="D17" s="20" t="s">
        <v>80</v>
      </c>
      <c r="E17" s="33"/>
      <c r="F17" s="117">
        <v>350</v>
      </c>
      <c r="G17" s="39"/>
      <c r="H17" s="37"/>
      <c r="I17" s="27"/>
      <c r="J17" s="16"/>
      <c r="K17" s="23"/>
      <c r="L17" s="16"/>
      <c r="M17" s="118"/>
      <c r="N17" s="6"/>
      <c r="O17" s="7"/>
      <c r="P17" s="7"/>
    </row>
    <row r="18" spans="1:16" s="36" customFormat="1" ht="15.75">
      <c r="A18" s="293"/>
      <c r="B18" s="25"/>
      <c r="C18" s="105" t="s">
        <v>529</v>
      </c>
      <c r="D18" s="41" t="s">
        <v>15</v>
      </c>
      <c r="E18" s="119">
        <f>8.6*1.15</f>
        <v>9.8899999999999988</v>
      </c>
      <c r="F18" s="114">
        <f>E18*F17</f>
        <v>3461.4999999999995</v>
      </c>
      <c r="G18" s="26"/>
      <c r="H18" s="27"/>
      <c r="I18" s="26"/>
      <c r="J18" s="26"/>
      <c r="K18" s="27"/>
      <c r="L18" s="27"/>
      <c r="M18" s="26"/>
      <c r="N18" s="6"/>
      <c r="O18" s="7"/>
      <c r="P18" s="7"/>
    </row>
    <row r="19" spans="1:16" s="36" customFormat="1" ht="15.75">
      <c r="A19" s="294"/>
      <c r="B19" s="25" t="s">
        <v>172</v>
      </c>
      <c r="C19" s="190" t="s">
        <v>530</v>
      </c>
      <c r="D19" s="20" t="s">
        <v>85</v>
      </c>
      <c r="E19" s="119">
        <f>6.7*1.05</f>
        <v>7.0350000000000001</v>
      </c>
      <c r="F19" s="97">
        <f>E19*F17</f>
        <v>2462.25</v>
      </c>
      <c r="G19" s="21"/>
      <c r="H19" s="35"/>
      <c r="I19" s="20"/>
      <c r="J19" s="35"/>
      <c r="K19" s="110"/>
      <c r="L19" s="35"/>
      <c r="M19" s="110"/>
      <c r="N19" s="6"/>
      <c r="O19" s="7"/>
      <c r="P19" s="7"/>
    </row>
    <row r="20" spans="1:16" s="36" customFormat="1" ht="40.5">
      <c r="A20" s="292" t="s">
        <v>153</v>
      </c>
      <c r="B20" s="25" t="s">
        <v>415</v>
      </c>
      <c r="C20" s="190" t="s">
        <v>425</v>
      </c>
      <c r="D20" s="33" t="s">
        <v>80</v>
      </c>
      <c r="E20" s="20"/>
      <c r="F20" s="117">
        <f>F17</f>
        <v>350</v>
      </c>
      <c r="G20" s="39"/>
      <c r="H20" s="37"/>
      <c r="I20" s="27"/>
      <c r="J20" s="16"/>
      <c r="K20" s="23"/>
      <c r="L20" s="16"/>
      <c r="M20" s="16"/>
      <c r="N20" s="6"/>
      <c r="O20" s="7"/>
      <c r="P20" s="7"/>
    </row>
    <row r="21" spans="1:16" s="36" customFormat="1" ht="15.75">
      <c r="A21" s="293"/>
      <c r="B21" s="25"/>
      <c r="C21" s="90" t="s">
        <v>537</v>
      </c>
      <c r="D21" s="41" t="s">
        <v>15</v>
      </c>
      <c r="E21" s="106">
        <f>1.2*1.15</f>
        <v>1.38</v>
      </c>
      <c r="F21" s="117">
        <f>E21*F20</f>
        <v>482.99999999999994</v>
      </c>
      <c r="G21" s="99"/>
      <c r="H21" s="100"/>
      <c r="I21" s="35"/>
      <c r="J21" s="35"/>
      <c r="K21" s="35"/>
      <c r="L21" s="99"/>
      <c r="M21" s="35"/>
      <c r="N21" s="6"/>
      <c r="O21" s="7"/>
      <c r="P21" s="7"/>
    </row>
    <row r="22" spans="1:16" s="36" customFormat="1" ht="15.75">
      <c r="A22" s="294"/>
      <c r="B22" s="25" t="s">
        <v>169</v>
      </c>
      <c r="C22" s="105" t="s">
        <v>87</v>
      </c>
      <c r="D22" s="33" t="s">
        <v>80</v>
      </c>
      <c r="E22" s="106"/>
      <c r="F22" s="229">
        <f>F20</f>
        <v>350</v>
      </c>
      <c r="G22" s="123"/>
      <c r="H22" s="220"/>
      <c r="I22" s="101"/>
      <c r="J22" s="16"/>
      <c r="K22" s="16"/>
      <c r="L22" s="16"/>
      <c r="M22" s="16"/>
      <c r="N22" s="6"/>
      <c r="O22" s="7"/>
      <c r="P22" s="7"/>
    </row>
    <row r="23" spans="1:16" s="36" customFormat="1" ht="15.75">
      <c r="A23" s="292"/>
      <c r="B23" s="25" t="s">
        <v>102</v>
      </c>
      <c r="C23" s="105" t="s">
        <v>88</v>
      </c>
      <c r="D23" s="20" t="s">
        <v>85</v>
      </c>
      <c r="E23" s="106">
        <f>1.05*0.00362</f>
        <v>3.8010000000000001E-3</v>
      </c>
      <c r="F23" s="152">
        <f>E23*F22</f>
        <v>1.3303500000000001</v>
      </c>
      <c r="G23" s="26"/>
      <c r="H23" s="27"/>
      <c r="I23" s="27"/>
      <c r="J23" s="27"/>
      <c r="K23" s="27"/>
      <c r="L23" s="26"/>
      <c r="M23" s="26"/>
      <c r="N23" s="6"/>
      <c r="O23" s="7"/>
      <c r="P23" s="7"/>
    </row>
    <row r="24" spans="1:16" s="36" customFormat="1" ht="15.75">
      <c r="A24" s="293"/>
      <c r="B24" s="25"/>
      <c r="C24" s="105" t="s">
        <v>28</v>
      </c>
      <c r="D24" s="20" t="s">
        <v>16</v>
      </c>
      <c r="E24" s="106">
        <v>1.8000000000000001E-4</v>
      </c>
      <c r="F24" s="152">
        <f>E24*F22</f>
        <v>6.3E-2</v>
      </c>
      <c r="G24" s="123"/>
      <c r="H24" s="123"/>
      <c r="I24" s="122"/>
      <c r="J24" s="27"/>
      <c r="K24" s="18"/>
      <c r="L24" s="26"/>
      <c r="M24" s="26"/>
      <c r="N24" s="6"/>
      <c r="O24" s="7"/>
      <c r="P24" s="7"/>
    </row>
    <row r="25" spans="1:16" s="36" customFormat="1" ht="15.75">
      <c r="A25" s="293"/>
      <c r="B25" s="25" t="s">
        <v>225</v>
      </c>
      <c r="C25" s="105" t="s">
        <v>514</v>
      </c>
      <c r="D25" s="33" t="s">
        <v>80</v>
      </c>
      <c r="E25" s="106">
        <f>0.08/1000</f>
        <v>8.0000000000000007E-5</v>
      </c>
      <c r="F25" s="153">
        <f>E25*F22</f>
        <v>2.8000000000000001E-2</v>
      </c>
      <c r="G25" s="88"/>
      <c r="H25" s="35"/>
      <c r="I25" s="35"/>
      <c r="J25" s="35"/>
      <c r="K25" s="120"/>
      <c r="L25" s="35"/>
      <c r="M25" s="26"/>
      <c r="N25" s="6"/>
      <c r="O25" s="7"/>
      <c r="P25" s="7"/>
    </row>
    <row r="26" spans="1:16" s="36" customFormat="1" ht="15.75">
      <c r="A26" s="294"/>
      <c r="B26" s="25" t="s">
        <v>82</v>
      </c>
      <c r="C26" s="105" t="s">
        <v>89</v>
      </c>
      <c r="D26" s="20" t="s">
        <v>17</v>
      </c>
      <c r="E26" s="106"/>
      <c r="F26" s="233">
        <f>F20*2.8</f>
        <v>979.99999999999989</v>
      </c>
      <c r="G26" s="123"/>
      <c r="H26" s="123"/>
      <c r="I26" s="122"/>
      <c r="J26" s="123"/>
      <c r="K26" s="110"/>
      <c r="L26" s="16"/>
      <c r="M26" s="16"/>
      <c r="N26" s="6"/>
      <c r="O26" s="7"/>
      <c r="P26" s="7"/>
    </row>
    <row r="27" spans="1:16" s="36" customFormat="1" ht="27">
      <c r="A27" s="292" t="s">
        <v>21</v>
      </c>
      <c r="B27" s="25" t="s">
        <v>115</v>
      </c>
      <c r="C27" s="38" t="s">
        <v>231</v>
      </c>
      <c r="D27" s="149" t="s">
        <v>80</v>
      </c>
      <c r="E27" s="20"/>
      <c r="F27" s="97">
        <v>105.7</v>
      </c>
      <c r="G27" s="39"/>
      <c r="H27" s="40"/>
      <c r="I27" s="118"/>
      <c r="J27" s="16"/>
      <c r="K27" s="23"/>
      <c r="L27" s="16"/>
      <c r="M27" s="16"/>
      <c r="N27" s="6"/>
      <c r="O27" s="7"/>
      <c r="P27" s="7"/>
    </row>
    <row r="28" spans="1:16" s="36" customFormat="1" ht="15.75">
      <c r="A28" s="293"/>
      <c r="B28" s="25"/>
      <c r="C28" s="105" t="s">
        <v>538</v>
      </c>
      <c r="D28" s="20" t="s">
        <v>15</v>
      </c>
      <c r="E28" s="106">
        <f>1.37*1.15</f>
        <v>1.5754999999999999</v>
      </c>
      <c r="F28" s="97">
        <f>E28*F27</f>
        <v>166.53035</v>
      </c>
      <c r="G28" s="99"/>
      <c r="H28" s="107"/>
      <c r="I28" s="88"/>
      <c r="J28" s="35"/>
      <c r="K28" s="26"/>
      <c r="L28" s="35"/>
      <c r="M28" s="26"/>
      <c r="N28" s="6"/>
      <c r="O28" s="7"/>
      <c r="P28" s="7"/>
    </row>
    <row r="29" spans="1:16" s="36" customFormat="1" ht="15.75">
      <c r="A29" s="293"/>
      <c r="B29" s="25"/>
      <c r="C29" s="105" t="s">
        <v>28</v>
      </c>
      <c r="D29" s="20" t="s">
        <v>16</v>
      </c>
      <c r="E29" s="106">
        <v>0.28299999999999997</v>
      </c>
      <c r="F29" s="152">
        <f>E29*F27</f>
        <v>29.913099999999996</v>
      </c>
      <c r="G29" s="123"/>
      <c r="H29" s="123"/>
      <c r="I29" s="122"/>
      <c r="J29" s="27"/>
      <c r="K29" s="18"/>
      <c r="L29" s="26"/>
      <c r="M29" s="26"/>
      <c r="N29" s="6"/>
      <c r="O29" s="7"/>
      <c r="P29" s="7"/>
    </row>
    <row r="30" spans="1:16" s="22" customFormat="1" ht="13.5" customHeight="1">
      <c r="A30" s="293"/>
      <c r="B30" s="25" t="s">
        <v>225</v>
      </c>
      <c r="C30" s="38" t="s">
        <v>498</v>
      </c>
      <c r="D30" s="149" t="s">
        <v>80</v>
      </c>
      <c r="E30" s="20">
        <v>1.02</v>
      </c>
      <c r="F30" s="97">
        <f>E30*F27</f>
        <v>107.81400000000001</v>
      </c>
      <c r="G30" s="150"/>
      <c r="H30" s="35"/>
      <c r="I30" s="18"/>
      <c r="J30" s="26"/>
      <c r="K30" s="26"/>
      <c r="L30" s="26"/>
      <c r="M30" s="26"/>
    </row>
    <row r="31" spans="1:16" s="22" customFormat="1" ht="13.5" customHeight="1">
      <c r="A31" s="294"/>
      <c r="B31" s="25"/>
      <c r="C31" s="38" t="s">
        <v>23</v>
      </c>
      <c r="D31" s="20" t="s">
        <v>16</v>
      </c>
      <c r="E31" s="20">
        <v>0.62</v>
      </c>
      <c r="F31" s="97">
        <f>E31*F27</f>
        <v>65.534000000000006</v>
      </c>
      <c r="G31" s="18"/>
      <c r="H31" s="35"/>
      <c r="I31" s="27"/>
      <c r="J31" s="27"/>
      <c r="K31" s="27"/>
      <c r="L31" s="26"/>
      <c r="M31" s="26"/>
    </row>
    <row r="32" spans="1:16" s="22" customFormat="1" ht="39.75">
      <c r="A32" s="289" t="s">
        <v>83</v>
      </c>
      <c r="B32" s="69" t="s">
        <v>465</v>
      </c>
      <c r="C32" s="125" t="s">
        <v>466</v>
      </c>
      <c r="D32" s="149" t="s">
        <v>80</v>
      </c>
      <c r="E32" s="106"/>
      <c r="F32" s="117">
        <v>1018</v>
      </c>
      <c r="G32" s="35"/>
      <c r="H32" s="40"/>
      <c r="I32" s="40"/>
      <c r="J32" s="40"/>
      <c r="K32" s="40"/>
      <c r="L32" s="40"/>
      <c r="M32" s="40"/>
    </row>
    <row r="33" spans="1:13" s="22" customFormat="1" ht="13.5" customHeight="1">
      <c r="A33" s="290"/>
      <c r="B33" s="69"/>
      <c r="C33" s="105" t="s">
        <v>561</v>
      </c>
      <c r="D33" s="20" t="s">
        <v>15</v>
      </c>
      <c r="E33" s="106">
        <f>1.15*3.19</f>
        <v>3.6684999999999999</v>
      </c>
      <c r="F33" s="97">
        <f>E33*F32</f>
        <v>3734.5329999999999</v>
      </c>
      <c r="G33" s="99"/>
      <c r="H33" s="107"/>
      <c r="I33" s="35"/>
      <c r="J33" s="35"/>
      <c r="K33" s="26"/>
      <c r="L33" s="35"/>
      <c r="M33" s="26"/>
    </row>
    <row r="34" spans="1:13" s="22" customFormat="1" ht="13.5" customHeight="1">
      <c r="A34" s="290"/>
      <c r="B34" s="69" t="s">
        <v>467</v>
      </c>
      <c r="C34" s="189" t="s">
        <v>560</v>
      </c>
      <c r="D34" s="20" t="s">
        <v>20</v>
      </c>
      <c r="E34" s="106">
        <f>0.428*1.05</f>
        <v>0.44940000000000002</v>
      </c>
      <c r="F34" s="97">
        <f>E34*F32</f>
        <v>457.48920000000004</v>
      </c>
      <c r="G34" s="35"/>
      <c r="H34" s="35"/>
      <c r="I34" s="35"/>
      <c r="J34" s="35"/>
      <c r="K34" s="35"/>
      <c r="L34" s="35"/>
      <c r="M34" s="35"/>
    </row>
    <row r="35" spans="1:13" s="22" customFormat="1" ht="13.5" customHeight="1">
      <c r="A35" s="290"/>
      <c r="B35" s="69"/>
      <c r="C35" s="151" t="s">
        <v>78</v>
      </c>
      <c r="D35" s="37" t="s">
        <v>16</v>
      </c>
      <c r="E35" s="106">
        <v>0.83799999999999997</v>
      </c>
      <c r="F35" s="153">
        <f>E35*F32</f>
        <v>853.08399999999995</v>
      </c>
      <c r="G35" s="37"/>
      <c r="H35" s="37"/>
      <c r="I35" s="88"/>
      <c r="J35" s="37"/>
      <c r="K35" s="18"/>
      <c r="L35" s="35"/>
      <c r="M35" s="35"/>
    </row>
    <row r="36" spans="1:13" s="22" customFormat="1" ht="13.5" customHeight="1">
      <c r="A36" s="290"/>
      <c r="B36" s="25" t="s">
        <v>225</v>
      </c>
      <c r="C36" s="105" t="s">
        <v>506</v>
      </c>
      <c r="D36" s="149" t="s">
        <v>80</v>
      </c>
      <c r="E36" s="219">
        <v>1.02</v>
      </c>
      <c r="F36" s="97">
        <f>E36*F32</f>
        <v>1038.3600000000001</v>
      </c>
      <c r="G36" s="88"/>
      <c r="H36" s="35"/>
      <c r="I36" s="35"/>
      <c r="J36" s="35"/>
      <c r="K36" s="26"/>
      <c r="L36" s="26"/>
      <c r="M36" s="35"/>
    </row>
    <row r="37" spans="1:13" s="22" customFormat="1" ht="13.5" customHeight="1">
      <c r="A37" s="290"/>
      <c r="B37" s="69" t="s">
        <v>199</v>
      </c>
      <c r="C37" s="105" t="s">
        <v>79</v>
      </c>
      <c r="D37" s="149" t="s">
        <v>80</v>
      </c>
      <c r="E37" s="106">
        <v>9.7000000000000003E-3</v>
      </c>
      <c r="F37" s="97">
        <f>E37*F32</f>
        <v>9.8746000000000009</v>
      </c>
      <c r="G37" s="88"/>
      <c r="H37" s="35"/>
      <c r="I37" s="35"/>
      <c r="J37" s="35"/>
      <c r="K37" s="35"/>
      <c r="L37" s="35"/>
      <c r="M37" s="35"/>
    </row>
    <row r="38" spans="1:13" s="22" customFormat="1" ht="13.5" customHeight="1">
      <c r="A38" s="290"/>
      <c r="B38" s="69" t="s">
        <v>236</v>
      </c>
      <c r="C38" s="189" t="s">
        <v>468</v>
      </c>
      <c r="D38" s="149" t="s">
        <v>80</v>
      </c>
      <c r="E38" s="106">
        <v>1.14E-2</v>
      </c>
      <c r="F38" s="97">
        <f>E38*F32</f>
        <v>11.6052</v>
      </c>
      <c r="G38" s="88"/>
      <c r="H38" s="35"/>
      <c r="I38" s="35"/>
      <c r="J38" s="35"/>
      <c r="K38" s="35"/>
      <c r="L38" s="35"/>
      <c r="M38" s="35"/>
    </row>
    <row r="39" spans="1:13" s="22" customFormat="1" ht="13.5" customHeight="1">
      <c r="A39" s="290"/>
      <c r="B39" s="69" t="s">
        <v>236</v>
      </c>
      <c r="C39" s="189" t="s">
        <v>469</v>
      </c>
      <c r="D39" s="149" t="s">
        <v>80</v>
      </c>
      <c r="E39" s="106">
        <v>1.37E-2</v>
      </c>
      <c r="F39" s="97">
        <f>E39*F32</f>
        <v>13.9466</v>
      </c>
      <c r="G39" s="88"/>
      <c r="H39" s="35"/>
      <c r="I39" s="35"/>
      <c r="J39" s="35"/>
      <c r="K39" s="35"/>
      <c r="L39" s="35"/>
      <c r="M39" s="35"/>
    </row>
    <row r="40" spans="1:13" s="22" customFormat="1" ht="13.5" customHeight="1">
      <c r="A40" s="290"/>
      <c r="B40" s="69" t="s">
        <v>201</v>
      </c>
      <c r="C40" s="189" t="s">
        <v>470</v>
      </c>
      <c r="D40" s="149" t="s">
        <v>80</v>
      </c>
      <c r="E40" s="106">
        <v>2.2000000000000001E-3</v>
      </c>
      <c r="F40" s="97">
        <f>E40*F32</f>
        <v>2.2396000000000003</v>
      </c>
      <c r="G40" s="88"/>
      <c r="H40" s="35"/>
      <c r="I40" s="35"/>
      <c r="J40" s="35"/>
      <c r="K40" s="35"/>
      <c r="L40" s="35"/>
      <c r="M40" s="35"/>
    </row>
    <row r="41" spans="1:13" s="22" customFormat="1" ht="13.5" customHeight="1">
      <c r="A41" s="290"/>
      <c r="B41" s="69" t="s">
        <v>441</v>
      </c>
      <c r="C41" s="189" t="s">
        <v>239</v>
      </c>
      <c r="D41" s="149" t="s">
        <v>81</v>
      </c>
      <c r="E41" s="106">
        <v>0.25</v>
      </c>
      <c r="F41" s="97">
        <f>E41*F32</f>
        <v>254.5</v>
      </c>
      <c r="G41" s="35"/>
      <c r="H41" s="35"/>
      <c r="I41" s="35"/>
      <c r="J41" s="35"/>
      <c r="K41" s="35"/>
      <c r="L41" s="35"/>
      <c r="M41" s="35"/>
    </row>
    <row r="42" spans="1:13" s="22" customFormat="1" ht="13.5" customHeight="1">
      <c r="A42" s="290"/>
      <c r="B42" s="69" t="s">
        <v>432</v>
      </c>
      <c r="C42" s="189" t="s">
        <v>108</v>
      </c>
      <c r="D42" s="149" t="s">
        <v>81</v>
      </c>
      <c r="E42" s="106">
        <v>0.51500000000000001</v>
      </c>
      <c r="F42" s="97">
        <f>E42*F32</f>
        <v>524.27</v>
      </c>
      <c r="G42" s="35"/>
      <c r="H42" s="35"/>
      <c r="I42" s="35"/>
      <c r="J42" s="35"/>
      <c r="K42" s="35"/>
      <c r="L42" s="35"/>
      <c r="M42" s="35"/>
    </row>
    <row r="43" spans="1:13" s="22" customFormat="1" ht="13.5" customHeight="1">
      <c r="A43" s="290"/>
      <c r="B43" s="69"/>
      <c r="C43" s="189" t="s">
        <v>23</v>
      </c>
      <c r="D43" s="69" t="s">
        <v>16</v>
      </c>
      <c r="E43" s="106">
        <v>0.439</v>
      </c>
      <c r="F43" s="97">
        <f>E43*F32</f>
        <v>446.90199999999999</v>
      </c>
      <c r="G43" s="18"/>
      <c r="H43" s="35"/>
      <c r="I43" s="35"/>
      <c r="J43" s="35"/>
      <c r="K43" s="35"/>
      <c r="L43" s="35"/>
      <c r="M43" s="35"/>
    </row>
    <row r="44" spans="1:13" s="22" customFormat="1" ht="21" customHeight="1">
      <c r="A44" s="290"/>
      <c r="B44" s="25" t="s">
        <v>471</v>
      </c>
      <c r="C44" s="38" t="s">
        <v>472</v>
      </c>
      <c r="D44" s="20" t="s">
        <v>17</v>
      </c>
      <c r="E44" s="20"/>
      <c r="F44" s="97">
        <v>69.39</v>
      </c>
      <c r="G44" s="39"/>
      <c r="H44" s="40"/>
      <c r="I44" s="27"/>
      <c r="J44" s="16"/>
      <c r="K44" s="23"/>
      <c r="L44" s="16"/>
      <c r="M44" s="16"/>
    </row>
    <row r="45" spans="1:13" s="22" customFormat="1" ht="13.5" customHeight="1">
      <c r="A45" s="290"/>
      <c r="B45" s="25"/>
      <c r="C45" s="105" t="s">
        <v>562</v>
      </c>
      <c r="D45" s="20" t="s">
        <v>15</v>
      </c>
      <c r="E45" s="103">
        <f>1.15*24.4</f>
        <v>28.059999999999995</v>
      </c>
      <c r="F45" s="97">
        <f>E45*F44</f>
        <v>1947.0833999999998</v>
      </c>
      <c r="G45" s="99"/>
      <c r="H45" s="107"/>
      <c r="I45" s="35"/>
      <c r="J45" s="35"/>
      <c r="K45" s="26"/>
      <c r="L45" s="35"/>
      <c r="M45" s="26"/>
    </row>
    <row r="46" spans="1:13" s="22" customFormat="1" ht="15" customHeight="1">
      <c r="A46" s="290"/>
      <c r="B46" s="25" t="s">
        <v>222</v>
      </c>
      <c r="C46" s="38" t="s">
        <v>504</v>
      </c>
      <c r="D46" s="20" t="s">
        <v>17</v>
      </c>
      <c r="E46" s="20"/>
      <c r="F46" s="97">
        <v>4.95</v>
      </c>
      <c r="G46" s="150"/>
      <c r="H46" s="35"/>
      <c r="I46" s="107"/>
      <c r="J46" s="154"/>
      <c r="K46" s="26"/>
      <c r="L46" s="26"/>
      <c r="M46" s="26"/>
    </row>
    <row r="47" spans="1:13" s="22" customFormat="1" ht="15.75" customHeight="1">
      <c r="A47" s="291"/>
      <c r="B47" s="25" t="s">
        <v>242</v>
      </c>
      <c r="C47" s="38" t="s">
        <v>507</v>
      </c>
      <c r="D47" s="20" t="s">
        <v>17</v>
      </c>
      <c r="E47" s="20"/>
      <c r="F47" s="97">
        <v>64.44</v>
      </c>
      <c r="G47" s="150"/>
      <c r="H47" s="35"/>
      <c r="I47" s="107"/>
      <c r="J47" s="154"/>
      <c r="K47" s="26"/>
      <c r="L47" s="26"/>
      <c r="M47" s="26"/>
    </row>
    <row r="48" spans="1:13" s="22" customFormat="1" ht="27">
      <c r="A48" s="289" t="s">
        <v>22</v>
      </c>
      <c r="B48" s="25" t="s">
        <v>473</v>
      </c>
      <c r="C48" s="90" t="s">
        <v>474</v>
      </c>
      <c r="D48" s="20" t="s">
        <v>80</v>
      </c>
      <c r="E48" s="203"/>
      <c r="F48" s="117">
        <v>802</v>
      </c>
      <c r="G48" s="88"/>
      <c r="H48" s="40"/>
      <c r="I48" s="79"/>
      <c r="J48" s="40"/>
      <c r="K48" s="16"/>
      <c r="L48" s="40"/>
      <c r="M48" s="16"/>
    </row>
    <row r="49" spans="1:13" s="22" customFormat="1" ht="13.5" customHeight="1">
      <c r="A49" s="290"/>
      <c r="B49" s="25"/>
      <c r="C49" s="105" t="s">
        <v>563</v>
      </c>
      <c r="D49" s="20" t="s">
        <v>15</v>
      </c>
      <c r="E49" s="203">
        <f>5.18*1.15</f>
        <v>5.956999999999999</v>
      </c>
      <c r="F49" s="97">
        <f>E49*F48</f>
        <v>4777.5139999999992</v>
      </c>
      <c r="G49" s="88"/>
      <c r="H49" s="35"/>
      <c r="I49" s="117"/>
      <c r="J49" s="35"/>
      <c r="K49" s="26"/>
      <c r="L49" s="35"/>
      <c r="M49" s="26"/>
    </row>
    <row r="50" spans="1:13" s="22" customFormat="1" ht="13.5" customHeight="1">
      <c r="A50" s="290"/>
      <c r="B50" s="25" t="s">
        <v>132</v>
      </c>
      <c r="C50" s="105" t="s">
        <v>551</v>
      </c>
      <c r="D50" s="20" t="s">
        <v>20</v>
      </c>
      <c r="E50" s="203">
        <f>1.05*0.096</f>
        <v>0.1008</v>
      </c>
      <c r="F50" s="97">
        <f>E50*F48</f>
        <v>80.8416</v>
      </c>
      <c r="G50" s="88"/>
      <c r="H50" s="35"/>
      <c r="I50" s="88"/>
      <c r="J50" s="35"/>
      <c r="K50" s="26"/>
      <c r="L50" s="35"/>
      <c r="M50" s="26"/>
    </row>
    <row r="51" spans="1:13" s="22" customFormat="1" ht="13.5" customHeight="1">
      <c r="A51" s="290"/>
      <c r="B51" s="25"/>
      <c r="C51" s="105" t="s">
        <v>78</v>
      </c>
      <c r="D51" s="20" t="s">
        <v>16</v>
      </c>
      <c r="E51" s="203">
        <v>0.23100000000000001</v>
      </c>
      <c r="F51" s="97">
        <f>E51*F48</f>
        <v>185.262</v>
      </c>
      <c r="G51" s="88"/>
      <c r="H51" s="35"/>
      <c r="I51" s="88"/>
      <c r="J51" s="35"/>
      <c r="K51" s="18"/>
      <c r="L51" s="35"/>
      <c r="M51" s="26"/>
    </row>
    <row r="52" spans="1:13" s="22" customFormat="1" ht="13.5" customHeight="1">
      <c r="A52" s="290"/>
      <c r="B52" s="25" t="s">
        <v>225</v>
      </c>
      <c r="C52" s="105" t="s">
        <v>506</v>
      </c>
      <c r="D52" s="149" t="s">
        <v>80</v>
      </c>
      <c r="E52" s="203">
        <v>1.0149999999999999</v>
      </c>
      <c r="F52" s="97">
        <f>E52*F48</f>
        <v>814.03</v>
      </c>
      <c r="G52" s="88"/>
      <c r="H52" s="35"/>
      <c r="I52" s="35"/>
      <c r="J52" s="35"/>
      <c r="K52" s="26"/>
      <c r="L52" s="26"/>
      <c r="M52" s="35"/>
    </row>
    <row r="53" spans="1:13" s="22" customFormat="1" ht="13.5" customHeight="1">
      <c r="A53" s="290"/>
      <c r="B53" s="25" t="s">
        <v>419</v>
      </c>
      <c r="C53" s="105" t="s">
        <v>129</v>
      </c>
      <c r="D53" s="20" t="s">
        <v>80</v>
      </c>
      <c r="E53" s="203">
        <v>2.6599999999999999E-2</v>
      </c>
      <c r="F53" s="97">
        <f>E53*F48</f>
        <v>21.333199999999998</v>
      </c>
      <c r="G53" s="155"/>
      <c r="H53" s="35"/>
      <c r="I53" s="88"/>
      <c r="J53" s="35"/>
      <c r="K53" s="26"/>
      <c r="L53" s="35"/>
      <c r="M53" s="26"/>
    </row>
    <row r="54" spans="1:13" s="22" customFormat="1" ht="13.5" customHeight="1">
      <c r="A54" s="290"/>
      <c r="B54" s="172" t="s">
        <v>440</v>
      </c>
      <c r="C54" s="105" t="s">
        <v>234</v>
      </c>
      <c r="D54" s="20" t="s">
        <v>24</v>
      </c>
      <c r="E54" s="203">
        <v>0.82</v>
      </c>
      <c r="F54" s="97">
        <f>E54*F48</f>
        <v>657.64</v>
      </c>
      <c r="G54" s="18"/>
      <c r="H54" s="35"/>
      <c r="I54" s="88"/>
      <c r="J54" s="35"/>
      <c r="K54" s="26"/>
      <c r="L54" s="35"/>
      <c r="M54" s="26"/>
    </row>
    <row r="55" spans="1:13" s="22" customFormat="1" ht="13.5" customHeight="1">
      <c r="A55" s="290"/>
      <c r="B55" s="25" t="s">
        <v>199</v>
      </c>
      <c r="C55" s="105" t="s">
        <v>79</v>
      </c>
      <c r="D55" s="20" t="s">
        <v>80</v>
      </c>
      <c r="E55" s="203">
        <v>6.9999999999999999E-4</v>
      </c>
      <c r="F55" s="97">
        <f>E55*F48</f>
        <v>0.56140000000000001</v>
      </c>
      <c r="G55" s="155"/>
      <c r="H55" s="35"/>
      <c r="I55" s="88"/>
      <c r="J55" s="35"/>
      <c r="K55" s="26"/>
      <c r="L55" s="35"/>
      <c r="M55" s="26"/>
    </row>
    <row r="56" spans="1:13" s="22" customFormat="1" ht="13.5" customHeight="1">
      <c r="A56" s="291"/>
      <c r="B56" s="25" t="s">
        <v>223</v>
      </c>
      <c r="C56" s="105" t="s">
        <v>475</v>
      </c>
      <c r="D56" s="20" t="s">
        <v>80</v>
      </c>
      <c r="E56" s="203">
        <v>8.0000000000000004E-4</v>
      </c>
      <c r="F56" s="97">
        <f>E56*F49</f>
        <v>3.8220111999999995</v>
      </c>
      <c r="G56" s="155"/>
      <c r="H56" s="35"/>
      <c r="I56" s="88"/>
      <c r="J56" s="35"/>
      <c r="K56" s="26"/>
      <c r="L56" s="35"/>
      <c r="M56" s="26"/>
    </row>
    <row r="57" spans="1:13" s="22" customFormat="1" ht="13.5" customHeight="1">
      <c r="A57" s="289"/>
      <c r="B57" s="25" t="s">
        <v>201</v>
      </c>
      <c r="C57" s="105" t="s">
        <v>476</v>
      </c>
      <c r="D57" s="20" t="s">
        <v>80</v>
      </c>
      <c r="E57" s="161">
        <f>0.0008+0.0174</f>
        <v>1.8199999999999997E-2</v>
      </c>
      <c r="F57" s="97">
        <f>E57*F49</f>
        <v>86.95075479999997</v>
      </c>
      <c r="G57" s="155"/>
      <c r="H57" s="35"/>
      <c r="I57" s="88"/>
      <c r="J57" s="35"/>
      <c r="K57" s="26"/>
      <c r="L57" s="35"/>
      <c r="M57" s="26"/>
    </row>
    <row r="58" spans="1:13" s="22" customFormat="1" ht="13.5" customHeight="1">
      <c r="A58" s="290"/>
      <c r="B58" s="69" t="s">
        <v>441</v>
      </c>
      <c r="C58" s="105" t="s">
        <v>239</v>
      </c>
      <c r="D58" s="20" t="s">
        <v>81</v>
      </c>
      <c r="E58" s="219">
        <v>0.49</v>
      </c>
      <c r="F58" s="97">
        <f>E58*F49</f>
        <v>2340.9818599999994</v>
      </c>
      <c r="G58" s="28"/>
      <c r="H58" s="35"/>
      <c r="I58" s="88"/>
      <c r="J58" s="35"/>
      <c r="K58" s="26"/>
      <c r="L58" s="35"/>
      <c r="M58" s="26"/>
    </row>
    <row r="59" spans="1:13" s="22" customFormat="1" ht="13.5" customHeight="1">
      <c r="A59" s="290"/>
      <c r="B59" s="25"/>
      <c r="C59" s="105" t="s">
        <v>23</v>
      </c>
      <c r="D59" s="20" t="s">
        <v>16</v>
      </c>
      <c r="E59" s="203">
        <v>0.61199999999999999</v>
      </c>
      <c r="F59" s="97">
        <f>E59*F48</f>
        <v>490.82400000000001</v>
      </c>
      <c r="G59" s="155"/>
      <c r="H59" s="35"/>
      <c r="I59" s="88"/>
      <c r="J59" s="35"/>
      <c r="K59" s="26"/>
      <c r="L59" s="35"/>
      <c r="M59" s="26"/>
    </row>
    <row r="60" spans="1:13" s="22" customFormat="1" ht="13.5">
      <c r="A60" s="290"/>
      <c r="B60" s="25" t="s">
        <v>240</v>
      </c>
      <c r="C60" s="105" t="s">
        <v>241</v>
      </c>
      <c r="D60" s="33" t="s">
        <v>17</v>
      </c>
      <c r="E60" s="106"/>
      <c r="F60" s="233">
        <f>F64+F65</f>
        <v>46.56</v>
      </c>
      <c r="G60" s="123"/>
      <c r="H60" s="220"/>
      <c r="I60" s="101"/>
      <c r="J60" s="16"/>
      <c r="K60" s="16"/>
      <c r="L60" s="16"/>
      <c r="M60" s="16"/>
    </row>
    <row r="61" spans="1:13" s="22" customFormat="1" ht="13.5" customHeight="1">
      <c r="A61" s="290"/>
      <c r="B61" s="15"/>
      <c r="C61" s="112" t="s">
        <v>564</v>
      </c>
      <c r="D61" s="113" t="s">
        <v>15</v>
      </c>
      <c r="E61" s="35">
        <f>1.15*27.6</f>
        <v>31.74</v>
      </c>
      <c r="F61" s="114">
        <f>E61*F60</f>
        <v>1477.8144</v>
      </c>
      <c r="G61" s="114"/>
      <c r="H61" s="115"/>
      <c r="I61" s="93"/>
      <c r="J61" s="114"/>
      <c r="K61" s="115"/>
      <c r="L61" s="115"/>
      <c r="M61" s="114"/>
    </row>
    <row r="62" spans="1:13" s="22" customFormat="1" ht="13.5" customHeight="1">
      <c r="A62" s="290"/>
      <c r="B62" s="20" t="s">
        <v>233</v>
      </c>
      <c r="C62" s="105" t="s">
        <v>553</v>
      </c>
      <c r="D62" s="192" t="s">
        <v>20</v>
      </c>
      <c r="E62" s="108">
        <f>1.05*4.74</f>
        <v>4.9770000000000003</v>
      </c>
      <c r="F62" s="97">
        <f>E62*F60</f>
        <v>231.72912000000002</v>
      </c>
      <c r="G62" s="155"/>
      <c r="H62" s="35"/>
      <c r="I62" s="107"/>
      <c r="J62" s="154"/>
      <c r="K62" s="26"/>
      <c r="L62" s="35"/>
      <c r="M62" s="26"/>
    </row>
    <row r="63" spans="1:13" s="22" customFormat="1" ht="13.5" customHeight="1">
      <c r="A63" s="290"/>
      <c r="B63" s="172"/>
      <c r="C63" s="112" t="s">
        <v>78</v>
      </c>
      <c r="D63" s="96" t="s">
        <v>16</v>
      </c>
      <c r="E63" s="35">
        <v>6.8</v>
      </c>
      <c r="F63" s="153">
        <f>E63*F60</f>
        <v>316.608</v>
      </c>
      <c r="G63" s="96"/>
      <c r="H63" s="96"/>
      <c r="I63" s="117"/>
      <c r="J63" s="96"/>
      <c r="K63" s="117"/>
      <c r="L63" s="35"/>
      <c r="M63" s="26"/>
    </row>
    <row r="64" spans="1:13" s="22" customFormat="1" ht="13.5" customHeight="1">
      <c r="A64" s="290"/>
      <c r="B64" s="25" t="s">
        <v>222</v>
      </c>
      <c r="C64" s="38" t="s">
        <v>504</v>
      </c>
      <c r="D64" s="20" t="s">
        <v>17</v>
      </c>
      <c r="E64" s="20"/>
      <c r="F64" s="97">
        <v>6.21</v>
      </c>
      <c r="G64" s="150"/>
      <c r="H64" s="35"/>
      <c r="I64" s="107"/>
      <c r="J64" s="154"/>
      <c r="K64" s="26"/>
      <c r="L64" s="26"/>
      <c r="M64" s="26"/>
    </row>
    <row r="65" spans="1:13" s="22" customFormat="1" ht="13.5" customHeight="1">
      <c r="A65" s="290"/>
      <c r="B65" s="25" t="s">
        <v>242</v>
      </c>
      <c r="C65" s="38" t="s">
        <v>508</v>
      </c>
      <c r="D65" s="20" t="s">
        <v>17</v>
      </c>
      <c r="E65" s="20"/>
      <c r="F65" s="97">
        <v>40.35</v>
      </c>
      <c r="G65" s="150"/>
      <c r="H65" s="35"/>
      <c r="I65" s="107"/>
      <c r="J65" s="154"/>
      <c r="K65" s="26"/>
      <c r="L65" s="26"/>
      <c r="M65" s="26"/>
    </row>
    <row r="66" spans="1:13" s="22" customFormat="1" ht="13.5" customHeight="1">
      <c r="A66" s="291"/>
      <c r="B66" s="25"/>
      <c r="C66" s="38" t="s">
        <v>23</v>
      </c>
      <c r="D66" s="20" t="s">
        <v>16</v>
      </c>
      <c r="E66" s="20">
        <v>12.2</v>
      </c>
      <c r="F66" s="97">
        <f>E66*F60</f>
        <v>568.03200000000004</v>
      </c>
      <c r="G66" s="155"/>
      <c r="H66" s="35"/>
      <c r="I66" s="88"/>
      <c r="J66" s="35"/>
      <c r="K66" s="26"/>
      <c r="L66" s="35"/>
      <c r="M66" s="26"/>
    </row>
    <row r="67" spans="1:13" s="22" customFormat="1" ht="25.5" customHeight="1">
      <c r="A67" s="15" t="s">
        <v>84</v>
      </c>
      <c r="B67" s="15"/>
      <c r="C67" s="174" t="s">
        <v>477</v>
      </c>
      <c r="D67" s="20"/>
      <c r="E67" s="108"/>
      <c r="F67" s="97"/>
      <c r="G67" s="117"/>
      <c r="H67" s="103"/>
      <c r="I67" s="107"/>
      <c r="J67" s="154"/>
      <c r="K67" s="107"/>
      <c r="L67" s="107"/>
      <c r="M67" s="29"/>
    </row>
    <row r="68" spans="1:13" s="22" customFormat="1" ht="15.75" customHeight="1">
      <c r="A68" s="289" t="s">
        <v>319</v>
      </c>
      <c r="B68" s="15" t="s">
        <v>126</v>
      </c>
      <c r="C68" s="102" t="s">
        <v>127</v>
      </c>
      <c r="D68" s="20" t="s">
        <v>24</v>
      </c>
      <c r="E68" s="15"/>
      <c r="F68" s="238">
        <v>1949</v>
      </c>
      <c r="G68" s="103"/>
      <c r="H68" s="104"/>
      <c r="I68" s="104"/>
      <c r="J68" s="104"/>
      <c r="K68" s="104"/>
      <c r="L68" s="104"/>
      <c r="M68" s="104"/>
    </row>
    <row r="69" spans="1:13" s="22" customFormat="1" ht="13.5" customHeight="1">
      <c r="A69" s="290"/>
      <c r="B69" s="15"/>
      <c r="C69" s="112" t="s">
        <v>539</v>
      </c>
      <c r="D69" s="113" t="s">
        <v>15</v>
      </c>
      <c r="E69" s="108">
        <f>1.15*0.564</f>
        <v>0.64859999999999984</v>
      </c>
      <c r="F69" s="152">
        <f>E69*F68</f>
        <v>1264.1213999999998</v>
      </c>
      <c r="G69" s="114"/>
      <c r="H69" s="115"/>
      <c r="I69" s="35"/>
      <c r="J69" s="114"/>
      <c r="K69" s="115"/>
      <c r="L69" s="115"/>
      <c r="M69" s="114"/>
    </row>
    <row r="70" spans="1:13" s="22" customFormat="1" ht="13.5" customHeight="1">
      <c r="A70" s="290"/>
      <c r="B70" s="15"/>
      <c r="C70" s="112" t="s">
        <v>78</v>
      </c>
      <c r="D70" s="96" t="s">
        <v>16</v>
      </c>
      <c r="E70" s="5">
        <v>4.0899999999999999E-2</v>
      </c>
      <c r="F70" s="153">
        <f>E70*F68</f>
        <v>79.714100000000002</v>
      </c>
      <c r="G70" s="96"/>
      <c r="H70" s="96"/>
      <c r="I70" s="117"/>
      <c r="J70" s="96"/>
      <c r="K70" s="18"/>
      <c r="L70" s="35"/>
      <c r="M70" s="97"/>
    </row>
    <row r="71" spans="1:13" s="22" customFormat="1" ht="13.5" customHeight="1">
      <c r="A71" s="290"/>
      <c r="B71" s="69" t="s">
        <v>420</v>
      </c>
      <c r="C71" s="151" t="s">
        <v>128</v>
      </c>
      <c r="D71" s="37" t="s">
        <v>17</v>
      </c>
      <c r="E71" s="5">
        <v>4.4999999999999997E-3</v>
      </c>
      <c r="F71" s="96">
        <f>E71*F68</f>
        <v>8.7705000000000002</v>
      </c>
      <c r="G71" s="88"/>
      <c r="H71" s="35"/>
      <c r="I71" s="37"/>
      <c r="J71" s="37"/>
      <c r="K71" s="37"/>
      <c r="L71" s="37"/>
      <c r="M71" s="35"/>
    </row>
    <row r="72" spans="1:13" s="22" customFormat="1" ht="13.5" customHeight="1">
      <c r="A72" s="290"/>
      <c r="B72" s="103" t="s">
        <v>419</v>
      </c>
      <c r="C72" s="151" t="s">
        <v>129</v>
      </c>
      <c r="D72" s="20" t="s">
        <v>80</v>
      </c>
      <c r="E72" s="5">
        <v>7.4999999999999997E-3</v>
      </c>
      <c r="F72" s="96">
        <f>E72*F68</f>
        <v>14.6175</v>
      </c>
      <c r="G72" s="88"/>
      <c r="H72" s="35"/>
      <c r="I72" s="37"/>
      <c r="J72" s="37"/>
      <c r="K72" s="37"/>
      <c r="L72" s="37"/>
      <c r="M72" s="35"/>
    </row>
    <row r="73" spans="1:13" s="22" customFormat="1" ht="13.5" customHeight="1">
      <c r="A73" s="291"/>
      <c r="B73" s="15"/>
      <c r="C73" s="105" t="s">
        <v>23</v>
      </c>
      <c r="D73" s="20" t="s">
        <v>16</v>
      </c>
      <c r="E73" s="108">
        <v>0.26500000000000001</v>
      </c>
      <c r="F73" s="97">
        <f>E73*F68</f>
        <v>516.48500000000001</v>
      </c>
      <c r="G73" s="18"/>
      <c r="H73" s="35"/>
      <c r="I73" s="107"/>
      <c r="J73" s="154"/>
      <c r="K73" s="107"/>
      <c r="L73" s="107"/>
      <c r="M73" s="35"/>
    </row>
    <row r="74" spans="1:13" s="22" customFormat="1" ht="18.75" customHeight="1">
      <c r="A74" s="289" t="s">
        <v>320</v>
      </c>
      <c r="B74" s="15" t="s">
        <v>478</v>
      </c>
      <c r="C74" s="105" t="s">
        <v>479</v>
      </c>
      <c r="D74" s="20" t="s">
        <v>80</v>
      </c>
      <c r="E74" s="108"/>
      <c r="F74" s="117">
        <v>260</v>
      </c>
      <c r="G74" s="117"/>
      <c r="H74" s="104"/>
      <c r="I74" s="107"/>
      <c r="J74" s="104"/>
      <c r="K74" s="104"/>
      <c r="L74" s="104"/>
      <c r="M74" s="104"/>
    </row>
    <row r="75" spans="1:13" s="22" customFormat="1" ht="13.5" customHeight="1">
      <c r="A75" s="290"/>
      <c r="B75" s="15"/>
      <c r="C75" s="105" t="s">
        <v>565</v>
      </c>
      <c r="D75" s="20" t="s">
        <v>15</v>
      </c>
      <c r="E75" s="106">
        <f>1.15*6.5</f>
        <v>7.4749999999999996</v>
      </c>
      <c r="F75" s="97">
        <f>E75*F74</f>
        <v>1943.5</v>
      </c>
      <c r="G75" s="99"/>
      <c r="H75" s="107"/>
      <c r="I75" s="88"/>
      <c r="J75" s="35"/>
      <c r="K75" s="26"/>
      <c r="L75" s="35"/>
      <c r="M75" s="26"/>
    </row>
    <row r="76" spans="1:13" s="22" customFormat="1" ht="13.5" customHeight="1">
      <c r="A76" s="290"/>
      <c r="B76" s="15"/>
      <c r="C76" s="105" t="s">
        <v>28</v>
      </c>
      <c r="D76" s="20" t="s">
        <v>16</v>
      </c>
      <c r="E76" s="106">
        <v>2.16</v>
      </c>
      <c r="F76" s="114">
        <f>E76*F74</f>
        <v>561.6</v>
      </c>
      <c r="G76" s="123"/>
      <c r="H76" s="123"/>
      <c r="I76" s="122"/>
      <c r="J76" s="27"/>
      <c r="K76" s="18"/>
      <c r="L76" s="26"/>
      <c r="M76" s="26"/>
    </row>
    <row r="77" spans="1:13" s="22" customFormat="1" ht="13.5" customHeight="1">
      <c r="A77" s="290"/>
      <c r="B77" s="15" t="s">
        <v>480</v>
      </c>
      <c r="C77" s="105" t="s">
        <v>481</v>
      </c>
      <c r="D77" s="20" t="s">
        <v>80</v>
      </c>
      <c r="E77" s="35">
        <v>1.1499999999999999</v>
      </c>
      <c r="F77" s="97">
        <f>E77*F74</f>
        <v>299</v>
      </c>
      <c r="G77" s="97"/>
      <c r="H77" s="103"/>
      <c r="I77" s="107"/>
      <c r="J77" s="154"/>
      <c r="K77" s="107"/>
      <c r="L77" s="107"/>
      <c r="M77" s="29"/>
    </row>
    <row r="78" spans="1:13" s="22" customFormat="1" ht="13.5" customHeight="1">
      <c r="A78" s="291"/>
      <c r="B78" s="15"/>
      <c r="C78" s="105" t="s">
        <v>23</v>
      </c>
      <c r="D78" s="20" t="s">
        <v>16</v>
      </c>
      <c r="E78" s="35">
        <v>0.02</v>
      </c>
      <c r="F78" s="97">
        <f>E78*F74</f>
        <v>5.2</v>
      </c>
      <c r="G78" s="18"/>
      <c r="H78" s="103"/>
      <c r="I78" s="107"/>
      <c r="J78" s="154"/>
      <c r="K78" s="107"/>
      <c r="L78" s="107"/>
      <c r="M78" s="29"/>
    </row>
    <row r="79" spans="1:13" s="22" customFormat="1" ht="17.25" customHeight="1">
      <c r="A79" s="289" t="s">
        <v>376</v>
      </c>
      <c r="B79" s="15" t="s">
        <v>482</v>
      </c>
      <c r="C79" s="105" t="s">
        <v>483</v>
      </c>
      <c r="D79" s="20" t="s">
        <v>80</v>
      </c>
      <c r="E79" s="108"/>
      <c r="F79" s="117">
        <v>455</v>
      </c>
      <c r="G79" s="117"/>
      <c r="H79" s="104"/>
      <c r="I79" s="104"/>
      <c r="J79" s="104"/>
      <c r="K79" s="104"/>
      <c r="L79" s="104"/>
      <c r="M79" s="104"/>
    </row>
    <row r="80" spans="1:13" s="22" customFormat="1" ht="13.5" customHeight="1">
      <c r="A80" s="290"/>
      <c r="B80" s="15"/>
      <c r="C80" s="112" t="s">
        <v>566</v>
      </c>
      <c r="D80" s="113" t="s">
        <v>15</v>
      </c>
      <c r="E80" s="108">
        <f>1.15*2.78</f>
        <v>3.1969999999999996</v>
      </c>
      <c r="F80" s="114">
        <f>E80*F79</f>
        <v>1454.6349999999998</v>
      </c>
      <c r="G80" s="114"/>
      <c r="H80" s="115"/>
      <c r="I80" s="35"/>
      <c r="J80" s="114"/>
      <c r="K80" s="115"/>
      <c r="L80" s="93"/>
      <c r="M80" s="114"/>
    </row>
    <row r="81" spans="1:13" s="22" customFormat="1" ht="13.5" customHeight="1">
      <c r="A81" s="290"/>
      <c r="B81" s="15"/>
      <c r="C81" s="112" t="s">
        <v>78</v>
      </c>
      <c r="D81" s="96" t="s">
        <v>16</v>
      </c>
      <c r="E81" s="5">
        <v>2.5999999999999999E-3</v>
      </c>
      <c r="F81" s="153">
        <f>E81*F79</f>
        <v>1.1830000000000001</v>
      </c>
      <c r="G81" s="96"/>
      <c r="H81" s="96"/>
      <c r="I81" s="117"/>
      <c r="J81" s="96"/>
      <c r="K81" s="18"/>
      <c r="L81" s="35"/>
      <c r="M81" s="97"/>
    </row>
    <row r="82" spans="1:13" s="22" customFormat="1" ht="13.5" customHeight="1">
      <c r="A82" s="291"/>
      <c r="B82" s="15" t="s">
        <v>442</v>
      </c>
      <c r="C82" s="105" t="s">
        <v>247</v>
      </c>
      <c r="D82" s="20" t="s">
        <v>80</v>
      </c>
      <c r="E82" s="35">
        <v>1.01</v>
      </c>
      <c r="F82" s="97">
        <f>E82*F79</f>
        <v>459.55</v>
      </c>
      <c r="G82" s="117"/>
      <c r="H82" s="103"/>
      <c r="I82" s="107"/>
      <c r="J82" s="154"/>
      <c r="K82" s="107"/>
      <c r="L82" s="107"/>
      <c r="M82" s="29"/>
    </row>
    <row r="83" spans="1:13" s="22" customFormat="1" ht="13.5">
      <c r="A83" s="289" t="s">
        <v>377</v>
      </c>
      <c r="B83" s="69" t="s">
        <v>484</v>
      </c>
      <c r="C83" s="105" t="s">
        <v>485</v>
      </c>
      <c r="D83" s="173" t="s">
        <v>77</v>
      </c>
      <c r="E83" s="69"/>
      <c r="F83" s="117">
        <v>178</v>
      </c>
      <c r="G83" s="35"/>
      <c r="H83" s="40"/>
      <c r="I83" s="40"/>
      <c r="J83" s="40"/>
      <c r="K83" s="79"/>
      <c r="L83" s="40"/>
      <c r="M83" s="40"/>
    </row>
    <row r="84" spans="1:13" s="22" customFormat="1" ht="13.5" customHeight="1">
      <c r="A84" s="290"/>
      <c r="B84" s="69"/>
      <c r="C84" s="151" t="s">
        <v>567</v>
      </c>
      <c r="D84" s="33" t="s">
        <v>15</v>
      </c>
      <c r="E84" s="35">
        <f>1.15*0.181</f>
        <v>0.20814999999999997</v>
      </c>
      <c r="F84" s="152">
        <f>E84*F83</f>
        <v>37.050699999999992</v>
      </c>
      <c r="G84" s="26"/>
      <c r="H84" s="27"/>
      <c r="I84" s="26"/>
      <c r="J84" s="26"/>
      <c r="K84" s="18"/>
      <c r="L84" s="26"/>
      <c r="M84" s="26"/>
    </row>
    <row r="85" spans="1:13" s="22" customFormat="1" ht="13.5" customHeight="1">
      <c r="A85" s="290"/>
      <c r="B85" s="69"/>
      <c r="C85" s="151" t="s">
        <v>78</v>
      </c>
      <c r="D85" s="37" t="s">
        <v>16</v>
      </c>
      <c r="E85" s="5">
        <v>9.2100000000000001E-2</v>
      </c>
      <c r="F85" s="153">
        <f>E85*F83</f>
        <v>16.393799999999999</v>
      </c>
      <c r="G85" s="37"/>
      <c r="H85" s="37"/>
      <c r="I85" s="88"/>
      <c r="J85" s="37"/>
      <c r="K85" s="88"/>
      <c r="L85" s="35"/>
      <c r="M85" s="35"/>
    </row>
    <row r="86" spans="1:13" s="22" customFormat="1" ht="13.5" customHeight="1">
      <c r="A86" s="290"/>
      <c r="B86" s="69" t="s">
        <v>486</v>
      </c>
      <c r="C86" s="151" t="s">
        <v>147</v>
      </c>
      <c r="D86" s="173" t="s">
        <v>77</v>
      </c>
      <c r="E86" s="35">
        <v>1.01</v>
      </c>
      <c r="F86" s="97">
        <f>E86*F83</f>
        <v>179.78</v>
      </c>
      <c r="G86" s="37"/>
      <c r="H86" s="35"/>
      <c r="I86" s="35"/>
      <c r="J86" s="35"/>
      <c r="K86" s="35"/>
      <c r="L86" s="35"/>
      <c r="M86" s="35"/>
    </row>
    <row r="87" spans="1:13" s="22" customFormat="1" ht="13.5" customHeight="1">
      <c r="A87" s="291"/>
      <c r="B87" s="69"/>
      <c r="C87" s="105" t="s">
        <v>23</v>
      </c>
      <c r="D87" s="20" t="s">
        <v>16</v>
      </c>
      <c r="E87" s="108">
        <v>5.1599999999999997E-3</v>
      </c>
      <c r="F87" s="97">
        <f>E87*F83</f>
        <v>0.91847999999999996</v>
      </c>
      <c r="G87" s="155"/>
      <c r="H87" s="35"/>
      <c r="I87" s="107"/>
      <c r="J87" s="154"/>
      <c r="K87" s="107"/>
      <c r="L87" s="107"/>
      <c r="M87" s="35"/>
    </row>
    <row r="88" spans="1:13" s="22" customFormat="1" ht="40.5">
      <c r="A88" s="15" t="s">
        <v>125</v>
      </c>
      <c r="B88" s="103"/>
      <c r="C88" s="105" t="s">
        <v>608</v>
      </c>
      <c r="D88" s="20"/>
      <c r="E88" s="165"/>
      <c r="F88" s="97"/>
      <c r="G88" s="155"/>
      <c r="H88" s="35"/>
      <c r="I88" s="88"/>
      <c r="J88" s="35"/>
      <c r="K88" s="26"/>
      <c r="L88" s="35"/>
      <c r="M88" s="26"/>
    </row>
    <row r="89" spans="1:13" s="22" customFormat="1" ht="27">
      <c r="A89" s="15" t="s">
        <v>193</v>
      </c>
      <c r="B89" s="15" t="s">
        <v>414</v>
      </c>
      <c r="C89" s="105" t="s">
        <v>422</v>
      </c>
      <c r="D89" s="20" t="s">
        <v>80</v>
      </c>
      <c r="E89" s="165"/>
      <c r="F89" s="117">
        <v>4367</v>
      </c>
      <c r="G89" s="155"/>
      <c r="H89" s="35"/>
      <c r="I89" s="88"/>
      <c r="J89" s="40"/>
      <c r="K89" s="16"/>
      <c r="L89" s="40"/>
      <c r="M89" s="16"/>
    </row>
    <row r="90" spans="1:13" s="22" customFormat="1" ht="13.5" customHeight="1">
      <c r="A90" s="289"/>
      <c r="B90" s="25"/>
      <c r="C90" s="90" t="s">
        <v>534</v>
      </c>
      <c r="D90" s="41" t="s">
        <v>15</v>
      </c>
      <c r="E90" s="20">
        <f>0.016*1.15</f>
        <v>1.84E-2</v>
      </c>
      <c r="F90" s="97">
        <f>E90*F89</f>
        <v>80.352800000000002</v>
      </c>
      <c r="G90" s="99"/>
      <c r="H90" s="100"/>
      <c r="I90" s="35"/>
      <c r="J90" s="35"/>
      <c r="K90" s="35"/>
      <c r="L90" s="99"/>
      <c r="M90" s="35"/>
    </row>
    <row r="91" spans="1:13" s="22" customFormat="1" ht="13.5" customHeight="1">
      <c r="A91" s="291"/>
      <c r="B91" s="25" t="s">
        <v>100</v>
      </c>
      <c r="C91" s="105" t="s">
        <v>535</v>
      </c>
      <c r="D91" s="20" t="s">
        <v>85</v>
      </c>
      <c r="E91" s="21">
        <f>0.0359*1.05</f>
        <v>3.7695000000000006E-2</v>
      </c>
      <c r="F91" s="153">
        <f>E91*F89</f>
        <v>164.61406500000004</v>
      </c>
      <c r="G91" s="99"/>
      <c r="H91" s="100"/>
      <c r="I91" s="35"/>
      <c r="J91" s="35"/>
      <c r="K91" s="110"/>
      <c r="L91" s="35"/>
      <c r="M91" s="26"/>
    </row>
    <row r="92" spans="1:13" s="22" customFormat="1" ht="27">
      <c r="A92" s="289" t="s">
        <v>194</v>
      </c>
      <c r="B92" s="25" t="s">
        <v>117</v>
      </c>
      <c r="C92" s="38" t="s">
        <v>118</v>
      </c>
      <c r="D92" s="33" t="s">
        <v>80</v>
      </c>
      <c r="E92" s="20"/>
      <c r="F92" s="117">
        <f>F89</f>
        <v>4367</v>
      </c>
      <c r="G92" s="39"/>
      <c r="H92" s="37"/>
      <c r="I92" s="27"/>
      <c r="J92" s="27"/>
      <c r="K92" s="27"/>
      <c r="L92" s="16"/>
      <c r="M92" s="16"/>
    </row>
    <row r="93" spans="1:13" s="22" customFormat="1" ht="13.5" customHeight="1">
      <c r="A93" s="290"/>
      <c r="B93" s="25" t="s">
        <v>119</v>
      </c>
      <c r="C93" s="38" t="s">
        <v>120</v>
      </c>
      <c r="D93" s="20" t="s">
        <v>20</v>
      </c>
      <c r="E93" s="20">
        <f>1.85*6*0.001</f>
        <v>1.1100000000000002E-2</v>
      </c>
      <c r="F93" s="153">
        <f>E93*F92</f>
        <v>48.473700000000008</v>
      </c>
      <c r="G93" s="39"/>
      <c r="H93" s="37"/>
      <c r="I93" s="27"/>
      <c r="J93" s="27"/>
      <c r="K93" s="27"/>
      <c r="L93" s="26"/>
      <c r="M93" s="26"/>
    </row>
    <row r="94" spans="1:13" s="22" customFormat="1" ht="13.5" customHeight="1">
      <c r="A94" s="290"/>
      <c r="B94" s="25" t="s">
        <v>102</v>
      </c>
      <c r="C94" s="38" t="s">
        <v>121</v>
      </c>
      <c r="D94" s="20" t="s">
        <v>20</v>
      </c>
      <c r="E94" s="20">
        <f>10.5*0.001*1.05</f>
        <v>1.1025000000000002E-2</v>
      </c>
      <c r="F94" s="153">
        <f>E94*F92</f>
        <v>48.146175000000007</v>
      </c>
      <c r="G94" s="39"/>
      <c r="H94" s="37"/>
      <c r="I94" s="27"/>
      <c r="J94" s="27"/>
      <c r="K94" s="27"/>
      <c r="L94" s="26"/>
      <c r="M94" s="26"/>
    </row>
    <row r="95" spans="1:13" s="22" customFormat="1" ht="13.5" customHeight="1">
      <c r="A95" s="291"/>
      <c r="B95" s="25" t="s">
        <v>122</v>
      </c>
      <c r="C95" s="38" t="s">
        <v>555</v>
      </c>
      <c r="D95" s="20" t="s">
        <v>20</v>
      </c>
      <c r="E95" s="20">
        <f>1.85*6*0.001*1.05</f>
        <v>1.1655000000000002E-2</v>
      </c>
      <c r="F95" s="153">
        <f>E95*F92</f>
        <v>50.897385000000007</v>
      </c>
      <c r="G95" s="39"/>
      <c r="H95" s="37"/>
      <c r="I95" s="27"/>
      <c r="J95" s="27"/>
      <c r="K95" s="26"/>
      <c r="L95" s="26"/>
      <c r="M95" s="26"/>
    </row>
    <row r="96" spans="1:13" s="22" customFormat="1" ht="42.75">
      <c r="A96" s="289" t="s">
        <v>211</v>
      </c>
      <c r="B96" s="25" t="s">
        <v>167</v>
      </c>
      <c r="C96" s="105" t="s">
        <v>605</v>
      </c>
      <c r="D96" s="33" t="s">
        <v>80</v>
      </c>
      <c r="E96" s="21"/>
      <c r="F96" s="117">
        <f>6658-4367</f>
        <v>2291</v>
      </c>
      <c r="G96" s="21"/>
      <c r="H96" s="40"/>
      <c r="I96" s="120"/>
      <c r="J96" s="40"/>
      <c r="K96" s="20"/>
      <c r="L96" s="40"/>
      <c r="M96" s="121"/>
    </row>
    <row r="97" spans="1:16" s="22" customFormat="1" ht="13.5" customHeight="1">
      <c r="A97" s="290"/>
      <c r="B97" s="25"/>
      <c r="C97" s="90" t="s">
        <v>526</v>
      </c>
      <c r="D97" s="41" t="s">
        <v>15</v>
      </c>
      <c r="E97" s="20">
        <f>0.0188*1.15</f>
        <v>2.162E-2</v>
      </c>
      <c r="F97" s="114">
        <f>E97*F96</f>
        <v>49.531420000000004</v>
      </c>
      <c r="G97" s="26"/>
      <c r="H97" s="27"/>
      <c r="I97" s="26"/>
      <c r="J97" s="26"/>
      <c r="K97" s="27"/>
      <c r="L97" s="27"/>
      <c r="M97" s="26"/>
    </row>
    <row r="98" spans="1:16" s="22" customFormat="1" ht="13.5" customHeight="1">
      <c r="A98" s="290"/>
      <c r="B98" s="25" t="s">
        <v>166</v>
      </c>
      <c r="C98" s="105" t="s">
        <v>527</v>
      </c>
      <c r="D98" s="20" t="s">
        <v>85</v>
      </c>
      <c r="E98" s="21">
        <f>0.042*1.05</f>
        <v>4.4100000000000007E-2</v>
      </c>
      <c r="F98" s="97">
        <f>E98*F96</f>
        <v>101.03310000000002</v>
      </c>
      <c r="G98" s="21"/>
      <c r="H98" s="35"/>
      <c r="I98" s="20"/>
      <c r="J98" s="35"/>
      <c r="K98" s="110"/>
      <c r="L98" s="35"/>
      <c r="M98" s="110"/>
    </row>
    <row r="99" spans="1:16" s="22" customFormat="1" ht="13.5" customHeight="1">
      <c r="A99" s="290"/>
      <c r="B99" s="25"/>
      <c r="C99" s="105" t="s">
        <v>28</v>
      </c>
      <c r="D99" s="20" t="s">
        <v>16</v>
      </c>
      <c r="E99" s="21">
        <v>2.7399999999999998E-3</v>
      </c>
      <c r="F99" s="97">
        <f>E99*F96</f>
        <v>6.2773399999999997</v>
      </c>
      <c r="G99" s="21"/>
      <c r="H99" s="35"/>
      <c r="I99" s="20"/>
      <c r="J99" s="35"/>
      <c r="K99" s="120"/>
      <c r="L99" s="35"/>
      <c r="M99" s="110"/>
    </row>
    <row r="100" spans="1:16" s="22" customFormat="1" ht="13.5" customHeight="1">
      <c r="A100" s="290"/>
      <c r="B100" s="25" t="s">
        <v>225</v>
      </c>
      <c r="C100" s="105" t="s">
        <v>514</v>
      </c>
      <c r="D100" s="33" t="s">
        <v>80</v>
      </c>
      <c r="E100" s="106">
        <f>0.09/1000</f>
        <v>8.9999999999999992E-5</v>
      </c>
      <c r="F100" s="153">
        <f>E100*F96</f>
        <v>0.20618999999999998</v>
      </c>
      <c r="G100" s="88"/>
      <c r="H100" s="35"/>
      <c r="I100" s="20"/>
      <c r="J100" s="35"/>
      <c r="K100" s="120"/>
      <c r="L100" s="35"/>
      <c r="M100" s="110"/>
    </row>
    <row r="101" spans="1:16" s="22" customFormat="1" ht="13.5" customHeight="1">
      <c r="A101" s="290"/>
      <c r="B101" s="25" t="s">
        <v>169</v>
      </c>
      <c r="C101" s="105" t="s">
        <v>87</v>
      </c>
      <c r="D101" s="33" t="s">
        <v>80</v>
      </c>
      <c r="E101" s="21"/>
      <c r="F101" s="117">
        <f>F96</f>
        <v>2291</v>
      </c>
      <c r="G101" s="227"/>
      <c r="H101" s="40"/>
      <c r="I101" s="120"/>
      <c r="J101" s="35"/>
      <c r="K101" s="20"/>
      <c r="L101" s="40"/>
      <c r="M101" s="121"/>
    </row>
    <row r="102" spans="1:16" s="22" customFormat="1" ht="13.5" customHeight="1">
      <c r="A102" s="290"/>
      <c r="B102" s="25" t="s">
        <v>170</v>
      </c>
      <c r="C102" s="105" t="s">
        <v>528</v>
      </c>
      <c r="D102" s="20" t="s">
        <v>85</v>
      </c>
      <c r="E102" s="21">
        <f>0.0104*1.05</f>
        <v>1.0919999999999999E-2</v>
      </c>
      <c r="F102" s="97">
        <f>E102*F101</f>
        <v>25.017719999999997</v>
      </c>
      <c r="G102" s="227"/>
      <c r="H102" s="35"/>
      <c r="I102" s="20"/>
      <c r="J102" s="35"/>
      <c r="K102" s="27"/>
      <c r="L102" s="35"/>
      <c r="M102" s="110"/>
    </row>
    <row r="103" spans="1:16" s="22" customFormat="1" ht="13.5" customHeight="1">
      <c r="A103" s="290"/>
      <c r="B103" s="25"/>
      <c r="C103" s="105" t="s">
        <v>28</v>
      </c>
      <c r="D103" s="20" t="s">
        <v>16</v>
      </c>
      <c r="E103" s="21">
        <f>0.24/1000</f>
        <v>2.3999999999999998E-4</v>
      </c>
      <c r="F103" s="97">
        <f>E103*F101</f>
        <v>0.54984</v>
      </c>
      <c r="G103" s="227"/>
      <c r="H103" s="35"/>
      <c r="I103" s="20"/>
      <c r="J103" s="35"/>
      <c r="K103" s="18"/>
      <c r="L103" s="35"/>
      <c r="M103" s="110"/>
    </row>
    <row r="104" spans="1:16" s="22" customFormat="1" ht="13.5" customHeight="1">
      <c r="A104" s="290"/>
      <c r="B104" s="25" t="s">
        <v>225</v>
      </c>
      <c r="C104" s="105" t="s">
        <v>514</v>
      </c>
      <c r="D104" s="33" t="s">
        <v>80</v>
      </c>
      <c r="E104" s="106">
        <f>0.08/1000</f>
        <v>8.0000000000000007E-5</v>
      </c>
      <c r="F104" s="153">
        <f>E104*F101</f>
        <v>0.18328000000000003</v>
      </c>
      <c r="G104" s="88"/>
      <c r="H104" s="35"/>
      <c r="I104" s="20"/>
      <c r="J104" s="35"/>
      <c r="K104" s="120"/>
      <c r="L104" s="35"/>
      <c r="M104" s="110"/>
    </row>
    <row r="105" spans="1:16" s="22" customFormat="1" ht="13.5" customHeight="1">
      <c r="A105" s="291"/>
      <c r="B105" s="25" t="s">
        <v>82</v>
      </c>
      <c r="C105" s="105" t="s">
        <v>89</v>
      </c>
      <c r="D105" s="20" t="s">
        <v>17</v>
      </c>
      <c r="E105" s="21"/>
      <c r="F105" s="233">
        <f>F96*2.8</f>
        <v>6414.7999999999993</v>
      </c>
      <c r="G105" s="21"/>
      <c r="H105" s="35"/>
      <c r="I105" s="20"/>
      <c r="J105" s="35"/>
      <c r="K105" s="110"/>
      <c r="L105" s="40"/>
      <c r="M105" s="121"/>
    </row>
    <row r="106" spans="1:16" s="22" customFormat="1">
      <c r="A106" s="15"/>
      <c r="B106" s="31"/>
      <c r="C106" s="32" t="s">
        <v>11</v>
      </c>
      <c r="D106" s="33" t="s">
        <v>16</v>
      </c>
      <c r="E106" s="26"/>
      <c r="F106" s="114"/>
      <c r="G106" s="28"/>
      <c r="H106" s="26"/>
      <c r="I106" s="27"/>
      <c r="J106" s="26"/>
      <c r="K106" s="27"/>
      <c r="L106" s="26"/>
      <c r="M106" s="29"/>
      <c r="N106"/>
      <c r="O106"/>
    </row>
    <row r="107" spans="1:16" s="22" customFormat="1">
      <c r="A107" s="25"/>
      <c r="B107" s="31"/>
      <c r="C107" s="32" t="s">
        <v>25</v>
      </c>
      <c r="D107" s="33" t="s">
        <v>26</v>
      </c>
      <c r="E107" s="18">
        <v>10</v>
      </c>
      <c r="F107" s="114"/>
      <c r="G107" s="28"/>
      <c r="H107" s="26"/>
      <c r="I107" s="27"/>
      <c r="J107" s="26"/>
      <c r="K107" s="27"/>
      <c r="L107" s="26"/>
      <c r="M107" s="29"/>
      <c r="N107"/>
      <c r="O107" s="17"/>
    </row>
    <row r="108" spans="1:16" s="22" customFormat="1">
      <c r="A108" s="25"/>
      <c r="B108" s="31"/>
      <c r="C108" s="32" t="s">
        <v>11</v>
      </c>
      <c r="D108" s="33" t="s">
        <v>16</v>
      </c>
      <c r="E108" s="18"/>
      <c r="F108" s="114"/>
      <c r="G108" s="28"/>
      <c r="H108" s="26"/>
      <c r="I108" s="27"/>
      <c r="J108" s="26"/>
      <c r="K108" s="27"/>
      <c r="L108" s="26"/>
      <c r="M108" s="29"/>
      <c r="N108"/>
      <c r="O108"/>
    </row>
    <row r="109" spans="1:16" s="22" customFormat="1">
      <c r="A109" s="25"/>
      <c r="B109" s="31"/>
      <c r="C109" s="32" t="s">
        <v>27</v>
      </c>
      <c r="D109" s="33" t="s">
        <v>26</v>
      </c>
      <c r="E109" s="18">
        <v>8</v>
      </c>
      <c r="F109" s="114"/>
      <c r="G109" s="28"/>
      <c r="H109" s="26"/>
      <c r="I109" s="27"/>
      <c r="J109" s="26"/>
      <c r="K109" s="27"/>
      <c r="L109" s="26"/>
      <c r="M109" s="29"/>
      <c r="N109"/>
      <c r="O109" s="17">
        <f>M105+M101+M96+M92+M89+M83+M79+M74+M68+M60+M48+M44+M32+M27+M26+M22+M20+M17+M13+M11</f>
        <v>0</v>
      </c>
      <c r="P109" s="34"/>
    </row>
    <row r="110" spans="1:16" s="22" customFormat="1">
      <c r="A110" s="25"/>
      <c r="B110" s="31"/>
      <c r="C110" s="32" t="s">
        <v>11</v>
      </c>
      <c r="D110" s="33" t="s">
        <v>16</v>
      </c>
      <c r="E110" s="18"/>
      <c r="F110" s="114"/>
      <c r="G110" s="28"/>
      <c r="H110" s="26"/>
      <c r="I110" s="27"/>
      <c r="J110" s="26"/>
      <c r="K110" s="27"/>
      <c r="L110" s="26"/>
      <c r="M110" s="29"/>
      <c r="N110"/>
      <c r="O110"/>
    </row>
    <row r="111" spans="1:16" s="22" customFormat="1" ht="13.5">
      <c r="A111" s="3"/>
      <c r="B111" s="3"/>
      <c r="C111" s="2"/>
      <c r="D111" s="3"/>
      <c r="E111" s="3"/>
      <c r="F111" s="234"/>
      <c r="G111" s="34"/>
      <c r="H111" s="34"/>
      <c r="I111" s="34"/>
      <c r="J111" s="34"/>
      <c r="K111" s="34"/>
      <c r="L111" s="34"/>
      <c r="M111" s="34"/>
    </row>
    <row r="112" spans="1:16" s="22" customFormat="1" ht="13.5">
      <c r="A112" s="3"/>
      <c r="B112" s="3"/>
      <c r="C112" s="2"/>
      <c r="D112" s="3"/>
      <c r="E112" s="3"/>
      <c r="F112" s="234"/>
      <c r="G112" s="34"/>
      <c r="H112" s="34"/>
      <c r="I112" s="34"/>
      <c r="J112" s="34"/>
      <c r="K112" s="34"/>
      <c r="L112" s="34"/>
      <c r="M112" s="34"/>
    </row>
    <row r="113" spans="1:13" s="22" customFormat="1" ht="13.5">
      <c r="A113" s="3"/>
      <c r="B113" s="3"/>
      <c r="C113" s="2"/>
      <c r="D113" s="3"/>
      <c r="E113" s="3"/>
      <c r="F113" s="234"/>
      <c r="G113" s="34"/>
      <c r="H113" s="34"/>
      <c r="I113" s="34"/>
      <c r="J113" s="34"/>
      <c r="K113" s="34"/>
      <c r="L113" s="34"/>
      <c r="M113" s="34"/>
    </row>
    <row r="114" spans="1:13" s="22" customFormat="1" ht="13.5">
      <c r="A114" s="3"/>
      <c r="B114" s="3"/>
      <c r="C114" s="2" t="s">
        <v>521</v>
      </c>
      <c r="D114" s="265"/>
      <c r="E114" s="265"/>
      <c r="F114" s="234"/>
      <c r="G114" s="34"/>
      <c r="H114" s="266" t="s">
        <v>522</v>
      </c>
      <c r="I114" s="266"/>
      <c r="J114" s="34"/>
      <c r="K114" s="34"/>
      <c r="L114" s="34"/>
      <c r="M114" s="34"/>
    </row>
    <row r="115" spans="1:13" s="22" customFormat="1" ht="13.5">
      <c r="A115" s="3"/>
      <c r="B115" s="3"/>
      <c r="C115" s="2"/>
      <c r="D115" s="3"/>
      <c r="E115" s="3"/>
      <c r="F115" s="234"/>
      <c r="G115" s="34"/>
      <c r="H115" s="34"/>
      <c r="I115" s="34"/>
      <c r="J115" s="34"/>
      <c r="K115" s="34"/>
      <c r="L115" s="34"/>
      <c r="M115" s="34"/>
    </row>
    <row r="116" spans="1:13" s="22" customFormat="1" ht="13.5">
      <c r="A116" s="3"/>
      <c r="B116" s="3"/>
      <c r="C116" s="2"/>
      <c r="D116" s="3"/>
      <c r="E116" s="3"/>
      <c r="F116" s="234"/>
      <c r="G116" s="34"/>
      <c r="H116" s="34"/>
      <c r="I116" s="34"/>
      <c r="J116" s="34"/>
      <c r="K116" s="34"/>
      <c r="L116" s="34"/>
      <c r="M116" s="34"/>
    </row>
    <row r="117" spans="1:13" s="22" customFormat="1" ht="13.5">
      <c r="A117" s="3"/>
      <c r="B117" s="3"/>
      <c r="C117" s="2"/>
      <c r="D117" s="3"/>
      <c r="E117" s="3"/>
      <c r="F117" s="234"/>
      <c r="G117" s="34"/>
      <c r="H117" s="34"/>
      <c r="I117" s="34"/>
      <c r="J117" s="34"/>
      <c r="K117" s="34"/>
      <c r="L117" s="34"/>
      <c r="M117" s="34"/>
    </row>
    <row r="118" spans="1:13" s="22" customFormat="1" ht="13.5">
      <c r="A118" s="3"/>
      <c r="B118" s="3"/>
      <c r="C118" s="2"/>
      <c r="D118" s="3"/>
      <c r="E118" s="3"/>
      <c r="F118" s="234"/>
      <c r="G118" s="34"/>
      <c r="H118" s="34"/>
      <c r="I118" s="34"/>
      <c r="J118" s="34"/>
      <c r="K118" s="34"/>
      <c r="L118" s="34"/>
      <c r="M118" s="34"/>
    </row>
    <row r="119" spans="1:13" s="22" customFormat="1" ht="13.5">
      <c r="A119" s="3"/>
      <c r="B119" s="3"/>
      <c r="C119" s="2"/>
      <c r="D119" s="3"/>
      <c r="E119" s="3"/>
      <c r="F119" s="234"/>
      <c r="G119" s="34"/>
      <c r="H119" s="34"/>
      <c r="I119" s="34"/>
      <c r="J119" s="34"/>
      <c r="K119" s="34"/>
      <c r="L119" s="34"/>
      <c r="M119" s="34"/>
    </row>
    <row r="120" spans="1:13" s="22" customFormat="1" ht="13.5">
      <c r="A120" s="3"/>
      <c r="B120" s="3"/>
      <c r="C120" s="2"/>
      <c r="D120" s="3"/>
      <c r="E120" s="3"/>
      <c r="F120" s="234"/>
      <c r="G120" s="34"/>
      <c r="H120" s="34"/>
      <c r="I120" s="34"/>
      <c r="J120" s="34"/>
      <c r="K120" s="34"/>
      <c r="L120" s="34"/>
      <c r="M120" s="34"/>
    </row>
    <row r="121" spans="1:13" s="22" customFormat="1" ht="13.5">
      <c r="A121" s="3"/>
      <c r="B121" s="3"/>
      <c r="C121" s="2"/>
      <c r="D121" s="3"/>
      <c r="E121" s="3"/>
      <c r="F121" s="234"/>
      <c r="G121" s="34"/>
      <c r="H121" s="34"/>
      <c r="I121" s="34"/>
      <c r="J121" s="34"/>
      <c r="K121" s="34"/>
      <c r="L121" s="34"/>
      <c r="M121" s="34"/>
    </row>
    <row r="122" spans="1:13" s="22" customFormat="1" ht="13.5">
      <c r="A122" s="3"/>
      <c r="B122" s="3"/>
      <c r="C122" s="2"/>
      <c r="D122" s="3"/>
      <c r="E122" s="3"/>
      <c r="F122" s="234"/>
      <c r="G122" s="34"/>
      <c r="H122" s="34"/>
      <c r="I122" s="34"/>
      <c r="J122" s="34"/>
      <c r="K122" s="34"/>
      <c r="L122" s="34"/>
      <c r="M122" s="34"/>
    </row>
    <row r="123" spans="1:13" s="22" customFormat="1" ht="13.5">
      <c r="A123" s="3"/>
      <c r="B123" s="3"/>
      <c r="C123" s="2"/>
      <c r="D123" s="3"/>
      <c r="E123" s="3"/>
      <c r="F123" s="234"/>
      <c r="G123" s="34"/>
      <c r="H123" s="34"/>
      <c r="I123" s="34"/>
      <c r="J123" s="34"/>
      <c r="K123" s="34"/>
      <c r="L123" s="34"/>
      <c r="M123" s="34"/>
    </row>
    <row r="124" spans="1:13" s="22" customFormat="1" ht="13.5">
      <c r="A124" s="3"/>
      <c r="B124" s="3"/>
      <c r="C124" s="2"/>
      <c r="D124" s="3"/>
      <c r="E124" s="3"/>
      <c r="F124" s="234"/>
      <c r="G124" s="34"/>
      <c r="H124" s="34"/>
      <c r="I124" s="34"/>
      <c r="J124" s="34"/>
      <c r="K124" s="34"/>
      <c r="L124" s="34"/>
      <c r="M124" s="34"/>
    </row>
    <row r="125" spans="1:13" s="22" customFormat="1" ht="13.5">
      <c r="A125" s="3"/>
      <c r="B125" s="3"/>
      <c r="C125" s="2"/>
      <c r="D125" s="3"/>
      <c r="E125" s="3"/>
      <c r="F125" s="234"/>
      <c r="G125" s="34"/>
      <c r="H125" s="34"/>
      <c r="I125" s="34"/>
      <c r="J125" s="34"/>
      <c r="K125" s="34"/>
      <c r="L125" s="34"/>
      <c r="M125" s="34"/>
    </row>
    <row r="126" spans="1:13" s="22" customFormat="1" ht="13.5">
      <c r="A126" s="3"/>
      <c r="B126" s="3"/>
      <c r="C126" s="2"/>
      <c r="D126" s="3"/>
      <c r="E126" s="3"/>
      <c r="F126" s="234"/>
      <c r="G126" s="34"/>
      <c r="H126" s="34"/>
      <c r="I126" s="34"/>
      <c r="J126" s="34"/>
      <c r="K126" s="34"/>
      <c r="L126" s="34"/>
      <c r="M126" s="34"/>
    </row>
    <row r="127" spans="1:13" s="22" customFormat="1" ht="13.5">
      <c r="A127" s="3"/>
      <c r="B127" s="3"/>
      <c r="C127" s="2"/>
      <c r="D127" s="3"/>
      <c r="E127" s="3"/>
      <c r="F127" s="234"/>
      <c r="G127" s="34"/>
      <c r="H127" s="34"/>
      <c r="I127" s="34"/>
      <c r="J127" s="34"/>
      <c r="K127" s="34"/>
      <c r="L127" s="34"/>
      <c r="M127" s="34"/>
    </row>
    <row r="128" spans="1:13" s="22" customFormat="1" ht="13.5">
      <c r="A128" s="3"/>
      <c r="B128" s="3"/>
      <c r="C128" s="2"/>
      <c r="D128" s="3"/>
      <c r="E128" s="3"/>
      <c r="F128" s="234"/>
      <c r="G128" s="34"/>
      <c r="H128" s="34"/>
      <c r="I128" s="34"/>
      <c r="J128" s="34"/>
      <c r="K128" s="34"/>
      <c r="L128" s="34"/>
      <c r="M128" s="34"/>
    </row>
    <row r="129" spans="1:13" s="22" customFormat="1" ht="13.5">
      <c r="A129" s="3"/>
      <c r="B129" s="3"/>
      <c r="C129" s="2"/>
      <c r="D129" s="3"/>
      <c r="E129" s="3"/>
      <c r="F129" s="234"/>
      <c r="G129" s="34"/>
      <c r="H129" s="34"/>
      <c r="I129" s="34"/>
      <c r="J129" s="34"/>
      <c r="K129" s="34"/>
      <c r="L129" s="34"/>
      <c r="M129" s="34"/>
    </row>
    <row r="130" spans="1:13" s="22" customFormat="1" ht="13.5">
      <c r="A130" s="3"/>
      <c r="B130" s="3"/>
      <c r="C130" s="2"/>
      <c r="D130" s="3"/>
      <c r="E130" s="3"/>
      <c r="F130" s="234"/>
      <c r="G130" s="34"/>
      <c r="H130" s="34"/>
      <c r="I130" s="34"/>
      <c r="J130" s="34"/>
      <c r="K130" s="34"/>
      <c r="L130" s="34"/>
      <c r="M130" s="34"/>
    </row>
    <row r="131" spans="1:13" s="22" customFormat="1" ht="13.5">
      <c r="A131" s="3"/>
      <c r="B131" s="3"/>
      <c r="C131" s="2"/>
      <c r="D131" s="3"/>
      <c r="E131" s="3"/>
      <c r="F131" s="234"/>
      <c r="G131" s="34"/>
      <c r="H131" s="34"/>
      <c r="I131" s="34"/>
      <c r="J131" s="34"/>
      <c r="K131" s="34"/>
      <c r="L131" s="34"/>
      <c r="M131" s="34"/>
    </row>
    <row r="132" spans="1:13" s="22" customFormat="1" ht="13.5">
      <c r="A132" s="3"/>
      <c r="B132" s="3"/>
      <c r="C132" s="2"/>
      <c r="D132" s="3"/>
      <c r="E132" s="3"/>
      <c r="F132" s="234"/>
      <c r="G132" s="34"/>
      <c r="H132" s="34"/>
      <c r="I132" s="34"/>
      <c r="J132" s="34"/>
      <c r="K132" s="34"/>
      <c r="L132" s="34"/>
      <c r="M132" s="34"/>
    </row>
    <row r="133" spans="1:13" s="22" customFormat="1" ht="13.5">
      <c r="A133" s="3"/>
      <c r="B133" s="3"/>
      <c r="C133" s="2"/>
      <c r="D133" s="3"/>
      <c r="E133" s="3"/>
      <c r="F133" s="234"/>
      <c r="G133" s="34"/>
      <c r="H133" s="34"/>
      <c r="I133" s="34"/>
      <c r="J133" s="34"/>
      <c r="K133" s="34"/>
      <c r="L133" s="34"/>
      <c r="M133" s="34"/>
    </row>
    <row r="134" spans="1:13" s="22" customFormat="1" ht="13.5">
      <c r="A134" s="3"/>
      <c r="B134" s="3"/>
      <c r="C134" s="2"/>
      <c r="D134" s="3"/>
      <c r="E134" s="3"/>
      <c r="F134" s="234"/>
      <c r="G134" s="34"/>
      <c r="H134" s="34"/>
      <c r="I134" s="34"/>
      <c r="J134" s="34"/>
      <c r="K134" s="34"/>
      <c r="L134" s="34"/>
      <c r="M134" s="34"/>
    </row>
    <row r="135" spans="1:13" s="22" customFormat="1" ht="13.5">
      <c r="A135" s="3"/>
      <c r="B135" s="3"/>
      <c r="C135" s="2"/>
      <c r="D135" s="3"/>
      <c r="E135" s="3"/>
      <c r="F135" s="234"/>
      <c r="G135" s="34"/>
      <c r="H135" s="34"/>
      <c r="I135" s="34"/>
      <c r="J135" s="34"/>
      <c r="K135" s="34"/>
      <c r="L135" s="34"/>
      <c r="M135" s="34"/>
    </row>
    <row r="136" spans="1:13" s="22" customFormat="1" ht="13.5">
      <c r="A136" s="3"/>
      <c r="B136" s="3"/>
      <c r="C136" s="2"/>
      <c r="D136" s="3"/>
      <c r="E136" s="3"/>
      <c r="F136" s="234"/>
      <c r="G136" s="34"/>
      <c r="H136" s="34"/>
      <c r="I136" s="34"/>
      <c r="J136" s="34"/>
      <c r="K136" s="34"/>
      <c r="L136" s="34"/>
      <c r="M136" s="34"/>
    </row>
    <row r="137" spans="1:13" s="22" customFormat="1" ht="13.5">
      <c r="A137" s="3"/>
      <c r="B137" s="3"/>
      <c r="C137" s="2"/>
      <c r="D137" s="3"/>
      <c r="E137" s="3"/>
      <c r="F137" s="234"/>
      <c r="G137" s="34"/>
      <c r="H137" s="34"/>
      <c r="I137" s="34"/>
      <c r="J137" s="34"/>
      <c r="K137" s="34"/>
      <c r="L137" s="34"/>
      <c r="M137" s="34"/>
    </row>
    <row r="138" spans="1:13" s="22" customFormat="1" ht="13.5">
      <c r="A138" s="3"/>
      <c r="B138" s="3"/>
      <c r="C138" s="2"/>
      <c r="D138" s="3"/>
      <c r="E138" s="3"/>
      <c r="F138" s="234"/>
      <c r="G138" s="34"/>
      <c r="H138" s="34"/>
      <c r="I138" s="34"/>
      <c r="J138" s="34"/>
      <c r="K138" s="34"/>
      <c r="L138" s="34"/>
      <c r="M138" s="34"/>
    </row>
    <row r="139" spans="1:13" s="22" customFormat="1" ht="13.5">
      <c r="A139" s="3"/>
      <c r="B139" s="3"/>
      <c r="C139" s="2"/>
      <c r="D139" s="3"/>
      <c r="E139" s="3"/>
      <c r="F139" s="234"/>
      <c r="G139" s="34"/>
      <c r="H139" s="34"/>
      <c r="I139" s="34"/>
      <c r="J139" s="34"/>
      <c r="K139" s="34"/>
      <c r="L139" s="34"/>
      <c r="M139" s="34"/>
    </row>
    <row r="140" spans="1:13" s="22" customFormat="1" ht="13.5">
      <c r="A140" s="3"/>
      <c r="B140" s="3"/>
      <c r="C140" s="2"/>
      <c r="D140" s="3"/>
      <c r="E140" s="3"/>
      <c r="F140" s="234"/>
      <c r="G140" s="34"/>
      <c r="H140" s="34"/>
      <c r="I140" s="34"/>
      <c r="J140" s="34"/>
      <c r="K140" s="34"/>
      <c r="L140" s="34"/>
      <c r="M140" s="34"/>
    </row>
    <row r="141" spans="1:13" s="22" customFormat="1" ht="13.5">
      <c r="A141" s="3"/>
      <c r="B141" s="3"/>
      <c r="C141" s="2"/>
      <c r="D141" s="3"/>
      <c r="E141" s="3"/>
      <c r="F141" s="234"/>
      <c r="G141" s="34"/>
      <c r="H141" s="34"/>
      <c r="I141" s="34"/>
      <c r="J141" s="34"/>
      <c r="K141" s="34"/>
      <c r="L141" s="34"/>
      <c r="M141" s="34"/>
    </row>
    <row r="142" spans="1:13" s="22" customFormat="1" ht="13.5">
      <c r="A142" s="3"/>
      <c r="B142" s="3"/>
      <c r="C142" s="2"/>
      <c r="D142" s="3"/>
      <c r="E142" s="3"/>
      <c r="F142" s="234"/>
      <c r="G142" s="34"/>
      <c r="H142" s="34"/>
      <c r="I142" s="34"/>
      <c r="J142" s="34"/>
      <c r="K142" s="34"/>
      <c r="L142" s="34"/>
      <c r="M142" s="34"/>
    </row>
    <row r="143" spans="1:13" s="22" customFormat="1" ht="13.5">
      <c r="A143" s="3"/>
      <c r="B143" s="3"/>
      <c r="C143" s="2"/>
      <c r="D143" s="3"/>
      <c r="E143" s="3"/>
      <c r="F143" s="234"/>
      <c r="G143" s="34"/>
      <c r="H143" s="34"/>
      <c r="I143" s="34"/>
      <c r="J143" s="34"/>
      <c r="K143" s="34"/>
      <c r="L143" s="34"/>
      <c r="M143" s="34"/>
    </row>
    <row r="144" spans="1:13" s="22" customFormat="1" ht="13.5">
      <c r="A144" s="3"/>
      <c r="B144" s="3"/>
      <c r="C144" s="2"/>
      <c r="D144" s="3"/>
      <c r="E144" s="3"/>
      <c r="F144" s="234"/>
      <c r="G144" s="34"/>
      <c r="H144" s="34"/>
      <c r="I144" s="34"/>
      <c r="J144" s="34"/>
      <c r="K144" s="34"/>
      <c r="L144" s="34"/>
      <c r="M144" s="34"/>
    </row>
    <row r="145" spans="1:13" s="22" customFormat="1" ht="13.5">
      <c r="A145" s="3"/>
      <c r="B145" s="3"/>
      <c r="C145" s="2"/>
      <c r="D145" s="3"/>
      <c r="E145" s="3"/>
      <c r="F145" s="234"/>
      <c r="G145" s="34"/>
      <c r="H145" s="34"/>
      <c r="I145" s="34"/>
      <c r="J145" s="34"/>
      <c r="K145" s="34"/>
      <c r="L145" s="34"/>
      <c r="M145" s="34"/>
    </row>
    <row r="146" spans="1:13" s="22" customFormat="1" ht="13.5">
      <c r="A146" s="3"/>
      <c r="B146" s="3"/>
      <c r="C146" s="2"/>
      <c r="D146" s="3"/>
      <c r="E146" s="3"/>
      <c r="F146" s="234"/>
      <c r="G146" s="34"/>
      <c r="H146" s="34"/>
      <c r="I146" s="34"/>
      <c r="J146" s="34"/>
      <c r="K146" s="34"/>
      <c r="L146" s="34"/>
      <c r="M146" s="34"/>
    </row>
    <row r="147" spans="1:13" s="22" customFormat="1" ht="13.5">
      <c r="A147" s="3"/>
      <c r="B147" s="3"/>
      <c r="C147" s="2"/>
      <c r="D147" s="3"/>
      <c r="E147" s="3"/>
      <c r="F147" s="234"/>
      <c r="G147" s="34"/>
      <c r="H147" s="34"/>
      <c r="I147" s="34"/>
      <c r="J147" s="34"/>
      <c r="K147" s="34"/>
      <c r="L147" s="34"/>
      <c r="M147" s="34"/>
    </row>
    <row r="148" spans="1:13" s="22" customFormat="1" ht="13.5">
      <c r="A148" s="3"/>
      <c r="B148" s="3"/>
      <c r="C148" s="2"/>
      <c r="D148" s="3"/>
      <c r="E148" s="3"/>
      <c r="F148" s="234"/>
      <c r="G148" s="34"/>
      <c r="H148" s="34"/>
      <c r="I148" s="34"/>
      <c r="J148" s="34"/>
      <c r="K148" s="34"/>
      <c r="L148" s="34"/>
      <c r="M148" s="34"/>
    </row>
    <row r="149" spans="1:13" s="22" customFormat="1" ht="13.5">
      <c r="A149" s="3"/>
      <c r="B149" s="3"/>
      <c r="C149" s="2"/>
      <c r="D149" s="3"/>
      <c r="E149" s="3"/>
      <c r="F149" s="234"/>
      <c r="G149" s="34"/>
      <c r="H149" s="34"/>
      <c r="I149" s="34"/>
      <c r="J149" s="34"/>
      <c r="K149" s="34"/>
      <c r="L149" s="34"/>
      <c r="M149" s="34"/>
    </row>
    <row r="150" spans="1:13" s="22" customFormat="1" ht="13.5">
      <c r="A150" s="3"/>
      <c r="B150" s="3"/>
      <c r="C150" s="2"/>
      <c r="D150" s="3"/>
      <c r="E150" s="3"/>
      <c r="F150" s="234"/>
      <c r="G150" s="34"/>
      <c r="H150" s="34"/>
      <c r="I150" s="34"/>
      <c r="J150" s="34"/>
      <c r="K150" s="34"/>
      <c r="L150" s="34"/>
      <c r="M150" s="34"/>
    </row>
    <row r="151" spans="1:13" s="22" customFormat="1" ht="13.5">
      <c r="A151" s="3"/>
      <c r="B151" s="3"/>
      <c r="C151" s="2"/>
      <c r="D151" s="3"/>
      <c r="E151" s="3"/>
      <c r="F151" s="234"/>
      <c r="G151" s="34"/>
      <c r="H151" s="34"/>
      <c r="I151" s="34"/>
      <c r="J151" s="34"/>
      <c r="K151" s="34"/>
      <c r="L151" s="34"/>
      <c r="M151" s="34"/>
    </row>
    <row r="152" spans="1:13" s="22" customFormat="1" ht="13.5">
      <c r="A152" s="3"/>
      <c r="B152" s="3"/>
      <c r="C152" s="2"/>
      <c r="D152" s="3"/>
      <c r="E152" s="3"/>
      <c r="F152" s="234"/>
      <c r="G152" s="34"/>
      <c r="H152" s="34"/>
      <c r="I152" s="34"/>
      <c r="J152" s="34"/>
      <c r="K152" s="34"/>
      <c r="L152" s="34"/>
      <c r="M152" s="34"/>
    </row>
    <row r="153" spans="1:13" s="22" customFormat="1" ht="13.5">
      <c r="A153" s="3"/>
      <c r="B153" s="3"/>
      <c r="C153" s="2"/>
      <c r="D153" s="3"/>
      <c r="E153" s="3"/>
      <c r="F153" s="234"/>
      <c r="G153" s="34"/>
      <c r="H153" s="34"/>
      <c r="I153" s="34"/>
      <c r="J153" s="34"/>
      <c r="K153" s="34"/>
      <c r="L153" s="34"/>
      <c r="M153" s="34"/>
    </row>
    <row r="154" spans="1:13" s="22" customFormat="1" ht="13.5">
      <c r="A154" s="3"/>
      <c r="B154" s="3"/>
      <c r="C154" s="2"/>
      <c r="D154" s="3"/>
      <c r="E154" s="3"/>
      <c r="F154" s="235"/>
    </row>
    <row r="155" spans="1:13" s="22" customFormat="1" ht="13.5">
      <c r="C155" s="1"/>
      <c r="F155" s="235"/>
    </row>
    <row r="156" spans="1:13" s="22" customFormat="1" ht="13.5">
      <c r="C156" s="1"/>
      <c r="F156" s="235"/>
    </row>
    <row r="157" spans="1:13" s="22" customFormat="1" ht="13.5">
      <c r="C157" s="1"/>
      <c r="F157" s="235"/>
    </row>
    <row r="158" spans="1:13" s="22" customFormat="1" ht="13.5">
      <c r="C158" s="1"/>
      <c r="F158" s="235"/>
    </row>
    <row r="159" spans="1:13" s="22" customFormat="1" ht="13.5">
      <c r="C159" s="1"/>
      <c r="F159" s="235"/>
    </row>
    <row r="160" spans="1:13" s="22" customFormat="1" ht="13.5">
      <c r="C160" s="1"/>
      <c r="F160" s="235"/>
    </row>
    <row r="161" spans="3:6" s="22" customFormat="1" ht="13.5">
      <c r="C161" s="1"/>
      <c r="F161" s="235"/>
    </row>
    <row r="162" spans="3:6" s="22" customFormat="1" ht="13.5">
      <c r="C162" s="1"/>
      <c r="F162" s="235"/>
    </row>
    <row r="163" spans="3:6" s="22" customFormat="1" ht="13.5">
      <c r="C163" s="1"/>
      <c r="F163" s="235"/>
    </row>
    <row r="164" spans="3:6" s="22" customFormat="1" ht="13.5">
      <c r="C164" s="1"/>
      <c r="F164" s="235"/>
    </row>
    <row r="165" spans="3:6" s="22" customFormat="1" ht="13.5">
      <c r="C165" s="1"/>
      <c r="F165" s="235"/>
    </row>
    <row r="166" spans="3:6" s="22" customFormat="1" ht="13.5">
      <c r="C166" s="1"/>
      <c r="F166" s="235"/>
    </row>
    <row r="167" spans="3:6" s="22" customFormat="1" ht="13.5">
      <c r="C167" s="1"/>
      <c r="F167" s="235"/>
    </row>
    <row r="168" spans="3:6" s="22" customFormat="1" ht="13.5">
      <c r="C168" s="1"/>
      <c r="F168" s="235"/>
    </row>
    <row r="169" spans="3:6" s="22" customFormat="1" ht="13.5">
      <c r="C169" s="1"/>
      <c r="F169" s="235"/>
    </row>
    <row r="170" spans="3:6" s="22" customFormat="1" ht="13.5">
      <c r="C170" s="1"/>
      <c r="F170" s="235"/>
    </row>
    <row r="171" spans="3:6" s="22" customFormat="1" ht="13.5">
      <c r="C171" s="1"/>
      <c r="F171" s="235"/>
    </row>
    <row r="172" spans="3:6" s="22" customFormat="1" ht="13.5">
      <c r="C172" s="1"/>
      <c r="F172" s="235"/>
    </row>
    <row r="173" spans="3:6" s="22" customFormat="1" ht="13.5">
      <c r="C173" s="1"/>
      <c r="F173" s="235"/>
    </row>
    <row r="174" spans="3:6" s="22" customFormat="1" ht="13.5">
      <c r="C174" s="1"/>
      <c r="F174" s="235"/>
    </row>
    <row r="175" spans="3:6" s="22" customFormat="1" ht="13.5">
      <c r="C175" s="1"/>
      <c r="F175" s="235"/>
    </row>
    <row r="176" spans="3:6" s="22" customFormat="1" ht="13.5">
      <c r="C176" s="1"/>
      <c r="F176" s="235"/>
    </row>
    <row r="177" spans="3:6" s="22" customFormat="1" ht="13.5">
      <c r="C177" s="1"/>
      <c r="F177" s="235"/>
    </row>
    <row r="178" spans="3:6" s="22" customFormat="1" ht="13.5">
      <c r="C178" s="1"/>
      <c r="F178" s="235"/>
    </row>
    <row r="179" spans="3:6" s="22" customFormat="1" ht="13.5">
      <c r="C179" s="1"/>
      <c r="F179" s="235"/>
    </row>
    <row r="180" spans="3:6" s="22" customFormat="1" ht="13.5">
      <c r="C180" s="1"/>
      <c r="F180" s="235"/>
    </row>
    <row r="181" spans="3:6" s="22" customFormat="1" ht="13.5">
      <c r="C181" s="1"/>
      <c r="F181" s="235"/>
    </row>
    <row r="182" spans="3:6" s="36" customFormat="1" ht="13.5">
      <c r="F182" s="236"/>
    </row>
    <row r="183" spans="3:6" s="36" customFormat="1" ht="13.5">
      <c r="F183" s="236"/>
    </row>
    <row r="184" spans="3:6" s="36" customFormat="1" ht="13.5">
      <c r="F184" s="236"/>
    </row>
    <row r="185" spans="3:6" s="36" customFormat="1" ht="13.5">
      <c r="F185" s="236"/>
    </row>
    <row r="186" spans="3:6" s="36" customFormat="1" ht="13.5">
      <c r="F186" s="236"/>
    </row>
    <row r="187" spans="3:6" s="36" customFormat="1" ht="13.5">
      <c r="F187" s="236"/>
    </row>
    <row r="188" spans="3:6" s="36" customFormat="1" ht="13.5">
      <c r="F188" s="236"/>
    </row>
    <row r="189" spans="3:6" s="36" customFormat="1" ht="13.5">
      <c r="F189" s="236"/>
    </row>
  </sheetData>
  <mergeCells count="33">
    <mergeCell ref="D114:E114"/>
    <mergeCell ref="H114:I114"/>
    <mergeCell ref="A79:A82"/>
    <mergeCell ref="A83:A87"/>
    <mergeCell ref="A90:A91"/>
    <mergeCell ref="A92:A95"/>
    <mergeCell ref="A96:A105"/>
    <mergeCell ref="A74:A78"/>
    <mergeCell ref="A11:A12"/>
    <mergeCell ref="A13:A15"/>
    <mergeCell ref="A17:A19"/>
    <mergeCell ref="A20:A22"/>
    <mergeCell ref="A23:A26"/>
    <mergeCell ref="A27:A31"/>
    <mergeCell ref="A32:A47"/>
    <mergeCell ref="A48:A56"/>
    <mergeCell ref="A57:A66"/>
    <mergeCell ref="A68:A73"/>
    <mergeCell ref="I7:J7"/>
    <mergeCell ref="K7:L7"/>
    <mergeCell ref="M7:M8"/>
    <mergeCell ref="A7:A8"/>
    <mergeCell ref="B7:B8"/>
    <mergeCell ref="C7:C8"/>
    <mergeCell ref="D7:D8"/>
    <mergeCell ref="E7:F7"/>
    <mergeCell ref="G7:H7"/>
    <mergeCell ref="A6:G6"/>
    <mergeCell ref="A1:M1"/>
    <mergeCell ref="A2:M2"/>
    <mergeCell ref="A3:M3"/>
    <mergeCell ref="A4:G4"/>
    <mergeCell ref="C5:K5"/>
  </mergeCells>
  <pageMargins left="0.15748031496062992" right="0.19685039370078741" top="0.39370078740157483" bottom="0.39370078740157483" header="0.31496062992125984" footer="0.31496062992125984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view="pageBreakPreview" zoomScale="60" zoomScaleNormal="100" workbookViewId="0">
      <selection activeCell="K16" sqref="K16"/>
    </sheetView>
  </sheetViews>
  <sheetFormatPr defaultColWidth="9.140625" defaultRowHeight="15"/>
  <cols>
    <col min="1" max="1" width="6.42578125" customWidth="1"/>
    <col min="3" max="3" width="38.85546875" customWidth="1"/>
    <col min="7" max="7" width="8.140625" customWidth="1"/>
    <col min="9" max="9" width="8.42578125" customWidth="1"/>
  </cols>
  <sheetData>
    <row r="1" spans="1:16" s="36" customFormat="1" ht="24" customHeight="1">
      <c r="A1" s="277" t="s">
        <v>163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6"/>
      <c r="O1" s="14"/>
      <c r="P1" s="14"/>
    </row>
    <row r="2" spans="1:16" s="36" customFormat="1" ht="17.25" customHeight="1">
      <c r="A2" s="278" t="s">
        <v>92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6"/>
      <c r="O2" s="7"/>
      <c r="P2" s="7"/>
    </row>
    <row r="3" spans="1:16" s="36" customFormat="1" ht="15.75">
      <c r="A3" s="278" t="s">
        <v>450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6"/>
      <c r="O3" s="7"/>
      <c r="P3" s="7"/>
    </row>
    <row r="4" spans="1:16" s="36" customFormat="1" ht="15.75">
      <c r="A4" s="279" t="s">
        <v>1</v>
      </c>
      <c r="B4" s="279"/>
      <c r="C4" s="279"/>
      <c r="D4" s="279"/>
      <c r="E4" s="279"/>
      <c r="F4" s="279"/>
      <c r="G4" s="279"/>
      <c r="H4" s="8"/>
      <c r="I4" s="8"/>
      <c r="J4" s="8"/>
      <c r="K4" s="8"/>
      <c r="L4" s="8"/>
      <c r="M4" s="8"/>
      <c r="N4" s="6"/>
      <c r="O4" s="7"/>
      <c r="P4" s="7"/>
    </row>
    <row r="5" spans="1:16" s="36" customFormat="1" ht="15.75">
      <c r="A5" s="42"/>
      <c r="B5" s="42"/>
      <c r="C5" s="280" t="s">
        <v>2</v>
      </c>
      <c r="D5" s="280"/>
      <c r="E5" s="280"/>
      <c r="F5" s="280"/>
      <c r="G5" s="280"/>
      <c r="H5" s="280"/>
      <c r="I5" s="280"/>
      <c r="J5" s="280"/>
      <c r="K5" s="280"/>
      <c r="L5" s="9">
        <f>M63</f>
        <v>0</v>
      </c>
      <c r="M5" s="10" t="s">
        <v>16</v>
      </c>
      <c r="N5" s="6"/>
      <c r="O5" s="7"/>
      <c r="P5" s="7"/>
    </row>
    <row r="6" spans="1:16" s="36" customFormat="1" ht="18.75" customHeight="1">
      <c r="A6" s="267" t="s">
        <v>404</v>
      </c>
      <c r="B6" s="267"/>
      <c r="C6" s="267"/>
      <c r="D6" s="267"/>
      <c r="E6" s="267"/>
      <c r="F6" s="267"/>
      <c r="G6" s="267"/>
      <c r="H6" s="8"/>
      <c r="I6" s="8"/>
      <c r="J6" s="8"/>
      <c r="K6" s="8"/>
      <c r="L6" s="8"/>
      <c r="M6" s="8"/>
      <c r="N6" s="6"/>
      <c r="O6" s="7"/>
      <c r="P6" s="7"/>
    </row>
    <row r="7" spans="1:16" s="36" customFormat="1" ht="38.25" customHeight="1">
      <c r="A7" s="285" t="s">
        <v>3</v>
      </c>
      <c r="B7" s="285" t="s">
        <v>4</v>
      </c>
      <c r="C7" s="284" t="s">
        <v>5</v>
      </c>
      <c r="D7" s="284" t="s">
        <v>6</v>
      </c>
      <c r="E7" s="284" t="s">
        <v>7</v>
      </c>
      <c r="F7" s="284"/>
      <c r="G7" s="284" t="s">
        <v>8</v>
      </c>
      <c r="H7" s="284"/>
      <c r="I7" s="284" t="s">
        <v>9</v>
      </c>
      <c r="J7" s="284"/>
      <c r="K7" s="284" t="s">
        <v>10</v>
      </c>
      <c r="L7" s="284"/>
      <c r="M7" s="285" t="s">
        <v>11</v>
      </c>
      <c r="N7" s="6"/>
      <c r="O7" s="7"/>
      <c r="P7" s="7"/>
    </row>
    <row r="8" spans="1:16" s="36" customFormat="1" ht="40.5">
      <c r="A8" s="285"/>
      <c r="B8" s="285"/>
      <c r="C8" s="284"/>
      <c r="D8" s="284"/>
      <c r="E8" s="43" t="s">
        <v>12</v>
      </c>
      <c r="F8" s="43" t="s">
        <v>11</v>
      </c>
      <c r="G8" s="43" t="s">
        <v>13</v>
      </c>
      <c r="H8" s="11" t="s">
        <v>11</v>
      </c>
      <c r="I8" s="12" t="s">
        <v>13</v>
      </c>
      <c r="J8" s="13" t="s">
        <v>11</v>
      </c>
      <c r="K8" s="43" t="s">
        <v>13</v>
      </c>
      <c r="L8" s="43" t="s">
        <v>11</v>
      </c>
      <c r="M8" s="285"/>
      <c r="N8" s="6"/>
      <c r="O8" s="7"/>
      <c r="P8" s="7"/>
    </row>
    <row r="9" spans="1:16" s="36" customFormat="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6"/>
      <c r="O9" s="7"/>
      <c r="P9" s="7"/>
    </row>
    <row r="10" spans="1:16" s="36" customFormat="1" ht="67.5">
      <c r="A10" s="214"/>
      <c r="B10" s="24"/>
      <c r="C10" s="211" t="s">
        <v>524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6"/>
      <c r="O10" s="7"/>
      <c r="P10" s="7"/>
    </row>
    <row r="11" spans="1:16" s="36" customFormat="1" ht="54">
      <c r="A11" s="274" t="s">
        <v>14</v>
      </c>
      <c r="B11" s="25" t="s">
        <v>165</v>
      </c>
      <c r="C11" s="105" t="s">
        <v>601</v>
      </c>
      <c r="D11" s="33" t="s">
        <v>80</v>
      </c>
      <c r="E11" s="21"/>
      <c r="F11" s="88">
        <v>798</v>
      </c>
      <c r="G11" s="21"/>
      <c r="H11" s="35"/>
      <c r="I11" s="120"/>
      <c r="J11" s="35"/>
      <c r="K11" s="20"/>
      <c r="L11" s="40"/>
      <c r="M11" s="121"/>
      <c r="N11" s="6"/>
      <c r="O11" s="7"/>
      <c r="P11" s="7"/>
    </row>
    <row r="12" spans="1:16" s="36" customFormat="1" ht="16.5">
      <c r="A12" s="276"/>
      <c r="B12" s="25" t="s">
        <v>166</v>
      </c>
      <c r="C12" s="163" t="s">
        <v>523</v>
      </c>
      <c r="D12" s="159" t="s">
        <v>20</v>
      </c>
      <c r="E12" s="33">
        <f>16.33/100*1.05</f>
        <v>0.17146499999999998</v>
      </c>
      <c r="F12" s="35">
        <f>E12*F11</f>
        <v>136.82906999999997</v>
      </c>
      <c r="G12" s="26"/>
      <c r="H12" s="26"/>
      <c r="I12" s="159"/>
      <c r="J12" s="159"/>
      <c r="K12" s="110"/>
      <c r="L12" s="35"/>
      <c r="M12" s="26"/>
      <c r="N12" s="6"/>
      <c r="O12" s="7"/>
      <c r="P12" s="7"/>
    </row>
    <row r="13" spans="1:16" s="36" customFormat="1" ht="40.5">
      <c r="A13" s="292">
        <v>2</v>
      </c>
      <c r="B13" s="25" t="s">
        <v>414</v>
      </c>
      <c r="C13" s="190" t="s">
        <v>413</v>
      </c>
      <c r="D13" s="33" t="s">
        <v>80</v>
      </c>
      <c r="E13" s="21"/>
      <c r="F13" s="88">
        <f>F11</f>
        <v>798</v>
      </c>
      <c r="G13" s="21"/>
      <c r="H13" s="35"/>
      <c r="I13" s="120"/>
      <c r="J13" s="40"/>
      <c r="K13" s="20"/>
      <c r="L13" s="40"/>
      <c r="M13" s="121"/>
      <c r="N13" s="6"/>
      <c r="O13" s="7"/>
      <c r="P13" s="7"/>
    </row>
    <row r="14" spans="1:16" s="36" customFormat="1" ht="15.75">
      <c r="A14" s="293"/>
      <c r="B14" s="25"/>
      <c r="C14" s="105" t="s">
        <v>534</v>
      </c>
      <c r="D14" s="41" t="s">
        <v>15</v>
      </c>
      <c r="E14" s="20">
        <f>0.016*1.15</f>
        <v>1.84E-2</v>
      </c>
      <c r="F14" s="35">
        <f>E14*F13</f>
        <v>14.683199999999999</v>
      </c>
      <c r="G14" s="99"/>
      <c r="H14" s="100"/>
      <c r="I14" s="35"/>
      <c r="J14" s="35"/>
      <c r="K14" s="35"/>
      <c r="L14" s="99"/>
      <c r="M14" s="35"/>
      <c r="N14" s="6"/>
      <c r="O14" s="7"/>
      <c r="P14" s="7"/>
    </row>
    <row r="15" spans="1:16" s="36" customFormat="1" ht="15.75">
      <c r="A15" s="294"/>
      <c r="B15" s="25" t="s">
        <v>100</v>
      </c>
      <c r="C15" s="105" t="s">
        <v>535</v>
      </c>
      <c r="D15" s="20" t="s">
        <v>85</v>
      </c>
      <c r="E15" s="21">
        <f>0.0359*1.05</f>
        <v>3.7695000000000006E-2</v>
      </c>
      <c r="F15" s="108">
        <f>E15*F13</f>
        <v>30.080610000000004</v>
      </c>
      <c r="G15" s="99"/>
      <c r="H15" s="100"/>
      <c r="I15" s="35"/>
      <c r="J15" s="35"/>
      <c r="K15" s="110"/>
      <c r="L15" s="35"/>
      <c r="M15" s="26"/>
      <c r="N15" s="6"/>
      <c r="O15" s="7"/>
      <c r="P15" s="7"/>
    </row>
    <row r="16" spans="1:16" s="36" customFormat="1" ht="54">
      <c r="A16" s="218">
        <v>3</v>
      </c>
      <c r="B16" s="215"/>
      <c r="C16" s="105" t="s">
        <v>603</v>
      </c>
      <c r="D16" s="20"/>
      <c r="E16" s="33"/>
      <c r="F16" s="88"/>
      <c r="G16" s="21"/>
      <c r="H16" s="35"/>
      <c r="I16" s="20"/>
      <c r="J16" s="35"/>
      <c r="K16" s="20"/>
      <c r="L16" s="40"/>
      <c r="M16" s="121"/>
      <c r="N16" s="6"/>
      <c r="O16" s="7"/>
      <c r="P16" s="7"/>
    </row>
    <row r="17" spans="1:16" s="36" customFormat="1" ht="40.5">
      <c r="A17" s="292" t="s">
        <v>152</v>
      </c>
      <c r="B17" s="25" t="s">
        <v>171</v>
      </c>
      <c r="C17" s="190" t="s">
        <v>410</v>
      </c>
      <c r="D17" s="20" t="s">
        <v>80</v>
      </c>
      <c r="E17" s="33"/>
      <c r="F17" s="88">
        <v>42</v>
      </c>
      <c r="G17" s="39"/>
      <c r="H17" s="37"/>
      <c r="I17" s="27"/>
      <c r="J17" s="16"/>
      <c r="K17" s="23"/>
      <c r="L17" s="16"/>
      <c r="M17" s="16"/>
      <c r="N17" s="6"/>
      <c r="O17" s="7"/>
      <c r="P17" s="7"/>
    </row>
    <row r="18" spans="1:16" s="36" customFormat="1" ht="15.75">
      <c r="A18" s="293"/>
      <c r="B18" s="25"/>
      <c r="C18" s="105" t="s">
        <v>529</v>
      </c>
      <c r="D18" s="41" t="s">
        <v>15</v>
      </c>
      <c r="E18" s="119">
        <f>8.6*1.15</f>
        <v>9.8899999999999988</v>
      </c>
      <c r="F18" s="26">
        <f>E18*F17</f>
        <v>415.37999999999994</v>
      </c>
      <c r="G18" s="26"/>
      <c r="H18" s="27"/>
      <c r="I18" s="26"/>
      <c r="J18" s="26"/>
      <c r="K18" s="27"/>
      <c r="L18" s="27"/>
      <c r="M18" s="26"/>
      <c r="N18" s="6"/>
      <c r="O18" s="7"/>
      <c r="P18" s="7"/>
    </row>
    <row r="19" spans="1:16" s="36" customFormat="1" ht="15.75">
      <c r="A19" s="294"/>
      <c r="B19" s="25" t="s">
        <v>172</v>
      </c>
      <c r="C19" s="190" t="s">
        <v>530</v>
      </c>
      <c r="D19" s="20" t="s">
        <v>85</v>
      </c>
      <c r="E19" s="119">
        <f>6.7*1.05</f>
        <v>7.0350000000000001</v>
      </c>
      <c r="F19" s="35">
        <f>E19*F17</f>
        <v>295.47000000000003</v>
      </c>
      <c r="G19" s="21"/>
      <c r="H19" s="35"/>
      <c r="I19" s="20"/>
      <c r="J19" s="35"/>
      <c r="K19" s="110"/>
      <c r="L19" s="35"/>
      <c r="M19" s="110"/>
      <c r="N19" s="6"/>
      <c r="O19" s="7"/>
      <c r="P19" s="7"/>
    </row>
    <row r="20" spans="1:16" s="36" customFormat="1" ht="40.5">
      <c r="A20" s="292" t="s">
        <v>153</v>
      </c>
      <c r="B20" s="25" t="s">
        <v>415</v>
      </c>
      <c r="C20" s="190" t="s">
        <v>425</v>
      </c>
      <c r="D20" s="33" t="s">
        <v>80</v>
      </c>
      <c r="E20" s="20"/>
      <c r="F20" s="88">
        <f>F17</f>
        <v>42</v>
      </c>
      <c r="G20" s="39"/>
      <c r="H20" s="40"/>
      <c r="I20" s="27"/>
      <c r="J20" s="16"/>
      <c r="K20" s="23"/>
      <c r="L20" s="16"/>
      <c r="M20" s="16"/>
      <c r="N20" s="6"/>
      <c r="O20" s="7"/>
      <c r="P20" s="7"/>
    </row>
    <row r="21" spans="1:16" s="36" customFormat="1" ht="15.75">
      <c r="A21" s="293"/>
      <c r="B21" s="25"/>
      <c r="C21" s="90" t="s">
        <v>537</v>
      </c>
      <c r="D21" s="41" t="s">
        <v>15</v>
      </c>
      <c r="E21" s="106">
        <f>1.2*1.15</f>
        <v>1.38</v>
      </c>
      <c r="F21" s="88">
        <f>E21*F20</f>
        <v>57.959999999999994</v>
      </c>
      <c r="G21" s="99"/>
      <c r="H21" s="100"/>
      <c r="I21" s="35"/>
      <c r="J21" s="35"/>
      <c r="K21" s="35"/>
      <c r="L21" s="99"/>
      <c r="M21" s="35"/>
      <c r="N21" s="6"/>
      <c r="O21" s="7"/>
      <c r="P21" s="7"/>
    </row>
    <row r="22" spans="1:16" s="36" customFormat="1" ht="15.75">
      <c r="A22" s="293"/>
      <c r="B22" s="25" t="s">
        <v>169</v>
      </c>
      <c r="C22" s="105" t="s">
        <v>87</v>
      </c>
      <c r="D22" s="33" t="s">
        <v>80</v>
      </c>
      <c r="E22" s="106"/>
      <c r="F22" s="122">
        <f>F20</f>
        <v>42</v>
      </c>
      <c r="G22" s="123"/>
      <c r="H22" s="123"/>
      <c r="I22" s="101"/>
      <c r="J22" s="16"/>
      <c r="K22" s="16"/>
      <c r="L22" s="16"/>
      <c r="M22" s="16"/>
      <c r="N22" s="6"/>
      <c r="O22" s="7"/>
      <c r="P22" s="7"/>
    </row>
    <row r="23" spans="1:16" s="36" customFormat="1" ht="15.75">
      <c r="A23" s="293"/>
      <c r="B23" s="25" t="s">
        <v>102</v>
      </c>
      <c r="C23" s="105" t="s">
        <v>88</v>
      </c>
      <c r="D23" s="20" t="s">
        <v>85</v>
      </c>
      <c r="E23" s="106">
        <f>1.05*0.00362</f>
        <v>3.8010000000000001E-3</v>
      </c>
      <c r="F23" s="19">
        <f>E23*F22</f>
        <v>0.15964200000000001</v>
      </c>
      <c r="G23" s="26"/>
      <c r="H23" s="27"/>
      <c r="I23" s="27"/>
      <c r="J23" s="27"/>
      <c r="K23" s="27"/>
      <c r="L23" s="26"/>
      <c r="M23" s="26"/>
      <c r="N23" s="6"/>
      <c r="O23" s="7"/>
      <c r="P23" s="7"/>
    </row>
    <row r="24" spans="1:16" s="36" customFormat="1" ht="15.75">
      <c r="A24" s="293"/>
      <c r="B24" s="25"/>
      <c r="C24" s="105" t="s">
        <v>28</v>
      </c>
      <c r="D24" s="20" t="s">
        <v>16</v>
      </c>
      <c r="E24" s="106">
        <v>1.8000000000000001E-4</v>
      </c>
      <c r="F24" s="19">
        <f>E24*F22</f>
        <v>7.5600000000000007E-3</v>
      </c>
      <c r="G24" s="123"/>
      <c r="H24" s="123"/>
      <c r="I24" s="122"/>
      <c r="J24" s="27"/>
      <c r="K24" s="18"/>
      <c r="L24" s="26"/>
      <c r="M24" s="26"/>
      <c r="N24" s="6"/>
      <c r="O24" s="7"/>
      <c r="P24" s="7"/>
    </row>
    <row r="25" spans="1:16" s="36" customFormat="1" ht="15.75">
      <c r="A25" s="293"/>
      <c r="B25" s="25" t="s">
        <v>225</v>
      </c>
      <c r="C25" s="105" t="s">
        <v>514</v>
      </c>
      <c r="D25" s="33" t="s">
        <v>80</v>
      </c>
      <c r="E25" s="106">
        <f>0.08/1000</f>
        <v>8.0000000000000007E-5</v>
      </c>
      <c r="F25" s="108">
        <f>E25*F22</f>
        <v>3.3600000000000001E-3</v>
      </c>
      <c r="G25" s="88"/>
      <c r="H25" s="35"/>
      <c r="I25" s="35"/>
      <c r="J25" s="35"/>
      <c r="K25" s="120"/>
      <c r="L25" s="35"/>
      <c r="M25" s="26"/>
      <c r="N25" s="6"/>
      <c r="O25" s="7"/>
      <c r="P25" s="7"/>
    </row>
    <row r="26" spans="1:16" s="36" customFormat="1" ht="15.75">
      <c r="A26" s="294"/>
      <c r="B26" s="25" t="s">
        <v>82</v>
      </c>
      <c r="C26" s="105" t="s">
        <v>89</v>
      </c>
      <c r="D26" s="20" t="s">
        <v>17</v>
      </c>
      <c r="E26" s="106"/>
      <c r="F26" s="101">
        <f>F20*2.8</f>
        <v>117.6</v>
      </c>
      <c r="G26" s="123"/>
      <c r="H26" s="123"/>
      <c r="I26" s="122"/>
      <c r="J26" s="123"/>
      <c r="K26" s="110"/>
      <c r="L26" s="16"/>
      <c r="M26" s="16"/>
      <c r="N26" s="6"/>
      <c r="O26" s="7"/>
      <c r="P26" s="7"/>
    </row>
    <row r="27" spans="1:16" s="36" customFormat="1" ht="18" customHeight="1">
      <c r="A27" s="292" t="s">
        <v>21</v>
      </c>
      <c r="B27" s="25" t="s">
        <v>123</v>
      </c>
      <c r="C27" s="38" t="s">
        <v>426</v>
      </c>
      <c r="D27" s="149" t="s">
        <v>80</v>
      </c>
      <c r="E27" s="20"/>
      <c r="F27" s="88">
        <v>11</v>
      </c>
      <c r="G27" s="39"/>
      <c r="H27" s="40"/>
      <c r="I27" s="118"/>
      <c r="J27" s="16"/>
      <c r="K27" s="23"/>
      <c r="L27" s="16"/>
      <c r="M27" s="16"/>
      <c r="N27" s="6"/>
      <c r="O27" s="7"/>
      <c r="P27" s="7"/>
    </row>
    <row r="28" spans="1:16" s="36" customFormat="1" ht="15.75">
      <c r="A28" s="293"/>
      <c r="B28" s="25"/>
      <c r="C28" s="105" t="s">
        <v>568</v>
      </c>
      <c r="D28" s="20" t="s">
        <v>15</v>
      </c>
      <c r="E28" s="106">
        <f>2.12*1.15</f>
        <v>2.4379999999999997</v>
      </c>
      <c r="F28" s="35">
        <f>E28*F27</f>
        <v>26.817999999999998</v>
      </c>
      <c r="G28" s="99"/>
      <c r="H28" s="164"/>
      <c r="I28" s="35"/>
      <c r="J28" s="35"/>
      <c r="K28" s="26"/>
      <c r="L28" s="35"/>
      <c r="M28" s="26"/>
      <c r="N28" s="6"/>
      <c r="O28" s="7"/>
      <c r="P28" s="7"/>
    </row>
    <row r="29" spans="1:16" s="36" customFormat="1" ht="15.75">
      <c r="A29" s="293"/>
      <c r="B29" s="25"/>
      <c r="C29" s="105" t="s">
        <v>28</v>
      </c>
      <c r="D29" s="20" t="s">
        <v>16</v>
      </c>
      <c r="E29" s="106">
        <v>0.10100000000000001</v>
      </c>
      <c r="F29" s="19">
        <f>E29*F27</f>
        <v>1.111</v>
      </c>
      <c r="G29" s="123"/>
      <c r="H29" s="101"/>
      <c r="I29" s="122"/>
      <c r="J29" s="27"/>
      <c r="K29" s="18"/>
      <c r="L29" s="26"/>
      <c r="M29" s="26"/>
      <c r="N29" s="6"/>
      <c r="O29" s="7"/>
      <c r="P29" s="7"/>
    </row>
    <row r="30" spans="1:16" s="22" customFormat="1" ht="13.5" customHeight="1">
      <c r="A30" s="294"/>
      <c r="B30" s="25" t="s">
        <v>225</v>
      </c>
      <c r="C30" s="38" t="s">
        <v>499</v>
      </c>
      <c r="D30" s="149" t="s">
        <v>80</v>
      </c>
      <c r="E30" s="110">
        <v>1.1000000000000001</v>
      </c>
      <c r="F30" s="35">
        <f>E30*F27</f>
        <v>12.100000000000001</v>
      </c>
      <c r="G30" s="150"/>
      <c r="H30" s="35"/>
      <c r="I30" s="18"/>
      <c r="J30" s="26"/>
      <c r="K30" s="26"/>
      <c r="L30" s="26"/>
      <c r="M30" s="26"/>
    </row>
    <row r="31" spans="1:16" s="22" customFormat="1" ht="35.25" customHeight="1">
      <c r="A31" s="289" t="s">
        <v>83</v>
      </c>
      <c r="B31" s="25" t="s">
        <v>245</v>
      </c>
      <c r="C31" s="38" t="s">
        <v>246</v>
      </c>
      <c r="D31" s="20" t="s">
        <v>80</v>
      </c>
      <c r="E31" s="20"/>
      <c r="F31" s="88">
        <v>126</v>
      </c>
      <c r="G31" s="39"/>
      <c r="H31" s="40"/>
      <c r="I31" s="23"/>
      <c r="J31" s="16"/>
      <c r="K31" s="23"/>
      <c r="L31" s="16"/>
      <c r="M31" s="16"/>
    </row>
    <row r="32" spans="1:16" s="22" customFormat="1" ht="13.5" customHeight="1">
      <c r="A32" s="290"/>
      <c r="B32" s="25"/>
      <c r="C32" s="38" t="s">
        <v>554</v>
      </c>
      <c r="D32" s="20" t="s">
        <v>15</v>
      </c>
      <c r="E32" s="20">
        <f>2.3*1.5*1.15</f>
        <v>3.9674999999999994</v>
      </c>
      <c r="F32" s="35">
        <f>E32*F31</f>
        <v>499.90499999999992</v>
      </c>
      <c r="G32" s="39"/>
      <c r="H32" s="37"/>
      <c r="I32" s="93"/>
      <c r="J32" s="26"/>
      <c r="K32" s="27"/>
      <c r="L32" s="26"/>
      <c r="M32" s="26"/>
    </row>
    <row r="33" spans="1:13" s="22" customFormat="1" ht="13.5" customHeight="1">
      <c r="A33" s="290"/>
      <c r="B33" s="25" t="s">
        <v>442</v>
      </c>
      <c r="C33" s="38" t="s">
        <v>247</v>
      </c>
      <c r="D33" s="20" t="s">
        <v>80</v>
      </c>
      <c r="E33" s="20">
        <v>1.04</v>
      </c>
      <c r="F33" s="35">
        <f>E33*F31</f>
        <v>131.04</v>
      </c>
      <c r="G33" s="150"/>
      <c r="H33" s="35"/>
      <c r="I33" s="18"/>
      <c r="J33" s="26"/>
      <c r="K33" s="27"/>
      <c r="L33" s="27"/>
      <c r="M33" s="26"/>
    </row>
    <row r="34" spans="1:13" s="22" customFormat="1" ht="13.5" customHeight="1">
      <c r="A34" s="290"/>
      <c r="B34" s="25" t="s">
        <v>443</v>
      </c>
      <c r="C34" s="38" t="s">
        <v>248</v>
      </c>
      <c r="D34" s="20" t="s">
        <v>106</v>
      </c>
      <c r="E34" s="20"/>
      <c r="F34" s="88">
        <v>28</v>
      </c>
      <c r="G34" s="39"/>
      <c r="H34" s="40"/>
      <c r="I34" s="26"/>
      <c r="J34" s="26"/>
      <c r="K34" s="26"/>
      <c r="L34" s="26"/>
      <c r="M34" s="16"/>
    </row>
    <row r="35" spans="1:13" s="22" customFormat="1" ht="13.5" customHeight="1">
      <c r="A35" s="290"/>
      <c r="B35" s="25" t="s">
        <v>444</v>
      </c>
      <c r="C35" s="38" t="s">
        <v>249</v>
      </c>
      <c r="D35" s="20" t="s">
        <v>106</v>
      </c>
      <c r="E35" s="20"/>
      <c r="F35" s="88">
        <v>56</v>
      </c>
      <c r="G35" s="39"/>
      <c r="H35" s="40"/>
      <c r="I35" s="26"/>
      <c r="J35" s="26"/>
      <c r="K35" s="26"/>
      <c r="L35" s="26"/>
      <c r="M35" s="16"/>
    </row>
    <row r="36" spans="1:13" s="22" customFormat="1" ht="13.5" customHeight="1">
      <c r="A36" s="291"/>
      <c r="B36" s="25"/>
      <c r="C36" s="38" t="s">
        <v>250</v>
      </c>
      <c r="D36" s="20" t="s">
        <v>81</v>
      </c>
      <c r="E36" s="20"/>
      <c r="F36" s="88">
        <v>58</v>
      </c>
      <c r="G36" s="39"/>
      <c r="H36" s="40"/>
      <c r="I36" s="27"/>
      <c r="J36" s="27"/>
      <c r="K36" s="27"/>
      <c r="L36" s="26"/>
      <c r="M36" s="16"/>
    </row>
    <row r="37" spans="1:13" s="22" customFormat="1" ht="43.5" customHeight="1">
      <c r="A37" s="289" t="s">
        <v>22</v>
      </c>
      <c r="B37" s="172" t="s">
        <v>490</v>
      </c>
      <c r="C37" s="102" t="s">
        <v>489</v>
      </c>
      <c r="D37" s="149" t="s">
        <v>24</v>
      </c>
      <c r="E37" s="15"/>
      <c r="F37" s="126">
        <v>112</v>
      </c>
      <c r="G37" s="103"/>
      <c r="H37" s="104"/>
      <c r="I37" s="104"/>
      <c r="J37" s="104"/>
      <c r="K37" s="104"/>
      <c r="L37" s="40"/>
      <c r="M37" s="104"/>
    </row>
    <row r="38" spans="1:13" s="22" customFormat="1" ht="15.75" customHeight="1">
      <c r="A38" s="290"/>
      <c r="B38" s="15"/>
      <c r="C38" s="105" t="s">
        <v>569</v>
      </c>
      <c r="D38" s="20" t="s">
        <v>15</v>
      </c>
      <c r="E38" s="202">
        <f>0.0412*1.15</f>
        <v>4.7379999999999999E-2</v>
      </c>
      <c r="F38" s="35">
        <f>E38*F37</f>
        <v>5.3065600000000002</v>
      </c>
      <c r="G38" s="99"/>
      <c r="H38" s="164"/>
      <c r="I38" s="35"/>
      <c r="J38" s="35"/>
      <c r="K38" s="26"/>
      <c r="L38" s="35"/>
      <c r="M38" s="26"/>
    </row>
    <row r="39" spans="1:13" s="22" customFormat="1" ht="17.25" customHeight="1">
      <c r="A39" s="290"/>
      <c r="B39" s="172" t="s">
        <v>491</v>
      </c>
      <c r="C39" s="221" t="s">
        <v>487</v>
      </c>
      <c r="D39" s="149" t="s">
        <v>24</v>
      </c>
      <c r="E39" s="15"/>
      <c r="F39" s="126">
        <f>F37</f>
        <v>112</v>
      </c>
      <c r="G39" s="103"/>
      <c r="H39" s="103"/>
      <c r="I39" s="103"/>
      <c r="J39" s="103"/>
      <c r="K39" s="103"/>
      <c r="L39" s="35"/>
      <c r="M39" s="103"/>
    </row>
    <row r="40" spans="1:13" s="22" customFormat="1" ht="17.25" customHeight="1">
      <c r="A40" s="291"/>
      <c r="B40" s="172" t="s">
        <v>432</v>
      </c>
      <c r="C40" s="109" t="s">
        <v>488</v>
      </c>
      <c r="D40" s="222" t="s">
        <v>81</v>
      </c>
      <c r="E40" s="96">
        <v>0.13</v>
      </c>
      <c r="F40" s="97">
        <f>E40*F37</f>
        <v>14.56</v>
      </c>
      <c r="G40" s="223"/>
      <c r="H40" s="97"/>
      <c r="I40" s="224"/>
      <c r="J40" s="225"/>
      <c r="K40" s="224"/>
      <c r="L40" s="224"/>
      <c r="M40" s="226"/>
    </row>
    <row r="41" spans="1:13" s="22" customFormat="1" ht="50.25" customHeight="1">
      <c r="A41" s="15" t="s">
        <v>84</v>
      </c>
      <c r="B41" s="103"/>
      <c r="C41" s="105" t="s">
        <v>608</v>
      </c>
      <c r="D41" s="20"/>
      <c r="E41" s="165"/>
      <c r="F41" s="35"/>
      <c r="G41" s="155"/>
      <c r="H41" s="35"/>
      <c r="I41" s="88"/>
      <c r="J41" s="35"/>
      <c r="K41" s="26"/>
      <c r="L41" s="35"/>
      <c r="M41" s="26"/>
    </row>
    <row r="42" spans="1:13" s="22" customFormat="1" ht="28.5" customHeight="1">
      <c r="A42" s="289" t="s">
        <v>319</v>
      </c>
      <c r="B42" s="15" t="s">
        <v>414</v>
      </c>
      <c r="C42" s="105" t="s">
        <v>422</v>
      </c>
      <c r="D42" s="20" t="s">
        <v>80</v>
      </c>
      <c r="E42" s="165"/>
      <c r="F42" s="88">
        <v>703</v>
      </c>
      <c r="G42" s="155"/>
      <c r="H42" s="35"/>
      <c r="I42" s="88"/>
      <c r="J42" s="40"/>
      <c r="K42" s="16"/>
      <c r="L42" s="40"/>
      <c r="M42" s="16"/>
    </row>
    <row r="43" spans="1:13" s="22" customFormat="1" ht="13.5" customHeight="1">
      <c r="A43" s="290"/>
      <c r="B43" s="25"/>
      <c r="C43" s="90" t="s">
        <v>534</v>
      </c>
      <c r="D43" s="41" t="s">
        <v>15</v>
      </c>
      <c r="E43" s="20">
        <f>0.016*1.05</f>
        <v>1.6800000000000002E-2</v>
      </c>
      <c r="F43" s="35">
        <f>E43*F42</f>
        <v>11.810400000000001</v>
      </c>
      <c r="G43" s="99"/>
      <c r="H43" s="100"/>
      <c r="I43" s="35"/>
      <c r="J43" s="35"/>
      <c r="K43" s="35"/>
      <c r="L43" s="99"/>
      <c r="M43" s="35"/>
    </row>
    <row r="44" spans="1:13" s="22" customFormat="1" ht="13.5" customHeight="1">
      <c r="A44" s="291"/>
      <c r="B44" s="25" t="s">
        <v>100</v>
      </c>
      <c r="C44" s="105" t="s">
        <v>535</v>
      </c>
      <c r="D44" s="20" t="s">
        <v>85</v>
      </c>
      <c r="E44" s="21">
        <f>0.0359*1.15</f>
        <v>4.1284999999999995E-2</v>
      </c>
      <c r="F44" s="108">
        <f>E44*F42</f>
        <v>29.023354999999995</v>
      </c>
      <c r="G44" s="99"/>
      <c r="H44" s="100"/>
      <c r="I44" s="35"/>
      <c r="J44" s="35"/>
      <c r="K44" s="110"/>
      <c r="L44" s="35"/>
      <c r="M44" s="26"/>
    </row>
    <row r="45" spans="1:13" s="22" customFormat="1" ht="34.5" customHeight="1">
      <c r="A45" s="15" t="s">
        <v>320</v>
      </c>
      <c r="B45" s="25" t="s">
        <v>117</v>
      </c>
      <c r="C45" s="38" t="s">
        <v>118</v>
      </c>
      <c r="D45" s="33" t="s">
        <v>80</v>
      </c>
      <c r="E45" s="20"/>
      <c r="F45" s="88">
        <f>F42</f>
        <v>703</v>
      </c>
      <c r="G45" s="39"/>
      <c r="H45" s="37"/>
      <c r="I45" s="27"/>
      <c r="J45" s="27"/>
      <c r="K45" s="27"/>
      <c r="L45" s="16"/>
      <c r="M45" s="16"/>
    </row>
    <row r="46" spans="1:13" s="22" customFormat="1" ht="16.5" customHeight="1">
      <c r="A46" s="274"/>
      <c r="B46" s="25" t="s">
        <v>119</v>
      </c>
      <c r="C46" s="38" t="s">
        <v>120</v>
      </c>
      <c r="D46" s="20" t="s">
        <v>20</v>
      </c>
      <c r="E46" s="20">
        <f>1.85*6*0.001</f>
        <v>1.1100000000000002E-2</v>
      </c>
      <c r="F46" s="108">
        <f>E46*F45</f>
        <v>7.8033000000000019</v>
      </c>
      <c r="G46" s="39"/>
      <c r="H46" s="37"/>
      <c r="I46" s="27"/>
      <c r="J46" s="27"/>
      <c r="K46" s="27"/>
      <c r="L46" s="26"/>
      <c r="M46" s="26"/>
    </row>
    <row r="47" spans="1:13" s="22" customFormat="1" ht="13.5" customHeight="1">
      <c r="A47" s="275"/>
      <c r="B47" s="25" t="s">
        <v>102</v>
      </c>
      <c r="C47" s="38" t="s">
        <v>121</v>
      </c>
      <c r="D47" s="20" t="s">
        <v>20</v>
      </c>
      <c r="E47" s="20">
        <f>10.5*0.001*1.05</f>
        <v>1.1025000000000002E-2</v>
      </c>
      <c r="F47" s="108">
        <f>E47*F45</f>
        <v>7.7505750000000013</v>
      </c>
      <c r="G47" s="39"/>
      <c r="H47" s="37"/>
      <c r="I47" s="27"/>
      <c r="J47" s="27"/>
      <c r="K47" s="27"/>
      <c r="L47" s="26"/>
      <c r="M47" s="26"/>
    </row>
    <row r="48" spans="1:13" s="22" customFormat="1" ht="13.5" customHeight="1">
      <c r="A48" s="276"/>
      <c r="B48" s="25" t="s">
        <v>122</v>
      </c>
      <c r="C48" s="38" t="s">
        <v>555</v>
      </c>
      <c r="D48" s="20" t="s">
        <v>20</v>
      </c>
      <c r="E48" s="20">
        <f>1.85*6*0.001*1.05</f>
        <v>1.1655000000000002E-2</v>
      </c>
      <c r="F48" s="108">
        <f>E48*F45</f>
        <v>8.1934650000000016</v>
      </c>
      <c r="G48" s="39"/>
      <c r="H48" s="37"/>
      <c r="I48" s="27"/>
      <c r="J48" s="27"/>
      <c r="K48" s="26"/>
      <c r="L48" s="26"/>
      <c r="M48" s="26"/>
    </row>
    <row r="49" spans="1:16" s="22" customFormat="1" ht="47.25" customHeight="1">
      <c r="A49" s="289" t="s">
        <v>125</v>
      </c>
      <c r="B49" s="25" t="s">
        <v>167</v>
      </c>
      <c r="C49" s="105" t="s">
        <v>423</v>
      </c>
      <c r="D49" s="33" t="s">
        <v>80</v>
      </c>
      <c r="E49" s="21"/>
      <c r="F49" s="88">
        <f>798-703</f>
        <v>95</v>
      </c>
      <c r="G49" s="21"/>
      <c r="H49" s="40"/>
      <c r="I49" s="120"/>
      <c r="J49" s="40"/>
      <c r="K49" s="20"/>
      <c r="L49" s="40"/>
      <c r="M49" s="121"/>
    </row>
    <row r="50" spans="1:16" s="22" customFormat="1" ht="13.5" customHeight="1">
      <c r="A50" s="290"/>
      <c r="B50" s="25"/>
      <c r="C50" s="90" t="s">
        <v>526</v>
      </c>
      <c r="D50" s="41" t="s">
        <v>15</v>
      </c>
      <c r="E50" s="20">
        <f>0.0188*1.15</f>
        <v>2.162E-2</v>
      </c>
      <c r="F50" s="26">
        <f>E50*F49</f>
        <v>2.0539000000000001</v>
      </c>
      <c r="G50" s="26"/>
      <c r="H50" s="27"/>
      <c r="I50" s="26"/>
      <c r="J50" s="26"/>
      <c r="K50" s="27"/>
      <c r="L50" s="27"/>
      <c r="M50" s="26"/>
    </row>
    <row r="51" spans="1:16" s="22" customFormat="1" ht="13.5" customHeight="1">
      <c r="A51" s="290"/>
      <c r="B51" s="25" t="s">
        <v>166</v>
      </c>
      <c r="C51" s="105" t="s">
        <v>527</v>
      </c>
      <c r="D51" s="20" t="s">
        <v>85</v>
      </c>
      <c r="E51" s="21">
        <f>0.042*1.05</f>
        <v>4.4100000000000007E-2</v>
      </c>
      <c r="F51" s="35">
        <f>E51*F49</f>
        <v>4.1895000000000007</v>
      </c>
      <c r="G51" s="21"/>
      <c r="H51" s="35"/>
      <c r="I51" s="20"/>
      <c r="J51" s="35"/>
      <c r="K51" s="110"/>
      <c r="L51" s="35"/>
      <c r="M51" s="110"/>
    </row>
    <row r="52" spans="1:16" s="22" customFormat="1" ht="13.5" customHeight="1">
      <c r="A52" s="290"/>
      <c r="B52" s="25"/>
      <c r="C52" s="105" t="s">
        <v>28</v>
      </c>
      <c r="D52" s="20" t="s">
        <v>16</v>
      </c>
      <c r="E52" s="21">
        <v>2.7399999999999998E-3</v>
      </c>
      <c r="F52" s="35">
        <f>E52*F49</f>
        <v>0.26029999999999998</v>
      </c>
      <c r="G52" s="21"/>
      <c r="H52" s="35"/>
      <c r="I52" s="20"/>
      <c r="J52" s="35"/>
      <c r="K52" s="120"/>
      <c r="L52" s="35"/>
      <c r="M52" s="110"/>
    </row>
    <row r="53" spans="1:16" s="22" customFormat="1" ht="13.5" customHeight="1">
      <c r="A53" s="290"/>
      <c r="B53" s="25" t="s">
        <v>225</v>
      </c>
      <c r="C53" s="105" t="s">
        <v>514</v>
      </c>
      <c r="D53" s="33" t="s">
        <v>80</v>
      </c>
      <c r="E53" s="106">
        <f>0.09/1000</f>
        <v>8.9999999999999992E-5</v>
      </c>
      <c r="F53" s="108">
        <f>E53*F49</f>
        <v>8.5499999999999986E-3</v>
      </c>
      <c r="G53" s="88"/>
      <c r="H53" s="35"/>
      <c r="I53" s="20"/>
      <c r="J53" s="35"/>
      <c r="K53" s="120"/>
      <c r="L53" s="35"/>
      <c r="M53" s="110"/>
    </row>
    <row r="54" spans="1:16" s="22" customFormat="1" ht="13.5" customHeight="1">
      <c r="A54" s="290"/>
      <c r="B54" s="25" t="s">
        <v>169</v>
      </c>
      <c r="C54" s="105" t="s">
        <v>87</v>
      </c>
      <c r="D54" s="33" t="s">
        <v>80</v>
      </c>
      <c r="E54" s="21"/>
      <c r="F54" s="88">
        <f>F49</f>
        <v>95</v>
      </c>
      <c r="G54" s="227"/>
      <c r="H54" s="40"/>
      <c r="I54" s="120"/>
      <c r="J54" s="35"/>
      <c r="K54" s="20"/>
      <c r="L54" s="40"/>
      <c r="M54" s="121"/>
    </row>
    <row r="55" spans="1:16" s="22" customFormat="1" ht="13.5" customHeight="1">
      <c r="A55" s="290"/>
      <c r="B55" s="25" t="s">
        <v>170</v>
      </c>
      <c r="C55" s="105" t="s">
        <v>392</v>
      </c>
      <c r="D55" s="20" t="s">
        <v>85</v>
      </c>
      <c r="E55" s="21">
        <f>0.0104*1.15</f>
        <v>1.1959999999999998E-2</v>
      </c>
      <c r="F55" s="35">
        <f>E55*F54</f>
        <v>1.1361999999999999</v>
      </c>
      <c r="G55" s="227"/>
      <c r="H55" s="35"/>
      <c r="I55" s="20"/>
      <c r="J55" s="35"/>
      <c r="K55" s="27"/>
      <c r="L55" s="35"/>
      <c r="M55" s="110"/>
    </row>
    <row r="56" spans="1:16" s="22" customFormat="1" ht="13.5" customHeight="1">
      <c r="A56" s="290"/>
      <c r="B56" s="25"/>
      <c r="C56" s="105" t="s">
        <v>28</v>
      </c>
      <c r="D56" s="20" t="s">
        <v>16</v>
      </c>
      <c r="E56" s="21">
        <f>0.24/1000</f>
        <v>2.3999999999999998E-4</v>
      </c>
      <c r="F56" s="35">
        <f>E56*F54</f>
        <v>2.2799999999999997E-2</v>
      </c>
      <c r="G56" s="227"/>
      <c r="H56" s="35"/>
      <c r="I56" s="20"/>
      <c r="J56" s="35"/>
      <c r="K56" s="18"/>
      <c r="L56" s="35"/>
      <c r="M56" s="110"/>
    </row>
    <row r="57" spans="1:16" s="22" customFormat="1" ht="13.5" customHeight="1">
      <c r="A57" s="290"/>
      <c r="B57" s="25" t="s">
        <v>225</v>
      </c>
      <c r="C57" s="105" t="s">
        <v>615</v>
      </c>
      <c r="D57" s="33" t="s">
        <v>80</v>
      </c>
      <c r="E57" s="106">
        <f>0.08/1000</f>
        <v>8.0000000000000007E-5</v>
      </c>
      <c r="F57" s="108">
        <f>E57*F54</f>
        <v>7.6000000000000009E-3</v>
      </c>
      <c r="G57" s="88"/>
      <c r="H57" s="35"/>
      <c r="I57" s="20"/>
      <c r="J57" s="35"/>
      <c r="K57" s="120"/>
      <c r="L57" s="35"/>
      <c r="M57" s="110"/>
    </row>
    <row r="58" spans="1:16" s="22" customFormat="1" ht="13.5" customHeight="1">
      <c r="A58" s="291"/>
      <c r="B58" s="25" t="s">
        <v>82</v>
      </c>
      <c r="C58" s="105" t="s">
        <v>89</v>
      </c>
      <c r="D58" s="20" t="s">
        <v>17</v>
      </c>
      <c r="E58" s="21"/>
      <c r="F58" s="122">
        <f>F49*2.8</f>
        <v>266</v>
      </c>
      <c r="G58" s="21"/>
      <c r="H58" s="35"/>
      <c r="I58" s="20"/>
      <c r="J58" s="35"/>
      <c r="K58" s="110"/>
      <c r="L58" s="40"/>
      <c r="M58" s="121"/>
    </row>
    <row r="59" spans="1:16" s="22" customFormat="1">
      <c r="A59" s="15"/>
      <c r="B59" s="31"/>
      <c r="C59" s="32" t="s">
        <v>11</v>
      </c>
      <c r="D59" s="33" t="s">
        <v>16</v>
      </c>
      <c r="E59" s="26"/>
      <c r="F59" s="26"/>
      <c r="G59" s="28"/>
      <c r="H59" s="26"/>
      <c r="I59" s="27"/>
      <c r="J59" s="26"/>
      <c r="K59" s="27"/>
      <c r="L59" s="26"/>
      <c r="M59" s="29"/>
      <c r="N59"/>
      <c r="O59"/>
    </row>
    <row r="60" spans="1:16" s="22" customFormat="1">
      <c r="A60" s="25"/>
      <c r="B60" s="31"/>
      <c r="C60" s="32" t="s">
        <v>25</v>
      </c>
      <c r="D60" s="33" t="s">
        <v>26</v>
      </c>
      <c r="E60" s="18">
        <v>10</v>
      </c>
      <c r="F60" s="26"/>
      <c r="G60" s="28"/>
      <c r="H60" s="26"/>
      <c r="I60" s="27"/>
      <c r="J60" s="26"/>
      <c r="K60" s="27"/>
      <c r="L60" s="26"/>
      <c r="M60" s="29"/>
      <c r="N60"/>
      <c r="O60" s="17"/>
    </row>
    <row r="61" spans="1:16" s="22" customFormat="1">
      <c r="A61" s="25"/>
      <c r="B61" s="31"/>
      <c r="C61" s="32" t="s">
        <v>11</v>
      </c>
      <c r="D61" s="33" t="s">
        <v>16</v>
      </c>
      <c r="E61" s="18"/>
      <c r="F61" s="26"/>
      <c r="G61" s="28"/>
      <c r="H61" s="26"/>
      <c r="I61" s="27"/>
      <c r="J61" s="26"/>
      <c r="K61" s="27"/>
      <c r="L61" s="26"/>
      <c r="M61" s="29"/>
      <c r="N61"/>
      <c r="O61"/>
    </row>
    <row r="62" spans="1:16" s="22" customFormat="1">
      <c r="A62" s="25"/>
      <c r="B62" s="31"/>
      <c r="C62" s="32" t="s">
        <v>27</v>
      </c>
      <c r="D62" s="33" t="s">
        <v>26</v>
      </c>
      <c r="E62" s="18">
        <v>8</v>
      </c>
      <c r="F62" s="26"/>
      <c r="G62" s="28"/>
      <c r="H62" s="26"/>
      <c r="I62" s="27"/>
      <c r="J62" s="26"/>
      <c r="K62" s="27"/>
      <c r="L62" s="26"/>
      <c r="M62" s="29"/>
      <c r="N62"/>
      <c r="O62" s="17">
        <f>M58+M54+M49+M45+M42+M37+M36+M35+M34+M31+M27+M26+M22+M20+M17+M13+M11</f>
        <v>0</v>
      </c>
      <c r="P62" s="34">
        <v>0</v>
      </c>
    </row>
    <row r="63" spans="1:16" s="22" customFormat="1">
      <c r="A63" s="25"/>
      <c r="B63" s="31"/>
      <c r="C63" s="32" t="s">
        <v>11</v>
      </c>
      <c r="D63" s="33" t="s">
        <v>16</v>
      </c>
      <c r="E63" s="18"/>
      <c r="F63" s="26"/>
      <c r="G63" s="28"/>
      <c r="H63" s="26"/>
      <c r="I63" s="27"/>
      <c r="J63" s="26"/>
      <c r="K63" s="27"/>
      <c r="L63" s="26"/>
      <c r="M63" s="29"/>
      <c r="N63"/>
      <c r="O63"/>
    </row>
    <row r="64" spans="1:16" s="22" customFormat="1" ht="13.5">
      <c r="A64" s="3"/>
      <c r="B64" s="3"/>
      <c r="C64" s="2"/>
      <c r="D64" s="3"/>
      <c r="E64" s="3"/>
      <c r="F64" s="34"/>
      <c r="G64" s="34"/>
      <c r="H64" s="34"/>
      <c r="I64" s="34"/>
      <c r="J64" s="34"/>
      <c r="K64" s="34"/>
      <c r="L64" s="34"/>
      <c r="M64" s="34"/>
    </row>
    <row r="65" spans="1:13" s="22" customFormat="1" ht="13.5">
      <c r="A65" s="3"/>
      <c r="B65" s="3"/>
      <c r="C65" s="2"/>
      <c r="D65" s="3"/>
      <c r="E65" s="3"/>
      <c r="F65" s="34"/>
      <c r="G65" s="34"/>
      <c r="H65" s="34"/>
      <c r="I65" s="34"/>
      <c r="J65" s="34"/>
      <c r="K65" s="34"/>
      <c r="L65" s="34"/>
      <c r="M65" s="34"/>
    </row>
    <row r="66" spans="1:13" s="22" customFormat="1" ht="13.5">
      <c r="A66" s="3"/>
      <c r="B66" s="3"/>
      <c r="C66" s="2" t="s">
        <v>521</v>
      </c>
      <c r="D66" s="265"/>
      <c r="E66" s="265"/>
      <c r="F66" s="34"/>
      <c r="G66" s="34"/>
      <c r="H66" s="266" t="s">
        <v>522</v>
      </c>
      <c r="I66" s="266"/>
      <c r="J66" s="34"/>
      <c r="K66" s="34"/>
      <c r="L66" s="34"/>
      <c r="M66" s="34"/>
    </row>
    <row r="67" spans="1:13" s="22" customFormat="1" ht="13.5">
      <c r="A67" s="3"/>
      <c r="B67" s="3"/>
      <c r="C67" s="2"/>
      <c r="D67" s="3"/>
      <c r="E67" s="3"/>
      <c r="F67" s="34"/>
      <c r="G67" s="34"/>
      <c r="H67" s="34"/>
      <c r="I67" s="34"/>
      <c r="J67" s="34"/>
      <c r="K67" s="34"/>
      <c r="L67" s="34"/>
      <c r="M67" s="34"/>
    </row>
    <row r="68" spans="1:13" s="22" customFormat="1" ht="13.5">
      <c r="A68" s="3"/>
      <c r="B68" s="3"/>
      <c r="C68" s="2"/>
      <c r="D68" s="3"/>
      <c r="E68" s="3"/>
      <c r="F68" s="34"/>
      <c r="G68" s="34"/>
      <c r="H68" s="34"/>
      <c r="I68" s="34"/>
      <c r="J68" s="34"/>
      <c r="K68" s="34"/>
      <c r="L68" s="34"/>
      <c r="M68" s="34"/>
    </row>
    <row r="69" spans="1:13" s="22" customFormat="1" ht="13.5">
      <c r="A69" s="3"/>
      <c r="B69" s="3"/>
      <c r="C69" s="2"/>
      <c r="D69" s="3"/>
      <c r="E69" s="3"/>
      <c r="F69" s="34"/>
      <c r="G69" s="34"/>
      <c r="H69" s="34"/>
      <c r="I69" s="34"/>
      <c r="J69" s="34"/>
      <c r="K69" s="34"/>
      <c r="L69" s="34"/>
      <c r="M69" s="34"/>
    </row>
    <row r="70" spans="1:13" s="22" customFormat="1" ht="13.5">
      <c r="A70" s="3"/>
      <c r="B70" s="3"/>
      <c r="C70" s="2"/>
      <c r="D70" s="3"/>
      <c r="E70" s="3"/>
      <c r="F70" s="34"/>
      <c r="G70" s="34"/>
      <c r="H70" s="34"/>
      <c r="I70" s="34"/>
      <c r="J70" s="34"/>
      <c r="K70" s="34"/>
      <c r="L70" s="34"/>
      <c r="M70" s="34"/>
    </row>
    <row r="71" spans="1:13" s="22" customFormat="1" ht="13.5">
      <c r="A71" s="3"/>
      <c r="B71" s="3"/>
      <c r="C71" s="2"/>
      <c r="D71" s="3"/>
      <c r="E71" s="3"/>
      <c r="F71" s="34"/>
      <c r="G71" s="34"/>
      <c r="H71" s="34"/>
      <c r="I71" s="34"/>
      <c r="J71" s="34"/>
      <c r="K71" s="34"/>
      <c r="L71" s="34"/>
      <c r="M71" s="34"/>
    </row>
    <row r="72" spans="1:13" s="22" customFormat="1" ht="13.5">
      <c r="A72" s="3"/>
      <c r="B72" s="3"/>
      <c r="C72" s="2"/>
      <c r="D72" s="3"/>
      <c r="E72" s="3"/>
      <c r="F72" s="34"/>
      <c r="G72" s="34"/>
      <c r="H72" s="34"/>
      <c r="I72" s="34"/>
      <c r="J72" s="34"/>
      <c r="K72" s="34"/>
      <c r="L72" s="34"/>
      <c r="M72" s="34"/>
    </row>
    <row r="73" spans="1:13" s="22" customFormat="1" ht="13.5">
      <c r="A73" s="3"/>
      <c r="B73" s="3"/>
      <c r="C73" s="2"/>
      <c r="D73" s="3"/>
      <c r="E73" s="3"/>
      <c r="F73" s="34"/>
      <c r="G73" s="34"/>
      <c r="H73" s="34"/>
      <c r="I73" s="34"/>
      <c r="J73" s="34"/>
      <c r="K73" s="34"/>
      <c r="L73" s="34"/>
      <c r="M73" s="34"/>
    </row>
    <row r="74" spans="1:13" s="22" customFormat="1" ht="13.5">
      <c r="A74" s="3"/>
      <c r="B74" s="3"/>
      <c r="C74" s="2"/>
      <c r="D74" s="3"/>
      <c r="E74" s="3"/>
      <c r="F74" s="34"/>
      <c r="G74" s="34"/>
      <c r="H74" s="34"/>
      <c r="I74" s="34"/>
      <c r="J74" s="34"/>
      <c r="K74" s="34"/>
      <c r="L74" s="34"/>
      <c r="M74" s="34"/>
    </row>
    <row r="75" spans="1:13" s="22" customFormat="1" ht="13.5">
      <c r="A75" s="3"/>
      <c r="B75" s="3"/>
      <c r="C75" s="2"/>
      <c r="D75" s="3"/>
      <c r="E75" s="3"/>
      <c r="F75" s="34"/>
      <c r="G75" s="34"/>
      <c r="H75" s="34"/>
      <c r="I75" s="34"/>
      <c r="J75" s="34"/>
      <c r="K75" s="34"/>
      <c r="L75" s="34"/>
      <c r="M75" s="34"/>
    </row>
    <row r="76" spans="1:13" s="22" customFormat="1" ht="13.5">
      <c r="A76" s="3"/>
      <c r="B76" s="3"/>
      <c r="C76" s="2"/>
      <c r="D76" s="3"/>
      <c r="E76" s="3"/>
      <c r="F76" s="34"/>
      <c r="G76" s="34"/>
      <c r="H76" s="34"/>
      <c r="I76" s="34"/>
      <c r="J76" s="34"/>
      <c r="K76" s="34"/>
      <c r="L76" s="34"/>
      <c r="M76" s="34"/>
    </row>
    <row r="77" spans="1:13" s="22" customFormat="1" ht="13.5">
      <c r="A77" s="3"/>
      <c r="B77" s="3"/>
      <c r="C77" s="2"/>
      <c r="D77" s="3"/>
      <c r="E77" s="3"/>
      <c r="F77" s="34"/>
      <c r="G77" s="34"/>
      <c r="H77" s="34"/>
      <c r="I77" s="34"/>
      <c r="J77" s="34"/>
      <c r="K77" s="34"/>
      <c r="L77" s="34"/>
      <c r="M77" s="34"/>
    </row>
    <row r="78" spans="1:13" s="22" customFormat="1" ht="13.5">
      <c r="A78" s="3"/>
      <c r="B78" s="3"/>
      <c r="C78" s="2"/>
      <c r="D78" s="3"/>
      <c r="E78" s="3"/>
      <c r="F78" s="34"/>
      <c r="G78" s="34"/>
      <c r="H78" s="34"/>
      <c r="I78" s="34"/>
      <c r="J78" s="34"/>
      <c r="K78" s="34"/>
      <c r="L78" s="34"/>
      <c r="M78" s="34"/>
    </row>
    <row r="79" spans="1:13" s="22" customFormat="1" ht="13.5">
      <c r="A79" s="3"/>
      <c r="B79" s="3"/>
      <c r="C79" s="2"/>
      <c r="D79" s="3"/>
      <c r="E79" s="3"/>
      <c r="F79" s="34"/>
      <c r="G79" s="34"/>
      <c r="H79" s="34"/>
      <c r="I79" s="34"/>
      <c r="J79" s="34"/>
      <c r="K79" s="34"/>
      <c r="L79" s="34"/>
      <c r="M79" s="34"/>
    </row>
    <row r="80" spans="1:13" s="22" customFormat="1" ht="13.5">
      <c r="A80" s="3"/>
      <c r="B80" s="3"/>
      <c r="C80" s="2"/>
      <c r="D80" s="3"/>
      <c r="E80" s="3"/>
      <c r="F80" s="34"/>
      <c r="G80" s="34"/>
      <c r="H80" s="34"/>
      <c r="I80" s="34"/>
      <c r="J80" s="34"/>
      <c r="K80" s="34"/>
      <c r="L80" s="34"/>
      <c r="M80" s="34"/>
    </row>
    <row r="81" spans="1:13" s="22" customFormat="1" ht="13.5">
      <c r="A81" s="3"/>
      <c r="B81" s="3"/>
      <c r="C81" s="2"/>
      <c r="D81" s="3"/>
      <c r="E81" s="3"/>
      <c r="F81" s="34"/>
      <c r="G81" s="34"/>
      <c r="H81" s="34"/>
      <c r="I81" s="34"/>
      <c r="J81" s="34"/>
      <c r="K81" s="34"/>
      <c r="L81" s="34"/>
      <c r="M81" s="34"/>
    </row>
    <row r="82" spans="1:13" s="22" customFormat="1" ht="13.5">
      <c r="A82" s="3"/>
      <c r="B82" s="3"/>
      <c r="C82" s="2"/>
      <c r="D82" s="3"/>
      <c r="E82" s="3"/>
      <c r="F82" s="34"/>
      <c r="G82" s="34"/>
      <c r="H82" s="34"/>
      <c r="I82" s="34"/>
      <c r="J82" s="34"/>
      <c r="K82" s="34"/>
      <c r="L82" s="34"/>
      <c r="M82" s="34"/>
    </row>
    <row r="83" spans="1:13" s="22" customFormat="1" ht="13.5">
      <c r="A83" s="3"/>
      <c r="B83" s="3"/>
      <c r="C83" s="2"/>
      <c r="D83" s="3"/>
      <c r="E83" s="3"/>
      <c r="F83" s="34"/>
      <c r="G83" s="34"/>
      <c r="H83" s="34"/>
      <c r="I83" s="34"/>
      <c r="J83" s="34"/>
      <c r="K83" s="34"/>
      <c r="L83" s="34"/>
      <c r="M83" s="34"/>
    </row>
    <row r="84" spans="1:13" s="22" customFormat="1" ht="13.5">
      <c r="A84" s="3"/>
      <c r="B84" s="3"/>
      <c r="C84" s="2"/>
      <c r="D84" s="3"/>
      <c r="E84" s="3"/>
      <c r="F84" s="34"/>
      <c r="G84" s="34"/>
      <c r="H84" s="34"/>
      <c r="I84" s="34"/>
      <c r="J84" s="34"/>
      <c r="K84" s="34"/>
      <c r="L84" s="34"/>
      <c r="M84" s="34"/>
    </row>
    <row r="85" spans="1:13" s="22" customFormat="1" ht="13.5">
      <c r="A85" s="3"/>
      <c r="B85" s="3"/>
      <c r="C85" s="2"/>
      <c r="D85" s="3"/>
      <c r="E85" s="3"/>
      <c r="F85" s="34"/>
      <c r="G85" s="34"/>
      <c r="H85" s="34"/>
      <c r="I85" s="34"/>
      <c r="J85" s="34"/>
      <c r="K85" s="34"/>
      <c r="L85" s="34"/>
      <c r="M85" s="34"/>
    </row>
    <row r="86" spans="1:13" s="22" customFormat="1" ht="13.5">
      <c r="A86" s="3"/>
      <c r="B86" s="3"/>
      <c r="C86" s="2"/>
      <c r="D86" s="3"/>
      <c r="E86" s="3"/>
      <c r="F86" s="34"/>
      <c r="G86" s="34"/>
      <c r="H86" s="34"/>
      <c r="I86" s="34"/>
      <c r="J86" s="34"/>
      <c r="K86" s="34"/>
      <c r="L86" s="34"/>
      <c r="M86" s="34"/>
    </row>
    <row r="87" spans="1:13" s="22" customFormat="1" ht="13.5">
      <c r="A87" s="3"/>
      <c r="B87" s="3"/>
      <c r="C87" s="2"/>
      <c r="D87" s="3"/>
      <c r="E87" s="3"/>
      <c r="F87" s="34"/>
      <c r="G87" s="34"/>
      <c r="H87" s="34"/>
      <c r="I87" s="34"/>
      <c r="J87" s="34"/>
      <c r="K87" s="34"/>
      <c r="L87" s="34"/>
      <c r="M87" s="34"/>
    </row>
    <row r="88" spans="1:13" s="22" customFormat="1" ht="13.5">
      <c r="A88" s="3"/>
      <c r="B88" s="3"/>
      <c r="C88" s="2"/>
      <c r="D88" s="3"/>
      <c r="E88" s="3"/>
      <c r="F88" s="34"/>
      <c r="G88" s="34"/>
      <c r="H88" s="34"/>
      <c r="I88" s="34"/>
      <c r="J88" s="34"/>
      <c r="K88" s="34"/>
      <c r="L88" s="34"/>
      <c r="M88" s="34"/>
    </row>
    <row r="89" spans="1:13" s="22" customFormat="1" ht="13.5">
      <c r="A89" s="3"/>
      <c r="B89" s="3"/>
      <c r="C89" s="2"/>
      <c r="D89" s="3"/>
      <c r="E89" s="3"/>
      <c r="F89" s="34"/>
      <c r="G89" s="34"/>
      <c r="H89" s="34"/>
      <c r="I89" s="34"/>
      <c r="J89" s="34"/>
      <c r="K89" s="34"/>
      <c r="L89" s="34"/>
      <c r="M89" s="34"/>
    </row>
    <row r="90" spans="1:13" s="22" customFormat="1" ht="13.5">
      <c r="A90" s="3"/>
      <c r="B90" s="3"/>
      <c r="C90" s="2"/>
      <c r="D90" s="3"/>
      <c r="E90" s="3"/>
      <c r="F90" s="34"/>
      <c r="G90" s="34"/>
      <c r="H90" s="34"/>
      <c r="I90" s="34"/>
      <c r="J90" s="34"/>
      <c r="K90" s="34"/>
      <c r="L90" s="34"/>
      <c r="M90" s="34"/>
    </row>
    <row r="91" spans="1:13" s="22" customFormat="1" ht="13.5">
      <c r="A91" s="3"/>
      <c r="B91" s="3"/>
      <c r="C91" s="2"/>
      <c r="D91" s="3"/>
      <c r="E91" s="3"/>
      <c r="F91" s="34"/>
      <c r="G91" s="34"/>
      <c r="H91" s="34"/>
      <c r="I91" s="34"/>
      <c r="J91" s="34"/>
      <c r="K91" s="34"/>
      <c r="L91" s="34"/>
      <c r="M91" s="34"/>
    </row>
    <row r="92" spans="1:13" s="22" customFormat="1" ht="13.5">
      <c r="A92" s="3"/>
      <c r="B92" s="3"/>
      <c r="C92" s="2"/>
      <c r="D92" s="3"/>
      <c r="E92" s="3"/>
      <c r="F92" s="34"/>
      <c r="G92" s="34"/>
      <c r="H92" s="34"/>
      <c r="I92" s="34"/>
      <c r="J92" s="34"/>
      <c r="K92" s="34"/>
      <c r="L92" s="34"/>
      <c r="M92" s="34"/>
    </row>
    <row r="93" spans="1:13" s="22" customFormat="1" ht="13.5">
      <c r="A93" s="3"/>
      <c r="B93" s="3"/>
      <c r="C93" s="2"/>
      <c r="D93" s="3"/>
      <c r="E93" s="3"/>
      <c r="F93" s="34"/>
      <c r="G93" s="34"/>
      <c r="H93" s="34"/>
      <c r="I93" s="34"/>
      <c r="J93" s="34"/>
      <c r="K93" s="34"/>
      <c r="L93" s="34"/>
      <c r="M93" s="34"/>
    </row>
    <row r="94" spans="1:13" s="22" customFormat="1" ht="13.5">
      <c r="A94" s="3"/>
      <c r="B94" s="3"/>
      <c r="C94" s="2"/>
      <c r="D94" s="3"/>
      <c r="E94" s="3"/>
      <c r="F94" s="34"/>
      <c r="G94" s="34"/>
      <c r="H94" s="34"/>
      <c r="I94" s="34"/>
      <c r="J94" s="34"/>
      <c r="K94" s="34"/>
      <c r="L94" s="34"/>
      <c r="M94" s="34"/>
    </row>
    <row r="95" spans="1:13" s="22" customFormat="1" ht="13.5">
      <c r="A95" s="3"/>
      <c r="B95" s="3"/>
      <c r="C95" s="2"/>
      <c r="D95" s="3"/>
      <c r="E95" s="3"/>
      <c r="F95" s="34"/>
      <c r="G95" s="34"/>
      <c r="H95" s="34"/>
      <c r="I95" s="34"/>
      <c r="J95" s="34"/>
      <c r="K95" s="34"/>
      <c r="L95" s="34"/>
      <c r="M95" s="34"/>
    </row>
    <row r="96" spans="1:13" s="22" customFormat="1" ht="13.5">
      <c r="A96" s="3"/>
      <c r="B96" s="3"/>
      <c r="C96" s="2"/>
      <c r="D96" s="3"/>
      <c r="E96" s="3"/>
      <c r="F96" s="34"/>
      <c r="G96" s="34"/>
      <c r="H96" s="34"/>
      <c r="I96" s="34"/>
      <c r="J96" s="34"/>
      <c r="K96" s="34"/>
      <c r="L96" s="34"/>
      <c r="M96" s="34"/>
    </row>
    <row r="97" spans="1:13" s="22" customFormat="1" ht="13.5">
      <c r="A97" s="3"/>
      <c r="B97" s="3"/>
      <c r="C97" s="2"/>
      <c r="D97" s="3"/>
      <c r="E97" s="3"/>
      <c r="F97" s="34"/>
      <c r="G97" s="34"/>
      <c r="H97" s="34"/>
      <c r="I97" s="34"/>
      <c r="J97" s="34"/>
      <c r="K97" s="34"/>
      <c r="L97" s="34"/>
      <c r="M97" s="34"/>
    </row>
    <row r="98" spans="1:13" s="22" customFormat="1" ht="13.5">
      <c r="A98" s="3"/>
      <c r="B98" s="3"/>
      <c r="C98" s="2"/>
      <c r="D98" s="3"/>
      <c r="E98" s="3"/>
      <c r="F98" s="34"/>
      <c r="G98" s="34"/>
      <c r="H98" s="34"/>
      <c r="I98" s="34"/>
      <c r="J98" s="34"/>
      <c r="K98" s="34"/>
      <c r="L98" s="34"/>
      <c r="M98" s="34"/>
    </row>
    <row r="99" spans="1:13" s="22" customFormat="1" ht="13.5">
      <c r="A99" s="3"/>
      <c r="B99" s="3"/>
      <c r="C99" s="2"/>
      <c r="D99" s="3"/>
      <c r="E99" s="3"/>
      <c r="F99" s="34"/>
      <c r="G99" s="34"/>
      <c r="H99" s="34"/>
      <c r="I99" s="34"/>
      <c r="J99" s="34"/>
      <c r="K99" s="34"/>
      <c r="L99" s="34"/>
      <c r="M99" s="34"/>
    </row>
    <row r="100" spans="1:13" s="22" customFormat="1" ht="13.5">
      <c r="A100" s="3"/>
      <c r="B100" s="3"/>
      <c r="C100" s="2"/>
      <c r="D100" s="3"/>
      <c r="E100" s="3"/>
      <c r="F100" s="34"/>
      <c r="G100" s="34"/>
      <c r="H100" s="34"/>
      <c r="I100" s="34"/>
      <c r="J100" s="34"/>
      <c r="K100" s="34"/>
      <c r="L100" s="34"/>
      <c r="M100" s="34"/>
    </row>
    <row r="101" spans="1:13" s="22" customFormat="1" ht="13.5">
      <c r="A101" s="3"/>
      <c r="B101" s="3"/>
      <c r="C101" s="2"/>
      <c r="D101" s="3"/>
      <c r="E101" s="3"/>
      <c r="F101" s="34"/>
      <c r="G101" s="34"/>
      <c r="H101" s="34"/>
      <c r="I101" s="34"/>
      <c r="J101" s="34"/>
      <c r="K101" s="34"/>
      <c r="L101" s="34"/>
      <c r="M101" s="34"/>
    </row>
    <row r="102" spans="1:13" s="22" customFormat="1" ht="13.5">
      <c r="A102" s="3"/>
      <c r="B102" s="3"/>
      <c r="C102" s="2"/>
      <c r="D102" s="3"/>
      <c r="E102" s="3"/>
      <c r="F102" s="34"/>
      <c r="G102" s="34"/>
      <c r="H102" s="34"/>
      <c r="I102" s="34"/>
      <c r="J102" s="34"/>
      <c r="K102" s="34"/>
      <c r="L102" s="34"/>
      <c r="M102" s="34"/>
    </row>
    <row r="103" spans="1:13" s="22" customFormat="1" ht="13.5">
      <c r="A103" s="3"/>
      <c r="B103" s="3"/>
      <c r="C103" s="2"/>
      <c r="D103" s="3"/>
      <c r="E103" s="3"/>
      <c r="F103" s="34"/>
      <c r="G103" s="34"/>
      <c r="H103" s="34"/>
      <c r="I103" s="34"/>
      <c r="J103" s="34"/>
      <c r="K103" s="34"/>
      <c r="L103" s="34"/>
      <c r="M103" s="34"/>
    </row>
    <row r="104" spans="1:13" s="22" customFormat="1" ht="13.5">
      <c r="A104" s="3"/>
      <c r="B104" s="3"/>
      <c r="C104" s="2"/>
      <c r="D104" s="3"/>
      <c r="E104" s="3"/>
      <c r="F104" s="34"/>
      <c r="G104" s="34"/>
      <c r="H104" s="34"/>
      <c r="I104" s="34"/>
      <c r="J104" s="34"/>
      <c r="K104" s="34"/>
      <c r="L104" s="34"/>
      <c r="M104" s="34"/>
    </row>
    <row r="105" spans="1:13" s="22" customFormat="1" ht="13.5">
      <c r="A105" s="3"/>
      <c r="B105" s="3"/>
      <c r="C105" s="2"/>
      <c r="D105" s="3"/>
      <c r="E105" s="3"/>
      <c r="F105" s="34"/>
      <c r="G105" s="34"/>
      <c r="H105" s="34"/>
      <c r="I105" s="34"/>
      <c r="J105" s="34"/>
      <c r="K105" s="34"/>
      <c r="L105" s="34"/>
      <c r="M105" s="34"/>
    </row>
    <row r="106" spans="1:13" s="22" customFormat="1" ht="13.5">
      <c r="A106" s="3"/>
      <c r="B106" s="3"/>
      <c r="C106" s="2"/>
      <c r="D106" s="3"/>
      <c r="E106" s="3"/>
      <c r="F106" s="34"/>
      <c r="G106" s="34"/>
      <c r="H106" s="34"/>
      <c r="I106" s="34"/>
      <c r="J106" s="34"/>
      <c r="K106" s="34"/>
      <c r="L106" s="34"/>
      <c r="M106" s="34"/>
    </row>
    <row r="107" spans="1:13" s="22" customFormat="1" ht="13.5">
      <c r="A107" s="3"/>
      <c r="B107" s="3"/>
      <c r="C107" s="2"/>
      <c r="D107" s="3"/>
      <c r="E107" s="3"/>
    </row>
    <row r="108" spans="1:13" s="22" customFormat="1" ht="13.5">
      <c r="C108" s="1"/>
    </row>
    <row r="109" spans="1:13" s="22" customFormat="1" ht="13.5">
      <c r="C109" s="1"/>
    </row>
    <row r="110" spans="1:13" s="22" customFormat="1" ht="13.5">
      <c r="C110" s="1"/>
    </row>
    <row r="111" spans="1:13" s="22" customFormat="1" ht="13.5">
      <c r="C111" s="1"/>
    </row>
    <row r="112" spans="1:13" s="22" customFormat="1" ht="13.5">
      <c r="C112" s="1"/>
    </row>
    <row r="113" spans="3:3" s="22" customFormat="1" ht="13.5">
      <c r="C113" s="1"/>
    </row>
    <row r="114" spans="3:3" s="22" customFormat="1" ht="13.5">
      <c r="C114" s="1"/>
    </row>
    <row r="115" spans="3:3" s="22" customFormat="1" ht="13.5">
      <c r="C115" s="1"/>
    </row>
    <row r="116" spans="3:3" s="22" customFormat="1" ht="13.5">
      <c r="C116" s="1"/>
    </row>
    <row r="117" spans="3:3" s="22" customFormat="1" ht="13.5">
      <c r="C117" s="1"/>
    </row>
    <row r="118" spans="3:3" s="22" customFormat="1" ht="13.5">
      <c r="C118" s="1"/>
    </row>
    <row r="119" spans="3:3" s="22" customFormat="1" ht="13.5">
      <c r="C119" s="1"/>
    </row>
    <row r="120" spans="3:3" s="22" customFormat="1" ht="13.5">
      <c r="C120" s="1"/>
    </row>
    <row r="121" spans="3:3" s="22" customFormat="1" ht="13.5">
      <c r="C121" s="1"/>
    </row>
    <row r="122" spans="3:3" s="22" customFormat="1" ht="13.5">
      <c r="C122" s="1"/>
    </row>
    <row r="123" spans="3:3" s="22" customFormat="1" ht="13.5">
      <c r="C123" s="1"/>
    </row>
    <row r="124" spans="3:3" s="22" customFormat="1" ht="13.5">
      <c r="C124" s="1"/>
    </row>
    <row r="125" spans="3:3" s="22" customFormat="1" ht="13.5">
      <c r="C125" s="1"/>
    </row>
    <row r="126" spans="3:3" s="22" customFormat="1" ht="13.5">
      <c r="C126" s="1"/>
    </row>
    <row r="127" spans="3:3" s="22" customFormat="1" ht="13.5">
      <c r="C127" s="1"/>
    </row>
    <row r="128" spans="3:3" s="22" customFormat="1" ht="13.5">
      <c r="C128" s="1"/>
    </row>
    <row r="129" spans="3:3" s="22" customFormat="1" ht="13.5">
      <c r="C129" s="1"/>
    </row>
    <row r="130" spans="3:3" s="22" customFormat="1" ht="13.5">
      <c r="C130" s="1"/>
    </row>
    <row r="131" spans="3:3" s="22" customFormat="1" ht="13.5">
      <c r="C131" s="1"/>
    </row>
    <row r="132" spans="3:3" s="22" customFormat="1" ht="13.5">
      <c r="C132" s="1"/>
    </row>
    <row r="133" spans="3:3" s="22" customFormat="1" ht="13.5">
      <c r="C133" s="1"/>
    </row>
    <row r="134" spans="3:3" s="22" customFormat="1" ht="13.5">
      <c r="C134" s="1"/>
    </row>
    <row r="135" spans="3:3" s="36" customFormat="1" ht="13.5"/>
    <row r="136" spans="3:3" s="36" customFormat="1" ht="13.5"/>
    <row r="137" spans="3:3" s="36" customFormat="1" ht="13.5"/>
    <row r="138" spans="3:3" s="36" customFormat="1" ht="13.5"/>
    <row r="139" spans="3:3" s="36" customFormat="1" ht="13.5"/>
    <row r="140" spans="3:3" s="36" customFormat="1" ht="13.5"/>
    <row r="141" spans="3:3" s="36" customFormat="1" ht="13.5"/>
    <row r="142" spans="3:3" s="36" customFormat="1" ht="13.5"/>
  </sheetData>
  <mergeCells count="27">
    <mergeCell ref="D66:E66"/>
    <mergeCell ref="H66:I66"/>
    <mergeCell ref="A20:A26"/>
    <mergeCell ref="A27:A30"/>
    <mergeCell ref="A31:A36"/>
    <mergeCell ref="A37:A40"/>
    <mergeCell ref="A42:A44"/>
    <mergeCell ref="A46:A48"/>
    <mergeCell ref="A49:A58"/>
    <mergeCell ref="I7:J7"/>
    <mergeCell ref="K7:L7"/>
    <mergeCell ref="M7:M8"/>
    <mergeCell ref="A11:A12"/>
    <mergeCell ref="A13:A15"/>
    <mergeCell ref="E7:F7"/>
    <mergeCell ref="G7:H7"/>
    <mergeCell ref="A17:A19"/>
    <mergeCell ref="A7:A8"/>
    <mergeCell ref="B7:B8"/>
    <mergeCell ref="C7:C8"/>
    <mergeCell ref="D7:D8"/>
    <mergeCell ref="A6:G6"/>
    <mergeCell ref="A1:M1"/>
    <mergeCell ref="A2:M2"/>
    <mergeCell ref="A3:M3"/>
    <mergeCell ref="A4:G4"/>
    <mergeCell ref="C5:K5"/>
  </mergeCells>
  <pageMargins left="0.15748031496062992" right="0.19685039370078741" top="0.39370078740157483" bottom="0.39370078740157483" header="0.31496062992125984" footer="0.31496062992125984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view="pageBreakPreview" zoomScale="60" zoomScaleNormal="100" workbookViewId="0">
      <selection activeCell="H18" sqref="H18"/>
    </sheetView>
  </sheetViews>
  <sheetFormatPr defaultColWidth="9.140625" defaultRowHeight="15"/>
  <cols>
    <col min="1" max="1" width="4" customWidth="1"/>
    <col min="3" max="3" width="38.85546875" customWidth="1"/>
    <col min="5" max="5" width="8.42578125" customWidth="1"/>
    <col min="6" max="6" width="16.5703125" style="237" customWidth="1"/>
    <col min="7" max="7" width="7.42578125" customWidth="1"/>
    <col min="8" max="8" width="10.140625" customWidth="1"/>
    <col min="9" max="9" width="8.42578125" customWidth="1"/>
    <col min="12" max="12" width="9.85546875" customWidth="1"/>
    <col min="13" max="13" width="10.85546875" customWidth="1"/>
    <col min="15" max="15" width="10.42578125" bestFit="1" customWidth="1"/>
  </cols>
  <sheetData>
    <row r="1" spans="1:16" s="36" customFormat="1" ht="31.5" customHeight="1">
      <c r="A1" s="277" t="s">
        <v>163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6"/>
      <c r="O1" s="14"/>
      <c r="P1" s="14"/>
    </row>
    <row r="2" spans="1:16" s="36" customFormat="1" ht="17.25" customHeight="1">
      <c r="A2" s="278" t="s">
        <v>322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6"/>
      <c r="O2" s="7"/>
      <c r="P2" s="7"/>
    </row>
    <row r="3" spans="1:16" s="36" customFormat="1" ht="15.75">
      <c r="A3" s="278" t="s">
        <v>93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6"/>
      <c r="O3" s="7"/>
      <c r="P3" s="7"/>
    </row>
    <row r="4" spans="1:16" s="36" customFormat="1" ht="15.75">
      <c r="A4" s="279" t="s">
        <v>1</v>
      </c>
      <c r="B4" s="279"/>
      <c r="C4" s="279"/>
      <c r="D4" s="279"/>
      <c r="E4" s="279"/>
      <c r="F4" s="279"/>
      <c r="G4" s="279"/>
      <c r="H4" s="8"/>
      <c r="I4" s="8"/>
      <c r="J4" s="8"/>
      <c r="K4" s="8"/>
      <c r="L4" s="8"/>
      <c r="M4" s="8"/>
      <c r="N4" s="6"/>
      <c r="O4" s="7"/>
      <c r="P4" s="7"/>
    </row>
    <row r="5" spans="1:16" s="36" customFormat="1" ht="15.75">
      <c r="A5" s="42"/>
      <c r="B5" s="42"/>
      <c r="C5" s="280" t="s">
        <v>2</v>
      </c>
      <c r="D5" s="280"/>
      <c r="E5" s="280"/>
      <c r="F5" s="280"/>
      <c r="G5" s="280"/>
      <c r="H5" s="280"/>
      <c r="I5" s="280"/>
      <c r="J5" s="280"/>
      <c r="K5" s="280"/>
      <c r="L5" s="9">
        <f>M72</f>
        <v>0</v>
      </c>
      <c r="M5" s="10" t="s">
        <v>16</v>
      </c>
      <c r="N5" s="6"/>
      <c r="O5" s="7"/>
      <c r="P5" s="7"/>
    </row>
    <row r="6" spans="1:16" s="36" customFormat="1" ht="18.75" customHeight="1">
      <c r="A6" s="267" t="s">
        <v>404</v>
      </c>
      <c r="B6" s="267"/>
      <c r="C6" s="267"/>
      <c r="D6" s="267"/>
      <c r="E6" s="267"/>
      <c r="F6" s="267"/>
      <c r="G6" s="267"/>
      <c r="H6" s="8"/>
      <c r="I6" s="8"/>
      <c r="J6" s="8"/>
      <c r="K6" s="8"/>
      <c r="L6" s="8"/>
      <c r="M6" s="8"/>
      <c r="N6" s="6"/>
      <c r="O6" s="7"/>
      <c r="P6" s="7"/>
    </row>
    <row r="7" spans="1:16" s="36" customFormat="1" ht="38.25" customHeight="1">
      <c r="A7" s="285" t="s">
        <v>3</v>
      </c>
      <c r="B7" s="285" t="s">
        <v>4</v>
      </c>
      <c r="C7" s="284" t="s">
        <v>5</v>
      </c>
      <c r="D7" s="284" t="s">
        <v>6</v>
      </c>
      <c r="E7" s="284" t="s">
        <v>7</v>
      </c>
      <c r="F7" s="284"/>
      <c r="G7" s="284" t="s">
        <v>8</v>
      </c>
      <c r="H7" s="284"/>
      <c r="I7" s="284" t="s">
        <v>9</v>
      </c>
      <c r="J7" s="284"/>
      <c r="K7" s="284" t="s">
        <v>10</v>
      </c>
      <c r="L7" s="284"/>
      <c r="M7" s="285" t="s">
        <v>11</v>
      </c>
      <c r="N7" s="6"/>
      <c r="O7" s="7"/>
      <c r="P7" s="7"/>
    </row>
    <row r="8" spans="1:16" s="36" customFormat="1" ht="40.5">
      <c r="A8" s="285"/>
      <c r="B8" s="285"/>
      <c r="C8" s="284"/>
      <c r="D8" s="284"/>
      <c r="E8" s="43" t="s">
        <v>12</v>
      </c>
      <c r="F8" s="230" t="s">
        <v>11</v>
      </c>
      <c r="G8" s="43" t="s">
        <v>13</v>
      </c>
      <c r="H8" s="11" t="s">
        <v>11</v>
      </c>
      <c r="I8" s="12" t="s">
        <v>13</v>
      </c>
      <c r="J8" s="13" t="s">
        <v>11</v>
      </c>
      <c r="K8" s="43" t="s">
        <v>13</v>
      </c>
      <c r="L8" s="43" t="s">
        <v>11</v>
      </c>
      <c r="M8" s="285"/>
      <c r="N8" s="6"/>
      <c r="O8" s="7"/>
      <c r="P8" s="7"/>
    </row>
    <row r="9" spans="1:16" s="36" customFormat="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31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6"/>
      <c r="O9" s="7"/>
      <c r="P9" s="7"/>
    </row>
    <row r="10" spans="1:16" s="36" customFormat="1" ht="67.5">
      <c r="A10" s="214"/>
      <c r="B10" s="24"/>
      <c r="C10" s="211" t="s">
        <v>524</v>
      </c>
      <c r="D10" s="24"/>
      <c r="E10" s="24"/>
      <c r="F10" s="231"/>
      <c r="G10" s="24"/>
      <c r="H10" s="24"/>
      <c r="I10" s="24"/>
      <c r="J10" s="24"/>
      <c r="K10" s="24"/>
      <c r="L10" s="24"/>
      <c r="M10" s="24"/>
      <c r="N10" s="6"/>
      <c r="O10" s="7"/>
      <c r="P10" s="7"/>
    </row>
    <row r="11" spans="1:16" s="22" customFormat="1" ht="31.5" customHeight="1">
      <c r="A11" s="274" t="s">
        <v>14</v>
      </c>
      <c r="B11" s="20" t="s">
        <v>257</v>
      </c>
      <c r="C11" s="105" t="s">
        <v>258</v>
      </c>
      <c r="D11" s="20" t="s">
        <v>80</v>
      </c>
      <c r="E11" s="21"/>
      <c r="F11" s="97">
        <v>11232.38</v>
      </c>
      <c r="G11" s="99"/>
      <c r="H11" s="121"/>
      <c r="I11" s="121"/>
      <c r="J11" s="121"/>
      <c r="K11" s="121"/>
      <c r="L11" s="121"/>
      <c r="M11" s="121"/>
    </row>
    <row r="12" spans="1:16" s="22" customFormat="1" ht="13.5" customHeight="1">
      <c r="A12" s="275"/>
      <c r="B12" s="20"/>
      <c r="C12" s="105" t="s">
        <v>570</v>
      </c>
      <c r="D12" s="20" t="s">
        <v>15</v>
      </c>
      <c r="E12" s="20">
        <f>0.15*1.15</f>
        <v>0.17249999999999999</v>
      </c>
      <c r="F12" s="97">
        <f>E12*F11</f>
        <v>1937.5855499999998</v>
      </c>
      <c r="G12" s="21"/>
      <c r="H12" s="35"/>
      <c r="I12" s="110"/>
      <c r="J12" s="35"/>
      <c r="K12" s="20"/>
      <c r="L12" s="35"/>
      <c r="M12" s="110"/>
    </row>
    <row r="13" spans="1:16" s="22" customFormat="1" ht="13.5" customHeight="1">
      <c r="A13" s="275"/>
      <c r="B13" s="20" t="s">
        <v>259</v>
      </c>
      <c r="C13" s="105" t="s">
        <v>571</v>
      </c>
      <c r="D13" s="20" t="s">
        <v>20</v>
      </c>
      <c r="E13" s="20">
        <f>0.0216*1.05</f>
        <v>2.2680000000000002E-2</v>
      </c>
      <c r="F13" s="97">
        <f>E13*F11</f>
        <v>254.75037840000002</v>
      </c>
      <c r="G13" s="21"/>
      <c r="H13" s="35"/>
      <c r="I13" s="20"/>
      <c r="J13" s="35"/>
      <c r="K13" s="20"/>
      <c r="L13" s="35"/>
      <c r="M13" s="110"/>
    </row>
    <row r="14" spans="1:16" s="22" customFormat="1" ht="13.5" customHeight="1">
      <c r="A14" s="275"/>
      <c r="B14" s="20" t="s">
        <v>261</v>
      </c>
      <c r="C14" s="105" t="s">
        <v>572</v>
      </c>
      <c r="D14" s="20" t="s">
        <v>20</v>
      </c>
      <c r="E14" s="20">
        <f>0.0273*1.05</f>
        <v>2.8665000000000003E-2</v>
      </c>
      <c r="F14" s="97">
        <f>E14*F11</f>
        <v>321.97617270000001</v>
      </c>
      <c r="G14" s="21"/>
      <c r="H14" s="35"/>
      <c r="I14" s="20"/>
      <c r="J14" s="35"/>
      <c r="K14" s="110"/>
      <c r="L14" s="35"/>
      <c r="M14" s="110"/>
    </row>
    <row r="15" spans="1:16" s="22" customFormat="1" ht="13.5" customHeight="1">
      <c r="A15" s="275"/>
      <c r="B15" s="20" t="s">
        <v>263</v>
      </c>
      <c r="C15" s="105" t="s">
        <v>573</v>
      </c>
      <c r="D15" s="20" t="s">
        <v>20</v>
      </c>
      <c r="E15" s="20">
        <f>0.0097*1.05</f>
        <v>1.0185000000000001E-2</v>
      </c>
      <c r="F15" s="97">
        <f>E15*F11</f>
        <v>114.4017903</v>
      </c>
      <c r="G15" s="21"/>
      <c r="H15" s="35"/>
      <c r="I15" s="20"/>
      <c r="J15" s="35"/>
      <c r="K15" s="20"/>
      <c r="L15" s="35"/>
      <c r="M15" s="110"/>
    </row>
    <row r="16" spans="1:16" s="22" customFormat="1" ht="13.5" customHeight="1">
      <c r="A16" s="275"/>
      <c r="B16" s="20" t="s">
        <v>225</v>
      </c>
      <c r="C16" s="105" t="s">
        <v>124</v>
      </c>
      <c r="D16" s="20" t="s">
        <v>80</v>
      </c>
      <c r="E16" s="20">
        <v>1.22</v>
      </c>
      <c r="F16" s="97">
        <f>E16*F11</f>
        <v>13703.503599999998</v>
      </c>
      <c r="G16" s="120"/>
      <c r="H16" s="35"/>
      <c r="I16" s="20"/>
      <c r="J16" s="35"/>
      <c r="K16" s="26"/>
      <c r="L16" s="26"/>
      <c r="M16" s="26"/>
    </row>
    <row r="17" spans="1:13" s="22" customFormat="1" ht="13.5" customHeight="1">
      <c r="A17" s="276"/>
      <c r="B17" s="20" t="s">
        <v>453</v>
      </c>
      <c r="C17" s="105" t="s">
        <v>266</v>
      </c>
      <c r="D17" s="20" t="s">
        <v>80</v>
      </c>
      <c r="E17" s="20">
        <v>7.0000000000000007E-2</v>
      </c>
      <c r="F17" s="97">
        <f>E17*F11</f>
        <v>786.26660000000004</v>
      </c>
      <c r="G17" s="110"/>
      <c r="H17" s="35"/>
      <c r="I17" s="20"/>
      <c r="J17" s="35"/>
      <c r="K17" s="20"/>
      <c r="L17" s="35"/>
      <c r="M17" s="110"/>
    </row>
    <row r="18" spans="1:13" s="22" customFormat="1" ht="47.25" customHeight="1">
      <c r="A18" s="274" t="s">
        <v>75</v>
      </c>
      <c r="B18" s="172" t="s">
        <v>267</v>
      </c>
      <c r="C18" s="105" t="s">
        <v>268</v>
      </c>
      <c r="D18" s="149" t="s">
        <v>24</v>
      </c>
      <c r="E18" s="108"/>
      <c r="F18" s="97">
        <v>44680.65</v>
      </c>
      <c r="G18" s="155"/>
      <c r="H18" s="40"/>
      <c r="I18" s="40"/>
      <c r="J18" s="40"/>
      <c r="K18" s="40"/>
      <c r="L18" s="40"/>
      <c r="M18" s="40"/>
    </row>
    <row r="19" spans="1:13" s="22" customFormat="1" ht="13.5" customHeight="1">
      <c r="A19" s="275"/>
      <c r="B19" s="15"/>
      <c r="C19" s="105" t="s">
        <v>574</v>
      </c>
      <c r="D19" s="20" t="s">
        <v>15</v>
      </c>
      <c r="E19" s="20">
        <f>(0.033+0.0286)*1.15</f>
        <v>7.084E-2</v>
      </c>
      <c r="F19" s="97">
        <f>E19*F18</f>
        <v>3165.1772460000002</v>
      </c>
      <c r="G19" s="21"/>
      <c r="H19" s="35"/>
      <c r="I19" s="110"/>
      <c r="J19" s="35"/>
      <c r="K19" s="20"/>
      <c r="L19" s="35"/>
      <c r="M19" s="110"/>
    </row>
    <row r="20" spans="1:13" s="22" customFormat="1" ht="13.5" customHeight="1">
      <c r="A20" s="275"/>
      <c r="B20" s="15" t="s">
        <v>259</v>
      </c>
      <c r="C20" s="105" t="s">
        <v>575</v>
      </c>
      <c r="D20" s="20" t="s">
        <v>20</v>
      </c>
      <c r="E20" s="20">
        <f>(1.91+0.42)/1000*1.05</f>
        <v>2.4465000000000003E-3</v>
      </c>
      <c r="F20" s="97">
        <f>E20*F18</f>
        <v>109.31121022500002</v>
      </c>
      <c r="G20" s="21"/>
      <c r="H20" s="35"/>
      <c r="I20" s="20"/>
      <c r="J20" s="35"/>
      <c r="K20" s="20"/>
      <c r="L20" s="35"/>
      <c r="M20" s="110"/>
    </row>
    <row r="21" spans="1:13" s="22" customFormat="1" ht="13.5" customHeight="1">
      <c r="A21" s="275"/>
      <c r="B21" s="15" t="s">
        <v>102</v>
      </c>
      <c r="C21" s="105" t="s">
        <v>576</v>
      </c>
      <c r="D21" s="20" t="s">
        <v>20</v>
      </c>
      <c r="E21" s="20">
        <f>0.00258*1.05</f>
        <v>2.709E-3</v>
      </c>
      <c r="F21" s="97">
        <f>E21*F18</f>
        <v>121.03988085</v>
      </c>
      <c r="G21" s="21"/>
      <c r="H21" s="35"/>
      <c r="I21" s="20"/>
      <c r="J21" s="35"/>
      <c r="K21" s="193"/>
      <c r="L21" s="35"/>
      <c r="M21" s="110"/>
    </row>
    <row r="22" spans="1:13" s="22" customFormat="1" ht="13.5" customHeight="1">
      <c r="A22" s="275"/>
      <c r="B22" s="15" t="s">
        <v>269</v>
      </c>
      <c r="C22" s="105" t="s">
        <v>397</v>
      </c>
      <c r="D22" s="20" t="s">
        <v>20</v>
      </c>
      <c r="E22" s="20">
        <f>(0.0112+0.0076)*1.05</f>
        <v>1.9740000000000001E-2</v>
      </c>
      <c r="F22" s="97">
        <f>E22*F18</f>
        <v>881.99603100000002</v>
      </c>
      <c r="G22" s="21"/>
      <c r="H22" s="35"/>
      <c r="I22" s="20"/>
      <c r="J22" s="35"/>
      <c r="K22" s="20"/>
      <c r="L22" s="35"/>
      <c r="M22" s="110"/>
    </row>
    <row r="23" spans="1:13" s="22" customFormat="1" ht="13.5" customHeight="1">
      <c r="A23" s="275"/>
      <c r="B23" s="15" t="s">
        <v>271</v>
      </c>
      <c r="C23" s="105" t="s">
        <v>398</v>
      </c>
      <c r="D23" s="20" t="s">
        <v>20</v>
      </c>
      <c r="E23" s="20">
        <f>(0.0248+0.0151)*1.05</f>
        <v>4.1895000000000002E-2</v>
      </c>
      <c r="F23" s="97">
        <f>E23*F18</f>
        <v>1871.8958317500001</v>
      </c>
      <c r="G23" s="21"/>
      <c r="H23" s="35"/>
      <c r="I23" s="20"/>
      <c r="J23" s="35"/>
      <c r="K23" s="110"/>
      <c r="L23" s="35"/>
      <c r="M23" s="110"/>
    </row>
    <row r="24" spans="1:13" s="22" customFormat="1" ht="13.5" customHeight="1">
      <c r="A24" s="275"/>
      <c r="B24" s="15" t="s">
        <v>263</v>
      </c>
      <c r="C24" s="105" t="s">
        <v>577</v>
      </c>
      <c r="D24" s="20" t="s">
        <v>20</v>
      </c>
      <c r="E24" s="20">
        <f>(0.00414+0.00276)*1.05</f>
        <v>7.2450000000000006E-3</v>
      </c>
      <c r="F24" s="97">
        <f>E24*F18</f>
        <v>323.71130925000006</v>
      </c>
      <c r="G24" s="21"/>
      <c r="H24" s="35"/>
      <c r="I24" s="20"/>
      <c r="J24" s="35"/>
      <c r="K24" s="20"/>
      <c r="L24" s="35"/>
      <c r="M24" s="110"/>
    </row>
    <row r="25" spans="1:13" s="22" customFormat="1" ht="13.5" customHeight="1">
      <c r="A25" s="275"/>
      <c r="B25" s="15" t="s">
        <v>273</v>
      </c>
      <c r="C25" s="105" t="s">
        <v>399</v>
      </c>
      <c r="D25" s="20" t="s">
        <v>20</v>
      </c>
      <c r="E25" s="20">
        <f>0.00053*1.05</f>
        <v>5.5650000000000003E-4</v>
      </c>
      <c r="F25" s="97">
        <f>E25*F18</f>
        <v>24.864781725000004</v>
      </c>
      <c r="G25" s="21"/>
      <c r="H25" s="35"/>
      <c r="I25" s="20"/>
      <c r="J25" s="35"/>
      <c r="K25" s="20"/>
      <c r="L25" s="35"/>
      <c r="M25" s="110"/>
    </row>
    <row r="26" spans="1:13" s="22" customFormat="1" ht="13.5" customHeight="1">
      <c r="A26" s="275"/>
      <c r="B26" s="15" t="s">
        <v>225</v>
      </c>
      <c r="C26" s="105" t="s">
        <v>275</v>
      </c>
      <c r="D26" s="20" t="s">
        <v>80</v>
      </c>
      <c r="E26" s="20">
        <f>0.0126*20</f>
        <v>0.252</v>
      </c>
      <c r="F26" s="97">
        <f>E26*F18</f>
        <v>11259.523800000001</v>
      </c>
      <c r="G26" s="88"/>
      <c r="H26" s="35"/>
      <c r="I26" s="20"/>
      <c r="J26" s="35"/>
      <c r="K26" s="26"/>
      <c r="L26" s="35"/>
      <c r="M26" s="110"/>
    </row>
    <row r="27" spans="1:13" s="22" customFormat="1" ht="13.5" customHeight="1">
      <c r="A27" s="276"/>
      <c r="B27" s="15" t="s">
        <v>453</v>
      </c>
      <c r="C27" s="105" t="s">
        <v>266</v>
      </c>
      <c r="D27" s="20" t="s">
        <v>80</v>
      </c>
      <c r="E27" s="110">
        <v>0.05</v>
      </c>
      <c r="F27" s="97">
        <f>E27*F18</f>
        <v>2234.0325000000003</v>
      </c>
      <c r="G27" s="35"/>
      <c r="H27" s="35"/>
      <c r="I27" s="20"/>
      <c r="J27" s="35"/>
      <c r="K27" s="20"/>
      <c r="L27" s="35"/>
      <c r="M27" s="110"/>
    </row>
    <row r="28" spans="1:13" s="22" customFormat="1" ht="35.25" customHeight="1">
      <c r="A28" s="295" t="s">
        <v>18</v>
      </c>
      <c r="B28" s="20" t="s">
        <v>276</v>
      </c>
      <c r="C28" s="105" t="s">
        <v>277</v>
      </c>
      <c r="D28" s="20" t="s">
        <v>24</v>
      </c>
      <c r="E28" s="37"/>
      <c r="F28" s="117">
        <v>41550</v>
      </c>
      <c r="G28" s="37"/>
      <c r="H28" s="40"/>
      <c r="I28" s="37"/>
      <c r="J28" s="40"/>
      <c r="K28" s="194"/>
      <c r="L28" s="40"/>
      <c r="M28" s="40"/>
    </row>
    <row r="29" spans="1:13" s="22" customFormat="1" ht="13.5" customHeight="1">
      <c r="A29" s="296"/>
      <c r="B29" s="25"/>
      <c r="C29" s="105" t="s">
        <v>578</v>
      </c>
      <c r="D29" s="20" t="s">
        <v>15</v>
      </c>
      <c r="E29" s="20">
        <f>0.182*1.15</f>
        <v>0.20929999999999999</v>
      </c>
      <c r="F29" s="97">
        <f>E29*F28</f>
        <v>8696.4149999999991</v>
      </c>
      <c r="G29" s="21"/>
      <c r="H29" s="35"/>
      <c r="I29" s="110"/>
      <c r="J29" s="35"/>
      <c r="K29" s="20"/>
      <c r="L29" s="35"/>
      <c r="M29" s="110"/>
    </row>
    <row r="30" spans="1:13" s="22" customFormat="1" ht="27.75" customHeight="1">
      <c r="A30" s="295"/>
      <c r="B30" s="195"/>
      <c r="C30" s="98" t="s">
        <v>579</v>
      </c>
      <c r="D30" s="20" t="s">
        <v>20</v>
      </c>
      <c r="E30" s="37">
        <f>6.6/1000*1.05</f>
        <v>6.9300000000000004E-3</v>
      </c>
      <c r="F30" s="97">
        <f>E30*F28</f>
        <v>287.94150000000002</v>
      </c>
      <c r="G30" s="99"/>
      <c r="H30" s="107"/>
      <c r="I30" s="35"/>
      <c r="J30" s="40"/>
      <c r="K30" s="26"/>
      <c r="L30" s="35"/>
      <c r="M30" s="35"/>
    </row>
    <row r="31" spans="1:13" s="22" customFormat="1" ht="27.75" customHeight="1">
      <c r="A31" s="297"/>
      <c r="B31" s="195"/>
      <c r="C31" s="105" t="s">
        <v>580</v>
      </c>
      <c r="D31" s="20" t="s">
        <v>20</v>
      </c>
      <c r="E31" s="37">
        <f>6.6/1000*1.05</f>
        <v>6.9300000000000004E-3</v>
      </c>
      <c r="F31" s="240">
        <f>E31*F28</f>
        <v>287.94150000000002</v>
      </c>
      <c r="G31" s="196"/>
      <c r="H31" s="196"/>
      <c r="I31" s="197"/>
      <c r="J31" s="197"/>
      <c r="K31" s="197"/>
      <c r="L31" s="197"/>
      <c r="M31" s="197"/>
    </row>
    <row r="32" spans="1:13" s="22" customFormat="1" ht="17.25" customHeight="1">
      <c r="A32" s="297"/>
      <c r="B32" s="195"/>
      <c r="C32" s="105" t="s">
        <v>581</v>
      </c>
      <c r="D32" s="20" t="s">
        <v>20</v>
      </c>
      <c r="E32" s="198">
        <f>0.0066*1.05</f>
        <v>6.9300000000000004E-3</v>
      </c>
      <c r="F32" s="240">
        <f>E32*F28</f>
        <v>287.94150000000002</v>
      </c>
      <c r="G32" s="196"/>
      <c r="H32" s="196"/>
      <c r="I32" s="197"/>
      <c r="J32" s="197"/>
      <c r="K32" s="197"/>
      <c r="L32" s="197"/>
      <c r="M32" s="197"/>
    </row>
    <row r="33" spans="1:13" s="22" customFormat="1" ht="25.5" customHeight="1">
      <c r="A33" s="297"/>
      <c r="B33" s="106"/>
      <c r="C33" s="105" t="s">
        <v>582</v>
      </c>
      <c r="D33" s="20" t="s">
        <v>20</v>
      </c>
      <c r="E33" s="199">
        <f>0.0066*1.05</f>
        <v>6.9300000000000004E-3</v>
      </c>
      <c r="F33" s="240">
        <f>E33*F28</f>
        <v>287.94150000000002</v>
      </c>
      <c r="G33" s="196"/>
      <c r="H33" s="196"/>
      <c r="I33" s="197"/>
      <c r="J33" s="197"/>
      <c r="K33" s="197"/>
      <c r="L33" s="197"/>
      <c r="M33" s="197"/>
    </row>
    <row r="34" spans="1:13" s="22" customFormat="1" ht="13.5" customHeight="1">
      <c r="A34" s="297"/>
      <c r="B34" s="25" t="s">
        <v>141</v>
      </c>
      <c r="C34" s="105" t="s">
        <v>583</v>
      </c>
      <c r="D34" s="20" t="s">
        <v>20</v>
      </c>
      <c r="E34" s="165">
        <f>0.0186*1.05</f>
        <v>1.9529999999999999E-2</v>
      </c>
      <c r="F34" s="97">
        <f>E34*F28</f>
        <v>811.47149999999999</v>
      </c>
      <c r="G34" s="99"/>
      <c r="H34" s="107"/>
      <c r="I34" s="35"/>
      <c r="J34" s="35"/>
      <c r="K34" s="200"/>
      <c r="L34" s="39"/>
      <c r="M34" s="35"/>
    </row>
    <row r="35" spans="1:13" s="22" customFormat="1" ht="13.5" customHeight="1">
      <c r="A35" s="297"/>
      <c r="B35" s="25" t="s">
        <v>283</v>
      </c>
      <c r="C35" s="105" t="s">
        <v>584</v>
      </c>
      <c r="D35" s="20" t="s">
        <v>20</v>
      </c>
      <c r="E35" s="201">
        <f>0.0067*1.05</f>
        <v>7.0350000000000005E-3</v>
      </c>
      <c r="F35" s="97">
        <f>E35*F28</f>
        <v>292.30425000000002</v>
      </c>
      <c r="G35" s="37"/>
      <c r="H35" s="37"/>
      <c r="I35" s="35"/>
      <c r="J35" s="40"/>
      <c r="K35" s="35"/>
      <c r="L35" s="39"/>
      <c r="M35" s="35"/>
    </row>
    <row r="36" spans="1:13" s="22" customFormat="1" ht="13.5" customHeight="1">
      <c r="A36" s="297"/>
      <c r="B36" s="69"/>
      <c r="C36" s="151" t="s">
        <v>28</v>
      </c>
      <c r="D36" s="33" t="s">
        <v>16</v>
      </c>
      <c r="E36" s="33">
        <v>2.29E-2</v>
      </c>
      <c r="F36" s="114">
        <f>E36*F28</f>
        <v>951.495</v>
      </c>
      <c r="G36" s="26"/>
      <c r="H36" s="27"/>
      <c r="I36" s="26"/>
      <c r="J36" s="35"/>
      <c r="K36" s="88"/>
      <c r="L36" s="39"/>
      <c r="M36" s="35"/>
    </row>
    <row r="37" spans="1:13" s="22" customFormat="1" ht="13.5" customHeight="1">
      <c r="A37" s="297"/>
      <c r="B37" s="25" t="s">
        <v>225</v>
      </c>
      <c r="C37" s="105" t="s">
        <v>498</v>
      </c>
      <c r="D37" s="20" t="s">
        <v>80</v>
      </c>
      <c r="E37" s="106">
        <v>0.184</v>
      </c>
      <c r="F37" s="97">
        <f>E37*F28</f>
        <v>7645.2</v>
      </c>
      <c r="G37" s="88"/>
      <c r="H37" s="35"/>
      <c r="I37" s="35"/>
      <c r="J37" s="104"/>
      <c r="K37" s="26"/>
      <c r="L37" s="26"/>
      <c r="M37" s="26"/>
    </row>
    <row r="38" spans="1:13" s="22" customFormat="1" ht="13.5" customHeight="1">
      <c r="A38" s="297"/>
      <c r="B38" s="25"/>
      <c r="C38" s="105" t="s">
        <v>285</v>
      </c>
      <c r="D38" s="20" t="s">
        <v>17</v>
      </c>
      <c r="E38" s="202">
        <v>1.1E-4</v>
      </c>
      <c r="F38" s="97">
        <f>E38*F28</f>
        <v>4.5705</v>
      </c>
      <c r="G38" s="88"/>
      <c r="H38" s="35"/>
      <c r="I38" s="35"/>
      <c r="J38" s="35"/>
      <c r="K38" s="101"/>
      <c r="L38" s="40"/>
      <c r="M38" s="35"/>
    </row>
    <row r="39" spans="1:13" s="22" customFormat="1" ht="13.5" customHeight="1">
      <c r="A39" s="297"/>
      <c r="B39" s="25" t="s">
        <v>454</v>
      </c>
      <c r="C39" s="105" t="s">
        <v>286</v>
      </c>
      <c r="D39" s="20" t="s">
        <v>17</v>
      </c>
      <c r="E39" s="165">
        <v>5.0000000000000001E-4</v>
      </c>
      <c r="F39" s="97">
        <f>E39*F28</f>
        <v>20.775000000000002</v>
      </c>
      <c r="G39" s="88"/>
      <c r="H39" s="35"/>
      <c r="I39" s="35"/>
      <c r="J39" s="35"/>
      <c r="K39" s="200"/>
      <c r="L39" s="40"/>
      <c r="M39" s="35"/>
    </row>
    <row r="40" spans="1:13" s="22" customFormat="1" ht="13.5" customHeight="1">
      <c r="A40" s="296"/>
      <c r="B40" s="20"/>
      <c r="C40" s="105" t="s">
        <v>23</v>
      </c>
      <c r="D40" s="149" t="s">
        <v>16</v>
      </c>
      <c r="E40" s="37">
        <v>1.8499999999999999E-2</v>
      </c>
      <c r="F40" s="97">
        <f>E40*F28</f>
        <v>768.67499999999995</v>
      </c>
      <c r="G40" s="88"/>
      <c r="H40" s="35"/>
      <c r="I40" s="35"/>
      <c r="J40" s="40"/>
      <c r="K40" s="194"/>
      <c r="L40" s="194"/>
      <c r="M40" s="35"/>
    </row>
    <row r="41" spans="1:13" s="22" customFormat="1" ht="36" customHeight="1">
      <c r="A41" s="274" t="s">
        <v>21</v>
      </c>
      <c r="B41" s="20" t="s">
        <v>287</v>
      </c>
      <c r="C41" s="105" t="s">
        <v>288</v>
      </c>
      <c r="D41" s="20" t="s">
        <v>24</v>
      </c>
      <c r="E41" s="37"/>
      <c r="F41" s="117">
        <f>F28</f>
        <v>41550</v>
      </c>
      <c r="G41" s="37"/>
      <c r="H41" s="79"/>
      <c r="I41" s="40"/>
      <c r="J41" s="40"/>
      <c r="K41" s="194"/>
      <c r="L41" s="194"/>
      <c r="M41" s="40"/>
    </row>
    <row r="42" spans="1:13" s="22" customFormat="1" ht="18" customHeight="1">
      <c r="A42" s="275"/>
      <c r="B42" s="20"/>
      <c r="C42" s="105" t="s">
        <v>585</v>
      </c>
      <c r="D42" s="20" t="s">
        <v>15</v>
      </c>
      <c r="E42" s="21">
        <f>0.0117*1.15</f>
        <v>1.3455E-2</v>
      </c>
      <c r="F42" s="97">
        <f>E42*F41</f>
        <v>559.05525</v>
      </c>
      <c r="G42" s="21"/>
      <c r="H42" s="88"/>
      <c r="I42" s="110"/>
      <c r="J42" s="35"/>
      <c r="K42" s="20"/>
      <c r="L42" s="35"/>
      <c r="M42" s="110"/>
    </row>
    <row r="43" spans="1:13" s="22" customFormat="1" ht="27" customHeight="1">
      <c r="A43" s="276"/>
      <c r="B43" s="25" t="s">
        <v>455</v>
      </c>
      <c r="C43" s="105" t="s">
        <v>289</v>
      </c>
      <c r="D43" s="149" t="s">
        <v>77</v>
      </c>
      <c r="E43" s="66"/>
      <c r="F43" s="117">
        <f>F41*10</f>
        <v>415500</v>
      </c>
      <c r="G43" s="37"/>
      <c r="H43" s="88"/>
      <c r="I43" s="35"/>
      <c r="J43" s="40"/>
      <c r="K43" s="194"/>
      <c r="L43" s="194"/>
      <c r="M43" s="88"/>
    </row>
    <row r="44" spans="1:13" s="22" customFormat="1" ht="21.75" customHeight="1">
      <c r="A44" s="274" t="s">
        <v>83</v>
      </c>
      <c r="B44" s="20" t="s">
        <v>290</v>
      </c>
      <c r="C44" s="109" t="s">
        <v>613</v>
      </c>
      <c r="D44" s="149" t="s">
        <v>292</v>
      </c>
      <c r="E44" s="66"/>
      <c r="F44" s="117">
        <v>9233</v>
      </c>
      <c r="G44" s="37"/>
      <c r="H44" s="79"/>
      <c r="I44" s="40"/>
      <c r="J44" s="40"/>
      <c r="K44" s="194"/>
      <c r="L44" s="40"/>
      <c r="M44" s="40"/>
    </row>
    <row r="45" spans="1:13" s="22" customFormat="1" ht="13.5" customHeight="1">
      <c r="A45" s="275"/>
      <c r="B45" s="20"/>
      <c r="C45" s="105" t="s">
        <v>586</v>
      </c>
      <c r="D45" s="20" t="s">
        <v>15</v>
      </c>
      <c r="E45" s="20">
        <f>0.077*1.15</f>
        <v>8.854999999999999E-2</v>
      </c>
      <c r="F45" s="97">
        <f>E45*F44</f>
        <v>817.58214999999996</v>
      </c>
      <c r="G45" s="21"/>
      <c r="H45" s="35"/>
      <c r="I45" s="110"/>
      <c r="J45" s="35"/>
      <c r="K45" s="20"/>
      <c r="L45" s="35"/>
      <c r="M45" s="110"/>
    </row>
    <row r="46" spans="1:13" s="22" customFormat="1" ht="13.5" customHeight="1">
      <c r="A46" s="275"/>
      <c r="B46" s="20"/>
      <c r="C46" s="105" t="s">
        <v>587</v>
      </c>
      <c r="D46" s="20" t="s">
        <v>20</v>
      </c>
      <c r="E46" s="20">
        <f>0.194*1.05</f>
        <v>0.20370000000000002</v>
      </c>
      <c r="F46" s="97">
        <f>E46*F44</f>
        <v>1880.7621000000001</v>
      </c>
      <c r="G46" s="21"/>
      <c r="H46" s="35"/>
      <c r="I46" s="120"/>
      <c r="J46" s="35"/>
      <c r="K46" s="120"/>
      <c r="L46" s="35"/>
      <c r="M46" s="110"/>
    </row>
    <row r="47" spans="1:13" s="22" customFormat="1" ht="13.5" customHeight="1">
      <c r="A47" s="275"/>
      <c r="B47" s="20" t="s">
        <v>294</v>
      </c>
      <c r="C47" s="105" t="s">
        <v>588</v>
      </c>
      <c r="D47" s="20" t="s">
        <v>20</v>
      </c>
      <c r="E47" s="37">
        <f>0.0167*1.05</f>
        <v>1.7535000000000002E-2</v>
      </c>
      <c r="F47" s="97">
        <f>E47*F44</f>
        <v>161.90065500000003</v>
      </c>
      <c r="G47" s="37"/>
      <c r="H47" s="35"/>
      <c r="I47" s="37"/>
      <c r="J47" s="40"/>
      <c r="K47" s="37"/>
      <c r="L47" s="35"/>
      <c r="M47" s="35"/>
    </row>
    <row r="48" spans="1:13" s="22" customFormat="1" ht="13.5" customHeight="1">
      <c r="A48" s="275"/>
      <c r="B48" s="25" t="s">
        <v>283</v>
      </c>
      <c r="C48" s="105" t="s">
        <v>589</v>
      </c>
      <c r="D48" s="20" t="s">
        <v>20</v>
      </c>
      <c r="E48" s="201">
        <f>0.0242*1.05</f>
        <v>2.5410000000000002E-2</v>
      </c>
      <c r="F48" s="97">
        <f>E48*F44</f>
        <v>234.61053000000001</v>
      </c>
      <c r="G48" s="37"/>
      <c r="H48" s="37"/>
      <c r="I48" s="37"/>
      <c r="J48" s="40"/>
      <c r="K48" s="35"/>
      <c r="L48" s="39"/>
      <c r="M48" s="35"/>
    </row>
    <row r="49" spans="1:13" s="22" customFormat="1" ht="13.5" customHeight="1">
      <c r="A49" s="275"/>
      <c r="B49" s="25" t="s">
        <v>263</v>
      </c>
      <c r="C49" s="105" t="s">
        <v>590</v>
      </c>
      <c r="D49" s="20" t="s">
        <v>20</v>
      </c>
      <c r="E49" s="20">
        <f>0.0088*1.05</f>
        <v>9.2400000000000017E-3</v>
      </c>
      <c r="F49" s="97">
        <f>E49*F44</f>
        <v>85.31292000000002</v>
      </c>
      <c r="G49" s="21"/>
      <c r="H49" s="35"/>
      <c r="I49" s="20"/>
      <c r="J49" s="35"/>
      <c r="K49" s="110"/>
      <c r="L49" s="35"/>
      <c r="M49" s="110"/>
    </row>
    <row r="50" spans="1:13" s="22" customFormat="1" ht="13.5" customHeight="1">
      <c r="A50" s="275"/>
      <c r="B50" s="20"/>
      <c r="C50" s="151" t="s">
        <v>28</v>
      </c>
      <c r="D50" s="33" t="s">
        <v>16</v>
      </c>
      <c r="E50" s="33">
        <v>6.3700000000000007E-2</v>
      </c>
      <c r="F50" s="114">
        <f>E50*F44</f>
        <v>588.14210000000003</v>
      </c>
      <c r="G50" s="26"/>
      <c r="H50" s="27"/>
      <c r="I50" s="18"/>
      <c r="J50" s="35"/>
      <c r="K50" s="88"/>
      <c r="L50" s="39"/>
      <c r="M50" s="35"/>
    </row>
    <row r="51" spans="1:13" s="22" customFormat="1" ht="25.5" customHeight="1">
      <c r="A51" s="275"/>
      <c r="B51" s="25" t="s">
        <v>297</v>
      </c>
      <c r="C51" s="105" t="s">
        <v>302</v>
      </c>
      <c r="D51" s="149" t="s">
        <v>77</v>
      </c>
      <c r="E51" s="37"/>
      <c r="F51" s="117">
        <v>9233</v>
      </c>
      <c r="G51" s="37"/>
      <c r="H51" s="35"/>
      <c r="I51" s="37"/>
      <c r="J51" s="40"/>
      <c r="K51" s="194"/>
      <c r="L51" s="194"/>
      <c r="M51" s="35"/>
    </row>
    <row r="52" spans="1:13" s="22" customFormat="1" ht="13.5" customHeight="1">
      <c r="A52" s="275"/>
      <c r="B52" s="25" t="s">
        <v>298</v>
      </c>
      <c r="C52" s="105" t="s">
        <v>299</v>
      </c>
      <c r="D52" s="149" t="s">
        <v>77</v>
      </c>
      <c r="E52" s="37"/>
      <c r="F52" s="97">
        <v>2949.9</v>
      </c>
      <c r="G52" s="35"/>
      <c r="H52" s="35"/>
      <c r="I52" s="37"/>
      <c r="J52" s="40"/>
      <c r="K52" s="37"/>
      <c r="L52" s="37"/>
      <c r="M52" s="35"/>
    </row>
    <row r="53" spans="1:13" s="22" customFormat="1" ht="13.5" customHeight="1">
      <c r="A53" s="275"/>
      <c r="B53" s="25" t="s">
        <v>300</v>
      </c>
      <c r="C53" s="105" t="s">
        <v>301</v>
      </c>
      <c r="D53" s="149" t="s">
        <v>81</v>
      </c>
      <c r="E53" s="37"/>
      <c r="F53" s="97">
        <v>9348.4</v>
      </c>
      <c r="G53" s="37"/>
      <c r="H53" s="35"/>
      <c r="I53" s="37"/>
      <c r="J53" s="40"/>
      <c r="K53" s="37"/>
      <c r="L53" s="37"/>
      <c r="M53" s="35"/>
    </row>
    <row r="54" spans="1:13" s="22" customFormat="1" ht="13.5" customHeight="1">
      <c r="A54" s="275"/>
      <c r="B54" s="20" t="s">
        <v>456</v>
      </c>
      <c r="C54" s="105" t="s">
        <v>266</v>
      </c>
      <c r="D54" s="20" t="s">
        <v>80</v>
      </c>
      <c r="E54" s="37">
        <v>6.2E-2</v>
      </c>
      <c r="F54" s="97">
        <f>E54*F44</f>
        <v>572.44600000000003</v>
      </c>
      <c r="G54" s="37"/>
      <c r="H54" s="35"/>
      <c r="I54" s="37"/>
      <c r="J54" s="40"/>
      <c r="K54" s="37"/>
      <c r="L54" s="37"/>
      <c r="M54" s="35"/>
    </row>
    <row r="55" spans="1:13" s="22" customFormat="1" ht="13.5" customHeight="1">
      <c r="A55" s="276"/>
      <c r="B55" s="20"/>
      <c r="C55" s="105" t="s">
        <v>23</v>
      </c>
      <c r="D55" s="149" t="s">
        <v>16</v>
      </c>
      <c r="E55" s="37">
        <v>1.78E-2</v>
      </c>
      <c r="F55" s="97">
        <f>E55*F44</f>
        <v>164.34739999999999</v>
      </c>
      <c r="G55" s="88"/>
      <c r="H55" s="35"/>
      <c r="I55" s="37"/>
      <c r="J55" s="40"/>
      <c r="K55" s="194"/>
      <c r="L55" s="194"/>
      <c r="M55" s="35"/>
    </row>
    <row r="56" spans="1:13" s="22" customFormat="1" ht="49.5" customHeight="1">
      <c r="A56" s="298" t="s">
        <v>22</v>
      </c>
      <c r="B56" s="25" t="s">
        <v>457</v>
      </c>
      <c r="C56" s="38" t="s">
        <v>458</v>
      </c>
      <c r="D56" s="20" t="s">
        <v>24</v>
      </c>
      <c r="E56" s="20"/>
      <c r="F56" s="117">
        <v>41550</v>
      </c>
      <c r="G56" s="39"/>
      <c r="H56" s="40"/>
      <c r="I56" s="23"/>
      <c r="J56" s="16"/>
      <c r="K56" s="23"/>
      <c r="L56" s="16"/>
      <c r="M56" s="16"/>
    </row>
    <row r="57" spans="1:13" s="22" customFormat="1" ht="13.5" customHeight="1">
      <c r="A57" s="299"/>
      <c r="B57" s="20"/>
      <c r="C57" s="105" t="s">
        <v>19</v>
      </c>
      <c r="D57" s="20" t="s">
        <v>15</v>
      </c>
      <c r="E57" s="21">
        <f>1.15*0.0233</f>
        <v>2.6794999999999999E-2</v>
      </c>
      <c r="F57" s="97">
        <f>E57*F56</f>
        <v>1113.3322499999999</v>
      </c>
      <c r="G57" s="21"/>
      <c r="H57" s="88"/>
      <c r="I57" s="110"/>
      <c r="J57" s="35"/>
      <c r="K57" s="110"/>
      <c r="L57" s="35"/>
      <c r="M57" s="110"/>
    </row>
    <row r="58" spans="1:13" s="22" customFormat="1" ht="13.5" customHeight="1">
      <c r="A58" s="300"/>
      <c r="B58" s="20"/>
      <c r="C58" s="105" t="s">
        <v>28</v>
      </c>
      <c r="D58" s="20" t="s">
        <v>16</v>
      </c>
      <c r="E58" s="21">
        <v>4.4999999999999997E-3</v>
      </c>
      <c r="F58" s="97">
        <f>E58*F56</f>
        <v>186.97499999999999</v>
      </c>
      <c r="G58" s="21"/>
      <c r="H58" s="88"/>
      <c r="I58" s="110"/>
      <c r="J58" s="35"/>
      <c r="K58" s="88"/>
      <c r="L58" s="39"/>
      <c r="M58" s="35"/>
    </row>
    <row r="59" spans="1:13" s="22" customFormat="1" ht="13.5" customHeight="1">
      <c r="A59" s="301"/>
      <c r="B59" s="69" t="s">
        <v>459</v>
      </c>
      <c r="C59" s="105" t="s">
        <v>460</v>
      </c>
      <c r="D59" s="217" t="s">
        <v>17</v>
      </c>
      <c r="E59" s="21"/>
      <c r="F59" s="241">
        <v>16.62</v>
      </c>
      <c r="G59" s="182"/>
      <c r="H59" s="88"/>
      <c r="I59" s="20"/>
      <c r="J59" s="35"/>
      <c r="K59" s="20"/>
      <c r="L59" s="35"/>
      <c r="M59" s="110"/>
    </row>
    <row r="60" spans="1:13" s="22" customFormat="1" ht="13.5" customHeight="1">
      <c r="A60" s="302"/>
      <c r="B60" s="20"/>
      <c r="C60" s="105" t="s">
        <v>23</v>
      </c>
      <c r="D60" s="20" t="s">
        <v>16</v>
      </c>
      <c r="E60" s="20">
        <v>3.8E-3</v>
      </c>
      <c r="F60" s="97">
        <f>E60*F56</f>
        <v>157.88999999999999</v>
      </c>
      <c r="G60" s="88"/>
      <c r="H60" s="35"/>
      <c r="I60" s="37"/>
      <c r="J60" s="40"/>
      <c r="K60" s="194"/>
      <c r="L60" s="194"/>
      <c r="M60" s="35"/>
    </row>
    <row r="61" spans="1:13" s="22" customFormat="1" ht="32.25" customHeight="1">
      <c r="A61" s="298">
        <v>7</v>
      </c>
      <c r="B61" s="20" t="s">
        <v>257</v>
      </c>
      <c r="C61" s="105" t="s">
        <v>306</v>
      </c>
      <c r="D61" s="20" t="s">
        <v>80</v>
      </c>
      <c r="E61" s="21"/>
      <c r="F61" s="97">
        <v>1162.25</v>
      </c>
      <c r="G61" s="99"/>
      <c r="H61" s="121"/>
      <c r="I61" s="121"/>
      <c r="J61" s="121"/>
      <c r="K61" s="121"/>
      <c r="L61" s="121"/>
      <c r="M61" s="121"/>
    </row>
    <row r="62" spans="1:13" s="22" customFormat="1" ht="13.5" customHeight="1">
      <c r="A62" s="299"/>
      <c r="B62" s="20"/>
      <c r="C62" s="105" t="s">
        <v>570</v>
      </c>
      <c r="D62" s="20" t="s">
        <v>15</v>
      </c>
      <c r="E62" s="20">
        <f>0.15*1.15</f>
        <v>0.17249999999999999</v>
      </c>
      <c r="F62" s="97">
        <f>E62*F61</f>
        <v>200.488125</v>
      </c>
      <c r="G62" s="21"/>
      <c r="H62" s="35"/>
      <c r="I62" s="110"/>
      <c r="J62" s="35"/>
      <c r="K62" s="20"/>
      <c r="L62" s="35"/>
      <c r="M62" s="110"/>
    </row>
    <row r="63" spans="1:13" s="22" customFormat="1" ht="13.5" customHeight="1">
      <c r="A63" s="299"/>
      <c r="B63" s="20" t="s">
        <v>259</v>
      </c>
      <c r="C63" s="105" t="s">
        <v>571</v>
      </c>
      <c r="D63" s="20" t="s">
        <v>20</v>
      </c>
      <c r="E63" s="20">
        <f>0.0216*1.05</f>
        <v>2.2680000000000002E-2</v>
      </c>
      <c r="F63" s="97">
        <f>E63*F61</f>
        <v>26.359830000000002</v>
      </c>
      <c r="G63" s="21"/>
      <c r="H63" s="35"/>
      <c r="I63" s="20"/>
      <c r="J63" s="35"/>
      <c r="K63" s="20"/>
      <c r="L63" s="35"/>
      <c r="M63" s="110"/>
    </row>
    <row r="64" spans="1:13" s="22" customFormat="1" ht="13.5" customHeight="1">
      <c r="A64" s="299"/>
      <c r="B64" s="20" t="s">
        <v>261</v>
      </c>
      <c r="C64" s="105" t="s">
        <v>572</v>
      </c>
      <c r="D64" s="20" t="s">
        <v>20</v>
      </c>
      <c r="E64" s="20">
        <f>0.0273*1.05</f>
        <v>2.8665000000000003E-2</v>
      </c>
      <c r="F64" s="97">
        <f>E64*F61</f>
        <v>33.315896250000002</v>
      </c>
      <c r="G64" s="21"/>
      <c r="H64" s="35"/>
      <c r="I64" s="20"/>
      <c r="J64" s="35"/>
      <c r="K64" s="110"/>
      <c r="L64" s="35"/>
      <c r="M64" s="110"/>
    </row>
    <row r="65" spans="1:16" s="22" customFormat="1" ht="13.5" customHeight="1">
      <c r="A65" s="299"/>
      <c r="B65" s="20" t="s">
        <v>263</v>
      </c>
      <c r="C65" s="105" t="s">
        <v>573</v>
      </c>
      <c r="D65" s="20" t="s">
        <v>20</v>
      </c>
      <c r="E65" s="20">
        <f>0.0097*1.05</f>
        <v>1.0185000000000001E-2</v>
      </c>
      <c r="F65" s="97">
        <f>E65*F61</f>
        <v>11.837516250000002</v>
      </c>
      <c r="G65" s="21"/>
      <c r="H65" s="35"/>
      <c r="I65" s="20"/>
      <c r="J65" s="35"/>
      <c r="K65" s="20"/>
      <c r="L65" s="35"/>
      <c r="M65" s="110"/>
    </row>
    <row r="66" spans="1:16" s="22" customFormat="1" ht="13.5" customHeight="1">
      <c r="A66" s="299"/>
      <c r="B66" s="20" t="s">
        <v>225</v>
      </c>
      <c r="C66" s="105" t="s">
        <v>124</v>
      </c>
      <c r="D66" s="20" t="s">
        <v>80</v>
      </c>
      <c r="E66" s="37">
        <v>1.22</v>
      </c>
      <c r="F66" s="97">
        <f>E66*F61</f>
        <v>1417.9449999999999</v>
      </c>
      <c r="G66" s="120"/>
      <c r="H66" s="35"/>
      <c r="I66" s="20"/>
      <c r="J66" s="35"/>
      <c r="K66" s="26"/>
      <c r="L66" s="26"/>
      <c r="M66" s="26"/>
    </row>
    <row r="67" spans="1:16" s="22" customFormat="1" ht="13.5" customHeight="1">
      <c r="A67" s="300"/>
      <c r="B67" s="20" t="s">
        <v>265</v>
      </c>
      <c r="C67" s="105" t="s">
        <v>266</v>
      </c>
      <c r="D67" s="20" t="s">
        <v>80</v>
      </c>
      <c r="E67" s="37">
        <v>7.0000000000000007E-2</v>
      </c>
      <c r="F67" s="97">
        <f>E67*F61</f>
        <v>81.357500000000002</v>
      </c>
      <c r="G67" s="110"/>
      <c r="H67" s="35"/>
      <c r="I67" s="20"/>
      <c r="J67" s="35"/>
      <c r="K67" s="20"/>
      <c r="L67" s="35"/>
      <c r="M67" s="110"/>
    </row>
    <row r="68" spans="1:16" s="22" customFormat="1">
      <c r="A68" s="25"/>
      <c r="B68" s="31"/>
      <c r="C68" s="32" t="s">
        <v>11</v>
      </c>
      <c r="D68" s="33" t="s">
        <v>16</v>
      </c>
      <c r="E68" s="26"/>
      <c r="F68" s="114"/>
      <c r="G68" s="28"/>
      <c r="H68" s="26"/>
      <c r="I68" s="27"/>
      <c r="J68" s="26"/>
      <c r="K68" s="27"/>
      <c r="L68" s="26"/>
      <c r="M68" s="29"/>
      <c r="N68"/>
      <c r="O68"/>
    </row>
    <row r="69" spans="1:16" s="22" customFormat="1">
      <c r="A69" s="25"/>
      <c r="B69" s="31"/>
      <c r="C69" s="32" t="s">
        <v>25</v>
      </c>
      <c r="D69" s="33" t="s">
        <v>26</v>
      </c>
      <c r="E69" s="18">
        <v>10</v>
      </c>
      <c r="F69" s="114"/>
      <c r="G69" s="28"/>
      <c r="H69" s="26"/>
      <c r="I69" s="27"/>
      <c r="J69" s="26"/>
      <c r="K69" s="27"/>
      <c r="L69" s="26"/>
      <c r="M69" s="29"/>
      <c r="N69"/>
      <c r="O69" s="17"/>
    </row>
    <row r="70" spans="1:16" s="22" customFormat="1">
      <c r="A70" s="25"/>
      <c r="B70" s="31"/>
      <c r="C70" s="32" t="s">
        <v>11</v>
      </c>
      <c r="D70" s="33" t="s">
        <v>16</v>
      </c>
      <c r="E70" s="18"/>
      <c r="F70" s="114"/>
      <c r="G70" s="28"/>
      <c r="H70" s="26"/>
      <c r="I70" s="27"/>
      <c r="J70" s="26"/>
      <c r="K70" s="27"/>
      <c r="L70" s="26"/>
      <c r="M70" s="29"/>
      <c r="N70"/>
      <c r="O70"/>
    </row>
    <row r="71" spans="1:16" s="22" customFormat="1">
      <c r="A71" s="25"/>
      <c r="B71" s="31"/>
      <c r="C71" s="32" t="s">
        <v>27</v>
      </c>
      <c r="D71" s="33" t="s">
        <v>26</v>
      </c>
      <c r="E71" s="18">
        <v>8</v>
      </c>
      <c r="F71" s="114"/>
      <c r="G71" s="28"/>
      <c r="H71" s="26"/>
      <c r="I71" s="27"/>
      <c r="J71" s="26"/>
      <c r="K71" s="27"/>
      <c r="L71" s="26"/>
      <c r="M71" s="29"/>
      <c r="N71"/>
      <c r="O71" s="17">
        <f>M61+M56+M44+M41+M28+M18+M11</f>
        <v>0</v>
      </c>
      <c r="P71" s="34">
        <v>0</v>
      </c>
    </row>
    <row r="72" spans="1:16" s="22" customFormat="1">
      <c r="A72" s="25"/>
      <c r="B72" s="31"/>
      <c r="C72" s="32" t="s">
        <v>11</v>
      </c>
      <c r="D72" s="33" t="s">
        <v>16</v>
      </c>
      <c r="E72" s="18"/>
      <c r="F72" s="114"/>
      <c r="G72" s="28"/>
      <c r="H72" s="26"/>
      <c r="I72" s="27"/>
      <c r="J72" s="26"/>
      <c r="K72" s="27"/>
      <c r="L72" s="26"/>
      <c r="M72" s="29"/>
      <c r="N72"/>
      <c r="O72"/>
    </row>
    <row r="73" spans="1:16" s="22" customFormat="1" ht="13.5">
      <c r="A73" s="3"/>
      <c r="B73" s="3"/>
      <c r="C73" s="2"/>
      <c r="D73" s="3"/>
      <c r="E73" s="3"/>
      <c r="F73" s="234"/>
      <c r="G73" s="34"/>
      <c r="H73" s="34"/>
      <c r="I73" s="34"/>
      <c r="J73" s="34"/>
      <c r="K73" s="34"/>
      <c r="L73" s="34"/>
      <c r="M73" s="34"/>
    </row>
    <row r="74" spans="1:16" s="22" customFormat="1" ht="13.5">
      <c r="A74" s="3"/>
      <c r="B74" s="3"/>
      <c r="C74" s="2"/>
      <c r="D74" s="3"/>
      <c r="E74" s="3"/>
      <c r="F74" s="234"/>
      <c r="G74" s="34"/>
      <c r="H74" s="34"/>
      <c r="I74" s="34"/>
      <c r="J74" s="34"/>
      <c r="K74" s="34"/>
      <c r="L74" s="34"/>
      <c r="M74" s="34"/>
    </row>
    <row r="75" spans="1:16" s="22" customFormat="1" ht="13.5">
      <c r="A75" s="3"/>
      <c r="B75" s="3"/>
      <c r="C75" s="2" t="s">
        <v>521</v>
      </c>
      <c r="D75" s="265"/>
      <c r="E75" s="265"/>
      <c r="F75" s="234"/>
      <c r="G75" s="34"/>
      <c r="H75" s="266"/>
      <c r="I75" s="266"/>
      <c r="J75" s="34"/>
      <c r="K75" s="34"/>
      <c r="L75" s="34"/>
      <c r="M75" s="34"/>
    </row>
    <row r="76" spans="1:16" s="22" customFormat="1" ht="13.5">
      <c r="A76" s="3"/>
      <c r="B76" s="3"/>
      <c r="C76" s="2"/>
      <c r="D76" s="3"/>
      <c r="E76" s="3"/>
      <c r="F76" s="234"/>
      <c r="G76" s="34"/>
      <c r="H76" s="34"/>
      <c r="I76" s="34"/>
      <c r="J76" s="34"/>
      <c r="K76" s="34"/>
      <c r="L76" s="34"/>
      <c r="M76" s="34"/>
    </row>
    <row r="77" spans="1:16" s="22" customFormat="1" ht="13.5">
      <c r="A77" s="3"/>
      <c r="B77" s="3"/>
      <c r="C77" s="2"/>
      <c r="D77" s="3"/>
      <c r="E77" s="3"/>
      <c r="F77" s="234"/>
      <c r="G77" s="34"/>
      <c r="H77" s="34"/>
      <c r="I77" s="34"/>
      <c r="J77" s="34"/>
      <c r="K77" s="34"/>
      <c r="L77" s="34"/>
      <c r="M77" s="34"/>
    </row>
    <row r="78" spans="1:16" s="22" customFormat="1" ht="13.5">
      <c r="A78" s="3"/>
      <c r="B78" s="3"/>
      <c r="C78" s="2"/>
      <c r="D78" s="3"/>
      <c r="E78" s="3"/>
      <c r="F78" s="234"/>
      <c r="G78" s="34"/>
      <c r="H78" s="34"/>
      <c r="I78" s="34"/>
      <c r="J78" s="34"/>
      <c r="K78" s="34"/>
      <c r="L78" s="34"/>
      <c r="M78" s="34"/>
    </row>
    <row r="79" spans="1:16" s="22" customFormat="1" ht="13.5">
      <c r="A79" s="3"/>
      <c r="B79" s="3"/>
      <c r="C79" s="2"/>
      <c r="D79" s="3"/>
      <c r="E79" s="3"/>
      <c r="F79" s="234"/>
      <c r="G79" s="34"/>
      <c r="H79" s="34"/>
      <c r="I79" s="34"/>
      <c r="J79" s="34"/>
      <c r="K79" s="34"/>
      <c r="L79" s="34"/>
      <c r="M79" s="34"/>
    </row>
    <row r="80" spans="1:16" s="22" customFormat="1" ht="13.5">
      <c r="A80" s="3"/>
      <c r="B80" s="3"/>
      <c r="C80" s="2"/>
      <c r="D80" s="3"/>
      <c r="E80" s="3"/>
      <c r="F80" s="234"/>
      <c r="G80" s="34"/>
      <c r="H80" s="34"/>
      <c r="I80" s="34"/>
      <c r="J80" s="34"/>
      <c r="K80" s="34"/>
      <c r="L80" s="34"/>
      <c r="M80" s="34"/>
    </row>
    <row r="81" spans="1:13" s="22" customFormat="1" ht="13.5">
      <c r="A81" s="3"/>
      <c r="B81" s="3"/>
      <c r="C81" s="2"/>
      <c r="D81" s="3"/>
      <c r="E81" s="3"/>
      <c r="F81" s="234"/>
      <c r="G81" s="34"/>
      <c r="H81" s="34"/>
      <c r="I81" s="34"/>
      <c r="J81" s="34"/>
      <c r="K81" s="34"/>
      <c r="L81" s="34"/>
      <c r="M81" s="34"/>
    </row>
    <row r="82" spans="1:13" s="22" customFormat="1" ht="13.5">
      <c r="A82" s="3"/>
      <c r="B82" s="3"/>
      <c r="C82" s="2"/>
      <c r="D82" s="3"/>
      <c r="E82" s="3"/>
      <c r="F82" s="234"/>
      <c r="G82" s="34"/>
      <c r="H82" s="34"/>
      <c r="I82" s="34"/>
      <c r="J82" s="34"/>
      <c r="K82" s="34"/>
      <c r="L82" s="34"/>
      <c r="M82" s="34"/>
    </row>
    <row r="83" spans="1:13" s="22" customFormat="1" ht="13.5">
      <c r="A83" s="3"/>
      <c r="B83" s="3"/>
      <c r="C83" s="2"/>
      <c r="D83" s="3"/>
      <c r="E83" s="3"/>
      <c r="F83" s="234"/>
      <c r="G83" s="34"/>
      <c r="H83" s="34"/>
      <c r="I83" s="34"/>
      <c r="J83" s="34"/>
      <c r="K83" s="34"/>
      <c r="L83" s="34"/>
      <c r="M83" s="34"/>
    </row>
    <row r="84" spans="1:13" s="22" customFormat="1" ht="13.5">
      <c r="A84" s="3"/>
      <c r="B84" s="3"/>
      <c r="C84" s="2"/>
      <c r="D84" s="3"/>
      <c r="E84" s="3"/>
      <c r="F84" s="234"/>
      <c r="G84" s="34"/>
      <c r="H84" s="34"/>
      <c r="I84" s="34"/>
      <c r="J84" s="34"/>
      <c r="K84" s="34"/>
      <c r="L84" s="34"/>
      <c r="M84" s="34"/>
    </row>
    <row r="85" spans="1:13" s="22" customFormat="1" ht="13.5">
      <c r="A85" s="3"/>
      <c r="B85" s="3"/>
      <c r="C85" s="2"/>
      <c r="D85" s="3"/>
      <c r="E85" s="3"/>
      <c r="F85" s="234"/>
      <c r="G85" s="34"/>
      <c r="H85" s="34"/>
      <c r="I85" s="34"/>
      <c r="J85" s="34"/>
      <c r="K85" s="34"/>
      <c r="L85" s="34"/>
      <c r="M85" s="34"/>
    </row>
    <row r="86" spans="1:13" s="22" customFormat="1" ht="13.5">
      <c r="A86" s="3"/>
      <c r="B86" s="3"/>
      <c r="C86" s="2"/>
      <c r="D86" s="3"/>
      <c r="E86" s="3"/>
      <c r="F86" s="234"/>
      <c r="G86" s="34"/>
      <c r="H86" s="34"/>
      <c r="I86" s="34"/>
      <c r="J86" s="34"/>
      <c r="K86" s="34"/>
      <c r="L86" s="34"/>
      <c r="M86" s="34"/>
    </row>
    <row r="87" spans="1:13" s="22" customFormat="1" ht="13.5">
      <c r="A87" s="3"/>
      <c r="B87" s="3"/>
      <c r="C87" s="2"/>
      <c r="D87" s="3"/>
      <c r="E87" s="3"/>
      <c r="F87" s="234"/>
      <c r="G87" s="34"/>
      <c r="H87" s="34"/>
      <c r="I87" s="34"/>
      <c r="J87" s="34"/>
      <c r="K87" s="34"/>
      <c r="L87" s="34"/>
      <c r="M87" s="34"/>
    </row>
    <row r="88" spans="1:13" s="22" customFormat="1" ht="13.5">
      <c r="A88" s="3"/>
      <c r="B88" s="3"/>
      <c r="C88" s="2"/>
      <c r="D88" s="3"/>
      <c r="E88" s="3"/>
      <c r="F88" s="234"/>
      <c r="G88" s="34"/>
      <c r="H88" s="34"/>
      <c r="I88" s="34"/>
      <c r="J88" s="34"/>
      <c r="K88" s="34"/>
      <c r="L88" s="34"/>
      <c r="M88" s="34"/>
    </row>
    <row r="89" spans="1:13" s="22" customFormat="1" ht="13.5">
      <c r="A89" s="3"/>
      <c r="B89" s="3"/>
      <c r="C89" s="2"/>
      <c r="D89" s="3"/>
      <c r="E89" s="3"/>
      <c r="F89" s="234"/>
      <c r="G89" s="34"/>
      <c r="H89" s="34"/>
      <c r="I89" s="34"/>
      <c r="J89" s="34"/>
      <c r="K89" s="34"/>
      <c r="L89" s="34"/>
      <c r="M89" s="34"/>
    </row>
    <row r="90" spans="1:13" s="22" customFormat="1" ht="13.5">
      <c r="A90" s="3"/>
      <c r="B90" s="3"/>
      <c r="C90" s="2"/>
      <c r="D90" s="3"/>
      <c r="E90" s="3"/>
      <c r="F90" s="234"/>
      <c r="G90" s="34"/>
      <c r="H90" s="34"/>
      <c r="I90" s="34"/>
      <c r="J90" s="34"/>
      <c r="K90" s="34"/>
      <c r="L90" s="34"/>
      <c r="M90" s="34"/>
    </row>
    <row r="91" spans="1:13" s="22" customFormat="1" ht="13.5">
      <c r="A91" s="3"/>
      <c r="B91" s="3"/>
      <c r="C91" s="2"/>
      <c r="D91" s="3"/>
      <c r="E91" s="3"/>
      <c r="F91" s="234"/>
      <c r="G91" s="34"/>
      <c r="H91" s="34"/>
      <c r="I91" s="34"/>
      <c r="J91" s="34"/>
      <c r="K91" s="34"/>
      <c r="L91" s="34"/>
      <c r="M91" s="34"/>
    </row>
    <row r="92" spans="1:13" s="22" customFormat="1" ht="13.5">
      <c r="A92" s="3"/>
      <c r="B92" s="3"/>
      <c r="C92" s="2"/>
      <c r="D92" s="3"/>
      <c r="E92" s="3"/>
      <c r="F92" s="234"/>
      <c r="G92" s="34"/>
      <c r="H92" s="34"/>
      <c r="I92" s="34"/>
      <c r="J92" s="34"/>
      <c r="K92" s="34"/>
      <c r="L92" s="34"/>
      <c r="M92" s="34"/>
    </row>
    <row r="93" spans="1:13" s="22" customFormat="1" ht="13.5">
      <c r="A93" s="3"/>
      <c r="B93" s="3"/>
      <c r="C93" s="2"/>
      <c r="D93" s="3"/>
      <c r="E93" s="3"/>
      <c r="F93" s="234"/>
      <c r="G93" s="34"/>
      <c r="H93" s="34"/>
      <c r="I93" s="34"/>
      <c r="J93" s="34"/>
      <c r="K93" s="34"/>
      <c r="L93" s="34"/>
      <c r="M93" s="34"/>
    </row>
    <row r="94" spans="1:13" s="22" customFormat="1" ht="13.5">
      <c r="A94" s="3"/>
      <c r="B94" s="3"/>
      <c r="C94" s="2"/>
      <c r="D94" s="3"/>
      <c r="E94" s="3"/>
      <c r="F94" s="234"/>
      <c r="G94" s="34"/>
      <c r="H94" s="34"/>
      <c r="I94" s="34"/>
      <c r="J94" s="34"/>
      <c r="K94" s="34"/>
      <c r="L94" s="34"/>
      <c r="M94" s="34"/>
    </row>
    <row r="95" spans="1:13" s="22" customFormat="1" ht="13.5">
      <c r="A95" s="3"/>
      <c r="B95" s="3"/>
      <c r="C95" s="2"/>
      <c r="D95" s="3"/>
      <c r="E95" s="3"/>
      <c r="F95" s="234"/>
      <c r="G95" s="34"/>
      <c r="H95" s="34"/>
      <c r="I95" s="34"/>
      <c r="J95" s="34"/>
      <c r="K95" s="34"/>
      <c r="L95" s="34"/>
      <c r="M95" s="34"/>
    </row>
    <row r="96" spans="1:13" s="22" customFormat="1" ht="13.5">
      <c r="A96" s="3"/>
      <c r="B96" s="3"/>
      <c r="C96" s="2"/>
      <c r="D96" s="3"/>
      <c r="E96" s="3"/>
      <c r="F96" s="234"/>
      <c r="G96" s="34"/>
      <c r="H96" s="34"/>
      <c r="I96" s="34"/>
      <c r="J96" s="34"/>
      <c r="K96" s="34"/>
      <c r="L96" s="34"/>
      <c r="M96" s="34"/>
    </row>
    <row r="97" spans="1:13" s="22" customFormat="1" ht="13.5">
      <c r="A97" s="3"/>
      <c r="B97" s="3"/>
      <c r="C97" s="2"/>
      <c r="D97" s="3"/>
      <c r="E97" s="3"/>
      <c r="F97" s="234"/>
      <c r="G97" s="34"/>
      <c r="H97" s="34"/>
      <c r="I97" s="34"/>
      <c r="J97" s="34"/>
      <c r="K97" s="34"/>
      <c r="L97" s="34"/>
      <c r="M97" s="34"/>
    </row>
    <row r="98" spans="1:13" s="22" customFormat="1" ht="13.5">
      <c r="A98" s="3"/>
      <c r="B98" s="3"/>
      <c r="C98" s="2"/>
      <c r="D98" s="3"/>
      <c r="E98" s="3"/>
      <c r="F98" s="234"/>
      <c r="G98" s="34"/>
      <c r="H98" s="34"/>
      <c r="I98" s="34"/>
      <c r="J98" s="34"/>
      <c r="K98" s="34"/>
      <c r="L98" s="34"/>
      <c r="M98" s="34"/>
    </row>
    <row r="99" spans="1:13" s="22" customFormat="1" ht="13.5">
      <c r="A99" s="3"/>
      <c r="B99" s="3"/>
      <c r="C99" s="2"/>
      <c r="D99" s="3"/>
      <c r="E99" s="3"/>
      <c r="F99" s="234"/>
      <c r="G99" s="34"/>
      <c r="H99" s="34"/>
      <c r="I99" s="34"/>
      <c r="J99" s="34"/>
      <c r="K99" s="34"/>
      <c r="L99" s="34"/>
      <c r="M99" s="34"/>
    </row>
    <row r="100" spans="1:13" s="22" customFormat="1" ht="13.5">
      <c r="A100" s="3"/>
      <c r="B100" s="3"/>
      <c r="C100" s="2"/>
      <c r="D100" s="3"/>
      <c r="E100" s="3"/>
      <c r="F100" s="234"/>
      <c r="G100" s="34"/>
      <c r="H100" s="34"/>
      <c r="I100" s="34"/>
      <c r="J100" s="34"/>
      <c r="K100" s="34"/>
      <c r="L100" s="34"/>
      <c r="M100" s="34"/>
    </row>
    <row r="101" spans="1:13" s="22" customFormat="1" ht="13.5">
      <c r="A101" s="3"/>
      <c r="B101" s="3"/>
      <c r="C101" s="2"/>
      <c r="D101" s="3"/>
      <c r="E101" s="3"/>
      <c r="F101" s="234"/>
      <c r="G101" s="34"/>
      <c r="H101" s="34"/>
      <c r="I101" s="34"/>
      <c r="J101" s="34"/>
      <c r="K101" s="34"/>
      <c r="L101" s="34"/>
      <c r="M101" s="34"/>
    </row>
    <row r="102" spans="1:13" s="22" customFormat="1" ht="13.5">
      <c r="A102" s="3"/>
      <c r="B102" s="3"/>
      <c r="C102" s="2"/>
      <c r="D102" s="3"/>
      <c r="E102" s="3"/>
      <c r="F102" s="234"/>
      <c r="G102" s="34"/>
      <c r="H102" s="34"/>
      <c r="I102" s="34"/>
      <c r="J102" s="34"/>
      <c r="K102" s="34"/>
      <c r="L102" s="34"/>
      <c r="M102" s="34"/>
    </row>
    <row r="103" spans="1:13" s="22" customFormat="1" ht="13.5">
      <c r="A103" s="3"/>
      <c r="B103" s="3"/>
      <c r="C103" s="2"/>
      <c r="D103" s="3"/>
      <c r="E103" s="3"/>
      <c r="F103" s="234"/>
      <c r="G103" s="34"/>
      <c r="H103" s="34"/>
      <c r="I103" s="34"/>
      <c r="J103" s="34"/>
      <c r="K103" s="34"/>
      <c r="L103" s="34"/>
      <c r="M103" s="34"/>
    </row>
    <row r="104" spans="1:13" s="22" customFormat="1" ht="13.5">
      <c r="A104" s="3"/>
      <c r="B104" s="3"/>
      <c r="C104" s="2"/>
      <c r="D104" s="3"/>
      <c r="E104" s="3"/>
      <c r="F104" s="234"/>
      <c r="G104" s="34"/>
      <c r="H104" s="34"/>
      <c r="I104" s="34"/>
      <c r="J104" s="34"/>
      <c r="K104" s="34"/>
      <c r="L104" s="34"/>
      <c r="M104" s="34"/>
    </row>
    <row r="105" spans="1:13" s="22" customFormat="1" ht="13.5">
      <c r="A105" s="3"/>
      <c r="B105" s="3"/>
      <c r="C105" s="2"/>
      <c r="D105" s="3"/>
      <c r="E105" s="3"/>
      <c r="F105" s="234"/>
      <c r="G105" s="34"/>
      <c r="H105" s="34"/>
      <c r="I105" s="34"/>
      <c r="J105" s="34"/>
      <c r="K105" s="34"/>
      <c r="L105" s="34"/>
      <c r="M105" s="34"/>
    </row>
    <row r="106" spans="1:13" s="22" customFormat="1" ht="13.5">
      <c r="A106" s="3"/>
      <c r="B106" s="3"/>
      <c r="C106" s="2"/>
      <c r="D106" s="3"/>
      <c r="E106" s="3"/>
      <c r="F106" s="234"/>
      <c r="G106" s="34"/>
      <c r="H106" s="34"/>
      <c r="I106" s="34"/>
      <c r="J106" s="34"/>
      <c r="K106" s="34"/>
      <c r="L106" s="34"/>
      <c r="M106" s="34"/>
    </row>
    <row r="107" spans="1:13" s="22" customFormat="1" ht="13.5">
      <c r="A107" s="3"/>
      <c r="B107" s="3"/>
      <c r="C107" s="2"/>
      <c r="D107" s="3"/>
      <c r="E107" s="3"/>
      <c r="F107" s="234"/>
      <c r="G107" s="34"/>
      <c r="H107" s="34"/>
      <c r="I107" s="34"/>
      <c r="J107" s="34"/>
      <c r="K107" s="34"/>
      <c r="L107" s="34"/>
      <c r="M107" s="34"/>
    </row>
    <row r="108" spans="1:13" s="22" customFormat="1" ht="13.5">
      <c r="A108" s="3"/>
      <c r="B108" s="3"/>
      <c r="C108" s="2"/>
      <c r="D108" s="3"/>
      <c r="E108" s="3"/>
      <c r="F108" s="234"/>
      <c r="G108" s="34"/>
      <c r="H108" s="34"/>
      <c r="I108" s="34"/>
      <c r="J108" s="34"/>
      <c r="K108" s="34"/>
      <c r="L108" s="34"/>
      <c r="M108" s="34"/>
    </row>
    <row r="109" spans="1:13" s="22" customFormat="1" ht="13.5">
      <c r="A109" s="3"/>
      <c r="B109" s="3"/>
      <c r="C109" s="2"/>
      <c r="D109" s="3"/>
      <c r="E109" s="3"/>
      <c r="F109" s="234"/>
      <c r="G109" s="34"/>
      <c r="H109" s="34"/>
      <c r="I109" s="34"/>
      <c r="J109" s="34"/>
      <c r="K109" s="34"/>
      <c r="L109" s="34"/>
      <c r="M109" s="34"/>
    </row>
    <row r="110" spans="1:13" s="22" customFormat="1" ht="13.5">
      <c r="A110" s="3"/>
      <c r="B110" s="3"/>
      <c r="C110" s="2"/>
      <c r="D110" s="3"/>
      <c r="E110" s="3"/>
      <c r="F110" s="234"/>
      <c r="G110" s="34"/>
      <c r="H110" s="34"/>
      <c r="I110" s="34"/>
      <c r="J110" s="34"/>
      <c r="K110" s="34"/>
      <c r="L110" s="34"/>
      <c r="M110" s="34"/>
    </row>
    <row r="111" spans="1:13" s="22" customFormat="1" ht="13.5">
      <c r="A111" s="3"/>
      <c r="B111" s="3"/>
      <c r="C111" s="2"/>
      <c r="D111" s="3"/>
      <c r="E111" s="3"/>
      <c r="F111" s="234"/>
      <c r="G111" s="34"/>
      <c r="H111" s="34"/>
      <c r="I111" s="34"/>
      <c r="J111" s="34"/>
      <c r="K111" s="34"/>
      <c r="L111" s="34"/>
      <c r="M111" s="34"/>
    </row>
    <row r="112" spans="1:13" s="22" customFormat="1" ht="13.5">
      <c r="A112" s="3"/>
      <c r="B112" s="3"/>
      <c r="C112" s="2"/>
      <c r="D112" s="3"/>
      <c r="E112" s="3"/>
      <c r="F112" s="234"/>
      <c r="G112" s="34"/>
      <c r="H112" s="34"/>
      <c r="I112" s="34"/>
      <c r="J112" s="34"/>
      <c r="K112" s="34"/>
      <c r="L112" s="34"/>
      <c r="M112" s="34"/>
    </row>
    <row r="113" spans="1:13" s="22" customFormat="1" ht="13.5">
      <c r="A113" s="3"/>
      <c r="B113" s="3"/>
      <c r="C113" s="2"/>
      <c r="D113" s="3"/>
      <c r="E113" s="3"/>
      <c r="F113" s="234"/>
      <c r="G113" s="34"/>
      <c r="H113" s="34"/>
      <c r="I113" s="34"/>
      <c r="J113" s="34"/>
      <c r="K113" s="34"/>
      <c r="L113" s="34"/>
      <c r="M113" s="34"/>
    </row>
    <row r="114" spans="1:13" s="22" customFormat="1" ht="13.5">
      <c r="A114" s="3"/>
      <c r="B114" s="3"/>
      <c r="C114" s="2"/>
      <c r="D114" s="3"/>
      <c r="E114" s="3"/>
      <c r="F114" s="234"/>
      <c r="G114" s="34"/>
      <c r="H114" s="34"/>
      <c r="I114" s="34"/>
      <c r="J114" s="34"/>
      <c r="K114" s="34"/>
      <c r="L114" s="34"/>
      <c r="M114" s="34"/>
    </row>
    <row r="115" spans="1:13" s="22" customFormat="1" ht="13.5">
      <c r="A115" s="3"/>
      <c r="B115" s="3"/>
      <c r="C115" s="2"/>
      <c r="D115" s="3"/>
      <c r="E115" s="3"/>
      <c r="F115" s="234"/>
      <c r="G115" s="34"/>
      <c r="H115" s="34"/>
      <c r="I115" s="34"/>
      <c r="J115" s="34"/>
      <c r="K115" s="34"/>
      <c r="L115" s="34"/>
      <c r="M115" s="34"/>
    </row>
    <row r="116" spans="1:13" s="22" customFormat="1" ht="13.5">
      <c r="A116" s="3"/>
      <c r="B116" s="3"/>
      <c r="C116" s="2"/>
      <c r="D116" s="3"/>
      <c r="E116" s="3"/>
      <c r="F116" s="235"/>
    </row>
    <row r="117" spans="1:13" s="22" customFormat="1" ht="13.5">
      <c r="C117" s="1"/>
      <c r="F117" s="235"/>
    </row>
    <row r="118" spans="1:13" s="22" customFormat="1" ht="13.5">
      <c r="C118" s="1"/>
      <c r="F118" s="235"/>
    </row>
    <row r="119" spans="1:13" s="22" customFormat="1" ht="13.5">
      <c r="C119" s="1"/>
      <c r="F119" s="235"/>
    </row>
    <row r="120" spans="1:13" s="22" customFormat="1" ht="13.5">
      <c r="C120" s="1"/>
      <c r="F120" s="235"/>
    </row>
    <row r="121" spans="1:13" s="22" customFormat="1" ht="13.5">
      <c r="C121" s="1"/>
      <c r="F121" s="235"/>
    </row>
    <row r="122" spans="1:13" s="22" customFormat="1" ht="13.5">
      <c r="C122" s="1"/>
      <c r="F122" s="235"/>
    </row>
    <row r="123" spans="1:13" s="22" customFormat="1" ht="13.5">
      <c r="C123" s="1"/>
      <c r="F123" s="235"/>
    </row>
    <row r="124" spans="1:13" s="22" customFormat="1" ht="13.5">
      <c r="C124" s="1"/>
      <c r="F124" s="235"/>
    </row>
    <row r="125" spans="1:13" s="22" customFormat="1" ht="13.5">
      <c r="C125" s="1"/>
      <c r="F125" s="235"/>
    </row>
    <row r="126" spans="1:13" s="22" customFormat="1" ht="13.5">
      <c r="C126" s="1"/>
      <c r="F126" s="235"/>
    </row>
    <row r="127" spans="1:13" s="22" customFormat="1" ht="13.5">
      <c r="C127" s="1"/>
      <c r="F127" s="235"/>
    </row>
    <row r="128" spans="1:13" s="22" customFormat="1" ht="13.5">
      <c r="C128" s="1"/>
      <c r="F128" s="235"/>
    </row>
    <row r="129" spans="3:6" s="22" customFormat="1" ht="13.5">
      <c r="C129" s="1"/>
      <c r="F129" s="235"/>
    </row>
    <row r="130" spans="3:6" s="22" customFormat="1" ht="13.5">
      <c r="C130" s="1"/>
      <c r="F130" s="235"/>
    </row>
    <row r="131" spans="3:6" s="22" customFormat="1" ht="13.5">
      <c r="C131" s="1"/>
      <c r="F131" s="235"/>
    </row>
    <row r="132" spans="3:6" s="22" customFormat="1" ht="13.5">
      <c r="C132" s="1"/>
      <c r="F132" s="235"/>
    </row>
    <row r="133" spans="3:6" s="22" customFormat="1" ht="13.5">
      <c r="C133" s="1"/>
      <c r="F133" s="235"/>
    </row>
    <row r="134" spans="3:6" s="22" customFormat="1" ht="13.5">
      <c r="C134" s="1"/>
      <c r="F134" s="235"/>
    </row>
    <row r="135" spans="3:6" s="22" customFormat="1" ht="13.5">
      <c r="C135" s="1"/>
      <c r="F135" s="235"/>
    </row>
    <row r="136" spans="3:6" s="22" customFormat="1" ht="13.5">
      <c r="C136" s="1"/>
      <c r="F136" s="235"/>
    </row>
    <row r="137" spans="3:6" s="22" customFormat="1" ht="13.5">
      <c r="C137" s="1"/>
      <c r="F137" s="235"/>
    </row>
    <row r="138" spans="3:6" s="22" customFormat="1" ht="13.5">
      <c r="C138" s="1"/>
      <c r="F138" s="235"/>
    </row>
    <row r="139" spans="3:6" s="22" customFormat="1" ht="13.5">
      <c r="C139" s="1"/>
      <c r="F139" s="235"/>
    </row>
    <row r="140" spans="3:6" s="22" customFormat="1" ht="13.5">
      <c r="C140" s="1"/>
      <c r="F140" s="235"/>
    </row>
    <row r="141" spans="3:6" s="22" customFormat="1" ht="13.5">
      <c r="C141" s="1"/>
      <c r="F141" s="235"/>
    </row>
    <row r="142" spans="3:6" s="22" customFormat="1" ht="13.5">
      <c r="C142" s="1"/>
      <c r="F142" s="235"/>
    </row>
    <row r="143" spans="3:6" s="22" customFormat="1" ht="13.5">
      <c r="C143" s="1"/>
      <c r="F143" s="235"/>
    </row>
    <row r="144" spans="3:6" s="36" customFormat="1" ht="13.5">
      <c r="F144" s="236"/>
    </row>
    <row r="145" spans="6:6" s="36" customFormat="1" ht="13.5">
      <c r="F145" s="236"/>
    </row>
    <row r="146" spans="6:6" s="36" customFormat="1" ht="13.5">
      <c r="F146" s="236"/>
    </row>
    <row r="147" spans="6:6" s="36" customFormat="1" ht="13.5">
      <c r="F147" s="236"/>
    </row>
    <row r="148" spans="6:6" s="36" customFormat="1" ht="13.5">
      <c r="F148" s="236"/>
    </row>
    <row r="149" spans="6:6" s="36" customFormat="1" ht="13.5">
      <c r="F149" s="236"/>
    </row>
    <row r="150" spans="6:6" s="36" customFormat="1" ht="13.5">
      <c r="F150" s="236"/>
    </row>
    <row r="151" spans="6:6" s="36" customFormat="1" ht="13.5">
      <c r="F151" s="236"/>
    </row>
  </sheetData>
  <mergeCells count="26">
    <mergeCell ref="D75:E75"/>
    <mergeCell ref="H75:I75"/>
    <mergeCell ref="A56:A58"/>
    <mergeCell ref="A59:A60"/>
    <mergeCell ref="A61:A67"/>
    <mergeCell ref="A6:G6"/>
    <mergeCell ref="A44:A55"/>
    <mergeCell ref="A11:A17"/>
    <mergeCell ref="A18:A27"/>
    <mergeCell ref="A41:A43"/>
    <mergeCell ref="A28:A29"/>
    <mergeCell ref="A30:A40"/>
    <mergeCell ref="A1:M1"/>
    <mergeCell ref="A2:M2"/>
    <mergeCell ref="A3:M3"/>
    <mergeCell ref="A4:G4"/>
    <mergeCell ref="C5:K5"/>
    <mergeCell ref="I7:J7"/>
    <mergeCell ref="K7:L7"/>
    <mergeCell ref="M7:M8"/>
    <mergeCell ref="A7:A8"/>
    <mergeCell ref="B7:B8"/>
    <mergeCell ref="C7:C8"/>
    <mergeCell ref="D7:D8"/>
    <mergeCell ref="E7:F7"/>
    <mergeCell ref="G7:H7"/>
  </mergeCells>
  <pageMargins left="0.15748031496062992" right="0.19685039370078741" top="0.39370078740157483" bottom="0.3937007874015748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view="pageBreakPreview" zoomScale="60" zoomScaleNormal="100" workbookViewId="0">
      <selection activeCell="J12" sqref="J12"/>
    </sheetView>
  </sheetViews>
  <sheetFormatPr defaultColWidth="9.140625" defaultRowHeight="15"/>
  <cols>
    <col min="1" max="1" width="6.42578125" customWidth="1"/>
    <col min="3" max="3" width="38.85546875" customWidth="1"/>
    <col min="6" max="6" width="9.140625" style="237"/>
    <col min="7" max="7" width="8.140625" customWidth="1"/>
    <col min="9" max="9" width="8.42578125" customWidth="1"/>
    <col min="15" max="15" width="9.42578125" bestFit="1" customWidth="1"/>
  </cols>
  <sheetData>
    <row r="1" spans="1:16" s="36" customFormat="1" ht="25.5" customHeight="1">
      <c r="A1" s="277" t="s">
        <v>163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6"/>
      <c r="O1" s="14"/>
      <c r="P1" s="14"/>
    </row>
    <row r="2" spans="1:16" s="36" customFormat="1" ht="17.25" customHeight="1">
      <c r="A2" s="278" t="s">
        <v>324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6"/>
      <c r="O2" s="7"/>
      <c r="P2" s="7"/>
    </row>
    <row r="3" spans="1:16" s="36" customFormat="1" ht="15.75">
      <c r="A3" s="278" t="s">
        <v>94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6"/>
      <c r="O3" s="7"/>
      <c r="P3" s="7"/>
    </row>
    <row r="4" spans="1:16" s="36" customFormat="1" ht="15.75">
      <c r="A4" s="279" t="s">
        <v>1</v>
      </c>
      <c r="B4" s="279"/>
      <c r="C4" s="279"/>
      <c r="D4" s="279"/>
      <c r="E4" s="279"/>
      <c r="F4" s="279"/>
      <c r="G4" s="279"/>
      <c r="H4" s="8"/>
      <c r="I4" s="8"/>
      <c r="J4" s="8"/>
      <c r="K4" s="8"/>
      <c r="L4" s="8"/>
      <c r="M4" s="8"/>
      <c r="N4" s="6"/>
      <c r="O4" s="7"/>
      <c r="P4" s="7"/>
    </row>
    <row r="5" spans="1:16" s="36" customFormat="1" ht="15.75">
      <c r="A5" s="42"/>
      <c r="B5" s="42"/>
      <c r="C5" s="280" t="s">
        <v>2</v>
      </c>
      <c r="D5" s="280"/>
      <c r="E5" s="280"/>
      <c r="F5" s="280"/>
      <c r="G5" s="280"/>
      <c r="H5" s="280"/>
      <c r="I5" s="280"/>
      <c r="J5" s="280"/>
      <c r="K5" s="280"/>
      <c r="L5" s="9">
        <f>M150</f>
        <v>0</v>
      </c>
      <c r="M5" s="10" t="s">
        <v>16</v>
      </c>
      <c r="N5" s="6"/>
      <c r="O5" s="7"/>
      <c r="P5" s="7"/>
    </row>
    <row r="6" spans="1:16" s="36" customFormat="1" ht="18.75" customHeight="1">
      <c r="A6" s="267" t="s">
        <v>404</v>
      </c>
      <c r="B6" s="267"/>
      <c r="C6" s="267"/>
      <c r="D6" s="267"/>
      <c r="E6" s="267"/>
      <c r="F6" s="267"/>
      <c r="G6" s="267"/>
      <c r="H6" s="8"/>
      <c r="I6" s="8"/>
      <c r="J6" s="8"/>
      <c r="K6" s="8"/>
      <c r="L6" s="8"/>
      <c r="M6" s="8"/>
      <c r="N6" s="6"/>
      <c r="O6" s="7"/>
      <c r="P6" s="7"/>
    </row>
    <row r="7" spans="1:16" s="36" customFormat="1" ht="38.25" customHeight="1">
      <c r="A7" s="285" t="s">
        <v>3</v>
      </c>
      <c r="B7" s="285" t="s">
        <v>4</v>
      </c>
      <c r="C7" s="284" t="s">
        <v>5</v>
      </c>
      <c r="D7" s="284" t="s">
        <v>6</v>
      </c>
      <c r="E7" s="284" t="s">
        <v>7</v>
      </c>
      <c r="F7" s="284"/>
      <c r="G7" s="284" t="s">
        <v>8</v>
      </c>
      <c r="H7" s="284"/>
      <c r="I7" s="284" t="s">
        <v>9</v>
      </c>
      <c r="J7" s="284"/>
      <c r="K7" s="284" t="s">
        <v>10</v>
      </c>
      <c r="L7" s="284"/>
      <c r="M7" s="285" t="s">
        <v>11</v>
      </c>
      <c r="N7" s="6"/>
      <c r="O7" s="7"/>
      <c r="P7" s="7"/>
    </row>
    <row r="8" spans="1:16" s="36" customFormat="1" ht="40.5">
      <c r="A8" s="285"/>
      <c r="B8" s="285"/>
      <c r="C8" s="284"/>
      <c r="D8" s="284"/>
      <c r="E8" s="43" t="s">
        <v>12</v>
      </c>
      <c r="F8" s="230" t="s">
        <v>11</v>
      </c>
      <c r="G8" s="43" t="s">
        <v>13</v>
      </c>
      <c r="H8" s="11" t="s">
        <v>11</v>
      </c>
      <c r="I8" s="12" t="s">
        <v>13</v>
      </c>
      <c r="J8" s="13" t="s">
        <v>11</v>
      </c>
      <c r="K8" s="43" t="s">
        <v>13</v>
      </c>
      <c r="L8" s="43" t="s">
        <v>11</v>
      </c>
      <c r="M8" s="285"/>
      <c r="N8" s="6"/>
      <c r="O8" s="7"/>
      <c r="P8" s="7"/>
    </row>
    <row r="9" spans="1:16" s="36" customFormat="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31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6"/>
      <c r="O9" s="7"/>
      <c r="P9" s="7"/>
    </row>
    <row r="10" spans="1:16" s="36" customFormat="1" ht="67.5">
      <c r="A10" s="24"/>
      <c r="B10" s="24"/>
      <c r="C10" s="211" t="s">
        <v>524</v>
      </c>
      <c r="D10" s="24"/>
      <c r="E10" s="24"/>
      <c r="F10" s="231"/>
      <c r="G10" s="24"/>
      <c r="H10" s="24"/>
      <c r="I10" s="24"/>
      <c r="J10" s="24"/>
      <c r="K10" s="24"/>
      <c r="L10" s="24"/>
      <c r="M10" s="24"/>
      <c r="N10" s="6"/>
      <c r="O10" s="7"/>
      <c r="P10" s="7"/>
    </row>
    <row r="11" spans="1:16" s="22" customFormat="1" ht="16.5" customHeight="1">
      <c r="A11" s="25"/>
      <c r="B11" s="25"/>
      <c r="C11" s="174" t="s">
        <v>307</v>
      </c>
      <c r="D11" s="20"/>
      <c r="E11" s="106"/>
      <c r="F11" s="97"/>
      <c r="G11" s="99"/>
      <c r="H11" s="100"/>
      <c r="I11" s="35"/>
      <c r="J11" s="35"/>
      <c r="K11" s="120"/>
      <c r="L11" s="35"/>
      <c r="M11" s="26"/>
    </row>
    <row r="12" spans="1:16" s="22" customFormat="1" ht="58.5" customHeight="1">
      <c r="A12" s="274" t="s">
        <v>14</v>
      </c>
      <c r="B12" s="25" t="s">
        <v>165</v>
      </c>
      <c r="C12" s="105" t="s">
        <v>601</v>
      </c>
      <c r="D12" s="33" t="s">
        <v>80</v>
      </c>
      <c r="E12" s="21"/>
      <c r="F12" s="117">
        <v>334</v>
      </c>
      <c r="G12" s="21"/>
      <c r="H12" s="35"/>
      <c r="I12" s="120"/>
      <c r="J12" s="35"/>
      <c r="K12" s="20"/>
      <c r="L12" s="40"/>
      <c r="M12" s="121"/>
    </row>
    <row r="13" spans="1:16" s="22" customFormat="1" ht="18" customHeight="1">
      <c r="A13" s="276"/>
      <c r="B13" s="25" t="s">
        <v>166</v>
      </c>
      <c r="C13" s="163" t="s">
        <v>523</v>
      </c>
      <c r="D13" s="159" t="s">
        <v>20</v>
      </c>
      <c r="E13" s="33">
        <f>16.33/100*1.05</f>
        <v>0.17146499999999998</v>
      </c>
      <c r="F13" s="97">
        <f>E13*F12</f>
        <v>57.26930999999999</v>
      </c>
      <c r="G13" s="26"/>
      <c r="H13" s="26"/>
      <c r="I13" s="159"/>
      <c r="J13" s="159"/>
      <c r="K13" s="110"/>
      <c r="L13" s="35"/>
      <c r="M13" s="26"/>
    </row>
    <row r="14" spans="1:16" s="22" customFormat="1" ht="48" customHeight="1">
      <c r="A14" s="274" t="s">
        <v>75</v>
      </c>
      <c r="B14" s="25" t="s">
        <v>414</v>
      </c>
      <c r="C14" s="190" t="s">
        <v>413</v>
      </c>
      <c r="D14" s="33" t="s">
        <v>80</v>
      </c>
      <c r="E14" s="21"/>
      <c r="F14" s="117">
        <f>F12</f>
        <v>334</v>
      </c>
      <c r="G14" s="21"/>
      <c r="H14" s="35"/>
      <c r="I14" s="120"/>
      <c r="J14" s="40"/>
      <c r="K14" s="20"/>
      <c r="L14" s="40"/>
      <c r="M14" s="121"/>
    </row>
    <row r="15" spans="1:16" s="22" customFormat="1" ht="13.5" customHeight="1">
      <c r="A15" s="275"/>
      <c r="B15" s="25"/>
      <c r="C15" s="105" t="s">
        <v>534</v>
      </c>
      <c r="D15" s="41" t="s">
        <v>15</v>
      </c>
      <c r="E15" s="20">
        <f>0.016*1.15</f>
        <v>1.84E-2</v>
      </c>
      <c r="F15" s="97">
        <f>E15*F14</f>
        <v>6.1456</v>
      </c>
      <c r="G15" s="99"/>
      <c r="H15" s="100"/>
      <c r="I15" s="35"/>
      <c r="J15" s="35"/>
      <c r="K15" s="35"/>
      <c r="L15" s="99"/>
      <c r="M15" s="35"/>
    </row>
    <row r="16" spans="1:16" s="22" customFormat="1" ht="13.5" customHeight="1">
      <c r="A16" s="276"/>
      <c r="B16" s="25" t="s">
        <v>100</v>
      </c>
      <c r="C16" s="105" t="s">
        <v>535</v>
      </c>
      <c r="D16" s="20" t="s">
        <v>85</v>
      </c>
      <c r="E16" s="21">
        <f>0.0359*1.05</f>
        <v>3.7695000000000006E-2</v>
      </c>
      <c r="F16" s="153">
        <f>E16*F14</f>
        <v>12.590130000000002</v>
      </c>
      <c r="G16" s="99"/>
      <c r="H16" s="100"/>
      <c r="I16" s="35"/>
      <c r="J16" s="35"/>
      <c r="K16" s="110"/>
      <c r="L16" s="35"/>
      <c r="M16" s="26"/>
    </row>
    <row r="17" spans="1:13" s="22" customFormat="1" ht="42" customHeight="1">
      <c r="A17" s="25" t="s">
        <v>18</v>
      </c>
      <c r="B17" s="215"/>
      <c r="C17" s="105" t="s">
        <v>603</v>
      </c>
      <c r="D17" s="20"/>
      <c r="E17" s="33"/>
      <c r="F17" s="117"/>
      <c r="G17" s="21"/>
      <c r="H17" s="35"/>
      <c r="I17" s="20"/>
      <c r="J17" s="35"/>
      <c r="K17" s="20"/>
      <c r="L17" s="40"/>
      <c r="M17" s="121"/>
    </row>
    <row r="18" spans="1:13" s="22" customFormat="1" ht="39" customHeight="1">
      <c r="A18" s="274" t="s">
        <v>152</v>
      </c>
      <c r="B18" s="25" t="s">
        <v>171</v>
      </c>
      <c r="C18" s="190" t="s">
        <v>410</v>
      </c>
      <c r="D18" s="20" t="s">
        <v>80</v>
      </c>
      <c r="E18" s="33"/>
      <c r="F18" s="117">
        <v>37</v>
      </c>
      <c r="G18" s="39"/>
      <c r="H18" s="37"/>
      <c r="I18" s="27"/>
      <c r="J18" s="16"/>
      <c r="K18" s="23"/>
      <c r="L18" s="16"/>
      <c r="M18" s="16"/>
    </row>
    <row r="19" spans="1:13" s="22" customFormat="1" ht="13.5" customHeight="1">
      <c r="A19" s="275"/>
      <c r="B19" s="25"/>
      <c r="C19" s="105" t="s">
        <v>529</v>
      </c>
      <c r="D19" s="41" t="s">
        <v>15</v>
      </c>
      <c r="E19" s="119">
        <f>8.6*1.15</f>
        <v>9.8899999999999988</v>
      </c>
      <c r="F19" s="114">
        <f>E19*F18</f>
        <v>365.92999999999995</v>
      </c>
      <c r="G19" s="26"/>
      <c r="H19" s="27"/>
      <c r="I19" s="26"/>
      <c r="J19" s="26"/>
      <c r="K19" s="27"/>
      <c r="L19" s="27"/>
      <c r="M19" s="26"/>
    </row>
    <row r="20" spans="1:13" s="22" customFormat="1" ht="13.5" customHeight="1">
      <c r="A20" s="276"/>
      <c r="B20" s="25" t="s">
        <v>172</v>
      </c>
      <c r="C20" s="190" t="s">
        <v>530</v>
      </c>
      <c r="D20" s="20" t="s">
        <v>85</v>
      </c>
      <c r="E20" s="119">
        <f>6.7*1.05</f>
        <v>7.0350000000000001</v>
      </c>
      <c r="F20" s="97">
        <f>E20*F18</f>
        <v>260.29500000000002</v>
      </c>
      <c r="G20" s="21"/>
      <c r="H20" s="35"/>
      <c r="I20" s="20"/>
      <c r="J20" s="35"/>
      <c r="K20" s="110"/>
      <c r="L20" s="35"/>
      <c r="M20" s="110"/>
    </row>
    <row r="21" spans="1:13" s="22" customFormat="1" ht="48.75" customHeight="1">
      <c r="A21" s="274" t="s">
        <v>153</v>
      </c>
      <c r="B21" s="25" t="s">
        <v>415</v>
      </c>
      <c r="C21" s="190" t="s">
        <v>425</v>
      </c>
      <c r="D21" s="33" t="s">
        <v>80</v>
      </c>
      <c r="E21" s="20"/>
      <c r="F21" s="117">
        <f>F18</f>
        <v>37</v>
      </c>
      <c r="G21" s="39"/>
      <c r="H21" s="40"/>
      <c r="I21" s="27"/>
      <c r="J21" s="16"/>
      <c r="K21" s="23"/>
      <c r="L21" s="16"/>
      <c r="M21" s="16"/>
    </row>
    <row r="22" spans="1:13" s="22" customFormat="1" ht="13.5" customHeight="1">
      <c r="A22" s="275"/>
      <c r="B22" s="25"/>
      <c r="C22" s="90" t="s">
        <v>537</v>
      </c>
      <c r="D22" s="41" t="s">
        <v>15</v>
      </c>
      <c r="E22" s="106">
        <f>1.2*1.15</f>
        <v>1.38</v>
      </c>
      <c r="F22" s="97">
        <f>E22*F21</f>
        <v>51.059999999999995</v>
      </c>
      <c r="G22" s="99"/>
      <c r="H22" s="100"/>
      <c r="I22" s="35"/>
      <c r="J22" s="35"/>
      <c r="K22" s="35"/>
      <c r="L22" s="99"/>
      <c r="M22" s="35"/>
    </row>
    <row r="23" spans="1:13" s="22" customFormat="1" ht="17.25" customHeight="1">
      <c r="A23" s="275"/>
      <c r="B23" s="25" t="s">
        <v>169</v>
      </c>
      <c r="C23" s="105" t="s">
        <v>87</v>
      </c>
      <c r="D23" s="33" t="s">
        <v>80</v>
      </c>
      <c r="E23" s="106"/>
      <c r="F23" s="229">
        <f>F21</f>
        <v>37</v>
      </c>
      <c r="G23" s="123"/>
      <c r="H23" s="220"/>
      <c r="I23" s="101"/>
      <c r="J23" s="16"/>
      <c r="K23" s="16"/>
      <c r="L23" s="16"/>
      <c r="M23" s="16"/>
    </row>
    <row r="24" spans="1:13" s="22" customFormat="1" ht="13.5" customHeight="1">
      <c r="A24" s="275"/>
      <c r="B24" s="25" t="s">
        <v>102</v>
      </c>
      <c r="C24" s="105" t="s">
        <v>88</v>
      </c>
      <c r="D24" s="20" t="s">
        <v>85</v>
      </c>
      <c r="E24" s="106">
        <f>1.05*0.00362</f>
        <v>3.8010000000000001E-3</v>
      </c>
      <c r="F24" s="152">
        <f>E24*F23</f>
        <v>0.14063700000000001</v>
      </c>
      <c r="G24" s="26"/>
      <c r="H24" s="27"/>
      <c r="I24" s="27"/>
      <c r="J24" s="27"/>
      <c r="K24" s="27"/>
      <c r="L24" s="26"/>
      <c r="M24" s="26"/>
    </row>
    <row r="25" spans="1:13" s="22" customFormat="1" ht="13.5" customHeight="1">
      <c r="A25" s="275"/>
      <c r="B25" s="25"/>
      <c r="C25" s="105" t="s">
        <v>28</v>
      </c>
      <c r="D25" s="20" t="s">
        <v>16</v>
      </c>
      <c r="E25" s="106">
        <v>1.8000000000000001E-4</v>
      </c>
      <c r="F25" s="152">
        <f>E25*F23</f>
        <v>6.6600000000000001E-3</v>
      </c>
      <c r="G25" s="123"/>
      <c r="H25" s="123"/>
      <c r="I25" s="122"/>
      <c r="J25" s="27"/>
      <c r="K25" s="18"/>
      <c r="L25" s="26"/>
      <c r="M25" s="26"/>
    </row>
    <row r="26" spans="1:13" s="22" customFormat="1" ht="13.5" customHeight="1">
      <c r="A26" s="275"/>
      <c r="B26" s="25" t="s">
        <v>225</v>
      </c>
      <c r="C26" s="105" t="s">
        <v>514</v>
      </c>
      <c r="D26" s="33" t="s">
        <v>80</v>
      </c>
      <c r="E26" s="106">
        <f>0.08/1000</f>
        <v>8.0000000000000007E-5</v>
      </c>
      <c r="F26" s="153">
        <f>E26*F23</f>
        <v>2.9600000000000004E-3</v>
      </c>
      <c r="G26" s="88"/>
      <c r="H26" s="35"/>
      <c r="I26" s="35"/>
      <c r="J26" s="35"/>
      <c r="K26" s="120"/>
      <c r="L26" s="35"/>
      <c r="M26" s="26"/>
    </row>
    <row r="27" spans="1:13" s="22" customFormat="1" ht="13.5" customHeight="1">
      <c r="A27" s="276"/>
      <c r="B27" s="25" t="s">
        <v>82</v>
      </c>
      <c r="C27" s="105" t="s">
        <v>89</v>
      </c>
      <c r="D27" s="20" t="s">
        <v>17</v>
      </c>
      <c r="E27" s="106"/>
      <c r="F27" s="233">
        <f>F21*2.8</f>
        <v>103.6</v>
      </c>
      <c r="G27" s="123"/>
      <c r="H27" s="123"/>
      <c r="I27" s="122"/>
      <c r="J27" s="123"/>
      <c r="K27" s="110"/>
      <c r="L27" s="16"/>
      <c r="M27" s="16"/>
    </row>
    <row r="28" spans="1:13" s="22" customFormat="1" ht="18" customHeight="1">
      <c r="A28" s="274" t="s">
        <v>21</v>
      </c>
      <c r="B28" s="25" t="s">
        <v>308</v>
      </c>
      <c r="C28" s="38" t="s">
        <v>309</v>
      </c>
      <c r="D28" s="33" t="s">
        <v>80</v>
      </c>
      <c r="E28" s="20"/>
      <c r="F28" s="97">
        <v>11.4</v>
      </c>
      <c r="G28" s="39"/>
      <c r="H28" s="40"/>
      <c r="I28" s="23"/>
      <c r="J28" s="16"/>
      <c r="K28" s="23"/>
      <c r="L28" s="16"/>
      <c r="M28" s="16"/>
    </row>
    <row r="29" spans="1:13" s="22" customFormat="1" ht="13.5" customHeight="1">
      <c r="A29" s="275"/>
      <c r="B29" s="25"/>
      <c r="C29" s="90" t="s">
        <v>591</v>
      </c>
      <c r="D29" s="41" t="s">
        <v>15</v>
      </c>
      <c r="E29" s="106">
        <f>1.78*1.15</f>
        <v>2.0469999999999997</v>
      </c>
      <c r="F29" s="97">
        <f>E29*F28</f>
        <v>23.335799999999999</v>
      </c>
      <c r="G29" s="99"/>
      <c r="H29" s="100"/>
      <c r="I29" s="35"/>
      <c r="J29" s="35"/>
      <c r="K29" s="35"/>
      <c r="L29" s="99"/>
      <c r="M29" s="35"/>
    </row>
    <row r="30" spans="1:13" s="22" customFormat="1" ht="15" customHeight="1">
      <c r="A30" s="276"/>
      <c r="B30" s="25" t="s">
        <v>225</v>
      </c>
      <c r="C30" s="38" t="s">
        <v>499</v>
      </c>
      <c r="D30" s="149" t="s">
        <v>80</v>
      </c>
      <c r="E30" s="110">
        <v>1.1000000000000001</v>
      </c>
      <c r="F30" s="97">
        <f>E30*F28</f>
        <v>12.540000000000001</v>
      </c>
      <c r="G30" s="150"/>
      <c r="H30" s="35"/>
      <c r="I30" s="18"/>
      <c r="J30" s="26"/>
      <c r="K30" s="26"/>
      <c r="L30" s="26"/>
      <c r="M30" s="26"/>
    </row>
    <row r="31" spans="1:13" s="22" customFormat="1" ht="23.25" customHeight="1">
      <c r="A31" s="274" t="s">
        <v>83</v>
      </c>
      <c r="B31" s="25" t="s">
        <v>310</v>
      </c>
      <c r="C31" s="38" t="s">
        <v>311</v>
      </c>
      <c r="D31" s="20" t="s">
        <v>77</v>
      </c>
      <c r="E31" s="20"/>
      <c r="F31" s="117">
        <v>120</v>
      </c>
      <c r="G31" s="39"/>
      <c r="H31" s="40"/>
      <c r="I31" s="23"/>
      <c r="J31" s="16"/>
      <c r="K31" s="23"/>
      <c r="L31" s="16"/>
      <c r="M31" s="16"/>
    </row>
    <row r="32" spans="1:13" s="22" customFormat="1" ht="13.5" customHeight="1">
      <c r="A32" s="275"/>
      <c r="B32" s="69"/>
      <c r="C32" s="105" t="s">
        <v>592</v>
      </c>
      <c r="D32" s="20" t="s">
        <v>15</v>
      </c>
      <c r="E32" s="106">
        <f>0.745*1.15</f>
        <v>0.8567499999999999</v>
      </c>
      <c r="F32" s="97">
        <f>E32*F31</f>
        <v>102.80999999999999</v>
      </c>
      <c r="G32" s="99"/>
      <c r="H32" s="107"/>
      <c r="I32" s="35"/>
      <c r="J32" s="35"/>
      <c r="K32" s="26"/>
      <c r="L32" s="35"/>
      <c r="M32" s="26"/>
    </row>
    <row r="33" spans="1:13" s="22" customFormat="1" ht="13.5" customHeight="1">
      <c r="A33" s="275"/>
      <c r="B33" s="69"/>
      <c r="C33" s="105" t="s">
        <v>28</v>
      </c>
      <c r="D33" s="20" t="s">
        <v>16</v>
      </c>
      <c r="E33" s="106">
        <v>0.38</v>
      </c>
      <c r="F33" s="114">
        <f>E33*F31</f>
        <v>45.6</v>
      </c>
      <c r="G33" s="123"/>
      <c r="H33" s="123"/>
      <c r="I33" s="122"/>
      <c r="J33" s="27"/>
      <c r="K33" s="18"/>
      <c r="L33" s="26"/>
      <c r="M33" s="26"/>
    </row>
    <row r="34" spans="1:13" s="22" customFormat="1" ht="13.5" customHeight="1">
      <c r="A34" s="275"/>
      <c r="B34" s="69" t="s">
        <v>492</v>
      </c>
      <c r="C34" s="109" t="s">
        <v>147</v>
      </c>
      <c r="D34" s="33" t="s">
        <v>77</v>
      </c>
      <c r="E34" s="108">
        <v>0.995</v>
      </c>
      <c r="F34" s="97">
        <f>E34*F31</f>
        <v>119.4</v>
      </c>
      <c r="G34" s="26"/>
      <c r="H34" s="35"/>
      <c r="I34" s="35"/>
      <c r="J34" s="35"/>
      <c r="K34" s="35"/>
      <c r="L34" s="35"/>
      <c r="M34" s="97"/>
    </row>
    <row r="35" spans="1:13" s="22" customFormat="1" ht="13.5" customHeight="1">
      <c r="A35" s="276"/>
      <c r="B35" s="25"/>
      <c r="C35" s="98" t="s">
        <v>23</v>
      </c>
      <c r="D35" s="20" t="s">
        <v>16</v>
      </c>
      <c r="E35" s="203">
        <v>0.184</v>
      </c>
      <c r="F35" s="97">
        <f>E35*F31</f>
        <v>22.08</v>
      </c>
      <c r="G35" s="18"/>
      <c r="H35" s="97"/>
      <c r="I35" s="26"/>
      <c r="J35" s="26"/>
      <c r="K35" s="26"/>
      <c r="L35" s="158"/>
      <c r="M35" s="26"/>
    </row>
    <row r="36" spans="1:13" s="22" customFormat="1" ht="28.5" customHeight="1">
      <c r="A36" s="274" t="s">
        <v>22</v>
      </c>
      <c r="B36" s="15" t="s">
        <v>232</v>
      </c>
      <c r="C36" s="4" t="s">
        <v>312</v>
      </c>
      <c r="D36" s="149" t="s">
        <v>80</v>
      </c>
      <c r="E36" s="92"/>
      <c r="F36" s="114">
        <v>3.83</v>
      </c>
      <c r="G36" s="94"/>
      <c r="H36" s="16"/>
      <c r="I36" s="26"/>
      <c r="J36" s="16"/>
      <c r="K36" s="16"/>
      <c r="L36" s="16"/>
      <c r="M36" s="16"/>
    </row>
    <row r="37" spans="1:13" s="22" customFormat="1" ht="13.5" customHeight="1">
      <c r="A37" s="275"/>
      <c r="B37" s="15"/>
      <c r="C37" s="112" t="s">
        <v>593</v>
      </c>
      <c r="D37" s="113" t="s">
        <v>15</v>
      </c>
      <c r="E37" s="35">
        <f>6.6*1.15</f>
        <v>7.589999999999999</v>
      </c>
      <c r="F37" s="114">
        <f>E37*F36</f>
        <v>29.069699999999997</v>
      </c>
      <c r="G37" s="114"/>
      <c r="H37" s="115"/>
      <c r="I37" s="93"/>
      <c r="J37" s="114"/>
      <c r="K37" s="115"/>
      <c r="L37" s="115"/>
      <c r="M37" s="114"/>
    </row>
    <row r="38" spans="1:13" s="22" customFormat="1" ht="13.5" customHeight="1">
      <c r="A38" s="275"/>
      <c r="B38" s="20" t="s">
        <v>233</v>
      </c>
      <c r="C38" s="105" t="s">
        <v>551</v>
      </c>
      <c r="D38" s="192" t="s">
        <v>20</v>
      </c>
      <c r="E38" s="108">
        <f>0.096*1.05</f>
        <v>0.1008</v>
      </c>
      <c r="F38" s="97">
        <f>E38*F36</f>
        <v>0.38606400000000002</v>
      </c>
      <c r="G38" s="155"/>
      <c r="H38" s="35"/>
      <c r="I38" s="107"/>
      <c r="J38" s="154"/>
      <c r="K38" s="26"/>
      <c r="L38" s="88"/>
      <c r="M38" s="18"/>
    </row>
    <row r="39" spans="1:13" s="22" customFormat="1" ht="13.5" customHeight="1">
      <c r="A39" s="275"/>
      <c r="B39" s="172"/>
      <c r="C39" s="112" t="s">
        <v>78</v>
      </c>
      <c r="D39" s="96" t="s">
        <v>16</v>
      </c>
      <c r="E39" s="108">
        <v>0.39900000000000002</v>
      </c>
      <c r="F39" s="153">
        <f>E39*F36</f>
        <v>1.52817</v>
      </c>
      <c r="G39" s="96"/>
      <c r="H39" s="96"/>
      <c r="I39" s="117"/>
      <c r="J39" s="96"/>
      <c r="K39" s="117"/>
      <c r="L39" s="35"/>
      <c r="M39" s="26"/>
    </row>
    <row r="40" spans="1:13" s="22" customFormat="1" ht="13.5" customHeight="1">
      <c r="A40" s="275"/>
      <c r="B40" s="25" t="s">
        <v>225</v>
      </c>
      <c r="C40" s="189" t="s">
        <v>509</v>
      </c>
      <c r="D40" s="173" t="s">
        <v>80</v>
      </c>
      <c r="E40" s="108">
        <v>1.0149999999999999</v>
      </c>
      <c r="F40" s="97">
        <f>E40*F36</f>
        <v>3.8874499999999999</v>
      </c>
      <c r="G40" s="88"/>
      <c r="H40" s="35"/>
      <c r="I40" s="35"/>
      <c r="J40" s="35"/>
      <c r="K40" s="26"/>
      <c r="L40" s="26"/>
      <c r="M40" s="26"/>
    </row>
    <row r="41" spans="1:13" s="22" customFormat="1" ht="13.5" customHeight="1">
      <c r="A41" s="275"/>
      <c r="B41" s="25" t="s">
        <v>419</v>
      </c>
      <c r="C41" s="140" t="s">
        <v>129</v>
      </c>
      <c r="D41" s="33" t="s">
        <v>80</v>
      </c>
      <c r="E41" s="116">
        <v>2.47E-2</v>
      </c>
      <c r="F41" s="223">
        <f>E41*F36</f>
        <v>9.4601000000000005E-2</v>
      </c>
      <c r="G41" s="155"/>
      <c r="H41" s="35"/>
      <c r="I41" s="27"/>
      <c r="J41" s="27"/>
      <c r="K41" s="27"/>
      <c r="L41" s="16"/>
      <c r="M41" s="35"/>
    </row>
    <row r="42" spans="1:13" s="22" customFormat="1" ht="13.5" customHeight="1">
      <c r="A42" s="275"/>
      <c r="B42" s="172" t="s">
        <v>440</v>
      </c>
      <c r="C42" s="105" t="s">
        <v>234</v>
      </c>
      <c r="D42" s="173" t="s">
        <v>80</v>
      </c>
      <c r="E42" s="35">
        <v>0.39</v>
      </c>
      <c r="F42" s="97">
        <f>E42*F36</f>
        <v>1.4937</v>
      </c>
      <c r="G42" s="18"/>
      <c r="H42" s="35"/>
      <c r="I42" s="107"/>
      <c r="J42" s="154"/>
      <c r="K42" s="107"/>
      <c r="L42" s="107"/>
      <c r="M42" s="35"/>
    </row>
    <row r="43" spans="1:13" s="22" customFormat="1" ht="13.5" customHeight="1">
      <c r="A43" s="275"/>
      <c r="B43" s="172" t="s">
        <v>236</v>
      </c>
      <c r="C43" s="105" t="s">
        <v>237</v>
      </c>
      <c r="D43" s="173" t="s">
        <v>80</v>
      </c>
      <c r="E43" s="5">
        <v>4.6800000000000001E-2</v>
      </c>
      <c r="F43" s="97">
        <f>E43*F36</f>
        <v>0.17924400000000001</v>
      </c>
      <c r="G43" s="18"/>
      <c r="H43" s="35"/>
      <c r="I43" s="107"/>
      <c r="J43" s="154"/>
      <c r="K43" s="107"/>
      <c r="L43" s="107"/>
      <c r="M43" s="35"/>
    </row>
    <row r="44" spans="1:13" s="22" customFormat="1" ht="13.5" customHeight="1">
      <c r="A44" s="275"/>
      <c r="B44" s="172" t="s">
        <v>201</v>
      </c>
      <c r="C44" s="105" t="s">
        <v>238</v>
      </c>
      <c r="D44" s="173" t="s">
        <v>80</v>
      </c>
      <c r="E44" s="5">
        <f>0.0053+0.074</f>
        <v>7.9299999999999995E-2</v>
      </c>
      <c r="F44" s="153">
        <f>E44*F36</f>
        <v>0.30371899999999996</v>
      </c>
      <c r="G44" s="18"/>
      <c r="H44" s="35"/>
      <c r="I44" s="107"/>
      <c r="J44" s="154"/>
      <c r="K44" s="107"/>
      <c r="L44" s="107"/>
      <c r="M44" s="35"/>
    </row>
    <row r="45" spans="1:13" s="22" customFormat="1" ht="13.5" customHeight="1">
      <c r="A45" s="275"/>
      <c r="B45" s="69" t="s">
        <v>441</v>
      </c>
      <c r="C45" s="105" t="s">
        <v>239</v>
      </c>
      <c r="D45" s="20" t="s">
        <v>81</v>
      </c>
      <c r="E45" s="35">
        <v>1.93</v>
      </c>
      <c r="F45" s="97">
        <f>E45*F36</f>
        <v>7.3918999999999997</v>
      </c>
      <c r="G45" s="26"/>
      <c r="H45" s="35"/>
      <c r="I45" s="107"/>
      <c r="J45" s="154"/>
      <c r="K45" s="107"/>
      <c r="L45" s="107"/>
      <c r="M45" s="35"/>
    </row>
    <row r="46" spans="1:13" s="22" customFormat="1" ht="13.5" customHeight="1">
      <c r="A46" s="276"/>
      <c r="B46" s="172"/>
      <c r="C46" s="105" t="s">
        <v>23</v>
      </c>
      <c r="D46" s="20" t="s">
        <v>16</v>
      </c>
      <c r="E46" s="35">
        <v>1.56</v>
      </c>
      <c r="F46" s="97">
        <f>E46*F36</f>
        <v>5.9748000000000001</v>
      </c>
      <c r="G46" s="117"/>
      <c r="H46" s="35"/>
      <c r="I46" s="107"/>
      <c r="J46" s="154"/>
      <c r="K46" s="107"/>
      <c r="L46" s="107"/>
      <c r="M46" s="35"/>
    </row>
    <row r="47" spans="1:13" s="22" customFormat="1" ht="27" customHeight="1">
      <c r="A47" s="274" t="s">
        <v>84</v>
      </c>
      <c r="B47" s="25" t="s">
        <v>313</v>
      </c>
      <c r="C47" s="38" t="s">
        <v>314</v>
      </c>
      <c r="D47" s="149" t="s">
        <v>24</v>
      </c>
      <c r="E47" s="20"/>
      <c r="F47" s="117">
        <v>161</v>
      </c>
      <c r="G47" s="39"/>
      <c r="H47" s="40"/>
      <c r="I47" s="23"/>
      <c r="J47" s="16"/>
      <c r="K47" s="23"/>
      <c r="L47" s="16"/>
      <c r="M47" s="16"/>
    </row>
    <row r="48" spans="1:13" s="22" customFormat="1" ht="13.5" customHeight="1">
      <c r="A48" s="275"/>
      <c r="B48" s="25"/>
      <c r="C48" s="105" t="s">
        <v>594</v>
      </c>
      <c r="D48" s="20" t="s">
        <v>15</v>
      </c>
      <c r="E48" s="106">
        <f>0.388*1.15</f>
        <v>0.44619999999999999</v>
      </c>
      <c r="F48" s="97">
        <f>E48*F47</f>
        <v>71.838200000000001</v>
      </c>
      <c r="G48" s="99"/>
      <c r="H48" s="107"/>
      <c r="I48" s="88"/>
      <c r="J48" s="35"/>
      <c r="K48" s="26"/>
      <c r="L48" s="35"/>
      <c r="M48" s="26"/>
    </row>
    <row r="49" spans="1:13" s="22" customFormat="1" ht="13.5" customHeight="1">
      <c r="A49" s="275"/>
      <c r="B49" s="25"/>
      <c r="C49" s="105" t="s">
        <v>28</v>
      </c>
      <c r="D49" s="20" t="s">
        <v>16</v>
      </c>
      <c r="E49" s="106">
        <v>2.9999999999999997E-4</v>
      </c>
      <c r="F49" s="152">
        <f>E49*F47</f>
        <v>4.8299999999999996E-2</v>
      </c>
      <c r="G49" s="123"/>
      <c r="H49" s="123"/>
      <c r="I49" s="122"/>
      <c r="J49" s="27"/>
      <c r="K49" s="18"/>
      <c r="L49" s="26"/>
      <c r="M49" s="26"/>
    </row>
    <row r="50" spans="1:13" s="22" customFormat="1" ht="13.5" customHeight="1">
      <c r="A50" s="275"/>
      <c r="B50" s="25" t="s">
        <v>315</v>
      </c>
      <c r="C50" s="105" t="s">
        <v>316</v>
      </c>
      <c r="D50" s="20" t="s">
        <v>81</v>
      </c>
      <c r="E50" s="106">
        <v>0.253</v>
      </c>
      <c r="F50" s="152">
        <f>E50*F47</f>
        <v>40.732999999999997</v>
      </c>
      <c r="G50" s="101"/>
      <c r="H50" s="101"/>
      <c r="I50" s="122"/>
      <c r="J50" s="27"/>
      <c r="K50" s="18"/>
      <c r="L50" s="26"/>
      <c r="M50" s="26"/>
    </row>
    <row r="51" spans="1:13" s="22" customFormat="1" ht="13.5" customHeight="1">
      <c r="A51" s="275"/>
      <c r="B51" s="25" t="s">
        <v>317</v>
      </c>
      <c r="C51" s="105" t="s">
        <v>318</v>
      </c>
      <c r="D51" s="20" t="s">
        <v>81</v>
      </c>
      <c r="E51" s="106">
        <v>2.7E-2</v>
      </c>
      <c r="F51" s="152">
        <f>E51*F47</f>
        <v>4.3469999999999995</v>
      </c>
      <c r="G51" s="101"/>
      <c r="H51" s="101"/>
      <c r="I51" s="122"/>
      <c r="J51" s="27"/>
      <c r="K51" s="18"/>
      <c r="L51" s="26"/>
      <c r="M51" s="26"/>
    </row>
    <row r="52" spans="1:13" s="22" customFormat="1" ht="13.5" customHeight="1">
      <c r="A52" s="276"/>
      <c r="B52" s="25"/>
      <c r="C52" s="105" t="s">
        <v>23</v>
      </c>
      <c r="D52" s="20" t="s">
        <v>16</v>
      </c>
      <c r="E52" s="106">
        <v>1E-3</v>
      </c>
      <c r="F52" s="152">
        <f>E52*F47</f>
        <v>0.161</v>
      </c>
      <c r="G52" s="122"/>
      <c r="H52" s="101"/>
      <c r="I52" s="122"/>
      <c r="J52" s="27"/>
      <c r="K52" s="18"/>
      <c r="L52" s="26"/>
      <c r="M52" s="26"/>
    </row>
    <row r="53" spans="1:13" s="22" customFormat="1" ht="46.5" customHeight="1">
      <c r="A53" s="156" t="s">
        <v>125</v>
      </c>
      <c r="B53" s="103"/>
      <c r="C53" s="105" t="s">
        <v>608</v>
      </c>
      <c r="D53" s="20"/>
      <c r="E53" s="165"/>
      <c r="F53" s="97"/>
      <c r="G53" s="155"/>
      <c r="H53" s="35"/>
      <c r="I53" s="88"/>
      <c r="J53" s="35"/>
      <c r="K53" s="26"/>
      <c r="L53" s="35"/>
      <c r="M53" s="26"/>
    </row>
    <row r="54" spans="1:13" s="22" customFormat="1" ht="33" customHeight="1">
      <c r="A54" s="274" t="s">
        <v>193</v>
      </c>
      <c r="B54" s="15" t="s">
        <v>414</v>
      </c>
      <c r="C54" s="105" t="s">
        <v>422</v>
      </c>
      <c r="D54" s="20" t="s">
        <v>80</v>
      </c>
      <c r="E54" s="165"/>
      <c r="F54" s="117">
        <v>334</v>
      </c>
      <c r="G54" s="155"/>
      <c r="H54" s="35"/>
      <c r="I54" s="88"/>
      <c r="J54" s="40"/>
      <c r="K54" s="16"/>
      <c r="L54" s="40"/>
      <c r="M54" s="16"/>
    </row>
    <row r="55" spans="1:13" s="22" customFormat="1" ht="13.5" customHeight="1">
      <c r="A55" s="275"/>
      <c r="B55" s="25"/>
      <c r="C55" s="90" t="s">
        <v>534</v>
      </c>
      <c r="D55" s="41" t="s">
        <v>15</v>
      </c>
      <c r="E55" s="20">
        <f>0.016*1.15</f>
        <v>1.84E-2</v>
      </c>
      <c r="F55" s="97">
        <f>E55*F54</f>
        <v>6.1456</v>
      </c>
      <c r="G55" s="99"/>
      <c r="H55" s="100"/>
      <c r="I55" s="35"/>
      <c r="J55" s="35"/>
      <c r="K55" s="35"/>
      <c r="L55" s="99"/>
      <c r="M55" s="35"/>
    </row>
    <row r="56" spans="1:13" s="22" customFormat="1" ht="13.5" customHeight="1">
      <c r="A56" s="276"/>
      <c r="B56" s="25" t="s">
        <v>100</v>
      </c>
      <c r="C56" s="105" t="s">
        <v>535</v>
      </c>
      <c r="D56" s="20" t="s">
        <v>85</v>
      </c>
      <c r="E56" s="21">
        <f>0.0359*1.05</f>
        <v>3.7695000000000006E-2</v>
      </c>
      <c r="F56" s="153">
        <f>E56*F54</f>
        <v>12.590130000000002</v>
      </c>
      <c r="G56" s="99"/>
      <c r="H56" s="100"/>
      <c r="I56" s="35"/>
      <c r="J56" s="35"/>
      <c r="K56" s="110"/>
      <c r="L56" s="35"/>
      <c r="M56" s="26"/>
    </row>
    <row r="57" spans="1:13" s="22" customFormat="1" ht="35.25" customHeight="1">
      <c r="A57" s="274" t="s">
        <v>194</v>
      </c>
      <c r="B57" s="25" t="s">
        <v>117</v>
      </c>
      <c r="C57" s="38" t="s">
        <v>118</v>
      </c>
      <c r="D57" s="33" t="s">
        <v>80</v>
      </c>
      <c r="E57" s="20"/>
      <c r="F57" s="117">
        <f>F54</f>
        <v>334</v>
      </c>
      <c r="G57" s="39"/>
      <c r="H57" s="37"/>
      <c r="I57" s="27"/>
      <c r="J57" s="27"/>
      <c r="K57" s="27"/>
      <c r="L57" s="16"/>
      <c r="M57" s="16"/>
    </row>
    <row r="58" spans="1:13" s="22" customFormat="1" ht="13.5" customHeight="1">
      <c r="A58" s="275"/>
      <c r="B58" s="25" t="s">
        <v>119</v>
      </c>
      <c r="C58" s="38" t="s">
        <v>120</v>
      </c>
      <c r="D58" s="20" t="s">
        <v>20</v>
      </c>
      <c r="E58" s="20">
        <f>1.85*6*0.001</f>
        <v>1.1100000000000002E-2</v>
      </c>
      <c r="F58" s="153">
        <f>E58*F57</f>
        <v>3.7074000000000007</v>
      </c>
      <c r="G58" s="39"/>
      <c r="H58" s="37"/>
      <c r="I58" s="27"/>
      <c r="J58" s="27"/>
      <c r="K58" s="27"/>
      <c r="L58" s="26"/>
      <c r="M58" s="26"/>
    </row>
    <row r="59" spans="1:13" s="22" customFormat="1" ht="13.5" customHeight="1">
      <c r="A59" s="275"/>
      <c r="B59" s="25" t="s">
        <v>102</v>
      </c>
      <c r="C59" s="38" t="s">
        <v>121</v>
      </c>
      <c r="D59" s="20" t="s">
        <v>20</v>
      </c>
      <c r="E59" s="20">
        <f>10.5*0.001*1.05</f>
        <v>1.1025000000000002E-2</v>
      </c>
      <c r="F59" s="153">
        <f>E59*F57</f>
        <v>3.6823500000000005</v>
      </c>
      <c r="G59" s="39"/>
      <c r="H59" s="37"/>
      <c r="I59" s="27"/>
      <c r="J59" s="27"/>
      <c r="K59" s="27"/>
      <c r="L59" s="26"/>
      <c r="M59" s="26"/>
    </row>
    <row r="60" spans="1:13" s="22" customFormat="1" ht="13.5" customHeight="1">
      <c r="A60" s="276"/>
      <c r="B60" s="25" t="s">
        <v>122</v>
      </c>
      <c r="C60" s="38" t="s">
        <v>555</v>
      </c>
      <c r="D60" s="20" t="s">
        <v>20</v>
      </c>
      <c r="E60" s="20">
        <f>1.85*6*0.001*1.05</f>
        <v>1.1655000000000002E-2</v>
      </c>
      <c r="F60" s="153">
        <f>E60*F57</f>
        <v>3.8927700000000005</v>
      </c>
      <c r="G60" s="39"/>
      <c r="H60" s="37"/>
      <c r="I60" s="27"/>
      <c r="J60" s="27"/>
      <c r="K60" s="26"/>
      <c r="L60" s="26"/>
      <c r="M60" s="26"/>
    </row>
    <row r="61" spans="1:13" s="22" customFormat="1" ht="21" customHeight="1">
      <c r="A61" s="156"/>
      <c r="B61" s="172"/>
      <c r="C61" s="174" t="s">
        <v>321</v>
      </c>
      <c r="D61" s="20"/>
      <c r="E61" s="35"/>
      <c r="F61" s="97"/>
      <c r="G61" s="117"/>
      <c r="H61" s="35"/>
      <c r="I61" s="107"/>
      <c r="J61" s="154"/>
      <c r="K61" s="107"/>
      <c r="L61" s="107"/>
      <c r="M61" s="35"/>
    </row>
    <row r="62" spans="1:13" s="22" customFormat="1" ht="78.75" customHeight="1">
      <c r="A62" s="25" t="s">
        <v>211</v>
      </c>
      <c r="B62" s="25"/>
      <c r="C62" s="38" t="s">
        <v>609</v>
      </c>
      <c r="D62" s="20"/>
      <c r="E62" s="20"/>
      <c r="F62" s="232"/>
      <c r="G62" s="39"/>
      <c r="H62" s="37"/>
      <c r="I62" s="27"/>
      <c r="J62" s="27"/>
      <c r="K62" s="27"/>
      <c r="L62" s="26"/>
      <c r="M62" s="26"/>
    </row>
    <row r="63" spans="1:13" s="22" customFormat="1" ht="59.25" customHeight="1">
      <c r="A63" s="274" t="s">
        <v>212</v>
      </c>
      <c r="B63" s="25" t="s">
        <v>165</v>
      </c>
      <c r="C63" s="105" t="s">
        <v>408</v>
      </c>
      <c r="D63" s="33" t="s">
        <v>80</v>
      </c>
      <c r="E63" s="21"/>
      <c r="F63" s="117">
        <v>428</v>
      </c>
      <c r="G63" s="21"/>
      <c r="H63" s="35"/>
      <c r="I63" s="120"/>
      <c r="J63" s="35"/>
      <c r="K63" s="20"/>
      <c r="L63" s="40"/>
      <c r="M63" s="121"/>
    </row>
    <row r="64" spans="1:13" s="22" customFormat="1" ht="15.75" customHeight="1">
      <c r="A64" s="276"/>
      <c r="B64" s="25" t="s">
        <v>166</v>
      </c>
      <c r="C64" s="163" t="s">
        <v>523</v>
      </c>
      <c r="D64" s="159" t="s">
        <v>20</v>
      </c>
      <c r="E64" s="33">
        <f>16.33/100*1.05</f>
        <v>0.17146499999999998</v>
      </c>
      <c r="F64" s="97">
        <f>E64*F63</f>
        <v>73.387019999999993</v>
      </c>
      <c r="G64" s="26"/>
      <c r="H64" s="26"/>
      <c r="I64" s="159"/>
      <c r="J64" s="159"/>
      <c r="K64" s="110"/>
      <c r="L64" s="35"/>
      <c r="M64" s="26"/>
    </row>
    <row r="65" spans="1:13" s="22" customFormat="1" ht="42.75" customHeight="1">
      <c r="A65" s="274" t="s">
        <v>213</v>
      </c>
      <c r="B65" s="25" t="s">
        <v>167</v>
      </c>
      <c r="C65" s="105" t="s">
        <v>168</v>
      </c>
      <c r="D65" s="33" t="s">
        <v>80</v>
      </c>
      <c r="E65" s="21"/>
      <c r="F65" s="117">
        <f>F63</f>
        <v>428</v>
      </c>
      <c r="G65" s="21"/>
      <c r="H65" s="40"/>
      <c r="I65" s="120"/>
      <c r="J65" s="40"/>
      <c r="K65" s="20"/>
      <c r="L65" s="40"/>
      <c r="M65" s="121"/>
    </row>
    <row r="66" spans="1:13" s="22" customFormat="1" ht="13.5" customHeight="1">
      <c r="A66" s="275"/>
      <c r="B66" s="25"/>
      <c r="C66" s="90" t="s">
        <v>526</v>
      </c>
      <c r="D66" s="41" t="s">
        <v>15</v>
      </c>
      <c r="E66" s="20">
        <f>0.0188*1.15</f>
        <v>2.162E-2</v>
      </c>
      <c r="F66" s="114">
        <f>E66*F65</f>
        <v>9.2533600000000007</v>
      </c>
      <c r="G66" s="26"/>
      <c r="H66" s="27"/>
      <c r="I66" s="26"/>
      <c r="J66" s="26"/>
      <c r="K66" s="27"/>
      <c r="L66" s="27"/>
      <c r="M66" s="26"/>
    </row>
    <row r="67" spans="1:13" s="22" customFormat="1" ht="13.5" customHeight="1">
      <c r="A67" s="275"/>
      <c r="B67" s="25" t="s">
        <v>166</v>
      </c>
      <c r="C67" s="105" t="s">
        <v>527</v>
      </c>
      <c r="D67" s="20" t="s">
        <v>85</v>
      </c>
      <c r="E67" s="21">
        <f>0.042*1.05</f>
        <v>4.4100000000000007E-2</v>
      </c>
      <c r="F67" s="97">
        <f>E67*F65</f>
        <v>18.874800000000004</v>
      </c>
      <c r="G67" s="21"/>
      <c r="H67" s="35"/>
      <c r="I67" s="20"/>
      <c r="J67" s="35"/>
      <c r="K67" s="110"/>
      <c r="L67" s="35"/>
      <c r="M67" s="110"/>
    </row>
    <row r="68" spans="1:13" s="22" customFormat="1" ht="13.5" customHeight="1">
      <c r="A68" s="275"/>
      <c r="B68" s="25"/>
      <c r="C68" s="105" t="s">
        <v>28</v>
      </c>
      <c r="D68" s="20" t="s">
        <v>16</v>
      </c>
      <c r="E68" s="21">
        <v>2.7399999999999998E-3</v>
      </c>
      <c r="F68" s="97">
        <f>E68*F65</f>
        <v>1.17272</v>
      </c>
      <c r="G68" s="21"/>
      <c r="H68" s="35"/>
      <c r="I68" s="20"/>
      <c r="J68" s="35"/>
      <c r="K68" s="120"/>
      <c r="L68" s="35"/>
      <c r="M68" s="110"/>
    </row>
    <row r="69" spans="1:13" s="22" customFormat="1" ht="13.5" customHeight="1">
      <c r="A69" s="275"/>
      <c r="B69" s="25" t="s">
        <v>225</v>
      </c>
      <c r="C69" s="105" t="s">
        <v>514</v>
      </c>
      <c r="D69" s="33" t="s">
        <v>80</v>
      </c>
      <c r="E69" s="106">
        <f>0.09/1000</f>
        <v>8.9999999999999992E-5</v>
      </c>
      <c r="F69" s="153">
        <f>E69*F65</f>
        <v>3.8519999999999999E-2</v>
      </c>
      <c r="G69" s="88"/>
      <c r="H69" s="35"/>
      <c r="I69" s="20"/>
      <c r="J69" s="35"/>
      <c r="K69" s="120"/>
      <c r="L69" s="35"/>
      <c r="M69" s="110"/>
    </row>
    <row r="70" spans="1:13" s="22" customFormat="1" ht="13.5" customHeight="1">
      <c r="A70" s="275"/>
      <c r="B70" s="25" t="s">
        <v>169</v>
      </c>
      <c r="C70" s="105" t="s">
        <v>87</v>
      </c>
      <c r="D70" s="33" t="s">
        <v>80</v>
      </c>
      <c r="E70" s="21"/>
      <c r="F70" s="117">
        <f>F65</f>
        <v>428</v>
      </c>
      <c r="G70" s="21"/>
      <c r="H70" s="40"/>
      <c r="I70" s="120"/>
      <c r="J70" s="35"/>
      <c r="K70" s="20"/>
      <c r="L70" s="40"/>
      <c r="M70" s="121"/>
    </row>
    <row r="71" spans="1:13" s="22" customFormat="1" ht="13.5" customHeight="1">
      <c r="A71" s="275"/>
      <c r="B71" s="25" t="s">
        <v>170</v>
      </c>
      <c r="C71" s="105" t="s">
        <v>528</v>
      </c>
      <c r="D71" s="20" t="s">
        <v>85</v>
      </c>
      <c r="E71" s="21">
        <f>0.0104*1.05</f>
        <v>1.0919999999999999E-2</v>
      </c>
      <c r="F71" s="97">
        <f>E71*F70</f>
        <v>4.6737599999999997</v>
      </c>
      <c r="G71" s="21"/>
      <c r="H71" s="35"/>
      <c r="I71" s="20"/>
      <c r="J71" s="35"/>
      <c r="K71" s="27"/>
      <c r="L71" s="35"/>
      <c r="M71" s="110"/>
    </row>
    <row r="72" spans="1:13" s="22" customFormat="1" ht="13.5" customHeight="1">
      <c r="A72" s="275"/>
      <c r="B72" s="25"/>
      <c r="C72" s="105" t="s">
        <v>28</v>
      </c>
      <c r="D72" s="20" t="s">
        <v>16</v>
      </c>
      <c r="E72" s="21">
        <f>0.24/1000</f>
        <v>2.3999999999999998E-4</v>
      </c>
      <c r="F72" s="97">
        <f>E72*F70</f>
        <v>0.10271999999999999</v>
      </c>
      <c r="G72" s="21"/>
      <c r="H72" s="35"/>
      <c r="I72" s="20"/>
      <c r="J72" s="35"/>
      <c r="K72" s="27"/>
      <c r="L72" s="35"/>
      <c r="M72" s="110"/>
    </row>
    <row r="73" spans="1:13" s="22" customFormat="1" ht="13.5" customHeight="1">
      <c r="A73" s="276"/>
      <c r="B73" s="25" t="s">
        <v>225</v>
      </c>
      <c r="C73" s="105" t="s">
        <v>514</v>
      </c>
      <c r="D73" s="33" t="s">
        <v>80</v>
      </c>
      <c r="E73" s="106">
        <f>0.08/1000</f>
        <v>8.0000000000000007E-5</v>
      </c>
      <c r="F73" s="153">
        <f>E73*F70</f>
        <v>3.424E-2</v>
      </c>
      <c r="G73" s="88"/>
      <c r="H73" s="35"/>
      <c r="I73" s="20"/>
      <c r="J73" s="35"/>
      <c r="K73" s="120"/>
      <c r="L73" s="35"/>
      <c r="M73" s="110"/>
    </row>
    <row r="74" spans="1:13" s="22" customFormat="1" ht="17.25" customHeight="1">
      <c r="A74" s="25" t="s">
        <v>494</v>
      </c>
      <c r="B74" s="25" t="s">
        <v>82</v>
      </c>
      <c r="C74" s="105" t="s">
        <v>89</v>
      </c>
      <c r="D74" s="20" t="s">
        <v>17</v>
      </c>
      <c r="E74" s="21"/>
      <c r="F74" s="233">
        <f>F65*2.8</f>
        <v>1198.3999999999999</v>
      </c>
      <c r="G74" s="21"/>
      <c r="H74" s="35"/>
      <c r="I74" s="20"/>
      <c r="J74" s="35"/>
      <c r="K74" s="110"/>
      <c r="L74" s="40"/>
      <c r="M74" s="121"/>
    </row>
    <row r="75" spans="1:13" s="22" customFormat="1" ht="48.75" customHeight="1">
      <c r="A75" s="25" t="s">
        <v>217</v>
      </c>
      <c r="B75" s="25"/>
      <c r="C75" s="105" t="s">
        <v>409</v>
      </c>
      <c r="D75" s="20"/>
      <c r="E75" s="33"/>
      <c r="F75" s="117"/>
      <c r="G75" s="21"/>
      <c r="H75" s="35"/>
      <c r="I75" s="20"/>
      <c r="J75" s="35"/>
      <c r="K75" s="20"/>
      <c r="L75" s="40"/>
      <c r="M75" s="121"/>
    </row>
    <row r="76" spans="1:13" s="22" customFormat="1" ht="41.25" customHeight="1">
      <c r="A76" s="274" t="s">
        <v>219</v>
      </c>
      <c r="B76" s="25" t="s">
        <v>171</v>
      </c>
      <c r="C76" s="38" t="s">
        <v>606</v>
      </c>
      <c r="D76" s="20" t="s">
        <v>80</v>
      </c>
      <c r="E76" s="33"/>
      <c r="F76" s="117">
        <v>48</v>
      </c>
      <c r="G76" s="39"/>
      <c r="H76" s="37"/>
      <c r="I76" s="27"/>
      <c r="J76" s="16"/>
      <c r="K76" s="23"/>
      <c r="L76" s="16"/>
      <c r="M76" s="16"/>
    </row>
    <row r="77" spans="1:13" s="22" customFormat="1" ht="13.5" customHeight="1">
      <c r="A77" s="275"/>
      <c r="B77" s="25"/>
      <c r="C77" s="90" t="s">
        <v>529</v>
      </c>
      <c r="D77" s="41" t="s">
        <v>15</v>
      </c>
      <c r="E77" s="119">
        <f>8.6*1.05</f>
        <v>9.0299999999999994</v>
      </c>
      <c r="F77" s="114">
        <f>E77*F76</f>
        <v>433.43999999999994</v>
      </c>
      <c r="G77" s="26"/>
      <c r="H77" s="27"/>
      <c r="I77" s="26"/>
      <c r="J77" s="26"/>
      <c r="K77" s="27"/>
      <c r="L77" s="27"/>
      <c r="M77" s="26"/>
    </row>
    <row r="78" spans="1:13" s="22" customFormat="1" ht="13.5" customHeight="1">
      <c r="A78" s="276"/>
      <c r="B78" s="25" t="s">
        <v>172</v>
      </c>
      <c r="C78" s="38" t="s">
        <v>530</v>
      </c>
      <c r="D78" s="20" t="s">
        <v>85</v>
      </c>
      <c r="E78" s="119">
        <f>6.7*1.15</f>
        <v>7.7049999999999992</v>
      </c>
      <c r="F78" s="97">
        <f>E78*F76</f>
        <v>369.84</v>
      </c>
      <c r="G78" s="21"/>
      <c r="H78" s="35"/>
      <c r="I78" s="20"/>
      <c r="J78" s="35"/>
      <c r="K78" s="110"/>
      <c r="L78" s="35"/>
      <c r="M78" s="110"/>
    </row>
    <row r="79" spans="1:13" s="22" customFormat="1" ht="44.25" customHeight="1">
      <c r="A79" s="274" t="s">
        <v>226</v>
      </c>
      <c r="B79" s="25" t="s">
        <v>167</v>
      </c>
      <c r="C79" s="105" t="s">
        <v>168</v>
      </c>
      <c r="D79" s="33" t="s">
        <v>80</v>
      </c>
      <c r="E79" s="21"/>
      <c r="F79" s="117">
        <f>F76</f>
        <v>48</v>
      </c>
      <c r="G79" s="21"/>
      <c r="H79" s="40"/>
      <c r="I79" s="120"/>
      <c r="J79" s="40"/>
      <c r="K79" s="20"/>
      <c r="L79" s="40"/>
      <c r="M79" s="121"/>
    </row>
    <row r="80" spans="1:13" s="22" customFormat="1" ht="13.5" customHeight="1">
      <c r="A80" s="275"/>
      <c r="B80" s="25"/>
      <c r="C80" s="90" t="s">
        <v>526</v>
      </c>
      <c r="D80" s="41" t="s">
        <v>15</v>
      </c>
      <c r="E80" s="20">
        <f>0.0188*1.05</f>
        <v>1.9740000000000001E-2</v>
      </c>
      <c r="F80" s="114">
        <f>E80*F79</f>
        <v>0.94752000000000003</v>
      </c>
      <c r="G80" s="26"/>
      <c r="H80" s="27"/>
      <c r="I80" s="26"/>
      <c r="J80" s="26"/>
      <c r="K80" s="27"/>
      <c r="L80" s="27"/>
      <c r="M80" s="26"/>
    </row>
    <row r="81" spans="1:13" s="22" customFormat="1" ht="13.5" customHeight="1">
      <c r="A81" s="275"/>
      <c r="B81" s="25" t="s">
        <v>166</v>
      </c>
      <c r="C81" s="105" t="s">
        <v>527</v>
      </c>
      <c r="D81" s="20" t="s">
        <v>85</v>
      </c>
      <c r="E81" s="21">
        <f>0.042*1.15</f>
        <v>4.8300000000000003E-2</v>
      </c>
      <c r="F81" s="97">
        <f>E81*F79</f>
        <v>2.3184</v>
      </c>
      <c r="G81" s="21"/>
      <c r="H81" s="35"/>
      <c r="I81" s="20"/>
      <c r="J81" s="35"/>
      <c r="K81" s="110"/>
      <c r="L81" s="35"/>
      <c r="M81" s="110"/>
    </row>
    <row r="82" spans="1:13" s="22" customFormat="1" ht="13.5" customHeight="1">
      <c r="A82" s="275"/>
      <c r="B82" s="25"/>
      <c r="C82" s="105" t="s">
        <v>28</v>
      </c>
      <c r="D82" s="20" t="s">
        <v>16</v>
      </c>
      <c r="E82" s="21">
        <v>2.7399999999999998E-3</v>
      </c>
      <c r="F82" s="97">
        <f>E82*F79</f>
        <v>0.13152</v>
      </c>
      <c r="G82" s="21"/>
      <c r="H82" s="35"/>
      <c r="I82" s="20"/>
      <c r="J82" s="35"/>
      <c r="K82" s="120"/>
      <c r="L82" s="35"/>
      <c r="M82" s="110"/>
    </row>
    <row r="83" spans="1:13" s="22" customFormat="1" ht="13.5" customHeight="1">
      <c r="A83" s="275"/>
      <c r="B83" s="25" t="s">
        <v>225</v>
      </c>
      <c r="C83" s="105" t="s">
        <v>514</v>
      </c>
      <c r="D83" s="33" t="s">
        <v>80</v>
      </c>
      <c r="E83" s="106">
        <f>0.09/1000</f>
        <v>8.9999999999999992E-5</v>
      </c>
      <c r="F83" s="153">
        <f>E83*F79</f>
        <v>4.3199999999999992E-3</v>
      </c>
      <c r="G83" s="88"/>
      <c r="H83" s="35"/>
      <c r="I83" s="20"/>
      <c r="J83" s="35"/>
      <c r="K83" s="120"/>
      <c r="L83" s="35"/>
      <c r="M83" s="110"/>
    </row>
    <row r="84" spans="1:13" s="22" customFormat="1" ht="13.5" customHeight="1">
      <c r="A84" s="275"/>
      <c r="B84" s="25" t="s">
        <v>169</v>
      </c>
      <c r="C84" s="105" t="s">
        <v>87</v>
      </c>
      <c r="D84" s="33" t="s">
        <v>80</v>
      </c>
      <c r="E84" s="21"/>
      <c r="F84" s="117">
        <f>F79</f>
        <v>48</v>
      </c>
      <c r="G84" s="227"/>
      <c r="H84" s="40"/>
      <c r="I84" s="120"/>
      <c r="J84" s="35"/>
      <c r="K84" s="20"/>
      <c r="L84" s="40"/>
      <c r="M84" s="121"/>
    </row>
    <row r="85" spans="1:13" s="22" customFormat="1" ht="13.5" customHeight="1">
      <c r="A85" s="275"/>
      <c r="B85" s="25" t="s">
        <v>170</v>
      </c>
      <c r="C85" s="105" t="s">
        <v>528</v>
      </c>
      <c r="D85" s="20" t="s">
        <v>85</v>
      </c>
      <c r="E85" s="21">
        <f>0.0104*1.15</f>
        <v>1.1959999999999998E-2</v>
      </c>
      <c r="F85" s="97">
        <f>E85*F84</f>
        <v>0.57407999999999992</v>
      </c>
      <c r="G85" s="227"/>
      <c r="H85" s="35"/>
      <c r="I85" s="20"/>
      <c r="J85" s="35"/>
      <c r="K85" s="27"/>
      <c r="L85" s="35"/>
      <c r="M85" s="110"/>
    </row>
    <row r="86" spans="1:13" s="22" customFormat="1" ht="13.5" customHeight="1">
      <c r="A86" s="275"/>
      <c r="B86" s="25"/>
      <c r="C86" s="105" t="s">
        <v>28</v>
      </c>
      <c r="D86" s="20" t="s">
        <v>16</v>
      </c>
      <c r="E86" s="21">
        <f>0.24/1000</f>
        <v>2.3999999999999998E-4</v>
      </c>
      <c r="F86" s="97">
        <f>E86*F84</f>
        <v>1.1519999999999999E-2</v>
      </c>
      <c r="G86" s="227"/>
      <c r="H86" s="35"/>
      <c r="I86" s="20"/>
      <c r="J86" s="35"/>
      <c r="K86" s="18"/>
      <c r="L86" s="35"/>
      <c r="M86" s="110"/>
    </row>
    <row r="87" spans="1:13" s="22" customFormat="1" ht="13.5" customHeight="1">
      <c r="A87" s="275"/>
      <c r="B87" s="25" t="s">
        <v>225</v>
      </c>
      <c r="C87" s="105" t="s">
        <v>514</v>
      </c>
      <c r="D87" s="33" t="s">
        <v>80</v>
      </c>
      <c r="E87" s="106">
        <f>0.08/1000</f>
        <v>8.0000000000000007E-5</v>
      </c>
      <c r="F87" s="153">
        <f>E87*F84</f>
        <v>3.8400000000000005E-3</v>
      </c>
      <c r="G87" s="88"/>
      <c r="H87" s="35"/>
      <c r="I87" s="20"/>
      <c r="J87" s="35"/>
      <c r="K87" s="120"/>
      <c r="L87" s="35"/>
      <c r="M87" s="110"/>
    </row>
    <row r="88" spans="1:13" s="22" customFormat="1" ht="13.5" customHeight="1">
      <c r="A88" s="276"/>
      <c r="B88" s="25" t="s">
        <v>82</v>
      </c>
      <c r="C88" s="105" t="s">
        <v>89</v>
      </c>
      <c r="D88" s="20" t="s">
        <v>17</v>
      </c>
      <c r="E88" s="21"/>
      <c r="F88" s="233">
        <f>F79*2.8</f>
        <v>134.39999999999998</v>
      </c>
      <c r="G88" s="21"/>
      <c r="H88" s="35"/>
      <c r="I88" s="20"/>
      <c r="J88" s="35"/>
      <c r="K88" s="110"/>
      <c r="L88" s="40"/>
      <c r="M88" s="121"/>
    </row>
    <row r="89" spans="1:13" s="22" customFormat="1" ht="28.5" customHeight="1">
      <c r="A89" s="274" t="s">
        <v>227</v>
      </c>
      <c r="B89" s="20" t="s">
        <v>257</v>
      </c>
      <c r="C89" s="105" t="s">
        <v>258</v>
      </c>
      <c r="D89" s="20" t="s">
        <v>80</v>
      </c>
      <c r="E89" s="21"/>
      <c r="F89" s="117">
        <v>246</v>
      </c>
      <c r="G89" s="99"/>
      <c r="H89" s="121"/>
      <c r="I89" s="121"/>
      <c r="J89" s="121"/>
      <c r="K89" s="121"/>
      <c r="L89" s="121"/>
      <c r="M89" s="121"/>
    </row>
    <row r="90" spans="1:13" s="22" customFormat="1" ht="13.5" customHeight="1">
      <c r="A90" s="275"/>
      <c r="B90" s="20"/>
      <c r="C90" s="105" t="s">
        <v>19</v>
      </c>
      <c r="D90" s="20" t="s">
        <v>15</v>
      </c>
      <c r="E90" s="20">
        <f>0.15*1.15</f>
        <v>0.17249999999999999</v>
      </c>
      <c r="F90" s="97">
        <f>E90*F89</f>
        <v>42.434999999999995</v>
      </c>
      <c r="G90" s="21"/>
      <c r="H90" s="35"/>
      <c r="I90" s="110"/>
      <c r="J90" s="35"/>
      <c r="K90" s="20"/>
      <c r="L90" s="35"/>
      <c r="M90" s="110"/>
    </row>
    <row r="91" spans="1:13" s="22" customFormat="1" ht="13.5" customHeight="1">
      <c r="A91" s="275"/>
      <c r="B91" s="20" t="s">
        <v>259</v>
      </c>
      <c r="C91" s="105" t="s">
        <v>260</v>
      </c>
      <c r="D91" s="20" t="s">
        <v>20</v>
      </c>
      <c r="E91" s="20">
        <f>0.0216*1.05</f>
        <v>2.2680000000000002E-2</v>
      </c>
      <c r="F91" s="97">
        <f>E91*F89</f>
        <v>5.5792800000000007</v>
      </c>
      <c r="G91" s="21"/>
      <c r="H91" s="35"/>
      <c r="I91" s="20"/>
      <c r="J91" s="35"/>
      <c r="K91" s="20"/>
      <c r="L91" s="35"/>
      <c r="M91" s="110"/>
    </row>
    <row r="92" spans="1:13" s="22" customFormat="1" ht="13.5" customHeight="1">
      <c r="A92" s="275"/>
      <c r="B92" s="20" t="s">
        <v>261</v>
      </c>
      <c r="C92" s="105" t="s">
        <v>262</v>
      </c>
      <c r="D92" s="20" t="s">
        <v>20</v>
      </c>
      <c r="E92" s="20">
        <f>0.0273*1.05</f>
        <v>2.8665000000000003E-2</v>
      </c>
      <c r="F92" s="97">
        <f>E92*F89</f>
        <v>7.0515900000000009</v>
      </c>
      <c r="G92" s="21"/>
      <c r="H92" s="35"/>
      <c r="I92" s="20"/>
      <c r="J92" s="35"/>
      <c r="K92" s="110"/>
      <c r="L92" s="35"/>
      <c r="M92" s="110"/>
    </row>
    <row r="93" spans="1:13" s="22" customFormat="1" ht="13.5" customHeight="1">
      <c r="A93" s="275"/>
      <c r="B93" s="20" t="s">
        <v>263</v>
      </c>
      <c r="C93" s="105" t="s">
        <v>264</v>
      </c>
      <c r="D93" s="20" t="s">
        <v>20</v>
      </c>
      <c r="E93" s="20">
        <f>0.0097*1.05</f>
        <v>1.0185000000000001E-2</v>
      </c>
      <c r="F93" s="97">
        <f>E93*F89</f>
        <v>2.5055100000000001</v>
      </c>
      <c r="G93" s="21"/>
      <c r="H93" s="35"/>
      <c r="I93" s="20"/>
      <c r="J93" s="35"/>
      <c r="K93" s="20"/>
      <c r="L93" s="35"/>
      <c r="M93" s="110"/>
    </row>
    <row r="94" spans="1:13" s="22" customFormat="1" ht="13.5" customHeight="1">
      <c r="A94" s="275"/>
      <c r="B94" s="20" t="s">
        <v>225</v>
      </c>
      <c r="C94" s="105" t="s">
        <v>124</v>
      </c>
      <c r="D94" s="20" t="s">
        <v>80</v>
      </c>
      <c r="E94" s="20">
        <v>1.22</v>
      </c>
      <c r="F94" s="97">
        <f>E94*F89</f>
        <v>300.12</v>
      </c>
      <c r="G94" s="120"/>
      <c r="H94" s="35"/>
      <c r="I94" s="20"/>
      <c r="J94" s="35"/>
      <c r="K94" s="26"/>
      <c r="L94" s="26"/>
      <c r="M94" s="26"/>
    </row>
    <row r="95" spans="1:13" s="22" customFormat="1" ht="13.5" customHeight="1">
      <c r="A95" s="276"/>
      <c r="B95" s="20" t="s">
        <v>453</v>
      </c>
      <c r="C95" s="105" t="s">
        <v>266</v>
      </c>
      <c r="D95" s="20" t="s">
        <v>80</v>
      </c>
      <c r="E95" s="20">
        <v>7.0000000000000007E-2</v>
      </c>
      <c r="F95" s="97">
        <f>E95*F89</f>
        <v>17.220000000000002</v>
      </c>
      <c r="G95" s="110"/>
      <c r="H95" s="35"/>
      <c r="I95" s="20"/>
      <c r="J95" s="35"/>
      <c r="K95" s="20"/>
      <c r="L95" s="35"/>
      <c r="M95" s="110"/>
    </row>
    <row r="96" spans="1:13" s="22" customFormat="1" ht="45.75" customHeight="1">
      <c r="A96" s="274" t="s">
        <v>243</v>
      </c>
      <c r="B96" s="172" t="s">
        <v>267</v>
      </c>
      <c r="C96" s="105" t="s">
        <v>268</v>
      </c>
      <c r="D96" s="149" t="s">
        <v>24</v>
      </c>
      <c r="E96" s="108"/>
      <c r="F96" s="117">
        <v>959</v>
      </c>
      <c r="G96" s="155"/>
      <c r="H96" s="40"/>
      <c r="I96" s="40"/>
      <c r="J96" s="40"/>
      <c r="K96" s="40"/>
      <c r="L96" s="40"/>
      <c r="M96" s="40"/>
    </row>
    <row r="97" spans="1:13" s="22" customFormat="1" ht="13.5" customHeight="1">
      <c r="A97" s="275"/>
      <c r="B97" s="15"/>
      <c r="C97" s="105" t="s">
        <v>19</v>
      </c>
      <c r="D97" s="20" t="s">
        <v>15</v>
      </c>
      <c r="E97" s="20">
        <f>(0.033+0.0286)*1.15</f>
        <v>7.084E-2</v>
      </c>
      <c r="F97" s="97">
        <f>E97*F96</f>
        <v>67.935559999999995</v>
      </c>
      <c r="G97" s="21"/>
      <c r="H97" s="35"/>
      <c r="I97" s="110"/>
      <c r="J97" s="35"/>
      <c r="K97" s="20"/>
      <c r="L97" s="35"/>
      <c r="M97" s="110"/>
    </row>
    <row r="98" spans="1:13" s="22" customFormat="1" ht="13.5" customHeight="1">
      <c r="A98" s="275"/>
      <c r="B98" s="15" t="s">
        <v>259</v>
      </c>
      <c r="C98" s="105" t="s">
        <v>260</v>
      </c>
      <c r="D98" s="20" t="s">
        <v>20</v>
      </c>
      <c r="E98" s="20">
        <f>(1.91+0.42)/1000*1.05</f>
        <v>2.4465000000000003E-3</v>
      </c>
      <c r="F98" s="97">
        <f>E98*F96</f>
        <v>2.3461935000000005</v>
      </c>
      <c r="G98" s="21"/>
      <c r="H98" s="35"/>
      <c r="I98" s="20"/>
      <c r="J98" s="35"/>
      <c r="K98" s="20"/>
      <c r="L98" s="35"/>
      <c r="M98" s="110"/>
    </row>
    <row r="99" spans="1:13" s="22" customFormat="1" ht="13.5" customHeight="1">
      <c r="A99" s="275"/>
      <c r="B99" s="15" t="s">
        <v>102</v>
      </c>
      <c r="C99" s="105" t="s">
        <v>121</v>
      </c>
      <c r="D99" s="20" t="s">
        <v>20</v>
      </c>
      <c r="E99" s="20">
        <f>0.00258*1.05</f>
        <v>2.709E-3</v>
      </c>
      <c r="F99" s="97">
        <f>E99*F96</f>
        <v>2.597931</v>
      </c>
      <c r="G99" s="21"/>
      <c r="H99" s="35"/>
      <c r="I99" s="20"/>
      <c r="J99" s="35"/>
      <c r="K99" s="193"/>
      <c r="L99" s="35"/>
      <c r="M99" s="110"/>
    </row>
    <row r="100" spans="1:13" s="22" customFormat="1" ht="13.5" customHeight="1">
      <c r="A100" s="275"/>
      <c r="B100" s="15" t="s">
        <v>269</v>
      </c>
      <c r="C100" s="105" t="s">
        <v>270</v>
      </c>
      <c r="D100" s="20" t="s">
        <v>20</v>
      </c>
      <c r="E100" s="20">
        <f>(0.0112+0.0076)*1.05</f>
        <v>1.9740000000000001E-2</v>
      </c>
      <c r="F100" s="97">
        <f>E100*F96</f>
        <v>18.93066</v>
      </c>
      <c r="G100" s="21"/>
      <c r="H100" s="35"/>
      <c r="I100" s="20"/>
      <c r="J100" s="35"/>
      <c r="K100" s="20"/>
      <c r="L100" s="35"/>
      <c r="M100" s="110"/>
    </row>
    <row r="101" spans="1:13" s="22" customFormat="1" ht="13.5" customHeight="1">
      <c r="A101" s="275"/>
      <c r="B101" s="15" t="s">
        <v>271</v>
      </c>
      <c r="C101" s="105" t="s">
        <v>272</v>
      </c>
      <c r="D101" s="20" t="s">
        <v>20</v>
      </c>
      <c r="E101" s="20">
        <f>(0.0248+0.0151)*1.05</f>
        <v>4.1895000000000002E-2</v>
      </c>
      <c r="F101" s="97">
        <f>E101*F96</f>
        <v>40.177305000000004</v>
      </c>
      <c r="G101" s="21"/>
      <c r="H101" s="35"/>
      <c r="I101" s="20"/>
      <c r="J101" s="35"/>
      <c r="K101" s="110"/>
      <c r="L101" s="35"/>
      <c r="M101" s="110"/>
    </row>
    <row r="102" spans="1:13" s="22" customFormat="1" ht="13.5" customHeight="1">
      <c r="A102" s="275"/>
      <c r="B102" s="15" t="s">
        <v>263</v>
      </c>
      <c r="C102" s="105" t="s">
        <v>264</v>
      </c>
      <c r="D102" s="20" t="s">
        <v>20</v>
      </c>
      <c r="E102" s="20">
        <f>(0.00414+0.00276)*1.05</f>
        <v>7.2450000000000006E-3</v>
      </c>
      <c r="F102" s="97">
        <f>E102*F96</f>
        <v>6.9479550000000003</v>
      </c>
      <c r="G102" s="21"/>
      <c r="H102" s="35"/>
      <c r="I102" s="20"/>
      <c r="J102" s="35"/>
      <c r="K102" s="20"/>
      <c r="L102" s="35"/>
      <c r="M102" s="110"/>
    </row>
    <row r="103" spans="1:13" s="22" customFormat="1" ht="13.5" customHeight="1">
      <c r="A103" s="275"/>
      <c r="B103" s="15" t="s">
        <v>273</v>
      </c>
      <c r="C103" s="105" t="s">
        <v>274</v>
      </c>
      <c r="D103" s="20" t="s">
        <v>20</v>
      </c>
      <c r="E103" s="20">
        <f>0.00053*1.05</f>
        <v>5.5650000000000003E-4</v>
      </c>
      <c r="F103" s="97">
        <f>E103*F96</f>
        <v>0.53368349999999998</v>
      </c>
      <c r="G103" s="21"/>
      <c r="H103" s="35"/>
      <c r="I103" s="20"/>
      <c r="J103" s="35"/>
      <c r="K103" s="20"/>
      <c r="L103" s="35"/>
      <c r="M103" s="110"/>
    </row>
    <row r="104" spans="1:13" s="22" customFormat="1" ht="13.5" customHeight="1">
      <c r="A104" s="275"/>
      <c r="B104" s="15" t="s">
        <v>225</v>
      </c>
      <c r="C104" s="105" t="s">
        <v>275</v>
      </c>
      <c r="D104" s="20" t="s">
        <v>80</v>
      </c>
      <c r="E104" s="20">
        <f>0.0126*20</f>
        <v>0.252</v>
      </c>
      <c r="F104" s="97">
        <f>E104*F96</f>
        <v>241.66800000000001</v>
      </c>
      <c r="G104" s="88"/>
      <c r="H104" s="35"/>
      <c r="I104" s="20"/>
      <c r="J104" s="35"/>
      <c r="K104" s="26"/>
      <c r="L104" s="35"/>
      <c r="M104" s="110"/>
    </row>
    <row r="105" spans="1:13" s="22" customFormat="1" ht="13.5" customHeight="1">
      <c r="A105" s="276"/>
      <c r="B105" s="15" t="s">
        <v>453</v>
      </c>
      <c r="C105" s="105" t="s">
        <v>266</v>
      </c>
      <c r="D105" s="20" t="s">
        <v>80</v>
      </c>
      <c r="E105" s="110">
        <v>0.05</v>
      </c>
      <c r="F105" s="97">
        <f>E105*F96</f>
        <v>47.95</v>
      </c>
      <c r="G105" s="35"/>
      <c r="H105" s="35"/>
      <c r="I105" s="20"/>
      <c r="J105" s="35"/>
      <c r="K105" s="20"/>
      <c r="L105" s="35"/>
      <c r="M105" s="110"/>
    </row>
    <row r="106" spans="1:13" s="22" customFormat="1" ht="30.75" customHeight="1">
      <c r="A106" s="274" t="s">
        <v>254</v>
      </c>
      <c r="B106" s="20" t="s">
        <v>276</v>
      </c>
      <c r="C106" s="105" t="s">
        <v>277</v>
      </c>
      <c r="D106" s="20" t="s">
        <v>24</v>
      </c>
      <c r="E106" s="37"/>
      <c r="F106" s="117">
        <v>794</v>
      </c>
      <c r="G106" s="37"/>
      <c r="H106" s="40"/>
      <c r="I106" s="37"/>
      <c r="J106" s="40"/>
      <c r="K106" s="194"/>
      <c r="L106" s="40"/>
      <c r="M106" s="40"/>
    </row>
    <row r="107" spans="1:13" s="22" customFormat="1" ht="13.5" customHeight="1">
      <c r="A107" s="275"/>
      <c r="B107" s="25"/>
      <c r="C107" s="105" t="s">
        <v>19</v>
      </c>
      <c r="D107" s="20" t="s">
        <v>15</v>
      </c>
      <c r="E107" s="20">
        <f>0.182*1.15</f>
        <v>0.20929999999999999</v>
      </c>
      <c r="F107" s="97">
        <f>E107*F106</f>
        <v>166.18419999999998</v>
      </c>
      <c r="G107" s="21"/>
      <c r="H107" s="35"/>
      <c r="I107" s="110"/>
      <c r="J107" s="35"/>
      <c r="K107" s="20"/>
      <c r="L107" s="35"/>
      <c r="M107" s="110"/>
    </row>
    <row r="108" spans="1:13" s="22" customFormat="1" ht="13.5" customHeight="1">
      <c r="A108" s="275"/>
      <c r="B108" s="195"/>
      <c r="C108" s="98" t="s">
        <v>278</v>
      </c>
      <c r="D108" s="20" t="s">
        <v>20</v>
      </c>
      <c r="E108" s="37">
        <f>6.6/1000*1.05</f>
        <v>6.9300000000000004E-3</v>
      </c>
      <c r="F108" s="97">
        <f>E108*F106</f>
        <v>5.5024200000000008</v>
      </c>
      <c r="G108" s="99"/>
      <c r="H108" s="107"/>
      <c r="I108" s="35"/>
      <c r="J108" s="40"/>
      <c r="K108" s="26"/>
      <c r="L108" s="35"/>
      <c r="M108" s="35"/>
    </row>
    <row r="109" spans="1:13" s="22" customFormat="1" ht="13.5" customHeight="1">
      <c r="A109" s="275"/>
      <c r="B109" s="195"/>
      <c r="C109" s="105" t="s">
        <v>279</v>
      </c>
      <c r="D109" s="20" t="s">
        <v>20</v>
      </c>
      <c r="E109" s="37">
        <f>6.6/1000*1.05</f>
        <v>6.9300000000000004E-3</v>
      </c>
      <c r="F109" s="240">
        <f>E109*F106</f>
        <v>5.5024200000000008</v>
      </c>
      <c r="G109" s="196"/>
      <c r="H109" s="196"/>
      <c r="I109" s="197"/>
      <c r="J109" s="197"/>
      <c r="K109" s="197"/>
      <c r="L109" s="197"/>
      <c r="M109" s="197"/>
    </row>
    <row r="110" spans="1:13" s="22" customFormat="1" ht="13.5" customHeight="1">
      <c r="A110" s="275"/>
      <c r="B110" s="195"/>
      <c r="C110" s="105" t="s">
        <v>280</v>
      </c>
      <c r="D110" s="20" t="s">
        <v>20</v>
      </c>
      <c r="E110" s="198">
        <f>0.0066*1.05</f>
        <v>6.9300000000000004E-3</v>
      </c>
      <c r="F110" s="240">
        <f>E110*F106</f>
        <v>5.5024200000000008</v>
      </c>
      <c r="G110" s="196"/>
      <c r="H110" s="196"/>
      <c r="I110" s="197"/>
      <c r="J110" s="197"/>
      <c r="K110" s="197"/>
      <c r="L110" s="197"/>
      <c r="M110" s="197"/>
    </row>
    <row r="111" spans="1:13" s="22" customFormat="1" ht="13.5" customHeight="1">
      <c r="A111" s="275"/>
      <c r="B111" s="106"/>
      <c r="C111" s="105" t="s">
        <v>281</v>
      </c>
      <c r="D111" s="20" t="s">
        <v>20</v>
      </c>
      <c r="E111" s="199">
        <f>0.0066*1.05</f>
        <v>6.9300000000000004E-3</v>
      </c>
      <c r="F111" s="240">
        <f>E111*F106</f>
        <v>5.5024200000000008</v>
      </c>
      <c r="G111" s="196"/>
      <c r="H111" s="196"/>
      <c r="I111" s="197"/>
      <c r="J111" s="197"/>
      <c r="K111" s="197"/>
      <c r="L111" s="197"/>
      <c r="M111" s="197"/>
    </row>
    <row r="112" spans="1:13" s="22" customFormat="1" ht="13.5" customHeight="1">
      <c r="A112" s="275"/>
      <c r="B112" s="25" t="s">
        <v>141</v>
      </c>
      <c r="C112" s="105" t="s">
        <v>282</v>
      </c>
      <c r="D112" s="20" t="s">
        <v>20</v>
      </c>
      <c r="E112" s="165">
        <f>0.0186*1.05</f>
        <v>1.9529999999999999E-2</v>
      </c>
      <c r="F112" s="97">
        <f>E112*F106</f>
        <v>15.506819999999999</v>
      </c>
      <c r="G112" s="99"/>
      <c r="H112" s="107"/>
      <c r="I112" s="35"/>
      <c r="J112" s="35"/>
      <c r="K112" s="200"/>
      <c r="L112" s="39"/>
      <c r="M112" s="35"/>
    </row>
    <row r="113" spans="1:13" s="22" customFormat="1" ht="13.5" customHeight="1">
      <c r="A113" s="275"/>
      <c r="B113" s="25" t="s">
        <v>283</v>
      </c>
      <c r="C113" s="105" t="s">
        <v>284</v>
      </c>
      <c r="D113" s="20" t="s">
        <v>20</v>
      </c>
      <c r="E113" s="201">
        <f>0.0067*1.05</f>
        <v>7.0350000000000005E-3</v>
      </c>
      <c r="F113" s="97">
        <f>E113*F106</f>
        <v>5.5857900000000003</v>
      </c>
      <c r="G113" s="37"/>
      <c r="H113" s="37"/>
      <c r="I113" s="35"/>
      <c r="J113" s="40"/>
      <c r="K113" s="35"/>
      <c r="L113" s="39"/>
      <c r="M113" s="35"/>
    </row>
    <row r="114" spans="1:13" s="22" customFormat="1" ht="13.5" customHeight="1">
      <c r="A114" s="275"/>
      <c r="B114" s="69"/>
      <c r="C114" s="151" t="s">
        <v>28</v>
      </c>
      <c r="D114" s="33" t="s">
        <v>16</v>
      </c>
      <c r="E114" s="33">
        <v>2.29E-2</v>
      </c>
      <c r="F114" s="114">
        <f>E114*F106</f>
        <v>18.182600000000001</v>
      </c>
      <c r="G114" s="26"/>
      <c r="H114" s="27"/>
      <c r="I114" s="26"/>
      <c r="J114" s="35"/>
      <c r="K114" s="88"/>
      <c r="L114" s="39"/>
      <c r="M114" s="35"/>
    </row>
    <row r="115" spans="1:13" s="22" customFormat="1" ht="13.5" customHeight="1">
      <c r="A115" s="275"/>
      <c r="B115" s="25" t="s">
        <v>225</v>
      </c>
      <c r="C115" s="105" t="s">
        <v>116</v>
      </c>
      <c r="D115" s="20" t="s">
        <v>80</v>
      </c>
      <c r="E115" s="106">
        <v>0.184</v>
      </c>
      <c r="F115" s="97">
        <f>E115*F106</f>
        <v>146.096</v>
      </c>
      <c r="G115" s="88"/>
      <c r="H115" s="35"/>
      <c r="I115" s="35"/>
      <c r="J115" s="104"/>
      <c r="K115" s="26"/>
      <c r="L115" s="26"/>
      <c r="M115" s="26"/>
    </row>
    <row r="116" spans="1:13" s="22" customFormat="1" ht="13.5" customHeight="1">
      <c r="A116" s="276"/>
      <c r="B116" s="25"/>
      <c r="C116" s="105" t="s">
        <v>285</v>
      </c>
      <c r="D116" s="20" t="s">
        <v>17</v>
      </c>
      <c r="E116" s="202">
        <v>1.1E-4</v>
      </c>
      <c r="F116" s="97">
        <f>E116*F106</f>
        <v>8.7340000000000001E-2</v>
      </c>
      <c r="G116" s="88"/>
      <c r="H116" s="35"/>
      <c r="I116" s="35"/>
      <c r="J116" s="35"/>
      <c r="K116" s="101"/>
      <c r="L116" s="40"/>
      <c r="M116" s="35"/>
    </row>
    <row r="117" spans="1:13" s="22" customFormat="1" ht="13.5" customHeight="1">
      <c r="A117" s="295"/>
      <c r="B117" s="25" t="s">
        <v>454</v>
      </c>
      <c r="C117" s="105" t="s">
        <v>286</v>
      </c>
      <c r="D117" s="20" t="s">
        <v>17</v>
      </c>
      <c r="E117" s="165">
        <v>5.0000000000000001E-4</v>
      </c>
      <c r="F117" s="97">
        <f>E117*F106</f>
        <v>0.39700000000000002</v>
      </c>
      <c r="G117" s="88"/>
      <c r="H117" s="35"/>
      <c r="I117" s="35"/>
      <c r="J117" s="35"/>
      <c r="K117" s="200"/>
      <c r="L117" s="40"/>
      <c r="M117" s="35"/>
    </row>
    <row r="118" spans="1:13" s="22" customFormat="1" ht="13.5" customHeight="1">
      <c r="A118" s="296"/>
      <c r="B118" s="20"/>
      <c r="C118" s="105" t="s">
        <v>23</v>
      </c>
      <c r="D118" s="149" t="s">
        <v>16</v>
      </c>
      <c r="E118" s="37">
        <v>1.8499999999999999E-2</v>
      </c>
      <c r="F118" s="97">
        <f>E118*F106</f>
        <v>14.689</v>
      </c>
      <c r="G118" s="88"/>
      <c r="H118" s="35"/>
      <c r="I118" s="35"/>
      <c r="J118" s="40"/>
      <c r="K118" s="194"/>
      <c r="L118" s="194"/>
      <c r="M118" s="35"/>
    </row>
    <row r="119" spans="1:13" s="22" customFormat="1" ht="35.25" customHeight="1">
      <c r="A119" s="274" t="s">
        <v>255</v>
      </c>
      <c r="B119" s="20" t="s">
        <v>287</v>
      </c>
      <c r="C119" s="105" t="s">
        <v>288</v>
      </c>
      <c r="D119" s="20" t="s">
        <v>24</v>
      </c>
      <c r="E119" s="37"/>
      <c r="F119" s="117">
        <f>F106</f>
        <v>794</v>
      </c>
      <c r="G119" s="37"/>
      <c r="H119" s="40"/>
      <c r="I119" s="40"/>
      <c r="J119" s="40"/>
      <c r="K119" s="194"/>
      <c r="L119" s="194"/>
      <c r="M119" s="40"/>
    </row>
    <row r="120" spans="1:13" s="22" customFormat="1" ht="13.5" customHeight="1">
      <c r="A120" s="275"/>
      <c r="B120" s="20"/>
      <c r="C120" s="105" t="s">
        <v>19</v>
      </c>
      <c r="D120" s="20" t="s">
        <v>15</v>
      </c>
      <c r="E120" s="21">
        <f>0.0117*1.15</f>
        <v>1.3455E-2</v>
      </c>
      <c r="F120" s="97">
        <f>E120*F119</f>
        <v>10.68327</v>
      </c>
      <c r="G120" s="21"/>
      <c r="H120" s="35"/>
      <c r="I120" s="110"/>
      <c r="J120" s="35"/>
      <c r="K120" s="20"/>
      <c r="L120" s="35"/>
      <c r="M120" s="110"/>
    </row>
    <row r="121" spans="1:13" s="22" customFormat="1" ht="29.25" customHeight="1">
      <c r="A121" s="276"/>
      <c r="B121" s="25" t="s">
        <v>455</v>
      </c>
      <c r="C121" s="105" t="s">
        <v>289</v>
      </c>
      <c r="D121" s="149" t="s">
        <v>77</v>
      </c>
      <c r="E121" s="66"/>
      <c r="F121" s="117">
        <f>F119*10</f>
        <v>7940</v>
      </c>
      <c r="G121" s="37"/>
      <c r="H121" s="35"/>
      <c r="I121" s="35"/>
      <c r="J121" s="40"/>
      <c r="K121" s="194"/>
      <c r="L121" s="194"/>
      <c r="M121" s="35"/>
    </row>
    <row r="122" spans="1:13" s="22" customFormat="1" ht="24" customHeight="1">
      <c r="A122" s="274" t="s">
        <v>256</v>
      </c>
      <c r="B122" s="20" t="s">
        <v>290</v>
      </c>
      <c r="C122" s="105" t="s">
        <v>291</v>
      </c>
      <c r="D122" s="149" t="s">
        <v>292</v>
      </c>
      <c r="E122" s="66"/>
      <c r="F122" s="117">
        <f>185+159</f>
        <v>344</v>
      </c>
      <c r="G122" s="37"/>
      <c r="H122" s="40"/>
      <c r="I122" s="40"/>
      <c r="J122" s="40"/>
      <c r="K122" s="194"/>
      <c r="L122" s="40"/>
      <c r="M122" s="40"/>
    </row>
    <row r="123" spans="1:13" s="22" customFormat="1" ht="13.5" customHeight="1">
      <c r="A123" s="275"/>
      <c r="B123" s="20"/>
      <c r="C123" s="105" t="s">
        <v>19</v>
      </c>
      <c r="D123" s="20" t="s">
        <v>15</v>
      </c>
      <c r="E123" s="20">
        <f>0.077*1.15</f>
        <v>8.854999999999999E-2</v>
      </c>
      <c r="F123" s="97">
        <f>E123*F122</f>
        <v>30.461199999999998</v>
      </c>
      <c r="G123" s="21"/>
      <c r="H123" s="35"/>
      <c r="I123" s="110"/>
      <c r="J123" s="35"/>
      <c r="K123" s="20"/>
      <c r="L123" s="35"/>
      <c r="M123" s="110"/>
    </row>
    <row r="124" spans="1:13" s="22" customFormat="1" ht="13.5" customHeight="1">
      <c r="A124" s="275"/>
      <c r="B124" s="20"/>
      <c r="C124" s="105" t="s">
        <v>293</v>
      </c>
      <c r="D124" s="20" t="s">
        <v>20</v>
      </c>
      <c r="E124" s="20">
        <f>0.194*1.05</f>
        <v>0.20370000000000002</v>
      </c>
      <c r="F124" s="97">
        <f>E124*F122</f>
        <v>70.072800000000001</v>
      </c>
      <c r="G124" s="21"/>
      <c r="H124" s="35"/>
      <c r="I124" s="120"/>
      <c r="J124" s="35"/>
      <c r="K124" s="120"/>
      <c r="L124" s="35"/>
      <c r="M124" s="110"/>
    </row>
    <row r="125" spans="1:13" s="22" customFormat="1" ht="13.5" customHeight="1">
      <c r="A125" s="275"/>
      <c r="B125" s="20" t="s">
        <v>294</v>
      </c>
      <c r="C125" s="105" t="s">
        <v>295</v>
      </c>
      <c r="D125" s="20" t="s">
        <v>20</v>
      </c>
      <c r="E125" s="37">
        <f>0.0167*1.05</f>
        <v>1.7535000000000002E-2</v>
      </c>
      <c r="F125" s="97">
        <f>E125*F122</f>
        <v>6.0320400000000003</v>
      </c>
      <c r="G125" s="37"/>
      <c r="H125" s="35"/>
      <c r="I125" s="37"/>
      <c r="J125" s="40"/>
      <c r="K125" s="37"/>
      <c r="L125" s="35"/>
      <c r="M125" s="35"/>
    </row>
    <row r="126" spans="1:13" s="22" customFormat="1" ht="13.5" customHeight="1">
      <c r="A126" s="275"/>
      <c r="B126" s="25" t="s">
        <v>283</v>
      </c>
      <c r="C126" s="105" t="s">
        <v>296</v>
      </c>
      <c r="D126" s="20" t="s">
        <v>20</v>
      </c>
      <c r="E126" s="201">
        <f>0.0242*1.05</f>
        <v>2.5410000000000002E-2</v>
      </c>
      <c r="F126" s="97">
        <f>E126*F122</f>
        <v>8.7410399999999999</v>
      </c>
      <c r="G126" s="37"/>
      <c r="H126" s="37"/>
      <c r="I126" s="37"/>
      <c r="J126" s="40"/>
      <c r="K126" s="35"/>
      <c r="L126" s="39"/>
      <c r="M126" s="35"/>
    </row>
    <row r="127" spans="1:13" s="22" customFormat="1" ht="13.5" customHeight="1">
      <c r="A127" s="275"/>
      <c r="B127" s="25" t="s">
        <v>263</v>
      </c>
      <c r="C127" s="105" t="s">
        <v>400</v>
      </c>
      <c r="D127" s="20" t="s">
        <v>20</v>
      </c>
      <c r="E127" s="20">
        <f>0.0088*1.05</f>
        <v>9.2400000000000017E-3</v>
      </c>
      <c r="F127" s="97">
        <f>E127*F122</f>
        <v>3.1785600000000005</v>
      </c>
      <c r="G127" s="21"/>
      <c r="H127" s="35"/>
      <c r="I127" s="20"/>
      <c r="J127" s="35"/>
      <c r="K127" s="110"/>
      <c r="L127" s="35"/>
      <c r="M127" s="110"/>
    </row>
    <row r="128" spans="1:13" s="22" customFormat="1" ht="13.5" customHeight="1">
      <c r="A128" s="275"/>
      <c r="B128" s="20"/>
      <c r="C128" s="151" t="s">
        <v>28</v>
      </c>
      <c r="D128" s="33" t="s">
        <v>16</v>
      </c>
      <c r="E128" s="33">
        <v>6.3700000000000007E-2</v>
      </c>
      <c r="F128" s="114">
        <f>E128*F122</f>
        <v>21.912800000000001</v>
      </c>
      <c r="G128" s="26"/>
      <c r="H128" s="27"/>
      <c r="I128" s="18"/>
      <c r="J128" s="35"/>
      <c r="K128" s="88"/>
      <c r="L128" s="39"/>
      <c r="M128" s="35"/>
    </row>
    <row r="129" spans="1:13" s="22" customFormat="1" ht="28.5" customHeight="1">
      <c r="A129" s="275"/>
      <c r="B129" s="25" t="s">
        <v>493</v>
      </c>
      <c r="C129" s="105" t="s">
        <v>302</v>
      </c>
      <c r="D129" s="149" t="s">
        <v>77</v>
      </c>
      <c r="E129" s="37"/>
      <c r="F129" s="117">
        <v>185</v>
      </c>
      <c r="G129" s="37"/>
      <c r="H129" s="35"/>
      <c r="I129" s="37"/>
      <c r="J129" s="40"/>
      <c r="K129" s="194"/>
      <c r="L129" s="194"/>
      <c r="M129" s="35"/>
    </row>
    <row r="130" spans="1:13" s="22" customFormat="1" ht="13.5" customHeight="1">
      <c r="A130" s="275"/>
      <c r="B130" s="25" t="s">
        <v>298</v>
      </c>
      <c r="C130" s="105" t="s">
        <v>299</v>
      </c>
      <c r="D130" s="149" t="s">
        <v>77</v>
      </c>
      <c r="E130" s="37"/>
      <c r="F130" s="117">
        <v>56</v>
      </c>
      <c r="G130" s="35"/>
      <c r="H130" s="88"/>
      <c r="I130" s="37"/>
      <c r="J130" s="40"/>
      <c r="K130" s="37"/>
      <c r="L130" s="37"/>
      <c r="M130" s="35"/>
    </row>
    <row r="131" spans="1:13" s="22" customFormat="1" ht="13.5" customHeight="1">
      <c r="A131" s="275"/>
      <c r="B131" s="25" t="s">
        <v>300</v>
      </c>
      <c r="C131" s="105" t="s">
        <v>301</v>
      </c>
      <c r="D131" s="149" t="s">
        <v>81</v>
      </c>
      <c r="E131" s="37"/>
      <c r="F131" s="117">
        <v>178</v>
      </c>
      <c r="G131" s="37"/>
      <c r="H131" s="35"/>
      <c r="I131" s="37"/>
      <c r="J131" s="40"/>
      <c r="K131" s="37"/>
      <c r="L131" s="37"/>
      <c r="M131" s="35"/>
    </row>
    <row r="132" spans="1:13" s="22" customFormat="1" ht="13.5" customHeight="1">
      <c r="A132" s="275"/>
      <c r="B132" s="20" t="s">
        <v>456</v>
      </c>
      <c r="C132" s="105" t="s">
        <v>266</v>
      </c>
      <c r="D132" s="20" t="s">
        <v>80</v>
      </c>
      <c r="E132" s="37">
        <v>6.2E-2</v>
      </c>
      <c r="F132" s="97">
        <f>E132*F122</f>
        <v>21.327999999999999</v>
      </c>
      <c r="G132" s="37"/>
      <c r="H132" s="35"/>
      <c r="I132" s="37"/>
      <c r="J132" s="40"/>
      <c r="K132" s="37"/>
      <c r="L132" s="37"/>
      <c r="M132" s="35"/>
    </row>
    <row r="133" spans="1:13" s="22" customFormat="1" ht="13.5" customHeight="1">
      <c r="A133" s="276"/>
      <c r="B133" s="20"/>
      <c r="C133" s="105" t="s">
        <v>23</v>
      </c>
      <c r="D133" s="149" t="s">
        <v>16</v>
      </c>
      <c r="E133" s="37">
        <v>1.78E-2</v>
      </c>
      <c r="F133" s="97">
        <f>E133*F122</f>
        <v>6.1231999999999998</v>
      </c>
      <c r="G133" s="88"/>
      <c r="H133" s="35"/>
      <c r="I133" s="37"/>
      <c r="J133" s="40"/>
      <c r="K133" s="194"/>
      <c r="L133" s="194"/>
      <c r="M133" s="35"/>
    </row>
    <row r="134" spans="1:13" s="22" customFormat="1" ht="38.25" customHeight="1">
      <c r="A134" s="274" t="s">
        <v>433</v>
      </c>
      <c r="B134" s="20" t="s">
        <v>257</v>
      </c>
      <c r="C134" s="105" t="s">
        <v>306</v>
      </c>
      <c r="D134" s="20" t="s">
        <v>80</v>
      </c>
      <c r="E134" s="21"/>
      <c r="F134" s="117">
        <v>76</v>
      </c>
      <c r="G134" s="99"/>
      <c r="H134" s="121"/>
      <c r="I134" s="121"/>
      <c r="J134" s="121"/>
      <c r="K134" s="121"/>
      <c r="L134" s="121"/>
      <c r="M134" s="121"/>
    </row>
    <row r="135" spans="1:13" s="22" customFormat="1" ht="13.5" customHeight="1">
      <c r="A135" s="275"/>
      <c r="B135" s="20"/>
      <c r="C135" s="105" t="s">
        <v>19</v>
      </c>
      <c r="D135" s="20" t="s">
        <v>15</v>
      </c>
      <c r="E135" s="20">
        <f>0.15*1.15</f>
        <v>0.17249999999999999</v>
      </c>
      <c r="F135" s="97">
        <f>E135*F134</f>
        <v>13.11</v>
      </c>
      <c r="G135" s="21"/>
      <c r="H135" s="35"/>
      <c r="I135" s="110"/>
      <c r="J135" s="35"/>
      <c r="K135" s="20"/>
      <c r="L135" s="35"/>
      <c r="M135" s="110"/>
    </row>
    <row r="136" spans="1:13" s="22" customFormat="1" ht="13.5" customHeight="1">
      <c r="A136" s="275"/>
      <c r="B136" s="20" t="s">
        <v>259</v>
      </c>
      <c r="C136" s="105" t="s">
        <v>303</v>
      </c>
      <c r="D136" s="20" t="s">
        <v>20</v>
      </c>
      <c r="E136" s="20">
        <f>0.0216*1.05</f>
        <v>2.2680000000000002E-2</v>
      </c>
      <c r="F136" s="97">
        <f>E136*F134</f>
        <v>1.7236800000000001</v>
      </c>
      <c r="G136" s="21"/>
      <c r="H136" s="35"/>
      <c r="I136" s="20"/>
      <c r="J136" s="35"/>
      <c r="K136" s="20"/>
      <c r="L136" s="35"/>
      <c r="M136" s="110"/>
    </row>
    <row r="137" spans="1:13" s="22" customFormat="1" ht="13.5" customHeight="1">
      <c r="A137" s="275"/>
      <c r="B137" s="20" t="s">
        <v>261</v>
      </c>
      <c r="C137" s="105" t="s">
        <v>304</v>
      </c>
      <c r="D137" s="20" t="s">
        <v>20</v>
      </c>
      <c r="E137" s="20">
        <f>0.0273*1.05</f>
        <v>2.8665000000000003E-2</v>
      </c>
      <c r="F137" s="97">
        <f>E137*F134</f>
        <v>2.1785400000000004</v>
      </c>
      <c r="G137" s="21"/>
      <c r="H137" s="35"/>
      <c r="I137" s="20"/>
      <c r="J137" s="35"/>
      <c r="K137" s="110"/>
      <c r="L137" s="35"/>
      <c r="M137" s="110"/>
    </row>
    <row r="138" spans="1:13" s="22" customFormat="1" ht="13.5" customHeight="1">
      <c r="A138" s="275"/>
      <c r="B138" s="20" t="s">
        <v>263</v>
      </c>
      <c r="C138" s="105" t="s">
        <v>305</v>
      </c>
      <c r="D138" s="20" t="s">
        <v>20</v>
      </c>
      <c r="E138" s="20">
        <f>0.0097*1.05</f>
        <v>1.0185000000000001E-2</v>
      </c>
      <c r="F138" s="97">
        <f>E138*F134</f>
        <v>0.77406000000000008</v>
      </c>
      <c r="G138" s="21"/>
      <c r="H138" s="35"/>
      <c r="I138" s="20"/>
      <c r="J138" s="35"/>
      <c r="K138" s="20"/>
      <c r="L138" s="35"/>
      <c r="M138" s="110"/>
    </row>
    <row r="139" spans="1:13" s="22" customFormat="1" ht="13.5" customHeight="1">
      <c r="A139" s="275"/>
      <c r="B139" s="20" t="s">
        <v>225</v>
      </c>
      <c r="C139" s="105" t="s">
        <v>124</v>
      </c>
      <c r="D139" s="20" t="s">
        <v>80</v>
      </c>
      <c r="E139" s="37">
        <v>1.22</v>
      </c>
      <c r="F139" s="97">
        <f>E139*F134</f>
        <v>92.72</v>
      </c>
      <c r="G139" s="120"/>
      <c r="H139" s="35"/>
      <c r="I139" s="20"/>
      <c r="J139" s="35"/>
      <c r="K139" s="26"/>
      <c r="L139" s="26"/>
      <c r="M139" s="26"/>
    </row>
    <row r="140" spans="1:13" s="22" customFormat="1" ht="13.5" customHeight="1">
      <c r="A140" s="276"/>
      <c r="B140" s="20" t="s">
        <v>265</v>
      </c>
      <c r="C140" s="105" t="s">
        <v>266</v>
      </c>
      <c r="D140" s="20" t="s">
        <v>80</v>
      </c>
      <c r="E140" s="37">
        <v>7.0000000000000007E-2</v>
      </c>
      <c r="F140" s="97">
        <f>E140*F134</f>
        <v>5.32</v>
      </c>
      <c r="G140" s="110"/>
      <c r="H140" s="35"/>
      <c r="I140" s="20"/>
      <c r="J140" s="35"/>
      <c r="K140" s="20"/>
      <c r="L140" s="35"/>
      <c r="M140" s="110"/>
    </row>
    <row r="141" spans="1:13" s="22" customFormat="1" ht="46.5" customHeight="1">
      <c r="A141" s="274" t="s">
        <v>434</v>
      </c>
      <c r="B141" s="25" t="s">
        <v>457</v>
      </c>
      <c r="C141" s="38" t="s">
        <v>458</v>
      </c>
      <c r="D141" s="20" t="s">
        <v>24</v>
      </c>
      <c r="E141" s="20"/>
      <c r="F141" s="117">
        <v>794</v>
      </c>
      <c r="G141" s="39"/>
      <c r="H141" s="40"/>
      <c r="I141" s="23"/>
      <c r="J141" s="16"/>
      <c r="K141" s="23"/>
      <c r="L141" s="16"/>
      <c r="M141" s="16"/>
    </row>
    <row r="142" spans="1:13" s="22" customFormat="1" ht="13.5" customHeight="1">
      <c r="A142" s="275"/>
      <c r="B142" s="20"/>
      <c r="C142" s="105" t="s">
        <v>19</v>
      </c>
      <c r="D142" s="20" t="s">
        <v>15</v>
      </c>
      <c r="E142" s="21">
        <f>1.15*0.0233</f>
        <v>2.6794999999999999E-2</v>
      </c>
      <c r="F142" s="97">
        <f>E142*F141</f>
        <v>21.275230000000001</v>
      </c>
      <c r="G142" s="21"/>
      <c r="H142" s="88"/>
      <c r="I142" s="110"/>
      <c r="J142" s="35"/>
      <c r="K142" s="110"/>
      <c r="L142" s="35"/>
      <c r="M142" s="110"/>
    </row>
    <row r="143" spans="1:13" s="22" customFormat="1" ht="13.5" customHeight="1">
      <c r="A143" s="275"/>
      <c r="B143" s="20"/>
      <c r="C143" s="105" t="s">
        <v>28</v>
      </c>
      <c r="D143" s="20" t="s">
        <v>16</v>
      </c>
      <c r="E143" s="21">
        <v>4.4999999999999997E-3</v>
      </c>
      <c r="F143" s="97">
        <f>E143*F141</f>
        <v>3.5729999999999995</v>
      </c>
      <c r="G143" s="21"/>
      <c r="H143" s="88"/>
      <c r="I143" s="110"/>
      <c r="J143" s="35"/>
      <c r="K143" s="88"/>
      <c r="L143" s="39"/>
      <c r="M143" s="35"/>
    </row>
    <row r="144" spans="1:13" s="22" customFormat="1" ht="13.5" customHeight="1">
      <c r="A144" s="275"/>
      <c r="B144" s="69" t="s">
        <v>459</v>
      </c>
      <c r="C144" s="105" t="s">
        <v>460</v>
      </c>
      <c r="D144" s="217" t="s">
        <v>17</v>
      </c>
      <c r="E144" s="21"/>
      <c r="F144" s="241">
        <v>0.32</v>
      </c>
      <c r="G144" s="182"/>
      <c r="H144" s="88"/>
      <c r="I144" s="20"/>
      <c r="J144" s="35"/>
      <c r="K144" s="20"/>
      <c r="L144" s="35"/>
      <c r="M144" s="110"/>
    </row>
    <row r="145" spans="1:16" s="22" customFormat="1" ht="13.5" customHeight="1">
      <c r="A145" s="276"/>
      <c r="B145" s="20"/>
      <c r="C145" s="105" t="s">
        <v>23</v>
      </c>
      <c r="D145" s="20" t="s">
        <v>16</v>
      </c>
      <c r="E145" s="20">
        <v>3.8E-3</v>
      </c>
      <c r="F145" s="97">
        <f>E145*F141</f>
        <v>3.0171999999999999</v>
      </c>
      <c r="G145" s="88"/>
      <c r="H145" s="35"/>
      <c r="I145" s="37"/>
      <c r="J145" s="40"/>
      <c r="K145" s="194"/>
      <c r="L145" s="194"/>
      <c r="M145" s="35"/>
    </row>
    <row r="146" spans="1:16" s="22" customFormat="1">
      <c r="A146" s="25"/>
      <c r="B146" s="31"/>
      <c r="C146" s="32" t="s">
        <v>11</v>
      </c>
      <c r="D146" s="33" t="s">
        <v>16</v>
      </c>
      <c r="E146" s="26"/>
      <c r="F146" s="114"/>
      <c r="G146" s="28"/>
      <c r="H146" s="26"/>
      <c r="I146" s="27"/>
      <c r="J146" s="26"/>
      <c r="K146" s="27"/>
      <c r="L146" s="26"/>
      <c r="M146" s="29"/>
      <c r="N146"/>
      <c r="O146"/>
    </row>
    <row r="147" spans="1:16" s="22" customFormat="1">
      <c r="A147" s="25"/>
      <c r="B147" s="31"/>
      <c r="C147" s="32" t="s">
        <v>25</v>
      </c>
      <c r="D147" s="33" t="s">
        <v>26</v>
      </c>
      <c r="E147" s="18">
        <v>10</v>
      </c>
      <c r="F147" s="114"/>
      <c r="G147" s="28"/>
      <c r="H147" s="26"/>
      <c r="I147" s="27"/>
      <c r="J147" s="26"/>
      <c r="K147" s="27"/>
      <c r="L147" s="26"/>
      <c r="M147" s="29"/>
      <c r="N147"/>
      <c r="O147" s="17"/>
    </row>
    <row r="148" spans="1:16" s="22" customFormat="1">
      <c r="A148" s="25"/>
      <c r="B148" s="31"/>
      <c r="C148" s="32" t="s">
        <v>11</v>
      </c>
      <c r="D148" s="33" t="s">
        <v>16</v>
      </c>
      <c r="E148" s="18"/>
      <c r="F148" s="114"/>
      <c r="G148" s="28"/>
      <c r="H148" s="26"/>
      <c r="I148" s="27"/>
      <c r="J148" s="26"/>
      <c r="K148" s="27"/>
      <c r="L148" s="26"/>
      <c r="M148" s="29"/>
      <c r="N148"/>
      <c r="O148"/>
    </row>
    <row r="149" spans="1:16" s="22" customFormat="1">
      <c r="A149" s="25"/>
      <c r="B149" s="31"/>
      <c r="C149" s="32" t="s">
        <v>27</v>
      </c>
      <c r="D149" s="33" t="s">
        <v>26</v>
      </c>
      <c r="E149" s="18">
        <v>8</v>
      </c>
      <c r="F149" s="114"/>
      <c r="G149" s="28"/>
      <c r="H149" s="26"/>
      <c r="I149" s="27"/>
      <c r="J149" s="26"/>
      <c r="K149" s="27"/>
      <c r="L149" s="26"/>
      <c r="M149" s="29"/>
      <c r="N149"/>
      <c r="O149" s="17">
        <f>M141+M134+M122+M119+M106+M96+M89+M88+M84+M79+M76+M74+M70+M65+M63+M57+M54+M47+M36+M31+M28+M27+M23+M21+M18+M14+M12</f>
        <v>0</v>
      </c>
      <c r="P149" s="34">
        <f>M146-O149</f>
        <v>0</v>
      </c>
    </row>
    <row r="150" spans="1:16" s="22" customFormat="1">
      <c r="A150" s="25"/>
      <c r="B150" s="31"/>
      <c r="C150" s="32" t="s">
        <v>11</v>
      </c>
      <c r="D150" s="33" t="s">
        <v>16</v>
      </c>
      <c r="E150" s="18"/>
      <c r="F150" s="114"/>
      <c r="G150" s="28"/>
      <c r="H150" s="26"/>
      <c r="I150" s="27"/>
      <c r="J150" s="26"/>
      <c r="K150" s="27"/>
      <c r="L150" s="26"/>
      <c r="M150" s="29"/>
      <c r="N150"/>
      <c r="O150"/>
    </row>
    <row r="151" spans="1:16" s="22" customFormat="1" ht="13.5">
      <c r="A151" s="3"/>
      <c r="B151" s="3"/>
      <c r="C151" s="2"/>
      <c r="D151" s="3"/>
      <c r="E151" s="3"/>
      <c r="F151" s="234"/>
      <c r="G151" s="34"/>
      <c r="H151" s="34"/>
      <c r="I151" s="34"/>
      <c r="J151" s="34"/>
      <c r="K151" s="34"/>
      <c r="L151" s="34"/>
      <c r="M151" s="34"/>
    </row>
    <row r="152" spans="1:16" s="22" customFormat="1" ht="13.5">
      <c r="A152" s="3"/>
      <c r="B152" s="3"/>
      <c r="C152" s="2"/>
      <c r="D152" s="3"/>
      <c r="E152" s="3"/>
      <c r="F152" s="234"/>
      <c r="G152" s="34"/>
      <c r="H152" s="34"/>
      <c r="I152" s="34"/>
      <c r="J152" s="34"/>
      <c r="K152" s="34"/>
      <c r="L152" s="34"/>
      <c r="M152" s="34"/>
    </row>
    <row r="153" spans="1:16" s="22" customFormat="1" ht="13.5">
      <c r="A153" s="3"/>
      <c r="B153" s="3"/>
      <c r="C153" s="2" t="s">
        <v>521</v>
      </c>
      <c r="D153" s="265"/>
      <c r="E153" s="265"/>
      <c r="F153" s="234"/>
      <c r="G153" s="34"/>
      <c r="H153" s="266" t="s">
        <v>522</v>
      </c>
      <c r="I153" s="266"/>
      <c r="J153" s="34"/>
      <c r="K153" s="34"/>
      <c r="L153" s="34"/>
      <c r="M153" s="34"/>
    </row>
    <row r="154" spans="1:16" s="22" customFormat="1" ht="13.5">
      <c r="A154" s="3"/>
      <c r="B154" s="3"/>
      <c r="C154" s="2"/>
      <c r="D154" s="3"/>
      <c r="E154" s="3"/>
      <c r="F154" s="234"/>
      <c r="G154" s="34"/>
      <c r="H154" s="34"/>
      <c r="I154" s="34"/>
      <c r="J154" s="34"/>
      <c r="K154" s="34"/>
      <c r="L154" s="34"/>
      <c r="M154" s="34"/>
    </row>
    <row r="155" spans="1:16" s="22" customFormat="1" ht="13.5">
      <c r="A155" s="3"/>
      <c r="B155" s="3"/>
      <c r="C155" s="2"/>
      <c r="D155" s="3"/>
      <c r="E155" s="3"/>
      <c r="F155" s="234"/>
      <c r="G155" s="34"/>
      <c r="H155" s="34"/>
      <c r="I155" s="34"/>
      <c r="J155" s="34"/>
      <c r="K155" s="34"/>
      <c r="L155" s="34"/>
      <c r="M155" s="34"/>
    </row>
    <row r="156" spans="1:16" s="22" customFormat="1" ht="13.5">
      <c r="A156" s="3"/>
      <c r="B156" s="3"/>
      <c r="C156" s="2"/>
      <c r="D156" s="3"/>
      <c r="E156" s="3"/>
      <c r="F156" s="234"/>
      <c r="G156" s="34"/>
      <c r="H156" s="34"/>
      <c r="I156" s="34"/>
      <c r="J156" s="34"/>
      <c r="K156" s="34"/>
      <c r="L156" s="34"/>
      <c r="M156" s="34"/>
    </row>
    <row r="157" spans="1:16" s="22" customFormat="1" ht="13.5">
      <c r="A157" s="3"/>
      <c r="B157" s="3"/>
      <c r="C157" s="2"/>
      <c r="D157" s="3"/>
      <c r="E157" s="3"/>
      <c r="F157" s="234"/>
      <c r="G157" s="34"/>
      <c r="H157" s="34"/>
      <c r="I157" s="34"/>
      <c r="J157" s="34"/>
      <c r="K157" s="34"/>
      <c r="L157" s="34"/>
      <c r="M157" s="34"/>
    </row>
    <row r="158" spans="1:16" s="22" customFormat="1" ht="13.5">
      <c r="A158" s="3"/>
      <c r="B158" s="3"/>
      <c r="C158" s="2"/>
      <c r="D158" s="3"/>
      <c r="E158" s="3"/>
      <c r="F158" s="234"/>
      <c r="G158" s="34"/>
      <c r="H158" s="34"/>
      <c r="I158" s="34"/>
      <c r="J158" s="34"/>
      <c r="K158" s="34"/>
      <c r="L158" s="34"/>
      <c r="M158" s="34"/>
    </row>
    <row r="159" spans="1:16" s="22" customFormat="1" ht="13.5">
      <c r="A159" s="3"/>
      <c r="B159" s="3"/>
      <c r="C159" s="2"/>
      <c r="D159" s="3"/>
      <c r="E159" s="3"/>
      <c r="F159" s="234"/>
      <c r="G159" s="34"/>
      <c r="H159" s="34"/>
      <c r="I159" s="34"/>
      <c r="J159" s="34"/>
      <c r="K159" s="34"/>
      <c r="L159" s="34"/>
      <c r="M159" s="34"/>
    </row>
    <row r="160" spans="1:16" s="22" customFormat="1" ht="13.5">
      <c r="A160" s="3"/>
      <c r="B160" s="3"/>
      <c r="C160" s="2"/>
      <c r="D160" s="3"/>
      <c r="E160" s="3"/>
      <c r="F160" s="234"/>
      <c r="G160" s="34"/>
      <c r="H160" s="34"/>
      <c r="I160" s="34"/>
      <c r="J160" s="34"/>
      <c r="K160" s="34"/>
      <c r="L160" s="34"/>
      <c r="M160" s="34"/>
    </row>
    <row r="161" spans="1:13" s="22" customFormat="1" ht="13.5">
      <c r="A161" s="3"/>
      <c r="B161" s="3"/>
      <c r="C161" s="2"/>
      <c r="D161" s="3"/>
      <c r="E161" s="3"/>
      <c r="F161" s="234"/>
      <c r="G161" s="34"/>
      <c r="H161" s="34"/>
      <c r="I161" s="34"/>
      <c r="J161" s="34"/>
      <c r="K161" s="34"/>
      <c r="L161" s="34"/>
      <c r="M161" s="34"/>
    </row>
    <row r="162" spans="1:13" s="22" customFormat="1" ht="13.5">
      <c r="A162" s="3"/>
      <c r="B162" s="3"/>
      <c r="C162" s="2"/>
      <c r="D162" s="3"/>
      <c r="E162" s="3"/>
      <c r="F162" s="234"/>
      <c r="G162" s="34"/>
      <c r="H162" s="34"/>
      <c r="I162" s="34"/>
      <c r="J162" s="34"/>
      <c r="K162" s="34"/>
      <c r="L162" s="34"/>
      <c r="M162" s="34"/>
    </row>
    <row r="163" spans="1:13" s="22" customFormat="1" ht="13.5">
      <c r="A163" s="3"/>
      <c r="B163" s="3"/>
      <c r="C163" s="2"/>
      <c r="D163" s="3"/>
      <c r="E163" s="3"/>
      <c r="F163" s="234"/>
      <c r="G163" s="34"/>
      <c r="H163" s="34"/>
      <c r="I163" s="34"/>
      <c r="J163" s="34"/>
      <c r="K163" s="34"/>
      <c r="L163" s="34"/>
      <c r="M163" s="34"/>
    </row>
    <row r="164" spans="1:13" s="22" customFormat="1" ht="13.5">
      <c r="A164" s="3"/>
      <c r="B164" s="3"/>
      <c r="C164" s="2"/>
      <c r="D164" s="3"/>
      <c r="E164" s="3"/>
      <c r="F164" s="234"/>
      <c r="G164" s="34"/>
      <c r="H164" s="34"/>
      <c r="I164" s="34"/>
      <c r="J164" s="34"/>
      <c r="K164" s="34"/>
      <c r="L164" s="34"/>
      <c r="M164" s="34"/>
    </row>
    <row r="165" spans="1:13" s="22" customFormat="1" ht="13.5">
      <c r="A165" s="3"/>
      <c r="B165" s="3"/>
      <c r="C165" s="2"/>
      <c r="D165" s="3"/>
      <c r="E165" s="3"/>
      <c r="F165" s="234"/>
      <c r="G165" s="34"/>
      <c r="H165" s="34"/>
      <c r="I165" s="34"/>
      <c r="J165" s="34"/>
      <c r="K165" s="34"/>
      <c r="L165" s="34"/>
      <c r="M165" s="34"/>
    </row>
    <row r="166" spans="1:13" s="22" customFormat="1" ht="13.5">
      <c r="A166" s="3"/>
      <c r="B166" s="3"/>
      <c r="C166" s="2"/>
      <c r="D166" s="3"/>
      <c r="E166" s="3"/>
      <c r="F166" s="234"/>
      <c r="G166" s="34"/>
      <c r="H166" s="34"/>
      <c r="I166" s="34"/>
      <c r="J166" s="34"/>
      <c r="K166" s="34"/>
      <c r="L166" s="34"/>
      <c r="M166" s="34"/>
    </row>
    <row r="167" spans="1:13" s="22" customFormat="1" ht="13.5">
      <c r="A167" s="3"/>
      <c r="B167" s="3"/>
      <c r="C167" s="2"/>
      <c r="D167" s="3"/>
      <c r="E167" s="3"/>
      <c r="F167" s="234"/>
      <c r="G167" s="34"/>
      <c r="H167" s="34"/>
      <c r="I167" s="34"/>
      <c r="J167" s="34"/>
      <c r="K167" s="34"/>
      <c r="L167" s="34"/>
      <c r="M167" s="34"/>
    </row>
    <row r="168" spans="1:13" s="22" customFormat="1" ht="13.5">
      <c r="A168" s="3"/>
      <c r="B168" s="3"/>
      <c r="C168" s="2"/>
      <c r="D168" s="3"/>
      <c r="E168" s="3"/>
      <c r="F168" s="234"/>
      <c r="G168" s="34"/>
      <c r="H168" s="34"/>
      <c r="I168" s="34"/>
      <c r="J168" s="34"/>
      <c r="K168" s="34"/>
      <c r="L168" s="34"/>
      <c r="M168" s="34"/>
    </row>
    <row r="169" spans="1:13" s="22" customFormat="1" ht="13.5">
      <c r="A169" s="3"/>
      <c r="B169" s="3"/>
      <c r="C169" s="2"/>
      <c r="D169" s="3"/>
      <c r="E169" s="3"/>
      <c r="F169" s="234"/>
      <c r="G169" s="34"/>
      <c r="H169" s="34"/>
      <c r="I169" s="34"/>
      <c r="J169" s="34"/>
      <c r="K169" s="34"/>
      <c r="L169" s="34"/>
      <c r="M169" s="34"/>
    </row>
    <row r="170" spans="1:13" s="22" customFormat="1" ht="13.5">
      <c r="A170" s="3"/>
      <c r="B170" s="3"/>
      <c r="C170" s="2"/>
      <c r="D170" s="3"/>
      <c r="E170" s="3"/>
      <c r="F170" s="234"/>
      <c r="G170" s="34"/>
      <c r="H170" s="34"/>
      <c r="I170" s="34"/>
      <c r="J170" s="34"/>
      <c r="K170" s="34"/>
      <c r="L170" s="34"/>
      <c r="M170" s="34"/>
    </row>
    <row r="171" spans="1:13" s="22" customFormat="1" ht="13.5">
      <c r="A171" s="3"/>
      <c r="B171" s="3"/>
      <c r="C171" s="2"/>
      <c r="D171" s="3"/>
      <c r="E171" s="3"/>
      <c r="F171" s="234"/>
      <c r="G171" s="34"/>
      <c r="H171" s="34"/>
      <c r="I171" s="34"/>
      <c r="J171" s="34"/>
      <c r="K171" s="34"/>
      <c r="L171" s="34"/>
      <c r="M171" s="34"/>
    </row>
    <row r="172" spans="1:13" s="22" customFormat="1" ht="13.5">
      <c r="A172" s="3"/>
      <c r="B172" s="3"/>
      <c r="C172" s="2"/>
      <c r="D172" s="3"/>
      <c r="E172" s="3"/>
      <c r="F172" s="234"/>
      <c r="G172" s="34"/>
      <c r="H172" s="34"/>
      <c r="I172" s="34"/>
      <c r="J172" s="34"/>
      <c r="K172" s="34"/>
      <c r="L172" s="34"/>
      <c r="M172" s="34"/>
    </row>
    <row r="173" spans="1:13" s="22" customFormat="1" ht="13.5">
      <c r="A173" s="3"/>
      <c r="B173" s="3"/>
      <c r="C173" s="2"/>
      <c r="D173" s="3"/>
      <c r="E173" s="3"/>
      <c r="F173" s="234"/>
      <c r="G173" s="34"/>
      <c r="H173" s="34"/>
      <c r="I173" s="34"/>
      <c r="J173" s="34"/>
      <c r="K173" s="34"/>
      <c r="L173" s="34"/>
      <c r="M173" s="34"/>
    </row>
    <row r="174" spans="1:13" s="22" customFormat="1" ht="13.5">
      <c r="A174" s="3"/>
      <c r="B174" s="3"/>
      <c r="C174" s="2"/>
      <c r="D174" s="3"/>
      <c r="E174" s="3"/>
      <c r="F174" s="234"/>
      <c r="G174" s="34"/>
      <c r="H174" s="34"/>
      <c r="I174" s="34"/>
      <c r="J174" s="34"/>
      <c r="K174" s="34"/>
      <c r="L174" s="34"/>
      <c r="M174" s="34"/>
    </row>
    <row r="175" spans="1:13" s="22" customFormat="1" ht="13.5">
      <c r="A175" s="3"/>
      <c r="B175" s="3"/>
      <c r="C175" s="2"/>
      <c r="D175" s="3"/>
      <c r="E175" s="3"/>
      <c r="F175" s="234"/>
      <c r="G175" s="34"/>
      <c r="H175" s="34"/>
      <c r="I175" s="34"/>
      <c r="J175" s="34"/>
      <c r="K175" s="34"/>
      <c r="L175" s="34"/>
      <c r="M175" s="34"/>
    </row>
    <row r="176" spans="1:13" s="22" customFormat="1" ht="13.5">
      <c r="A176" s="3"/>
      <c r="B176" s="3"/>
      <c r="C176" s="2"/>
      <c r="D176" s="3"/>
      <c r="E176" s="3"/>
      <c r="F176" s="234"/>
      <c r="G176" s="34"/>
      <c r="H176" s="34"/>
      <c r="I176" s="34"/>
      <c r="J176" s="34"/>
      <c r="K176" s="34"/>
      <c r="L176" s="34"/>
      <c r="M176" s="34"/>
    </row>
    <row r="177" spans="1:13" s="22" customFormat="1" ht="13.5">
      <c r="A177" s="3"/>
      <c r="B177" s="3"/>
      <c r="C177" s="2"/>
      <c r="D177" s="3"/>
      <c r="E177" s="3"/>
      <c r="F177" s="234"/>
      <c r="G177" s="34"/>
      <c r="H177" s="34"/>
      <c r="I177" s="34"/>
      <c r="J177" s="34"/>
      <c r="K177" s="34"/>
      <c r="L177" s="34"/>
      <c r="M177" s="34"/>
    </row>
    <row r="178" spans="1:13" s="22" customFormat="1" ht="13.5">
      <c r="A178" s="3"/>
      <c r="B178" s="3"/>
      <c r="C178" s="2"/>
      <c r="D178" s="3"/>
      <c r="E178" s="3"/>
      <c r="F178" s="234"/>
      <c r="G178" s="34"/>
      <c r="H178" s="34"/>
      <c r="I178" s="34"/>
      <c r="J178" s="34"/>
      <c r="K178" s="34"/>
      <c r="L178" s="34"/>
      <c r="M178" s="34"/>
    </row>
    <row r="179" spans="1:13" s="22" customFormat="1" ht="13.5">
      <c r="A179" s="3"/>
      <c r="B179" s="3"/>
      <c r="C179" s="2"/>
      <c r="D179" s="3"/>
      <c r="E179" s="3"/>
      <c r="F179" s="234"/>
      <c r="G179" s="34"/>
      <c r="H179" s="34"/>
      <c r="I179" s="34"/>
      <c r="J179" s="34"/>
      <c r="K179" s="34"/>
      <c r="L179" s="34"/>
      <c r="M179" s="34"/>
    </row>
    <row r="180" spans="1:13" s="22" customFormat="1" ht="13.5">
      <c r="A180" s="3"/>
      <c r="B180" s="3"/>
      <c r="C180" s="2"/>
      <c r="D180" s="3"/>
      <c r="E180" s="3"/>
      <c r="F180" s="234"/>
      <c r="G180" s="34"/>
      <c r="H180" s="34"/>
      <c r="I180" s="34"/>
      <c r="J180" s="34"/>
      <c r="K180" s="34"/>
      <c r="L180" s="34"/>
      <c r="M180" s="34"/>
    </row>
    <row r="181" spans="1:13" s="22" customFormat="1" ht="13.5">
      <c r="A181" s="3"/>
      <c r="B181" s="3"/>
      <c r="C181" s="2"/>
      <c r="D181" s="3"/>
      <c r="E181" s="3"/>
      <c r="F181" s="234"/>
      <c r="G181" s="34"/>
      <c r="H181" s="34"/>
      <c r="I181" s="34"/>
      <c r="J181" s="34"/>
      <c r="K181" s="34"/>
      <c r="L181" s="34"/>
      <c r="M181" s="34"/>
    </row>
    <row r="182" spans="1:13" s="22" customFormat="1" ht="13.5">
      <c r="A182" s="3"/>
      <c r="B182" s="3"/>
      <c r="C182" s="2"/>
      <c r="D182" s="3"/>
      <c r="E182" s="3"/>
      <c r="F182" s="234"/>
      <c r="G182" s="34"/>
      <c r="H182" s="34"/>
      <c r="I182" s="34"/>
      <c r="J182" s="34"/>
      <c r="K182" s="34"/>
      <c r="L182" s="34"/>
      <c r="M182" s="34"/>
    </row>
    <row r="183" spans="1:13" s="22" customFormat="1" ht="13.5">
      <c r="A183" s="3"/>
      <c r="B183" s="3"/>
      <c r="C183" s="2"/>
      <c r="D183" s="3"/>
      <c r="E183" s="3"/>
      <c r="F183" s="234"/>
      <c r="G183" s="34"/>
      <c r="H183" s="34"/>
      <c r="I183" s="34"/>
      <c r="J183" s="34"/>
      <c r="K183" s="34"/>
      <c r="L183" s="34"/>
      <c r="M183" s="34"/>
    </row>
    <row r="184" spans="1:13" s="22" customFormat="1" ht="13.5">
      <c r="A184" s="3"/>
      <c r="B184" s="3"/>
      <c r="C184" s="2"/>
      <c r="D184" s="3"/>
      <c r="E184" s="3"/>
      <c r="F184" s="234"/>
      <c r="G184" s="34"/>
      <c r="H184" s="34"/>
      <c r="I184" s="34"/>
      <c r="J184" s="34"/>
      <c r="K184" s="34"/>
      <c r="L184" s="34"/>
      <c r="M184" s="34"/>
    </row>
    <row r="185" spans="1:13" s="22" customFormat="1" ht="13.5">
      <c r="A185" s="3"/>
      <c r="B185" s="3"/>
      <c r="C185" s="2"/>
      <c r="D185" s="3"/>
      <c r="E185" s="3"/>
      <c r="F185" s="234"/>
      <c r="G185" s="34"/>
      <c r="H185" s="34"/>
      <c r="I185" s="34"/>
      <c r="J185" s="34"/>
      <c r="K185" s="34"/>
      <c r="L185" s="34"/>
      <c r="M185" s="34"/>
    </row>
    <row r="186" spans="1:13" s="22" customFormat="1" ht="13.5">
      <c r="A186" s="3"/>
      <c r="B186" s="3"/>
      <c r="C186" s="2"/>
      <c r="D186" s="3"/>
      <c r="E186" s="3"/>
      <c r="F186" s="234"/>
      <c r="G186" s="34"/>
      <c r="H186" s="34"/>
      <c r="I186" s="34"/>
      <c r="J186" s="34"/>
      <c r="K186" s="34"/>
      <c r="L186" s="34"/>
      <c r="M186" s="34"/>
    </row>
    <row r="187" spans="1:13" s="22" customFormat="1" ht="13.5">
      <c r="A187" s="3"/>
      <c r="B187" s="3"/>
      <c r="C187" s="2"/>
      <c r="D187" s="3"/>
      <c r="E187" s="3"/>
      <c r="F187" s="234"/>
      <c r="G187" s="34"/>
      <c r="H187" s="34"/>
      <c r="I187" s="34"/>
      <c r="J187" s="34"/>
      <c r="K187" s="34"/>
      <c r="L187" s="34"/>
      <c r="M187" s="34"/>
    </row>
    <row r="188" spans="1:13" s="22" customFormat="1" ht="13.5">
      <c r="A188" s="3"/>
      <c r="B188" s="3"/>
      <c r="C188" s="2"/>
      <c r="D188" s="3"/>
      <c r="E188" s="3"/>
      <c r="F188" s="234"/>
      <c r="G188" s="34"/>
      <c r="H188" s="34"/>
      <c r="I188" s="34"/>
      <c r="J188" s="34"/>
      <c r="K188" s="34"/>
      <c r="L188" s="34"/>
      <c r="M188" s="34"/>
    </row>
    <row r="189" spans="1:13" s="22" customFormat="1" ht="13.5">
      <c r="A189" s="3"/>
      <c r="B189" s="3"/>
      <c r="C189" s="2"/>
      <c r="D189" s="3"/>
      <c r="E189" s="3"/>
      <c r="F189" s="234"/>
      <c r="G189" s="34"/>
      <c r="H189" s="34"/>
      <c r="I189" s="34"/>
      <c r="J189" s="34"/>
      <c r="K189" s="34"/>
      <c r="L189" s="34"/>
      <c r="M189" s="34"/>
    </row>
    <row r="190" spans="1:13" s="22" customFormat="1" ht="13.5">
      <c r="A190" s="3"/>
      <c r="B190" s="3"/>
      <c r="C190" s="2"/>
      <c r="D190" s="3"/>
      <c r="E190" s="3"/>
      <c r="F190" s="234"/>
      <c r="G190" s="34"/>
      <c r="H190" s="34"/>
      <c r="I190" s="34"/>
      <c r="J190" s="34"/>
      <c r="K190" s="34"/>
      <c r="L190" s="34"/>
      <c r="M190" s="34"/>
    </row>
    <row r="191" spans="1:13" s="22" customFormat="1" ht="13.5">
      <c r="A191" s="3"/>
      <c r="B191" s="3"/>
      <c r="C191" s="2"/>
      <c r="D191" s="3"/>
      <c r="E191" s="3"/>
      <c r="F191" s="234"/>
      <c r="G191" s="34"/>
      <c r="H191" s="34"/>
      <c r="I191" s="34"/>
      <c r="J191" s="34"/>
      <c r="K191" s="34"/>
      <c r="L191" s="34"/>
      <c r="M191" s="34"/>
    </row>
    <row r="192" spans="1:13" s="22" customFormat="1" ht="13.5">
      <c r="A192" s="3"/>
      <c r="B192" s="3"/>
      <c r="C192" s="2"/>
      <c r="D192" s="3"/>
      <c r="E192" s="3"/>
      <c r="F192" s="234"/>
      <c r="G192" s="34"/>
      <c r="H192" s="34"/>
      <c r="I192" s="34"/>
      <c r="J192" s="34"/>
      <c r="K192" s="34"/>
      <c r="L192" s="34"/>
      <c r="M192" s="34"/>
    </row>
    <row r="193" spans="1:13" s="22" customFormat="1" ht="13.5">
      <c r="A193" s="3"/>
      <c r="B193" s="3"/>
      <c r="C193" s="2"/>
      <c r="D193" s="3"/>
      <c r="E193" s="3"/>
      <c r="F193" s="234"/>
      <c r="G193" s="34"/>
      <c r="H193" s="34"/>
      <c r="I193" s="34"/>
      <c r="J193" s="34"/>
      <c r="K193" s="34"/>
      <c r="L193" s="34"/>
      <c r="M193" s="34"/>
    </row>
    <row r="194" spans="1:13" s="22" customFormat="1" ht="13.5">
      <c r="A194" s="3"/>
      <c r="B194" s="3"/>
      <c r="C194" s="2"/>
      <c r="D194" s="3"/>
      <c r="E194" s="3"/>
      <c r="F194" s="235"/>
    </row>
    <row r="195" spans="1:13" s="22" customFormat="1" ht="13.5">
      <c r="C195" s="1"/>
      <c r="F195" s="235"/>
    </row>
    <row r="196" spans="1:13" s="22" customFormat="1" ht="13.5">
      <c r="C196" s="1"/>
      <c r="F196" s="235"/>
    </row>
    <row r="197" spans="1:13" s="22" customFormat="1" ht="13.5">
      <c r="C197" s="1"/>
      <c r="F197" s="235"/>
    </row>
    <row r="198" spans="1:13" s="22" customFormat="1" ht="13.5">
      <c r="C198" s="1"/>
      <c r="F198" s="235"/>
    </row>
    <row r="199" spans="1:13" s="22" customFormat="1" ht="13.5">
      <c r="C199" s="1"/>
      <c r="F199" s="235"/>
    </row>
    <row r="200" spans="1:13" s="22" customFormat="1" ht="13.5">
      <c r="C200" s="1"/>
      <c r="F200" s="235"/>
    </row>
    <row r="201" spans="1:13" s="22" customFormat="1" ht="13.5">
      <c r="C201" s="1"/>
      <c r="F201" s="235"/>
    </row>
    <row r="202" spans="1:13" s="22" customFormat="1" ht="13.5">
      <c r="C202" s="1"/>
      <c r="F202" s="235"/>
    </row>
    <row r="203" spans="1:13" s="22" customFormat="1" ht="13.5">
      <c r="C203" s="1"/>
      <c r="F203" s="235"/>
    </row>
    <row r="204" spans="1:13" s="22" customFormat="1" ht="13.5">
      <c r="C204" s="1"/>
      <c r="F204" s="235"/>
    </row>
    <row r="205" spans="1:13" s="22" customFormat="1" ht="13.5">
      <c r="C205" s="1"/>
      <c r="F205" s="235"/>
    </row>
    <row r="206" spans="1:13" s="22" customFormat="1" ht="13.5">
      <c r="C206" s="1"/>
      <c r="F206" s="235"/>
    </row>
    <row r="207" spans="1:13" s="22" customFormat="1" ht="13.5">
      <c r="C207" s="1"/>
      <c r="F207" s="235"/>
    </row>
    <row r="208" spans="1:13" s="22" customFormat="1" ht="13.5">
      <c r="C208" s="1"/>
      <c r="F208" s="235"/>
    </row>
    <row r="209" spans="3:6" s="22" customFormat="1" ht="13.5">
      <c r="C209" s="1"/>
      <c r="F209" s="235"/>
    </row>
    <row r="210" spans="3:6" s="22" customFormat="1" ht="13.5">
      <c r="C210" s="1"/>
      <c r="F210" s="235"/>
    </row>
    <row r="211" spans="3:6" s="22" customFormat="1" ht="13.5">
      <c r="C211" s="1"/>
      <c r="F211" s="235"/>
    </row>
    <row r="212" spans="3:6" s="22" customFormat="1" ht="13.5">
      <c r="C212" s="1"/>
      <c r="F212" s="235"/>
    </row>
    <row r="213" spans="3:6" s="22" customFormat="1" ht="13.5">
      <c r="C213" s="1"/>
      <c r="F213" s="235"/>
    </row>
    <row r="214" spans="3:6" s="22" customFormat="1" ht="13.5">
      <c r="C214" s="1"/>
      <c r="F214" s="235"/>
    </row>
    <row r="215" spans="3:6" s="22" customFormat="1" ht="13.5">
      <c r="C215" s="1"/>
      <c r="F215" s="235"/>
    </row>
    <row r="216" spans="3:6" s="22" customFormat="1" ht="13.5">
      <c r="C216" s="1"/>
      <c r="F216" s="235"/>
    </row>
    <row r="217" spans="3:6" s="22" customFormat="1" ht="13.5">
      <c r="C217" s="1"/>
      <c r="F217" s="235"/>
    </row>
    <row r="218" spans="3:6" s="22" customFormat="1" ht="13.5">
      <c r="C218" s="1"/>
      <c r="F218" s="235"/>
    </row>
    <row r="219" spans="3:6" s="22" customFormat="1" ht="13.5">
      <c r="C219" s="1"/>
      <c r="F219" s="235"/>
    </row>
    <row r="220" spans="3:6" s="22" customFormat="1" ht="13.5">
      <c r="C220" s="1"/>
      <c r="F220" s="235"/>
    </row>
    <row r="221" spans="3:6" s="22" customFormat="1" ht="13.5">
      <c r="C221" s="1"/>
      <c r="F221" s="235"/>
    </row>
    <row r="222" spans="3:6" s="36" customFormat="1" ht="13.5">
      <c r="F222" s="236"/>
    </row>
    <row r="223" spans="3:6" s="36" customFormat="1" ht="13.5">
      <c r="F223" s="236"/>
    </row>
    <row r="224" spans="3:6" s="36" customFormat="1" ht="13.5">
      <c r="F224" s="236"/>
    </row>
    <row r="225" spans="6:6" s="36" customFormat="1" ht="13.5">
      <c r="F225" s="236"/>
    </row>
    <row r="226" spans="6:6" s="36" customFormat="1" ht="13.5">
      <c r="F226" s="236"/>
    </row>
    <row r="227" spans="6:6" s="36" customFormat="1" ht="13.5">
      <c r="F227" s="236"/>
    </row>
    <row r="228" spans="6:6" s="36" customFormat="1" ht="13.5">
      <c r="F228" s="236"/>
    </row>
    <row r="229" spans="6:6" s="36" customFormat="1" ht="13.5">
      <c r="F229" s="236"/>
    </row>
  </sheetData>
  <mergeCells count="39">
    <mergeCell ref="D153:E153"/>
    <mergeCell ref="H153:I153"/>
    <mergeCell ref="A76:A78"/>
    <mergeCell ref="A122:A133"/>
    <mergeCell ref="A141:A145"/>
    <mergeCell ref="A96:A105"/>
    <mergeCell ref="A106:A116"/>
    <mergeCell ref="A117:A118"/>
    <mergeCell ref="A79:A88"/>
    <mergeCell ref="A134:A140"/>
    <mergeCell ref="A89:A95"/>
    <mergeCell ref="A119:A121"/>
    <mergeCell ref="I7:J7"/>
    <mergeCell ref="K7:L7"/>
    <mergeCell ref="M7:M8"/>
    <mergeCell ref="A7:A8"/>
    <mergeCell ref="B7:B8"/>
    <mergeCell ref="C7:C8"/>
    <mergeCell ref="D7:D8"/>
    <mergeCell ref="E7:F7"/>
    <mergeCell ref="G7:H7"/>
    <mergeCell ref="A6:G6"/>
    <mergeCell ref="A1:M1"/>
    <mergeCell ref="A2:M2"/>
    <mergeCell ref="A3:M3"/>
    <mergeCell ref="A4:G4"/>
    <mergeCell ref="C5:K5"/>
    <mergeCell ref="A28:A30"/>
    <mergeCell ref="A31:A35"/>
    <mergeCell ref="A36:A46"/>
    <mergeCell ref="A12:A13"/>
    <mergeCell ref="A14:A16"/>
    <mergeCell ref="A18:A20"/>
    <mergeCell ref="A21:A27"/>
    <mergeCell ref="A47:A52"/>
    <mergeCell ref="A57:A60"/>
    <mergeCell ref="A63:A64"/>
    <mergeCell ref="A54:A56"/>
    <mergeCell ref="A65:A73"/>
  </mergeCells>
  <pageMargins left="0.15748031496062992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kreb</vt:lpstr>
      <vt:lpstr>mosam</vt:lpstr>
      <vt:lpstr>miwa</vt:lpstr>
      <vt:lpstr>Rari</vt:lpstr>
      <vt:lpstr>mili d-1,5m</vt:lpstr>
      <vt:lpstr>kedeli</vt:lpstr>
      <vt:lpstr>gab. kedeli </vt:lpstr>
      <vt:lpstr>samosi</vt:lpstr>
      <vt:lpstr>mierT</vt:lpstr>
      <vt:lpstr>ezoSi Sesasv.</vt:lpstr>
      <vt:lpstr>niSnebi</vt:lpstr>
      <vt:lpstr>Semof.</vt:lpstr>
      <vt:lpstr>Лист3</vt:lpstr>
      <vt:lpstr>'ezoSi Sesasv.'!Print_Area</vt:lpstr>
      <vt:lpstr>'gab. kedeli '!Print_Area</vt:lpstr>
      <vt:lpstr>kedeli!Print_Area</vt:lpstr>
      <vt:lpstr>kreb!Print_Area</vt:lpstr>
      <vt:lpstr>mierT!Print_Area</vt:lpstr>
      <vt:lpstr>'mili d-1,5m'!Print_Area</vt:lpstr>
      <vt:lpstr>miwa!Print_Area</vt:lpstr>
      <vt:lpstr>mosam!Print_Area</vt:lpstr>
      <vt:lpstr>niSnebi!Print_Area</vt:lpstr>
      <vt:lpstr>Rari!Print_Area</vt:lpstr>
      <vt:lpstr>samosi!Print_Area</vt:lpstr>
      <vt:lpstr>Semof.!Print_Area</vt:lpstr>
      <vt:lpstr>'ezoSi Sesasv.'!Print_Titles</vt:lpstr>
      <vt:lpstr>'gab. kedeli '!Print_Titles</vt:lpstr>
      <vt:lpstr>kedeli!Print_Titles</vt:lpstr>
      <vt:lpstr>kreb!Print_Titles</vt:lpstr>
      <vt:lpstr>mierT!Print_Titles</vt:lpstr>
      <vt:lpstr>'mili d-1,5m'!Print_Titles</vt:lpstr>
      <vt:lpstr>miwa!Print_Titles</vt:lpstr>
      <vt:lpstr>mosam!Print_Titles</vt:lpstr>
      <vt:lpstr>niSnebi!Print_Titles</vt:lpstr>
      <vt:lpstr>Rari!Print_Titles</vt:lpstr>
      <vt:lpstr>samosi!Print_Titles</vt:lpstr>
      <vt:lpstr>Semof.!Print_Titles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Jambo</dc:creator>
  <cp:lastModifiedBy>Beka Merlani</cp:lastModifiedBy>
  <cp:lastPrinted>2023-09-19T11:26:56Z</cp:lastPrinted>
  <dcterms:created xsi:type="dcterms:W3CDTF">2018-03-30T10:59:51Z</dcterms:created>
  <dcterms:modified xsi:type="dcterms:W3CDTF">2024-01-24T14:50:35Z</dcterms:modified>
</cp:coreProperties>
</file>