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filterPrivacy="1" defaultThemeVersion="124226"/>
  <xr:revisionPtr revIDLastSave="0" documentId="13_ncr:1_{C3697EE5-D2AB-4EA6-B588-02C13023A359}" xr6:coauthVersionLast="36" xr6:coauthVersionMax="36" xr10:uidLastSave="{00000000-0000-0000-0000-000000000000}"/>
  <bookViews>
    <workbookView xWindow="0" yWindow="0" windowWidth="28800" windowHeight="11625" tabRatio="752" activeTab="7" xr2:uid="{00000000-000D-0000-FFFF-FFFF00000000}"/>
  </bookViews>
  <sheets>
    <sheet name="krebsiti" sheetId="8" r:id="rId1"/>
    <sheet name="#1" sheetId="16" r:id="rId2"/>
    <sheet name="#2" sheetId="17" r:id="rId3"/>
    <sheet name="#3" sheetId="6" r:id="rId4"/>
    <sheet name="#4" sheetId="18" r:id="rId5"/>
    <sheet name="#5" sheetId="20" r:id="rId6"/>
    <sheet name="#6" sheetId="19" r:id="rId7"/>
    <sheet name="#7" sheetId="21" r:id="rId8"/>
  </sheets>
  <definedNames>
    <definedName name="_xlnm._FilterDatabase" localSheetId="1" hidden="1">'#1'!$A$6:$O$6</definedName>
    <definedName name="_xlnm.Print_Area" localSheetId="1">'#1'!$A$1:$M$1593</definedName>
    <definedName name="_xlnm.Print_Area" localSheetId="2">'#2'!$A$1:$M$352</definedName>
    <definedName name="_xlnm.Print_Area" localSheetId="3">'#3'!$A$1:$M$505</definedName>
    <definedName name="_xlnm.Print_Area" localSheetId="4">'#4'!$A$1:$M$468</definedName>
    <definedName name="_xlnm.Print_Area" localSheetId="5">'#5'!$A$1:$M$149</definedName>
    <definedName name="_xlnm.Print_Area" localSheetId="6">'#6'!$A$1:$M$298</definedName>
    <definedName name="_xlnm.Print_Area" localSheetId="7">'#7'!$A$1:$M$46</definedName>
    <definedName name="_xlnm.Print_Area" localSheetId="0">krebsiti!$A$1:$D$25</definedName>
    <definedName name="_xlnm.Print_Titles" localSheetId="1">'#1'!$6:$6</definedName>
    <definedName name="_xlnm.Print_Titles" localSheetId="2">'#2'!$6:$6</definedName>
    <definedName name="_xlnm.Print_Titles" localSheetId="3">'#3'!$6:$6</definedName>
    <definedName name="_xlnm.Print_Titles" localSheetId="4">'#4'!$6:$6</definedName>
    <definedName name="_xlnm.Print_Titles" localSheetId="5">'#5'!$7:$7</definedName>
    <definedName name="_xlnm.Print_Titles" localSheetId="6">'#6'!$6:$6</definedName>
    <definedName name="_xlnm.Print_Titles" localSheetId="7">'#7'!$6:$6</definedName>
  </definedNames>
  <calcPr calcId="191029"/>
</workbook>
</file>

<file path=xl/calcChain.xml><?xml version="1.0" encoding="utf-8"?>
<calcChain xmlns="http://schemas.openxmlformats.org/spreadsheetml/2006/main">
  <c r="M36" i="21" l="1"/>
  <c r="J35" i="21"/>
  <c r="M38" i="21" s="1"/>
  <c r="L35" i="21"/>
  <c r="H31" i="21"/>
  <c r="J31" i="21"/>
  <c r="M31" i="21" s="1"/>
  <c r="H32" i="21"/>
  <c r="J32" i="21"/>
  <c r="H33" i="21"/>
  <c r="M33" i="21" s="1"/>
  <c r="J33" i="21"/>
  <c r="M32" i="21" l="1"/>
  <c r="M35" i="21" s="1"/>
  <c r="H35" i="21"/>
  <c r="H711" i="16" l="1"/>
  <c r="I24" i="21" l="1"/>
  <c r="G73" i="18"/>
  <c r="F947" i="16" l="1"/>
  <c r="H947" i="16" s="1"/>
  <c r="M947" i="16" s="1"/>
  <c r="F1563" i="16"/>
  <c r="H1563" i="16" s="1"/>
  <c r="M1563" i="16" s="1"/>
  <c r="F1562" i="16"/>
  <c r="H1562" i="16" s="1"/>
  <c r="M1562" i="16" s="1"/>
  <c r="F1561" i="16"/>
  <c r="H1561" i="16" s="1"/>
  <c r="M1561" i="16" s="1"/>
  <c r="F1560" i="16"/>
  <c r="H1560" i="16" s="1"/>
  <c r="M1560" i="16" s="1"/>
  <c r="F1559" i="16"/>
  <c r="L1559" i="16" s="1"/>
  <c r="M1559" i="16" s="1"/>
  <c r="F1558" i="16"/>
  <c r="J1558" i="16" s="1"/>
  <c r="M1558" i="16" s="1"/>
  <c r="E1067" i="16"/>
  <c r="E1065" i="16"/>
  <c r="F992" i="16"/>
  <c r="H992" i="16" s="1"/>
  <c r="M992" i="16" s="1"/>
  <c r="F991" i="16"/>
  <c r="H991" i="16" s="1"/>
  <c r="M991" i="16" s="1"/>
  <c r="F990" i="16"/>
  <c r="H990" i="16" s="1"/>
  <c r="M990" i="16" s="1"/>
  <c r="F989" i="16"/>
  <c r="H989" i="16" s="1"/>
  <c r="M989" i="16" s="1"/>
  <c r="F988" i="16"/>
  <c r="L988" i="16" s="1"/>
  <c r="M988" i="16" s="1"/>
  <c r="F987" i="16"/>
  <c r="J987" i="16" s="1"/>
  <c r="M987" i="16" s="1"/>
  <c r="E946" i="16"/>
  <c r="E944" i="16"/>
  <c r="H715" i="16"/>
  <c r="M715" i="16" s="1"/>
  <c r="E716" i="16"/>
  <c r="E714" i="16"/>
  <c r="F713" i="16" l="1"/>
  <c r="J713" i="16" s="1"/>
  <c r="M713" i="16" s="1"/>
  <c r="F712" i="16"/>
  <c r="F714" i="16" s="1"/>
  <c r="L714" i="16" s="1"/>
  <c r="M714" i="16" s="1"/>
  <c r="E1458" i="16"/>
  <c r="E1454" i="16"/>
  <c r="E1453" i="16"/>
  <c r="E1451" i="16"/>
  <c r="E1447" i="16"/>
  <c r="E858" i="16"/>
  <c r="E854" i="16"/>
  <c r="E1445" i="16"/>
  <c r="E1314" i="16"/>
  <c r="E1310" i="16"/>
  <c r="F1315" i="16"/>
  <c r="F716" i="16" l="1"/>
  <c r="H716" i="16" s="1"/>
  <c r="M716" i="16" s="1"/>
  <c r="F1221" i="16" l="1"/>
  <c r="F1209" i="16" s="1"/>
  <c r="F1215" i="16" l="1"/>
  <c r="H1215" i="16" s="1"/>
  <c r="M1215" i="16" s="1"/>
  <c r="F1210" i="16"/>
  <c r="E961" i="16" l="1"/>
  <c r="E960" i="16"/>
  <c r="E956" i="16"/>
  <c r="E955" i="16"/>
  <c r="E593" i="16" l="1"/>
  <c r="E592" i="16"/>
  <c r="F434" i="16"/>
  <c r="J434" i="16" s="1"/>
  <c r="M434" i="16" s="1"/>
  <c r="F444" i="16"/>
  <c r="J444" i="16" s="1"/>
  <c r="M444" i="16" s="1"/>
  <c r="F372" i="16"/>
  <c r="J372" i="16" s="1"/>
  <c r="M372" i="16" s="1"/>
  <c r="F367" i="16"/>
  <c r="J367" i="16" s="1"/>
  <c r="M367" i="16" s="1"/>
  <c r="F332" i="16"/>
  <c r="J332" i="16" s="1"/>
  <c r="M332" i="16" s="1"/>
  <c r="F323" i="16"/>
  <c r="J323" i="16" s="1"/>
  <c r="M323" i="16" s="1"/>
  <c r="F305" i="16"/>
  <c r="J305" i="16" s="1"/>
  <c r="M305" i="16" s="1"/>
  <c r="F296" i="16"/>
  <c r="J296" i="16" s="1"/>
  <c r="M296" i="16" s="1"/>
  <c r="F287" i="16"/>
  <c r="J287" i="16" s="1"/>
  <c r="M287" i="16" s="1"/>
  <c r="F278" i="16"/>
  <c r="J278" i="16" s="1"/>
  <c r="M278" i="16" s="1"/>
  <c r="F269" i="16"/>
  <c r="J269" i="16" s="1"/>
  <c r="M269" i="16" s="1"/>
  <c r="F260" i="16"/>
  <c r="J260" i="16" s="1"/>
  <c r="M260" i="16" s="1"/>
  <c r="F1556" i="16" l="1"/>
  <c r="H1556" i="16" s="1"/>
  <c r="M1556" i="16" s="1"/>
  <c r="F1555" i="16"/>
  <c r="H1555" i="16" s="1"/>
  <c r="M1555" i="16" s="1"/>
  <c r="F1554" i="16"/>
  <c r="L1554" i="16" s="1"/>
  <c r="M1554" i="16" s="1"/>
  <c r="F1553" i="16"/>
  <c r="J1553" i="16" s="1"/>
  <c r="M1553" i="16" s="1"/>
  <c r="F45" i="16"/>
  <c r="F461" i="16" l="1"/>
  <c r="H461" i="16" s="1"/>
  <c r="M461" i="16" s="1"/>
  <c r="F460" i="16"/>
  <c r="H460" i="16" s="1"/>
  <c r="M460" i="16" s="1"/>
  <c r="F459" i="16"/>
  <c r="L459" i="16" s="1"/>
  <c r="M459" i="16" s="1"/>
  <c r="F458" i="16"/>
  <c r="J458" i="16" s="1"/>
  <c r="M458" i="16" s="1"/>
  <c r="F456" i="16"/>
  <c r="H456" i="16" s="1"/>
  <c r="M456" i="16" s="1"/>
  <c r="E455" i="16"/>
  <c r="F455" i="16" s="1"/>
  <c r="L455" i="16" s="1"/>
  <c r="M455" i="16" s="1"/>
  <c r="E454" i="16"/>
  <c r="F454" i="16" s="1"/>
  <c r="J454" i="16" s="1"/>
  <c r="M454" i="16" s="1"/>
  <c r="E733" i="16"/>
  <c r="F490" i="16"/>
  <c r="H490" i="16" s="1"/>
  <c r="M490" i="16" s="1"/>
  <c r="F489" i="16"/>
  <c r="H489" i="16" s="1"/>
  <c r="M489" i="16" s="1"/>
  <c r="F488" i="16"/>
  <c r="L488" i="16" s="1"/>
  <c r="M488" i="16" s="1"/>
  <c r="F487" i="16"/>
  <c r="J487" i="16" s="1"/>
  <c r="M487" i="16" s="1"/>
  <c r="F1437" i="16"/>
  <c r="F1442" i="16" s="1"/>
  <c r="H1442" i="16" s="1"/>
  <c r="M1442" i="16" s="1"/>
  <c r="F1474" i="16"/>
  <c r="F1477" i="16" s="1"/>
  <c r="H1477" i="16" s="1"/>
  <c r="M1477" i="16" s="1"/>
  <c r="E1481" i="16"/>
  <c r="E1480" i="16"/>
  <c r="E1478" i="16"/>
  <c r="D1477" i="16"/>
  <c r="E1476" i="16"/>
  <c r="F36" i="16"/>
  <c r="F656" i="16"/>
  <c r="F1452" i="16"/>
  <c r="F1445" i="16"/>
  <c r="E1433" i="16"/>
  <c r="H1418" i="16"/>
  <c r="M1418" i="16" s="1"/>
  <c r="E1406" i="16"/>
  <c r="F1427" i="16" s="1"/>
  <c r="H1427" i="16" s="1"/>
  <c r="M1427" i="16" s="1"/>
  <c r="M1410" i="16"/>
  <c r="M1411" i="16"/>
  <c r="M1429" i="16"/>
  <c r="E1397" i="16"/>
  <c r="F1422" i="16" s="1"/>
  <c r="H1422" i="16" s="1"/>
  <c r="M1422" i="16" s="1"/>
  <c r="E1377" i="16"/>
  <c r="E1405" i="16"/>
  <c r="F1426" i="16" s="1"/>
  <c r="H1426" i="16" s="1"/>
  <c r="M1426" i="16" s="1"/>
  <c r="E1404" i="16"/>
  <c r="E1403" i="16"/>
  <c r="F1425" i="16" s="1"/>
  <c r="H1425" i="16" s="1"/>
  <c r="M1425" i="16" s="1"/>
  <c r="E1402" i="16"/>
  <c r="E1401" i="16"/>
  <c r="F1424" i="16" s="1"/>
  <c r="H1424" i="16" s="1"/>
  <c r="M1424" i="16" s="1"/>
  <c r="E1400" i="16"/>
  <c r="E1399" i="16"/>
  <c r="F1423" i="16" s="1"/>
  <c r="H1423" i="16" s="1"/>
  <c r="M1423" i="16" s="1"/>
  <c r="E1398" i="16"/>
  <c r="E1396" i="16"/>
  <c r="E1395" i="16"/>
  <c r="F1421" i="16" s="1"/>
  <c r="H1421" i="16" s="1"/>
  <c r="M1421" i="16" s="1"/>
  <c r="E1394" i="16"/>
  <c r="E1393" i="16"/>
  <c r="F1420" i="16" s="1"/>
  <c r="H1420" i="16" s="1"/>
  <c r="M1420" i="16" s="1"/>
  <c r="E1392" i="16"/>
  <c r="E1391" i="16"/>
  <c r="F1419" i="16" s="1"/>
  <c r="H1419" i="16" s="1"/>
  <c r="M1419" i="16" s="1"/>
  <c r="E1390" i="16"/>
  <c r="E1388" i="16"/>
  <c r="F1417" i="16" s="1"/>
  <c r="H1417" i="16" s="1"/>
  <c r="M1417" i="16" s="1"/>
  <c r="E1387" i="16"/>
  <c r="E1386" i="16"/>
  <c r="F1416" i="16" s="1"/>
  <c r="H1416" i="16" s="1"/>
  <c r="M1416" i="16" s="1"/>
  <c r="E1385" i="16"/>
  <c r="E1384" i="16"/>
  <c r="F1415" i="16" s="1"/>
  <c r="H1415" i="16" s="1"/>
  <c r="M1415" i="16" s="1"/>
  <c r="E1383" i="16"/>
  <c r="E1382" i="16"/>
  <c r="F1414" i="16" s="1"/>
  <c r="H1414" i="16" s="1"/>
  <c r="M1414" i="16" s="1"/>
  <c r="E1381" i="16"/>
  <c r="E1380" i="16"/>
  <c r="F1413" i="16" s="1"/>
  <c r="H1413" i="16" s="1"/>
  <c r="M1413" i="16" s="1"/>
  <c r="E1379" i="16"/>
  <c r="E1378" i="16"/>
  <c r="F1374" i="16"/>
  <c r="H1374" i="16" s="1"/>
  <c r="M1374" i="16" s="1"/>
  <c r="F1373" i="16"/>
  <c r="H1373" i="16" s="1"/>
  <c r="M1373" i="16" s="1"/>
  <c r="F1366" i="16"/>
  <c r="F1370" i="16" s="1"/>
  <c r="H1370" i="16" s="1"/>
  <c r="M1370" i="16" s="1"/>
  <c r="E1371" i="16"/>
  <c r="F1361" i="16"/>
  <c r="F1362" i="16" s="1"/>
  <c r="J1362" i="16" s="1"/>
  <c r="M1362" i="16" s="1"/>
  <c r="F1356" i="16"/>
  <c r="F1360" i="16" s="1"/>
  <c r="H1360" i="16" s="1"/>
  <c r="M1360" i="16" s="1"/>
  <c r="E1359" i="16"/>
  <c r="F1354" i="16"/>
  <c r="F1355" i="16" s="1"/>
  <c r="J1355" i="16" s="1"/>
  <c r="M1355" i="16" s="1"/>
  <c r="F1455" i="16" l="1"/>
  <c r="H1455" i="16" s="1"/>
  <c r="M1455" i="16" s="1"/>
  <c r="F1457" i="16"/>
  <c r="H1457" i="16" s="1"/>
  <c r="M1457" i="16" s="1"/>
  <c r="F1456" i="16"/>
  <c r="H1456" i="16" s="1"/>
  <c r="M1456" i="16" s="1"/>
  <c r="F1454" i="16"/>
  <c r="L1454" i="16" s="1"/>
  <c r="M1454" i="16" s="1"/>
  <c r="F1458" i="16"/>
  <c r="H1458" i="16" s="1"/>
  <c r="M1458" i="16" s="1"/>
  <c r="F1453" i="16"/>
  <c r="J1453" i="16" s="1"/>
  <c r="M1453" i="16" s="1"/>
  <c r="F1448" i="16"/>
  <c r="H1448" i="16" s="1"/>
  <c r="M1448" i="16" s="1"/>
  <c r="F1449" i="16"/>
  <c r="H1449" i="16" s="1"/>
  <c r="M1449" i="16" s="1"/>
  <c r="F1450" i="16"/>
  <c r="H1450" i="16" s="1"/>
  <c r="M1450" i="16" s="1"/>
  <c r="F1446" i="16"/>
  <c r="J1446" i="16" s="1"/>
  <c r="M1446" i="16" s="1"/>
  <c r="F1451" i="16"/>
  <c r="H1451" i="16" s="1"/>
  <c r="M1451" i="16" s="1"/>
  <c r="F1447" i="16"/>
  <c r="L1447" i="16" s="1"/>
  <c r="M1447" i="16" s="1"/>
  <c r="F1459" i="16"/>
  <c r="F1466" i="16"/>
  <c r="F1479" i="16"/>
  <c r="F1475" i="16"/>
  <c r="J1475" i="16" s="1"/>
  <c r="M1475" i="16" s="1"/>
  <c r="F1476" i="16"/>
  <c r="L1476" i="16" s="1"/>
  <c r="M1476" i="16" s="1"/>
  <c r="F1478" i="16"/>
  <c r="H1478" i="16" s="1"/>
  <c r="M1478" i="16" s="1"/>
  <c r="F1407" i="16"/>
  <c r="F1409" i="16" s="1"/>
  <c r="L1409" i="16" s="1"/>
  <c r="M1409" i="16" s="1"/>
  <c r="F1431" i="16"/>
  <c r="F1435" i="16" s="1"/>
  <c r="H1435" i="16" s="1"/>
  <c r="M1435" i="16" s="1"/>
  <c r="F1412" i="16"/>
  <c r="H1412" i="16" s="1"/>
  <c r="M1412" i="16" s="1"/>
  <c r="F1371" i="16"/>
  <c r="H1371" i="16" s="1"/>
  <c r="M1371" i="16" s="1"/>
  <c r="F1368" i="16"/>
  <c r="L1368" i="16" s="1"/>
  <c r="M1368" i="16" s="1"/>
  <c r="F1439" i="16"/>
  <c r="L1439" i="16" s="1"/>
  <c r="M1439" i="16" s="1"/>
  <c r="F1443" i="16"/>
  <c r="H1443" i="16" s="1"/>
  <c r="M1443" i="16" s="1"/>
  <c r="F1441" i="16"/>
  <c r="H1441" i="16" s="1"/>
  <c r="M1441" i="16" s="1"/>
  <c r="F1440" i="16"/>
  <c r="H1440" i="16" s="1"/>
  <c r="M1440" i="16" s="1"/>
  <c r="F1444" i="16"/>
  <c r="H1444" i="16" s="1"/>
  <c r="M1444" i="16" s="1"/>
  <c r="F1438" i="16"/>
  <c r="J1438" i="16" s="1"/>
  <c r="M1438" i="16" s="1"/>
  <c r="F1369" i="16"/>
  <c r="H1369" i="16" s="1"/>
  <c r="M1369" i="16" s="1"/>
  <c r="F1372" i="16"/>
  <c r="H1372" i="16" s="1"/>
  <c r="M1372" i="16" s="1"/>
  <c r="F1357" i="16"/>
  <c r="J1357" i="16" s="1"/>
  <c r="M1357" i="16" s="1"/>
  <c r="F1367" i="16"/>
  <c r="J1367" i="16" s="1"/>
  <c r="M1367" i="16" s="1"/>
  <c r="F1363" i="16"/>
  <c r="L1363" i="16" s="1"/>
  <c r="M1363" i="16" s="1"/>
  <c r="F1364" i="16"/>
  <c r="H1364" i="16" s="1"/>
  <c r="M1364" i="16" s="1"/>
  <c r="F1365" i="16"/>
  <c r="H1365" i="16" s="1"/>
  <c r="M1365" i="16" s="1"/>
  <c r="F1358" i="16"/>
  <c r="L1358" i="16" s="1"/>
  <c r="M1358" i="16" s="1"/>
  <c r="F1359" i="16"/>
  <c r="H1359" i="16" s="1"/>
  <c r="M1359" i="16" s="1"/>
  <c r="F119" i="19"/>
  <c r="F68" i="16"/>
  <c r="F49" i="16"/>
  <c r="L49" i="16" s="1"/>
  <c r="F1470" i="16" l="1"/>
  <c r="H1470" i="16" s="1"/>
  <c r="M1470" i="16" s="1"/>
  <c r="F1472" i="16"/>
  <c r="H1472" i="16" s="1"/>
  <c r="M1472" i="16" s="1"/>
  <c r="F1469" i="16"/>
  <c r="H1469" i="16" s="1"/>
  <c r="M1469" i="16" s="1"/>
  <c r="F1471" i="16"/>
  <c r="F1468" i="16"/>
  <c r="L1468" i="16" s="1"/>
  <c r="M1468" i="16" s="1"/>
  <c r="F1473" i="16"/>
  <c r="H1473" i="16" s="1"/>
  <c r="M1473" i="16" s="1"/>
  <c r="F1467" i="16"/>
  <c r="J1467" i="16" s="1"/>
  <c r="M1467" i="16" s="1"/>
  <c r="F1465" i="16"/>
  <c r="H1465" i="16" s="1"/>
  <c r="M1465" i="16" s="1"/>
  <c r="F1462" i="16"/>
  <c r="H1462" i="16" s="1"/>
  <c r="M1462" i="16" s="1"/>
  <c r="F1461" i="16"/>
  <c r="L1461" i="16" s="1"/>
  <c r="M1461" i="16" s="1"/>
  <c r="F1463" i="16"/>
  <c r="H1463" i="16" s="1"/>
  <c r="M1463" i="16" s="1"/>
  <c r="F1464" i="16"/>
  <c r="H1464" i="16" s="1"/>
  <c r="M1464" i="16" s="1"/>
  <c r="F1460" i="16"/>
  <c r="J1460" i="16" s="1"/>
  <c r="M1460" i="16" s="1"/>
  <c r="F1428" i="16"/>
  <c r="H1428" i="16" s="1"/>
  <c r="M1428" i="16" s="1"/>
  <c r="F1408" i="16"/>
  <c r="J1408" i="16" s="1"/>
  <c r="M1408" i="16" s="1"/>
  <c r="F1482" i="16"/>
  <c r="H1482" i="16" s="1"/>
  <c r="M1482" i="16" s="1"/>
  <c r="F1484" i="16"/>
  <c r="H1484" i="16" s="1"/>
  <c r="M1484" i="16" s="1"/>
  <c r="F1481" i="16"/>
  <c r="L1481" i="16" s="1"/>
  <c r="M1481" i="16" s="1"/>
  <c r="F1480" i="16"/>
  <c r="J1480" i="16" s="1"/>
  <c r="M1480" i="16" s="1"/>
  <c r="F1483" i="16"/>
  <c r="H1483" i="16" s="1"/>
  <c r="M1483" i="16" s="1"/>
  <c r="F1432" i="16"/>
  <c r="J1432" i="16" s="1"/>
  <c r="M1432" i="16" s="1"/>
  <c r="F1430" i="16"/>
  <c r="H1430" i="16" s="1"/>
  <c r="M1430" i="16" s="1"/>
  <c r="F1429" i="16"/>
  <c r="F1436" i="16"/>
  <c r="H1436" i="16" s="1"/>
  <c r="M1436" i="16" s="1"/>
  <c r="F1433" i="16"/>
  <c r="L1433" i="16" s="1"/>
  <c r="M1433" i="16" s="1"/>
  <c r="F1434" i="16"/>
  <c r="H1434" i="16" s="1"/>
  <c r="M1434" i="16" s="1"/>
  <c r="M49" i="16"/>
  <c r="F38" i="16" l="1"/>
  <c r="L38" i="16" s="1"/>
  <c r="M38" i="16" s="1"/>
  <c r="F33" i="16"/>
  <c r="F1007" i="16" s="1"/>
  <c r="E1551" i="16"/>
  <c r="H1550" i="16"/>
  <c r="M1550" i="16" s="1"/>
  <c r="F1549" i="16"/>
  <c r="H1549" i="16" s="1"/>
  <c r="M1549" i="16" s="1"/>
  <c r="F1548" i="16"/>
  <c r="H1548" i="16" s="1"/>
  <c r="M1548" i="16" s="1"/>
  <c r="F1547" i="16"/>
  <c r="H1547" i="16" s="1"/>
  <c r="M1547" i="16" s="1"/>
  <c r="F1543" i="16"/>
  <c r="F1544" i="16" s="1"/>
  <c r="J1544" i="16" s="1"/>
  <c r="M1544" i="16" s="1"/>
  <c r="F1538" i="16"/>
  <c r="H1538" i="16" s="1"/>
  <c r="M1538" i="16" s="1"/>
  <c r="H1537" i="16"/>
  <c r="M1537" i="16" s="1"/>
  <c r="F1536" i="16"/>
  <c r="H1536" i="16" s="1"/>
  <c r="M1536" i="16" s="1"/>
  <c r="F1535" i="16"/>
  <c r="H1535" i="16" s="1"/>
  <c r="M1535" i="16" s="1"/>
  <c r="E1534" i="16"/>
  <c r="F1534" i="16" s="1"/>
  <c r="H1534" i="16" s="1"/>
  <c r="M1534" i="16" s="1"/>
  <c r="E1533" i="16"/>
  <c r="F1533" i="16" s="1"/>
  <c r="H1533" i="16" s="1"/>
  <c r="M1533" i="16" s="1"/>
  <c r="E1532" i="16"/>
  <c r="F1532" i="16" s="1"/>
  <c r="H1532" i="16" s="1"/>
  <c r="M1532" i="16" s="1"/>
  <c r="F1531" i="16"/>
  <c r="L1531" i="16" s="1"/>
  <c r="M1531" i="16" s="1"/>
  <c r="F1530" i="16"/>
  <c r="J1530" i="16" s="1"/>
  <c r="M1530" i="16" s="1"/>
  <c r="F1528" i="16"/>
  <c r="H1528" i="16" s="1"/>
  <c r="M1528" i="16" s="1"/>
  <c r="F1527" i="16"/>
  <c r="H1527" i="16" s="1"/>
  <c r="M1527" i="16" s="1"/>
  <c r="F1526" i="16"/>
  <c r="H1526" i="16" s="1"/>
  <c r="M1526" i="16" s="1"/>
  <c r="F1525" i="16"/>
  <c r="H1525" i="16" s="1"/>
  <c r="M1525" i="16" s="1"/>
  <c r="E1524" i="16"/>
  <c r="F1524" i="16" s="1"/>
  <c r="H1524" i="16" s="1"/>
  <c r="M1524" i="16" s="1"/>
  <c r="E1523" i="16"/>
  <c r="F1523" i="16" s="1"/>
  <c r="H1523" i="16" s="1"/>
  <c r="M1523" i="16" s="1"/>
  <c r="E1522" i="16"/>
  <c r="F1522" i="16" s="1"/>
  <c r="H1522" i="16" s="1"/>
  <c r="M1522" i="16" s="1"/>
  <c r="F1521" i="16"/>
  <c r="L1521" i="16" s="1"/>
  <c r="M1521" i="16" s="1"/>
  <c r="F1520" i="16"/>
  <c r="J1520" i="16" s="1"/>
  <c r="M1520" i="16" s="1"/>
  <c r="F1518" i="16"/>
  <c r="H1518" i="16" s="1"/>
  <c r="M1518" i="16" s="1"/>
  <c r="H1517" i="16"/>
  <c r="M1517" i="16" s="1"/>
  <c r="F1516" i="16"/>
  <c r="H1516" i="16" s="1"/>
  <c r="M1516" i="16" s="1"/>
  <c r="F1515" i="16"/>
  <c r="H1515" i="16" s="1"/>
  <c r="M1515" i="16" s="1"/>
  <c r="E1514" i="16"/>
  <c r="F1514" i="16" s="1"/>
  <c r="H1514" i="16" s="1"/>
  <c r="M1514" i="16" s="1"/>
  <c r="E1513" i="16"/>
  <c r="F1513" i="16" s="1"/>
  <c r="H1513" i="16" s="1"/>
  <c r="M1513" i="16" s="1"/>
  <c r="E1512" i="16"/>
  <c r="F1512" i="16" s="1"/>
  <c r="H1512" i="16" s="1"/>
  <c r="M1512" i="16" s="1"/>
  <c r="F1511" i="16"/>
  <c r="L1511" i="16" s="1"/>
  <c r="M1511" i="16" s="1"/>
  <c r="F1510" i="16"/>
  <c r="J1510" i="16" s="1"/>
  <c r="M1510" i="16" s="1"/>
  <c r="F1508" i="16"/>
  <c r="H1508" i="16" s="1"/>
  <c r="M1508" i="16" s="1"/>
  <c r="F1507" i="16"/>
  <c r="H1507" i="16" s="1"/>
  <c r="M1507" i="16" s="1"/>
  <c r="F1506" i="16"/>
  <c r="H1506" i="16" s="1"/>
  <c r="M1506" i="16" s="1"/>
  <c r="F1505" i="16"/>
  <c r="H1505" i="16" s="1"/>
  <c r="M1505" i="16" s="1"/>
  <c r="E1504" i="16"/>
  <c r="F1504" i="16" s="1"/>
  <c r="H1504" i="16" s="1"/>
  <c r="M1504" i="16" s="1"/>
  <c r="E1503" i="16"/>
  <c r="F1503" i="16" s="1"/>
  <c r="H1503" i="16" s="1"/>
  <c r="M1503" i="16" s="1"/>
  <c r="E1502" i="16"/>
  <c r="F1502" i="16" s="1"/>
  <c r="H1502" i="16" s="1"/>
  <c r="M1502" i="16" s="1"/>
  <c r="F1501" i="16"/>
  <c r="L1501" i="16" s="1"/>
  <c r="M1501" i="16" s="1"/>
  <c r="F1500" i="16"/>
  <c r="J1500" i="16" s="1"/>
  <c r="M1500" i="16" s="1"/>
  <c r="L1075" i="16"/>
  <c r="J1075" i="16"/>
  <c r="F1069" i="16"/>
  <c r="F589" i="16"/>
  <c r="F579" i="16"/>
  <c r="F565" i="16"/>
  <c r="F535" i="16"/>
  <c r="F528" i="16"/>
  <c r="E517" i="16"/>
  <c r="F518" i="16" s="1"/>
  <c r="F500" i="16"/>
  <c r="H500" i="16" s="1"/>
  <c r="M500" i="16" s="1"/>
  <c r="F499" i="16"/>
  <c r="H499" i="16" s="1"/>
  <c r="M499" i="16" s="1"/>
  <c r="E496" i="16"/>
  <c r="F496" i="16" s="1"/>
  <c r="H496" i="16" s="1"/>
  <c r="M496" i="16" s="1"/>
  <c r="F498" i="16"/>
  <c r="H498" i="16" s="1"/>
  <c r="M498" i="16" s="1"/>
  <c r="F497" i="16"/>
  <c r="H497" i="16" s="1"/>
  <c r="M497" i="16" s="1"/>
  <c r="F495" i="16"/>
  <c r="H495" i="16" s="1"/>
  <c r="M495" i="16" s="1"/>
  <c r="F494" i="16"/>
  <c r="H494" i="16" s="1"/>
  <c r="M494" i="16" s="1"/>
  <c r="F493" i="16"/>
  <c r="L493" i="16" s="1"/>
  <c r="M493" i="16" s="1"/>
  <c r="F492" i="16"/>
  <c r="J492" i="16" s="1"/>
  <c r="M492" i="16" s="1"/>
  <c r="F542" i="16"/>
  <c r="F485" i="16"/>
  <c r="H485" i="16" s="1"/>
  <c r="M485" i="16" s="1"/>
  <c r="F484" i="16"/>
  <c r="H484" i="16" s="1"/>
  <c r="M484" i="16" s="1"/>
  <c r="F481" i="16"/>
  <c r="H481" i="16" s="1"/>
  <c r="M481" i="16" s="1"/>
  <c r="E480" i="16"/>
  <c r="F480" i="16" s="1"/>
  <c r="H480" i="16" s="1"/>
  <c r="M480" i="16" s="1"/>
  <c r="F483" i="16"/>
  <c r="H483" i="16" s="1"/>
  <c r="M483" i="16" s="1"/>
  <c r="F482" i="16"/>
  <c r="H482" i="16" s="1"/>
  <c r="M482" i="16" s="1"/>
  <c r="F479" i="16"/>
  <c r="H479" i="16" s="1"/>
  <c r="M479" i="16" s="1"/>
  <c r="F478" i="16"/>
  <c r="H478" i="16" s="1"/>
  <c r="M478" i="16" s="1"/>
  <c r="F477" i="16"/>
  <c r="L477" i="16" s="1"/>
  <c r="M477" i="16" s="1"/>
  <c r="F476" i="16"/>
  <c r="J476" i="16" s="1"/>
  <c r="M476" i="16" s="1"/>
  <c r="F451" i="16"/>
  <c r="H451" i="16" s="1"/>
  <c r="M451" i="16" s="1"/>
  <c r="F452" i="16"/>
  <c r="H452" i="16" s="1"/>
  <c r="M452" i="16" s="1"/>
  <c r="F450" i="16"/>
  <c r="H450" i="16" s="1"/>
  <c r="M450" i="16" s="1"/>
  <c r="F449" i="16"/>
  <c r="H449" i="16" s="1"/>
  <c r="M449" i="16" s="1"/>
  <c r="E448" i="16"/>
  <c r="F448" i="16" s="1"/>
  <c r="H448" i="16" s="1"/>
  <c r="M448" i="16" s="1"/>
  <c r="E447" i="16"/>
  <c r="F447" i="16" s="1"/>
  <c r="H447" i="16" s="1"/>
  <c r="M447" i="16" s="1"/>
  <c r="E446" i="16"/>
  <c r="F446" i="16" s="1"/>
  <c r="H446" i="16" s="1"/>
  <c r="M446" i="16" s="1"/>
  <c r="F445" i="16"/>
  <c r="L445" i="16" s="1"/>
  <c r="M445" i="16" s="1"/>
  <c r="F422" i="16"/>
  <c r="H422" i="16" s="1"/>
  <c r="M422" i="16" s="1"/>
  <c r="F421" i="16"/>
  <c r="H421" i="16" s="1"/>
  <c r="M421" i="16" s="1"/>
  <c r="F441" i="16"/>
  <c r="H441" i="16" s="1"/>
  <c r="M441" i="16" s="1"/>
  <c r="F442" i="16"/>
  <c r="H442" i="16" s="1"/>
  <c r="M442" i="16" s="1"/>
  <c r="F440" i="16"/>
  <c r="H440" i="16" s="1"/>
  <c r="M440" i="16" s="1"/>
  <c r="F439" i="16"/>
  <c r="H439" i="16" s="1"/>
  <c r="M439" i="16" s="1"/>
  <c r="E438" i="16"/>
  <c r="F438" i="16" s="1"/>
  <c r="H438" i="16" s="1"/>
  <c r="M438" i="16" s="1"/>
  <c r="E437" i="16"/>
  <c r="F437" i="16" s="1"/>
  <c r="H437" i="16" s="1"/>
  <c r="M437" i="16" s="1"/>
  <c r="E436" i="16"/>
  <c r="F436" i="16" s="1"/>
  <c r="H436" i="16" s="1"/>
  <c r="M436" i="16" s="1"/>
  <c r="F435" i="16"/>
  <c r="L435" i="16" s="1"/>
  <c r="M435" i="16" s="1"/>
  <c r="F432" i="16"/>
  <c r="H432" i="16" s="1"/>
  <c r="M432" i="16" s="1"/>
  <c r="F431" i="16"/>
  <c r="H431" i="16" s="1"/>
  <c r="M431" i="16" s="1"/>
  <c r="F430" i="16"/>
  <c r="H430" i="16" s="1"/>
  <c r="M430" i="16" s="1"/>
  <c r="F429" i="16"/>
  <c r="H429" i="16" s="1"/>
  <c r="M429" i="16" s="1"/>
  <c r="E428" i="16"/>
  <c r="F428" i="16" s="1"/>
  <c r="H428" i="16" s="1"/>
  <c r="M428" i="16" s="1"/>
  <c r="E427" i="16"/>
  <c r="F427" i="16" s="1"/>
  <c r="H427" i="16" s="1"/>
  <c r="M427" i="16" s="1"/>
  <c r="E426" i="16"/>
  <c r="F426" i="16" s="1"/>
  <c r="H426" i="16" s="1"/>
  <c r="M426" i="16" s="1"/>
  <c r="F425" i="16"/>
  <c r="L425" i="16" s="1"/>
  <c r="M425" i="16" s="1"/>
  <c r="F424" i="16"/>
  <c r="J424" i="16" s="1"/>
  <c r="M424" i="16" s="1"/>
  <c r="F420" i="16"/>
  <c r="H420" i="16" s="1"/>
  <c r="M420" i="16" s="1"/>
  <c r="F419" i="16"/>
  <c r="H419" i="16" s="1"/>
  <c r="M419" i="16" s="1"/>
  <c r="E418" i="16"/>
  <c r="F418" i="16" s="1"/>
  <c r="H418" i="16" s="1"/>
  <c r="M418" i="16" s="1"/>
  <c r="E417" i="16"/>
  <c r="F417" i="16" s="1"/>
  <c r="H417" i="16" s="1"/>
  <c r="M417" i="16" s="1"/>
  <c r="E416" i="16"/>
  <c r="F416" i="16" s="1"/>
  <c r="H416" i="16" s="1"/>
  <c r="M416" i="16" s="1"/>
  <c r="F415" i="16"/>
  <c r="L415" i="16" s="1"/>
  <c r="M415" i="16" s="1"/>
  <c r="F414" i="16"/>
  <c r="J414" i="16" s="1"/>
  <c r="M414" i="16" s="1"/>
  <c r="F390" i="16"/>
  <c r="H390" i="16" s="1"/>
  <c r="M390" i="16" s="1"/>
  <c r="F389" i="16"/>
  <c r="H389" i="16" s="1"/>
  <c r="M389" i="16" s="1"/>
  <c r="F387" i="16"/>
  <c r="H387" i="16" s="1"/>
  <c r="M387" i="16" s="1"/>
  <c r="F388" i="16"/>
  <c r="H388" i="16" s="1"/>
  <c r="M388" i="16" s="1"/>
  <c r="F386" i="16"/>
  <c r="H386" i="16" s="1"/>
  <c r="M386" i="16" s="1"/>
  <c r="E385" i="16"/>
  <c r="F385" i="16" s="1"/>
  <c r="H385" i="16" s="1"/>
  <c r="M385" i="16" s="1"/>
  <c r="F384" i="16"/>
  <c r="H384" i="16" s="1"/>
  <c r="M384" i="16" s="1"/>
  <c r="F383" i="16"/>
  <c r="H383" i="16" s="1"/>
  <c r="M383" i="16" s="1"/>
  <c r="F382" i="16"/>
  <c r="L382" i="16" s="1"/>
  <c r="M382" i="16" s="1"/>
  <c r="F381" i="16"/>
  <c r="J381" i="16" s="1"/>
  <c r="M381" i="16" s="1"/>
  <c r="F411" i="16"/>
  <c r="H411" i="16" s="1"/>
  <c r="M411" i="16" s="1"/>
  <c r="F410" i="16"/>
  <c r="H410" i="16" s="1"/>
  <c r="M410" i="16" s="1"/>
  <c r="F401" i="16"/>
  <c r="H401" i="16" s="1"/>
  <c r="M401" i="16" s="1"/>
  <c r="F400" i="16"/>
  <c r="H400" i="16" s="1"/>
  <c r="M400" i="16" s="1"/>
  <c r="F399" i="16"/>
  <c r="L399" i="16" s="1"/>
  <c r="M399" i="16" s="1"/>
  <c r="F398" i="16"/>
  <c r="J398" i="16" s="1"/>
  <c r="M398" i="16" s="1"/>
  <c r="F396" i="16"/>
  <c r="H396" i="16" s="1"/>
  <c r="M396" i="16" s="1"/>
  <c r="E395" i="16"/>
  <c r="F395" i="16" s="1"/>
  <c r="H395" i="16" s="1"/>
  <c r="M395" i="16" s="1"/>
  <c r="F394" i="16"/>
  <c r="L394" i="16" s="1"/>
  <c r="M394" i="16" s="1"/>
  <c r="F393" i="16"/>
  <c r="J393" i="16" s="1"/>
  <c r="M393" i="16" s="1"/>
  <c r="F409" i="16"/>
  <c r="H409" i="16" s="1"/>
  <c r="M409" i="16" s="1"/>
  <c r="F408" i="16"/>
  <c r="H408" i="16" s="1"/>
  <c r="M408" i="16" s="1"/>
  <c r="E407" i="16"/>
  <c r="F407" i="16" s="1"/>
  <c r="H407" i="16" s="1"/>
  <c r="M407" i="16" s="1"/>
  <c r="E406" i="16"/>
  <c r="F406" i="16" s="1"/>
  <c r="H406" i="16" s="1"/>
  <c r="M406" i="16" s="1"/>
  <c r="E405" i="16"/>
  <c r="F405" i="16" s="1"/>
  <c r="H405" i="16" s="1"/>
  <c r="M405" i="16" s="1"/>
  <c r="F404" i="16"/>
  <c r="L404" i="16" s="1"/>
  <c r="M404" i="16" s="1"/>
  <c r="F403" i="16"/>
  <c r="J403" i="16" s="1"/>
  <c r="M403" i="16" s="1"/>
  <c r="F379" i="16"/>
  <c r="H379" i="16" s="1"/>
  <c r="M379" i="16" s="1"/>
  <c r="F378" i="16"/>
  <c r="H378" i="16" s="1"/>
  <c r="M378" i="16" s="1"/>
  <c r="F359" i="16"/>
  <c r="H359" i="16" s="1"/>
  <c r="M359" i="16" s="1"/>
  <c r="F358" i="16"/>
  <c r="H358" i="16" s="1"/>
  <c r="M358" i="16" s="1"/>
  <c r="F377" i="16"/>
  <c r="H377" i="16" s="1"/>
  <c r="M377" i="16" s="1"/>
  <c r="E376" i="16"/>
  <c r="F376" i="16" s="1"/>
  <c r="H376" i="16" s="1"/>
  <c r="M376" i="16" s="1"/>
  <c r="E375" i="16"/>
  <c r="F375" i="16" s="1"/>
  <c r="H375" i="16" s="1"/>
  <c r="M375" i="16" s="1"/>
  <c r="E374" i="16"/>
  <c r="F374" i="16" s="1"/>
  <c r="H374" i="16" s="1"/>
  <c r="M374" i="16" s="1"/>
  <c r="E373" i="16"/>
  <c r="F373" i="16" s="1"/>
  <c r="L373" i="16" s="1"/>
  <c r="M373" i="16" s="1"/>
  <c r="F370" i="16"/>
  <c r="H370" i="16" s="1"/>
  <c r="M370" i="16" s="1"/>
  <c r="F369" i="16"/>
  <c r="H369" i="16" s="1"/>
  <c r="M369" i="16" s="1"/>
  <c r="F368" i="16"/>
  <c r="L368" i="16" s="1"/>
  <c r="M368" i="16" s="1"/>
  <c r="F365" i="16"/>
  <c r="H365" i="16" s="1"/>
  <c r="M365" i="16" s="1"/>
  <c r="E364" i="16"/>
  <c r="F364" i="16" s="1"/>
  <c r="H364" i="16" s="1"/>
  <c r="M364" i="16" s="1"/>
  <c r="F363" i="16"/>
  <c r="L363" i="16" s="1"/>
  <c r="M363" i="16" s="1"/>
  <c r="F362" i="16"/>
  <c r="J362" i="16" s="1"/>
  <c r="M362" i="16" s="1"/>
  <c r="F357" i="16"/>
  <c r="H357" i="16" s="1"/>
  <c r="M357" i="16" s="1"/>
  <c r="E356" i="16"/>
  <c r="F356" i="16" s="1"/>
  <c r="H356" i="16" s="1"/>
  <c r="M356" i="16" s="1"/>
  <c r="E355" i="16"/>
  <c r="F355" i="16" s="1"/>
  <c r="H355" i="16" s="1"/>
  <c r="M355" i="16" s="1"/>
  <c r="E354" i="16"/>
  <c r="F354" i="16" s="1"/>
  <c r="H354" i="16" s="1"/>
  <c r="M354" i="16" s="1"/>
  <c r="E353" i="16"/>
  <c r="F353" i="16" s="1"/>
  <c r="L353" i="16" s="1"/>
  <c r="M353" i="16" s="1"/>
  <c r="F352" i="16"/>
  <c r="J352" i="16" s="1"/>
  <c r="M352" i="16" s="1"/>
  <c r="F350" i="16"/>
  <c r="H350" i="16" s="1"/>
  <c r="M350" i="16" s="1"/>
  <c r="F349" i="16"/>
  <c r="H349" i="16" s="1"/>
  <c r="M349" i="16" s="1"/>
  <c r="F348" i="16"/>
  <c r="L348" i="16" s="1"/>
  <c r="M348" i="16" s="1"/>
  <c r="F347" i="16"/>
  <c r="J347" i="16" s="1"/>
  <c r="M347" i="16" s="1"/>
  <c r="F345" i="16"/>
  <c r="H345" i="16" s="1"/>
  <c r="M345" i="16" s="1"/>
  <c r="E344" i="16"/>
  <c r="F344" i="16" s="1"/>
  <c r="H344" i="16" s="1"/>
  <c r="M344" i="16" s="1"/>
  <c r="F343" i="16"/>
  <c r="L343" i="16" s="1"/>
  <c r="M343" i="16" s="1"/>
  <c r="F342" i="16"/>
  <c r="J342" i="16" s="1"/>
  <c r="M342" i="16" s="1"/>
  <c r="F339" i="16"/>
  <c r="H339" i="16" s="1"/>
  <c r="M339" i="16" s="1"/>
  <c r="F338" i="16"/>
  <c r="H338" i="16" s="1"/>
  <c r="M338" i="16" s="1"/>
  <c r="F330" i="16"/>
  <c r="H330" i="16" s="1"/>
  <c r="M330" i="16" s="1"/>
  <c r="F329" i="16"/>
  <c r="H329" i="16" s="1"/>
  <c r="M329" i="16" s="1"/>
  <c r="E336" i="16"/>
  <c r="E335" i="16"/>
  <c r="E334" i="16"/>
  <c r="F337" i="16"/>
  <c r="H337" i="16" s="1"/>
  <c r="M337" i="16" s="1"/>
  <c r="F328" i="16"/>
  <c r="H328" i="16" s="1"/>
  <c r="M328" i="16" s="1"/>
  <c r="E327" i="16"/>
  <c r="F327" i="16" s="1"/>
  <c r="H327" i="16" s="1"/>
  <c r="M327" i="16" s="1"/>
  <c r="E326" i="16"/>
  <c r="F326" i="16" s="1"/>
  <c r="H326" i="16" s="1"/>
  <c r="M326" i="16" s="1"/>
  <c r="E325" i="16"/>
  <c r="F325" i="16" s="1"/>
  <c r="H325" i="16" s="1"/>
  <c r="M325" i="16" s="1"/>
  <c r="F321" i="16"/>
  <c r="H321" i="16" s="1"/>
  <c r="M321" i="16" s="1"/>
  <c r="F320" i="16"/>
  <c r="H320" i="16" s="1"/>
  <c r="M320" i="16" s="1"/>
  <c r="F313" i="16"/>
  <c r="F312" i="16"/>
  <c r="H312" i="16" s="1"/>
  <c r="M312" i="16" s="1"/>
  <c r="F311" i="16"/>
  <c r="H311" i="16" s="1"/>
  <c r="M311" i="16" s="1"/>
  <c r="E318" i="16"/>
  <c r="E317" i="16"/>
  <c r="E316" i="16"/>
  <c r="F310" i="16"/>
  <c r="H310" i="16" s="1"/>
  <c r="M310" i="16" s="1"/>
  <c r="E309" i="16"/>
  <c r="F309" i="16" s="1"/>
  <c r="H309" i="16" s="1"/>
  <c r="M309" i="16" s="1"/>
  <c r="E308" i="16"/>
  <c r="F308" i="16" s="1"/>
  <c r="H308" i="16" s="1"/>
  <c r="M308" i="16" s="1"/>
  <c r="E307" i="16"/>
  <c r="F307" i="16" s="1"/>
  <c r="H307" i="16" s="1"/>
  <c r="M307" i="16" s="1"/>
  <c r="F306" i="16"/>
  <c r="L306" i="16" s="1"/>
  <c r="M306" i="16" s="1"/>
  <c r="F303" i="16"/>
  <c r="H303" i="16" s="1"/>
  <c r="M303" i="16" s="1"/>
  <c r="F302" i="16"/>
  <c r="H302" i="16" s="1"/>
  <c r="M302" i="16" s="1"/>
  <c r="F301" i="16"/>
  <c r="H301" i="16" s="1"/>
  <c r="M301" i="16" s="1"/>
  <c r="E300" i="16"/>
  <c r="F300" i="16" s="1"/>
  <c r="H300" i="16" s="1"/>
  <c r="M300" i="16" s="1"/>
  <c r="E299" i="16"/>
  <c r="F299" i="16" s="1"/>
  <c r="H299" i="16" s="1"/>
  <c r="M299" i="16" s="1"/>
  <c r="E298" i="16"/>
  <c r="F298" i="16" s="1"/>
  <c r="H298" i="16" s="1"/>
  <c r="M298" i="16" s="1"/>
  <c r="F297" i="16"/>
  <c r="L297" i="16" s="1"/>
  <c r="M297" i="16" s="1"/>
  <c r="F294" i="16"/>
  <c r="H294" i="16" s="1"/>
  <c r="M294" i="16" s="1"/>
  <c r="F293" i="16"/>
  <c r="H293" i="16" s="1"/>
  <c r="M293" i="16" s="1"/>
  <c r="F292" i="16"/>
  <c r="H292" i="16" s="1"/>
  <c r="M292" i="16" s="1"/>
  <c r="E291" i="16"/>
  <c r="F291" i="16" s="1"/>
  <c r="H291" i="16" s="1"/>
  <c r="M291" i="16" s="1"/>
  <c r="E290" i="16"/>
  <c r="F290" i="16" s="1"/>
  <c r="H290" i="16" s="1"/>
  <c r="M290" i="16" s="1"/>
  <c r="E289" i="16"/>
  <c r="F289" i="16" s="1"/>
  <c r="H289" i="16" s="1"/>
  <c r="M289" i="16" s="1"/>
  <c r="F288" i="16"/>
  <c r="L288" i="16" s="1"/>
  <c r="M288" i="16" s="1"/>
  <c r="F285" i="16"/>
  <c r="H285" i="16" s="1"/>
  <c r="M285" i="16" s="1"/>
  <c r="F284" i="16"/>
  <c r="H284" i="16" s="1"/>
  <c r="M284" i="16" s="1"/>
  <c r="F283" i="16"/>
  <c r="H283" i="16" s="1"/>
  <c r="M283" i="16" s="1"/>
  <c r="E282" i="16"/>
  <c r="F282" i="16" s="1"/>
  <c r="H282" i="16" s="1"/>
  <c r="M282" i="16" s="1"/>
  <c r="E281" i="16"/>
  <c r="F281" i="16" s="1"/>
  <c r="H281" i="16" s="1"/>
  <c r="M281" i="16" s="1"/>
  <c r="E280" i="16"/>
  <c r="F280" i="16" s="1"/>
  <c r="H280" i="16" s="1"/>
  <c r="M280" i="16" s="1"/>
  <c r="F279" i="16"/>
  <c r="L279" i="16" s="1"/>
  <c r="M279" i="16" s="1"/>
  <c r="F275" i="16"/>
  <c r="H275" i="16" s="1"/>
  <c r="M275" i="16" s="1"/>
  <c r="H276" i="16"/>
  <c r="M276" i="16" s="1"/>
  <c r="F274" i="16"/>
  <c r="H274" i="16" s="1"/>
  <c r="M274" i="16" s="1"/>
  <c r="E273" i="16"/>
  <c r="F273" i="16" s="1"/>
  <c r="H273" i="16" s="1"/>
  <c r="M273" i="16" s="1"/>
  <c r="E272" i="16"/>
  <c r="F272" i="16" s="1"/>
  <c r="H272" i="16" s="1"/>
  <c r="M272" i="16" s="1"/>
  <c r="E271" i="16"/>
  <c r="F271" i="16" s="1"/>
  <c r="H271" i="16" s="1"/>
  <c r="M271" i="16" s="1"/>
  <c r="F270" i="16"/>
  <c r="L270" i="16" s="1"/>
  <c r="M270" i="16" s="1"/>
  <c r="F267" i="16"/>
  <c r="H267" i="16" s="1"/>
  <c r="M267" i="16" s="1"/>
  <c r="F266" i="16"/>
  <c r="H266" i="16" s="1"/>
  <c r="M266" i="16" s="1"/>
  <c r="F265" i="16"/>
  <c r="H265" i="16" s="1"/>
  <c r="M265" i="16" s="1"/>
  <c r="E264" i="16"/>
  <c r="F264" i="16" s="1"/>
  <c r="H264" i="16" s="1"/>
  <c r="M264" i="16" s="1"/>
  <c r="E263" i="16"/>
  <c r="F263" i="16" s="1"/>
  <c r="H263" i="16" s="1"/>
  <c r="M263" i="16" s="1"/>
  <c r="E262" i="16"/>
  <c r="F262" i="16" s="1"/>
  <c r="H262" i="16" s="1"/>
  <c r="M262" i="16" s="1"/>
  <c r="F261" i="16"/>
  <c r="L261" i="16" s="1"/>
  <c r="M261" i="16" s="1"/>
  <c r="F258" i="16"/>
  <c r="H258" i="16" s="1"/>
  <c r="M258" i="16" s="1"/>
  <c r="F257" i="16"/>
  <c r="H257" i="16" s="1"/>
  <c r="M257" i="16" s="1"/>
  <c r="F256" i="16"/>
  <c r="H256" i="16" s="1"/>
  <c r="M256" i="16" s="1"/>
  <c r="E255" i="16"/>
  <c r="F255" i="16" s="1"/>
  <c r="H255" i="16" s="1"/>
  <c r="M255" i="16" s="1"/>
  <c r="E254" i="16"/>
  <c r="F254" i="16" s="1"/>
  <c r="H254" i="16" s="1"/>
  <c r="M254" i="16" s="1"/>
  <c r="E253" i="16"/>
  <c r="F253" i="16" s="1"/>
  <c r="H253" i="16" s="1"/>
  <c r="M253" i="16" s="1"/>
  <c r="F252" i="16"/>
  <c r="L252" i="16" s="1"/>
  <c r="M252" i="16" s="1"/>
  <c r="F251" i="16"/>
  <c r="J251" i="16" s="1"/>
  <c r="M251" i="16" s="1"/>
  <c r="F240" i="16"/>
  <c r="H240" i="16" s="1"/>
  <c r="M240" i="16" s="1"/>
  <c r="F239" i="16"/>
  <c r="H239" i="16" s="1"/>
  <c r="M239" i="16" s="1"/>
  <c r="F248" i="16"/>
  <c r="H248" i="16" s="1"/>
  <c r="M248" i="16" s="1"/>
  <c r="H249" i="16"/>
  <c r="M249" i="16" s="1"/>
  <c r="F247" i="16"/>
  <c r="H247" i="16" s="1"/>
  <c r="M247" i="16" s="1"/>
  <c r="E246" i="16"/>
  <c r="F246" i="16" s="1"/>
  <c r="H246" i="16" s="1"/>
  <c r="M246" i="16" s="1"/>
  <c r="E245" i="16"/>
  <c r="F245" i="16" s="1"/>
  <c r="H245" i="16" s="1"/>
  <c r="M245" i="16" s="1"/>
  <c r="E244" i="16"/>
  <c r="F244" i="16" s="1"/>
  <c r="H244" i="16" s="1"/>
  <c r="M244" i="16" s="1"/>
  <c r="F243" i="16"/>
  <c r="L243" i="16" s="1"/>
  <c r="M243" i="16" s="1"/>
  <c r="F242" i="16"/>
  <c r="J242" i="16" s="1"/>
  <c r="M242" i="16" s="1"/>
  <c r="F238" i="16"/>
  <c r="H238" i="16" s="1"/>
  <c r="M238" i="16" s="1"/>
  <c r="E237" i="16"/>
  <c r="F237" i="16" s="1"/>
  <c r="H237" i="16" s="1"/>
  <c r="M237" i="16" s="1"/>
  <c r="E236" i="16"/>
  <c r="F236" i="16" s="1"/>
  <c r="H236" i="16" s="1"/>
  <c r="M236" i="16" s="1"/>
  <c r="E235" i="16"/>
  <c r="F235" i="16" s="1"/>
  <c r="H235" i="16" s="1"/>
  <c r="M235" i="16" s="1"/>
  <c r="F234" i="16"/>
  <c r="L234" i="16" s="1"/>
  <c r="M234" i="16" s="1"/>
  <c r="F233" i="16"/>
  <c r="J233" i="16" s="1"/>
  <c r="M233" i="16" s="1"/>
  <c r="F230" i="16"/>
  <c r="F222" i="16"/>
  <c r="H222" i="16" s="1"/>
  <c r="M222" i="16" s="1"/>
  <c r="F221" i="16"/>
  <c r="H221" i="16" s="1"/>
  <c r="M221" i="16" s="1"/>
  <c r="F220" i="16"/>
  <c r="L220" i="16" s="1"/>
  <c r="M220" i="16" s="1"/>
  <c r="F219" i="16"/>
  <c r="J219" i="16" s="1"/>
  <c r="M219" i="16" s="1"/>
  <c r="F135" i="16"/>
  <c r="H135" i="16" s="1"/>
  <c r="M135" i="16" s="1"/>
  <c r="E134" i="16"/>
  <c r="F134" i="16" s="1"/>
  <c r="H134" i="16" s="1"/>
  <c r="M134" i="16" s="1"/>
  <c r="F133" i="16"/>
  <c r="L133" i="16" s="1"/>
  <c r="M133" i="16" s="1"/>
  <c r="F132" i="16"/>
  <c r="J132" i="16" s="1"/>
  <c r="M132" i="16" s="1"/>
  <c r="F203" i="16"/>
  <c r="F202" i="16"/>
  <c r="F182" i="16"/>
  <c r="H182" i="16" s="1"/>
  <c r="M182" i="16" s="1"/>
  <c r="F181" i="16"/>
  <c r="H181" i="16" s="1"/>
  <c r="M181" i="16" s="1"/>
  <c r="F89" i="16"/>
  <c r="F88" i="16"/>
  <c r="F120" i="16"/>
  <c r="H120" i="16" s="1"/>
  <c r="M120" i="16" s="1"/>
  <c r="F119" i="16"/>
  <c r="H119" i="16" s="1"/>
  <c r="M119" i="16" s="1"/>
  <c r="F118" i="16"/>
  <c r="L118" i="16" s="1"/>
  <c r="M118" i="16" s="1"/>
  <c r="F117" i="16"/>
  <c r="J117" i="16" s="1"/>
  <c r="M117" i="16" s="1"/>
  <c r="F115" i="16"/>
  <c r="H115" i="16" s="1"/>
  <c r="M115" i="16" s="1"/>
  <c r="E114" i="16"/>
  <c r="F114" i="16" s="1"/>
  <c r="H114" i="16" s="1"/>
  <c r="M114" i="16" s="1"/>
  <c r="F113" i="16"/>
  <c r="L113" i="16" s="1"/>
  <c r="M113" i="16" s="1"/>
  <c r="F112" i="16"/>
  <c r="J112" i="16" s="1"/>
  <c r="M112" i="16" s="1"/>
  <c r="F100" i="16"/>
  <c r="H100" i="16" s="1"/>
  <c r="M100" i="16" s="1"/>
  <c r="F99" i="16"/>
  <c r="H99" i="16" s="1"/>
  <c r="M99" i="16" s="1"/>
  <c r="F98" i="16"/>
  <c r="L98" i="16" s="1"/>
  <c r="M98" i="16" s="1"/>
  <c r="F97" i="16"/>
  <c r="J97" i="16" s="1"/>
  <c r="M97" i="16" s="1"/>
  <c r="F95" i="16"/>
  <c r="H95" i="16" s="1"/>
  <c r="M95" i="16" s="1"/>
  <c r="E94" i="16"/>
  <c r="F94" i="16" s="1"/>
  <c r="H94" i="16" s="1"/>
  <c r="M94" i="16" s="1"/>
  <c r="F93" i="16"/>
  <c r="L93" i="16" s="1"/>
  <c r="M93" i="16" s="1"/>
  <c r="F92" i="16"/>
  <c r="J92" i="16" s="1"/>
  <c r="M92" i="16" s="1"/>
  <c r="F128" i="16"/>
  <c r="F192" i="16"/>
  <c r="H203" i="16"/>
  <c r="M203" i="16" s="1"/>
  <c r="H202" i="16"/>
  <c r="M202" i="16" s="1"/>
  <c r="F201" i="16"/>
  <c r="H201" i="16" s="1"/>
  <c r="M201" i="16" s="1"/>
  <c r="F200" i="16"/>
  <c r="H200" i="16" s="1"/>
  <c r="M200" i="16" s="1"/>
  <c r="E199" i="16"/>
  <c r="F199" i="16" s="1"/>
  <c r="H199" i="16" s="1"/>
  <c r="M199" i="16" s="1"/>
  <c r="F198" i="16"/>
  <c r="H198" i="16" s="1"/>
  <c r="M198" i="16" s="1"/>
  <c r="F197" i="16"/>
  <c r="H197" i="16" s="1"/>
  <c r="M197" i="16" s="1"/>
  <c r="F196" i="16"/>
  <c r="L196" i="16" s="1"/>
  <c r="M196" i="16" s="1"/>
  <c r="F195" i="16"/>
  <c r="J195" i="16" s="1"/>
  <c r="M195" i="16" s="1"/>
  <c r="F193" i="16"/>
  <c r="F180" i="16"/>
  <c r="H180" i="16" s="1"/>
  <c r="M180" i="16" s="1"/>
  <c r="F179" i="16"/>
  <c r="H179" i="16" s="1"/>
  <c r="M179" i="16" s="1"/>
  <c r="E178" i="16"/>
  <c r="F178" i="16" s="1"/>
  <c r="H178" i="16" s="1"/>
  <c r="M178" i="16" s="1"/>
  <c r="F177" i="16"/>
  <c r="H177" i="16" s="1"/>
  <c r="M177" i="16" s="1"/>
  <c r="F176" i="16"/>
  <c r="H176" i="16" s="1"/>
  <c r="M176" i="16" s="1"/>
  <c r="F175" i="16"/>
  <c r="L175" i="16" s="1"/>
  <c r="M175" i="16" s="1"/>
  <c r="F174" i="16"/>
  <c r="J174" i="16" s="1"/>
  <c r="M174" i="16" s="1"/>
  <c r="F172" i="16"/>
  <c r="F171" i="16"/>
  <c r="F66" i="16"/>
  <c r="F156" i="16" s="1"/>
  <c r="F319" i="16" l="1"/>
  <c r="H319" i="16" s="1"/>
  <c r="M319" i="16" s="1"/>
  <c r="F314" i="16"/>
  <c r="J314" i="16" s="1"/>
  <c r="M314" i="16" s="1"/>
  <c r="F37" i="16"/>
  <c r="J37" i="16" s="1"/>
  <c r="M37" i="16" s="1"/>
  <c r="F1551" i="16"/>
  <c r="H1551" i="16" s="1"/>
  <c r="M1551" i="16" s="1"/>
  <c r="F1545" i="16"/>
  <c r="L1545" i="16" s="1"/>
  <c r="M1545" i="16" s="1"/>
  <c r="H1075" i="16"/>
  <c r="M1075" i="16" s="1"/>
  <c r="F317" i="16"/>
  <c r="H317" i="16" s="1"/>
  <c r="M317" i="16" s="1"/>
  <c r="F318" i="16"/>
  <c r="H318" i="16" s="1"/>
  <c r="M318" i="16" s="1"/>
  <c r="F315" i="16"/>
  <c r="L315" i="16" s="1"/>
  <c r="M315" i="16" s="1"/>
  <c r="F316" i="16"/>
  <c r="H316" i="16" s="1"/>
  <c r="M316" i="16" s="1"/>
  <c r="F333" i="16"/>
  <c r="L333" i="16" s="1"/>
  <c r="M333" i="16" s="1"/>
  <c r="F334" i="16"/>
  <c r="H334" i="16" s="1"/>
  <c r="M334" i="16" s="1"/>
  <c r="F335" i="16"/>
  <c r="H335" i="16" s="1"/>
  <c r="M335" i="16" s="1"/>
  <c r="F336" i="16"/>
  <c r="H336" i="16" s="1"/>
  <c r="M336" i="16" s="1"/>
  <c r="F324" i="16"/>
  <c r="L324" i="16" s="1"/>
  <c r="M324" i="16" s="1"/>
  <c r="F919" i="16"/>
  <c r="F917" i="16" l="1"/>
  <c r="H917" i="16" s="1"/>
  <c r="M917" i="16" s="1"/>
  <c r="F915" i="16"/>
  <c r="L915" i="16" s="1"/>
  <c r="M915" i="16" s="1"/>
  <c r="F914" i="16"/>
  <c r="J914" i="16" s="1"/>
  <c r="M914" i="16" s="1"/>
  <c r="F918" i="16"/>
  <c r="H918" i="16" s="1"/>
  <c r="M918" i="16" s="1"/>
  <c r="F916" i="16"/>
  <c r="H916" i="16" s="1"/>
  <c r="M916" i="16" s="1"/>
  <c r="F912" i="16"/>
  <c r="E911" i="16"/>
  <c r="E910" i="16"/>
  <c r="E909" i="16"/>
  <c r="F922" i="16" l="1"/>
  <c r="H922" i="16" s="1"/>
  <c r="M922" i="16" s="1"/>
  <c r="F920" i="16"/>
  <c r="J920" i="16" s="1"/>
  <c r="F923" i="16"/>
  <c r="H923" i="16" s="1"/>
  <c r="M923" i="16" s="1"/>
  <c r="F921" i="16"/>
  <c r="L921" i="16" s="1"/>
  <c r="M921" i="16" s="1"/>
  <c r="O908" i="16"/>
  <c r="F910" i="16"/>
  <c r="L910" i="16" s="1"/>
  <c r="M910" i="16" s="1"/>
  <c r="F911" i="16"/>
  <c r="H911" i="16" s="1"/>
  <c r="M911" i="16" s="1"/>
  <c r="F909" i="16"/>
  <c r="J909" i="16" s="1"/>
  <c r="M909" i="16" s="1"/>
  <c r="H912" i="16"/>
  <c r="M912" i="16" s="1"/>
  <c r="J1564" i="16"/>
  <c r="H1564" i="16"/>
  <c r="F466" i="16"/>
  <c r="F467" i="16" s="1"/>
  <c r="J467" i="16" s="1"/>
  <c r="M467" i="16" s="1"/>
  <c r="E474" i="16"/>
  <c r="H473" i="16"/>
  <c r="M473" i="16" s="1"/>
  <c r="F472" i="16"/>
  <c r="H472" i="16" s="1"/>
  <c r="M472" i="16" s="1"/>
  <c r="F471" i="16"/>
  <c r="H471" i="16" s="1"/>
  <c r="M471" i="16" s="1"/>
  <c r="F470" i="16"/>
  <c r="H470" i="16" s="1"/>
  <c r="M470" i="16" s="1"/>
  <c r="O920" i="16" l="1"/>
  <c r="M920" i="16"/>
  <c r="M1564" i="16"/>
  <c r="F474" i="16"/>
  <c r="H474" i="16" s="1"/>
  <c r="M474" i="16" s="1"/>
  <c r="F468" i="16"/>
  <c r="L468" i="16" s="1"/>
  <c r="M468" i="16" s="1"/>
  <c r="F1495" i="16" l="1"/>
  <c r="F1497" i="16" s="1"/>
  <c r="L1497" i="16" s="1"/>
  <c r="M1497" i="16" s="1"/>
  <c r="F1493" i="16"/>
  <c r="F1494" i="16" s="1"/>
  <c r="J1494" i="16" s="1"/>
  <c r="M1494" i="16" s="1"/>
  <c r="F1492" i="16"/>
  <c r="L1492" i="16" s="1"/>
  <c r="M1492" i="16" s="1"/>
  <c r="F1491" i="16"/>
  <c r="J1491" i="16" s="1"/>
  <c r="M1491" i="16" s="1"/>
  <c r="L1489" i="16"/>
  <c r="J1489" i="16"/>
  <c r="L1488" i="16"/>
  <c r="J1488" i="16"/>
  <c r="J1007" i="16"/>
  <c r="H1007" i="16"/>
  <c r="E1060" i="16"/>
  <c r="E1058" i="16"/>
  <c r="E1057" i="16"/>
  <c r="F1056" i="16"/>
  <c r="F1055" i="16"/>
  <c r="H1055" i="16" s="1"/>
  <c r="M1055" i="16" s="1"/>
  <c r="E1054" i="16"/>
  <c r="E1053" i="16"/>
  <c r="E1003" i="16"/>
  <c r="E1000" i="16"/>
  <c r="E999" i="16"/>
  <c r="F999" i="16" s="1"/>
  <c r="H999" i="16" s="1"/>
  <c r="M999" i="16" s="1"/>
  <c r="D998" i="16"/>
  <c r="E997" i="16"/>
  <c r="E996" i="16"/>
  <c r="E995" i="16"/>
  <c r="F1084" i="16"/>
  <c r="F1068" i="16"/>
  <c r="H1068" i="16" s="1"/>
  <c r="M1068" i="16" s="1"/>
  <c r="E1086" i="16"/>
  <c r="E1083" i="16"/>
  <c r="E1082" i="16"/>
  <c r="D1081" i="16"/>
  <c r="E1080" i="16"/>
  <c r="E1079" i="16"/>
  <c r="E1078" i="16"/>
  <c r="E1048" i="16"/>
  <c r="E1045" i="16"/>
  <c r="E1044" i="16"/>
  <c r="D1043" i="16"/>
  <c r="E1042" i="16"/>
  <c r="E1041" i="16"/>
  <c r="E1040" i="16"/>
  <c r="E1024" i="16"/>
  <c r="E1023" i="16"/>
  <c r="D1022" i="16"/>
  <c r="E1021" i="16"/>
  <c r="E1020" i="16"/>
  <c r="E1019" i="16"/>
  <c r="F1064" i="16" l="1"/>
  <c r="L1064" i="16" s="1"/>
  <c r="M1064" i="16" s="1"/>
  <c r="F1065" i="16"/>
  <c r="H1065" i="16" s="1"/>
  <c r="M1065" i="16" s="1"/>
  <c r="F1066" i="16"/>
  <c r="H1066" i="16" s="1"/>
  <c r="M1066" i="16" s="1"/>
  <c r="F1063" i="16"/>
  <c r="J1063" i="16" s="1"/>
  <c r="M1063" i="16" s="1"/>
  <c r="F1067" i="16"/>
  <c r="H1067" i="16" s="1"/>
  <c r="M1067" i="16" s="1"/>
  <c r="M1007" i="16"/>
  <c r="F1060" i="16"/>
  <c r="H1060" i="16" s="1"/>
  <c r="M1060" i="16" s="1"/>
  <c r="M1489" i="16"/>
  <c r="F1058" i="16"/>
  <c r="L1058" i="16" s="1"/>
  <c r="M1058" i="16" s="1"/>
  <c r="M1488" i="16"/>
  <c r="F1496" i="16"/>
  <c r="J1496" i="16" s="1"/>
  <c r="M1496" i="16" s="1"/>
  <c r="F1057" i="16"/>
  <c r="J1057" i="16" s="1"/>
  <c r="M1057" i="16" s="1"/>
  <c r="F1059" i="16"/>
  <c r="H1059" i="16" s="1"/>
  <c r="M1059" i="16" s="1"/>
  <c r="F1053" i="16"/>
  <c r="J1053" i="16" s="1"/>
  <c r="M1053" i="16" s="1"/>
  <c r="F1054" i="16"/>
  <c r="L1054" i="16" s="1"/>
  <c r="M1054" i="16" s="1"/>
  <c r="F1001" i="16"/>
  <c r="F994" i="16"/>
  <c r="J994" i="16" s="1"/>
  <c r="M994" i="16" s="1"/>
  <c r="F995" i="16"/>
  <c r="L995" i="16" s="1"/>
  <c r="M995" i="16" s="1"/>
  <c r="F996" i="16"/>
  <c r="L996" i="16" s="1"/>
  <c r="M996" i="16" s="1"/>
  <c r="F997" i="16"/>
  <c r="H997" i="16" s="1"/>
  <c r="M997" i="16" s="1"/>
  <c r="F998" i="16"/>
  <c r="H998" i="16" s="1"/>
  <c r="M998" i="16" s="1"/>
  <c r="F1000" i="16"/>
  <c r="H1000" i="16" s="1"/>
  <c r="M1000" i="16" s="1"/>
  <c r="F1004" i="16" l="1"/>
  <c r="H1004" i="16" s="1"/>
  <c r="M1004" i="16" s="1"/>
  <c r="F1003" i="16"/>
  <c r="L1003" i="16" s="1"/>
  <c r="M1003" i="16" s="1"/>
  <c r="F1002" i="16"/>
  <c r="J1002" i="16" s="1"/>
  <c r="M1002" i="16" s="1"/>
  <c r="F1005" i="16"/>
  <c r="H1005" i="16" s="1"/>
  <c r="M1005" i="16" s="1"/>
  <c r="F1006" i="16"/>
  <c r="H1006" i="16" s="1"/>
  <c r="M1006" i="16" s="1"/>
  <c r="F1074" i="16" l="1"/>
  <c r="F1073" i="16"/>
  <c r="H1073" i="16" s="1"/>
  <c r="M1073" i="16" s="1"/>
  <c r="F1072" i="16"/>
  <c r="L1072" i="16" s="1"/>
  <c r="M1072" i="16" s="1"/>
  <c r="F1071" i="16"/>
  <c r="L1071" i="16" s="1"/>
  <c r="M1071" i="16" s="1"/>
  <c r="F1070" i="16"/>
  <c r="J1070" i="16" s="1"/>
  <c r="M1070" i="16" s="1"/>
  <c r="H1074" i="16" l="1"/>
  <c r="E1075" i="16"/>
  <c r="J1074" i="16"/>
  <c r="M1074" i="16" l="1"/>
  <c r="F951" i="16" l="1"/>
  <c r="H951" i="16" s="1"/>
  <c r="M951" i="16" s="1"/>
  <c r="F955" i="16" l="1"/>
  <c r="L955" i="16" s="1"/>
  <c r="M955" i="16" s="1"/>
  <c r="F1044" i="16"/>
  <c r="H1044" i="16" s="1"/>
  <c r="M1044" i="16" s="1"/>
  <c r="F1045" i="16"/>
  <c r="H1045" i="16" s="1"/>
  <c r="M1045" i="16" s="1"/>
  <c r="F1043" i="16"/>
  <c r="H1043" i="16" s="1"/>
  <c r="M1043" i="16" s="1"/>
  <c r="F1041" i="16"/>
  <c r="L1041" i="16" s="1"/>
  <c r="M1041" i="16" s="1"/>
  <c r="F1039" i="16"/>
  <c r="J1039" i="16" s="1"/>
  <c r="M1039" i="16" s="1"/>
  <c r="F1042" i="16"/>
  <c r="H1042" i="16" s="1"/>
  <c r="M1042" i="16" s="1"/>
  <c r="F1040" i="16"/>
  <c r="L1040" i="16" s="1"/>
  <c r="M1040" i="16" s="1"/>
  <c r="F120" i="19"/>
  <c r="F121" i="19" s="1"/>
  <c r="J121" i="19" s="1"/>
  <c r="M121" i="19" s="1"/>
  <c r="F956" i="16" l="1"/>
  <c r="F957" i="16"/>
  <c r="H957" i="16" s="1"/>
  <c r="M957" i="16" s="1"/>
  <c r="F954" i="16"/>
  <c r="J954" i="16" s="1"/>
  <c r="M954" i="16" s="1"/>
  <c r="F122" i="19"/>
  <c r="L122" i="19" s="1"/>
  <c r="M122" i="19" s="1"/>
  <c r="F126" i="19" l="1"/>
  <c r="L119" i="19"/>
  <c r="M119" i="19" s="1"/>
  <c r="E844" i="16"/>
  <c r="E840" i="16"/>
  <c r="E837" i="16"/>
  <c r="F837" i="16" s="1"/>
  <c r="H837" i="16" s="1"/>
  <c r="M837" i="16" s="1"/>
  <c r="F836" i="16"/>
  <c r="H836" i="16" s="1"/>
  <c r="M836" i="16" s="1"/>
  <c r="F835" i="16"/>
  <c r="H835" i="16" s="1"/>
  <c r="M835" i="16" s="1"/>
  <c r="F834" i="16"/>
  <c r="H834" i="16" s="1"/>
  <c r="M834" i="16" s="1"/>
  <c r="E833" i="16"/>
  <c r="F833" i="16" s="1"/>
  <c r="L833" i="16" s="1"/>
  <c r="M833" i="16" s="1"/>
  <c r="E832" i="16"/>
  <c r="F832" i="16" s="1"/>
  <c r="J832" i="16" s="1"/>
  <c r="M832" i="16" s="1"/>
  <c r="E830" i="16"/>
  <c r="E826" i="16"/>
  <c r="E823" i="16"/>
  <c r="F823" i="16" s="1"/>
  <c r="H823" i="16" s="1"/>
  <c r="M823" i="16" s="1"/>
  <c r="F822" i="16"/>
  <c r="H822" i="16" s="1"/>
  <c r="M822" i="16" s="1"/>
  <c r="F821" i="16"/>
  <c r="H821" i="16" s="1"/>
  <c r="M821" i="16" s="1"/>
  <c r="F820" i="16"/>
  <c r="H820" i="16" s="1"/>
  <c r="M820" i="16" s="1"/>
  <c r="E819" i="16"/>
  <c r="F819" i="16" s="1"/>
  <c r="L819" i="16" s="1"/>
  <c r="M819" i="16" s="1"/>
  <c r="E818" i="16"/>
  <c r="F818" i="16" s="1"/>
  <c r="J818" i="16" s="1"/>
  <c r="M818" i="16" s="1"/>
  <c r="E811" i="16"/>
  <c r="E757" i="16" l="1"/>
  <c r="F907" i="16"/>
  <c r="H907" i="16" s="1"/>
  <c r="M907" i="16" s="1"/>
  <c r="F906" i="16"/>
  <c r="H906" i="16" s="1"/>
  <c r="M906" i="16" s="1"/>
  <c r="F905" i="16"/>
  <c r="L905" i="16" s="1"/>
  <c r="M905" i="16" s="1"/>
  <c r="F904" i="16"/>
  <c r="J904" i="16" s="1"/>
  <c r="M904" i="16" s="1"/>
  <c r="E691" i="16"/>
  <c r="E684" i="16"/>
  <c r="O613" i="16" l="1"/>
  <c r="O548" i="16"/>
  <c r="F796" i="16" l="1"/>
  <c r="F785" i="16"/>
  <c r="F737" i="16"/>
  <c r="F650" i="16"/>
  <c r="F185" i="16"/>
  <c r="F28" i="16"/>
  <c r="F29" i="16" s="1"/>
  <c r="J29" i="16" s="1"/>
  <c r="M29" i="16" s="1"/>
  <c r="J27" i="16"/>
  <c r="L27" i="16"/>
  <c r="F35" i="16"/>
  <c r="L35" i="16" s="1"/>
  <c r="M35" i="16" s="1"/>
  <c r="F34" i="16"/>
  <c r="J34" i="16" s="1"/>
  <c r="M34" i="16" s="1"/>
  <c r="L32" i="16"/>
  <c r="J32" i="16"/>
  <c r="J31" i="16"/>
  <c r="L31" i="16"/>
  <c r="F24" i="16"/>
  <c r="F131" i="19"/>
  <c r="L131" i="19" s="1"/>
  <c r="M131" i="19" s="1"/>
  <c r="E278" i="19"/>
  <c r="F276" i="19"/>
  <c r="F281" i="19" s="1"/>
  <c r="H281" i="19" s="1"/>
  <c r="M281" i="19" s="1"/>
  <c r="F41" i="16" l="1"/>
  <c r="F42" i="16" s="1"/>
  <c r="J42" i="16" s="1"/>
  <c r="M42" i="16" s="1"/>
  <c r="F39" i="16"/>
  <c r="F40" i="16" s="1"/>
  <c r="J40" i="16" s="1"/>
  <c r="M40" i="16" s="1"/>
  <c r="F279" i="19"/>
  <c r="H279" i="19" s="1"/>
  <c r="M279" i="19" s="1"/>
  <c r="F278" i="19"/>
  <c r="L278" i="19" s="1"/>
  <c r="M278" i="19" s="1"/>
  <c r="F26" i="16"/>
  <c r="L26" i="16" s="1"/>
  <c r="M26" i="16" s="1"/>
  <c r="M32" i="16"/>
  <c r="M27" i="16"/>
  <c r="F30" i="16"/>
  <c r="L30" i="16" s="1"/>
  <c r="M30" i="16" s="1"/>
  <c r="M31" i="16"/>
  <c r="F25" i="16"/>
  <c r="J25" i="16" s="1"/>
  <c r="M25" i="16" s="1"/>
  <c r="F280" i="19"/>
  <c r="H280" i="19" s="1"/>
  <c r="M280" i="19" s="1"/>
  <c r="F277" i="19"/>
  <c r="J277" i="19" s="1"/>
  <c r="M277" i="19" s="1"/>
  <c r="L650" i="16" l="1"/>
  <c r="M650" i="16" s="1"/>
  <c r="F649" i="16"/>
  <c r="F43" i="16"/>
  <c r="L43" i="16" s="1"/>
  <c r="M43" i="16" s="1"/>
  <c r="F23" i="16"/>
  <c r="L23" i="16" s="1"/>
  <c r="M23" i="16" s="1"/>
  <c r="F22" i="16"/>
  <c r="J22" i="16" s="1"/>
  <c r="M22" i="16" s="1"/>
  <c r="F47" i="16"/>
  <c r="L47" i="16" s="1"/>
  <c r="M47" i="16" s="1"/>
  <c r="F10" i="16"/>
  <c r="F19" i="16"/>
  <c r="J19" i="16" s="1"/>
  <c r="M19" i="16" s="1"/>
  <c r="F14" i="16"/>
  <c r="F17" i="16" s="1"/>
  <c r="L17" i="16" s="1"/>
  <c r="M17" i="16" s="1"/>
  <c r="F20" i="16" l="1"/>
  <c r="L20" i="16" s="1"/>
  <c r="M20" i="16" s="1"/>
  <c r="F48" i="16"/>
  <c r="L48" i="16" s="1"/>
  <c r="M48" i="16" s="1"/>
  <c r="F13" i="16"/>
  <c r="L13" i="16" s="1"/>
  <c r="M13" i="16" s="1"/>
  <c r="F46" i="16"/>
  <c r="J46" i="16" s="1"/>
  <c r="M46" i="16" s="1"/>
  <c r="F11" i="16"/>
  <c r="J11" i="16" s="1"/>
  <c r="F12" i="16"/>
  <c r="L12" i="16" s="1"/>
  <c r="F15" i="16"/>
  <c r="J15" i="16" s="1"/>
  <c r="M15" i="16" s="1"/>
  <c r="F16" i="16"/>
  <c r="L16" i="16" s="1"/>
  <c r="M16" i="16" s="1"/>
  <c r="M12" i="16" l="1"/>
  <c r="M11" i="16"/>
  <c r="F187" i="19"/>
  <c r="F42" i="17"/>
  <c r="F183" i="19"/>
  <c r="F178" i="19"/>
  <c r="F173" i="19"/>
  <c r="F175" i="19" s="1"/>
  <c r="F177" i="19" s="1"/>
  <c r="F28" i="17"/>
  <c r="F158" i="19"/>
  <c r="F155" i="19"/>
  <c r="F147" i="19"/>
  <c r="F139" i="19"/>
  <c r="F123" i="19"/>
  <c r="F256" i="19"/>
  <c r="F253" i="19" s="1"/>
  <c r="F189" i="19"/>
  <c r="F239" i="19" s="1"/>
  <c r="E42" i="19"/>
  <c r="F50" i="19" s="1"/>
  <c r="H50" i="19" s="1"/>
  <c r="M50" i="19" s="1"/>
  <c r="E40" i="19"/>
  <c r="E41" i="19" s="1"/>
  <c r="F49" i="19" s="1"/>
  <c r="H49" i="19" s="1"/>
  <c r="M49" i="19" s="1"/>
  <c r="E38" i="19"/>
  <c r="E36" i="19"/>
  <c r="F30" i="19"/>
  <c r="F31" i="19" s="1"/>
  <c r="J31" i="19" s="1"/>
  <c r="M31" i="19" s="1"/>
  <c r="F25" i="19"/>
  <c r="F23" i="19"/>
  <c r="H23" i="19" s="1"/>
  <c r="M23" i="19" s="1"/>
  <c r="F16" i="19"/>
  <c r="F22" i="19" s="1"/>
  <c r="H22" i="19" s="1"/>
  <c r="M22" i="19" s="1"/>
  <c r="F9" i="19"/>
  <c r="E69" i="19"/>
  <c r="E68" i="19"/>
  <c r="E66" i="19"/>
  <c r="E65" i="19"/>
  <c r="E64" i="19"/>
  <c r="E63" i="19"/>
  <c r="F60" i="19"/>
  <c r="F61" i="19" s="1"/>
  <c r="E56" i="19"/>
  <c r="M46" i="19"/>
  <c r="F24" i="19"/>
  <c r="H24" i="19" s="1"/>
  <c r="M24" i="19" s="1"/>
  <c r="E14" i="19"/>
  <c r="F11" i="19"/>
  <c r="F12" i="19" s="1"/>
  <c r="J12" i="19" s="1"/>
  <c r="M12" i="19" s="1"/>
  <c r="F29" i="19" l="1"/>
  <c r="H29" i="19" s="1"/>
  <c r="M29" i="19" s="1"/>
  <c r="F26" i="19"/>
  <c r="J26" i="19" s="1"/>
  <c r="M26" i="19" s="1"/>
  <c r="F28" i="19"/>
  <c r="H28" i="19" s="1"/>
  <c r="M28" i="19" s="1"/>
  <c r="F27" i="19"/>
  <c r="L27" i="19" s="1"/>
  <c r="M27" i="19" s="1"/>
  <c r="F32" i="19"/>
  <c r="F33" i="19" s="1"/>
  <c r="J33" i="19" s="1"/>
  <c r="M33" i="19" s="1"/>
  <c r="F207" i="19"/>
  <c r="F190" i="19"/>
  <c r="F54" i="19"/>
  <c r="F56" i="19" s="1"/>
  <c r="L56" i="19" s="1"/>
  <c r="M56" i="19" s="1"/>
  <c r="F209" i="19"/>
  <c r="E39" i="19"/>
  <c r="F48" i="19" s="1"/>
  <c r="H48" i="19" s="1"/>
  <c r="M48" i="19" s="1"/>
  <c r="F200" i="19"/>
  <c r="F214" i="19"/>
  <c r="F206" i="19"/>
  <c r="F67" i="19"/>
  <c r="H67" i="19" s="1"/>
  <c r="M67" i="19" s="1"/>
  <c r="F19" i="19"/>
  <c r="H19" i="19" s="1"/>
  <c r="M19" i="19" s="1"/>
  <c r="F15" i="19"/>
  <c r="H15" i="19" s="1"/>
  <c r="M15" i="19" s="1"/>
  <c r="F20" i="19"/>
  <c r="H20" i="19" s="1"/>
  <c r="M20" i="19" s="1"/>
  <c r="F21" i="19"/>
  <c r="H21" i="19" s="1"/>
  <c r="M21" i="19" s="1"/>
  <c r="F17" i="19"/>
  <c r="J17" i="19" s="1"/>
  <c r="M17" i="19" s="1"/>
  <c r="F34" i="19"/>
  <c r="L34" i="19" s="1"/>
  <c r="M34" i="19" s="1"/>
  <c r="F13" i="19"/>
  <c r="L13" i="19" s="1"/>
  <c r="M13" i="19" s="1"/>
  <c r="F10" i="19"/>
  <c r="J10" i="19" s="1"/>
  <c r="M10" i="19" s="1"/>
  <c r="F18" i="19"/>
  <c r="L18" i="19" s="1"/>
  <c r="M18" i="19" s="1"/>
  <c r="E37" i="19"/>
  <c r="F62" i="19"/>
  <c r="J62" i="19" s="1"/>
  <c r="M62" i="19" s="1"/>
  <c r="F63" i="19"/>
  <c r="L63" i="19" s="1"/>
  <c r="M63" i="19" s="1"/>
  <c r="F64" i="19"/>
  <c r="L64" i="19" s="1"/>
  <c r="M64" i="19" s="1"/>
  <c r="F65" i="19"/>
  <c r="F70" i="19"/>
  <c r="F68" i="19"/>
  <c r="H68" i="19" s="1"/>
  <c r="M68" i="19" s="1"/>
  <c r="F69" i="19"/>
  <c r="H69" i="19" s="1"/>
  <c r="M69" i="19" s="1"/>
  <c r="F66" i="19"/>
  <c r="H66" i="19" s="1"/>
  <c r="M66" i="19" s="1"/>
  <c r="F14" i="19"/>
  <c r="H14" i="19" s="1"/>
  <c r="F212" i="19" l="1"/>
  <c r="H212" i="19" s="1"/>
  <c r="M212" i="19" s="1"/>
  <c r="F210" i="19"/>
  <c r="J210" i="19" s="1"/>
  <c r="M210" i="19" s="1"/>
  <c r="F211" i="19"/>
  <c r="L211" i="19" s="1"/>
  <c r="M211" i="19" s="1"/>
  <c r="F213" i="19"/>
  <c r="H213" i="19" s="1"/>
  <c r="M213" i="19" s="1"/>
  <c r="M14" i="19"/>
  <c r="F57" i="19"/>
  <c r="H57" i="19" s="1"/>
  <c r="M57" i="19" s="1"/>
  <c r="F55" i="19"/>
  <c r="J55" i="19" s="1"/>
  <c r="M55" i="19" s="1"/>
  <c r="F58" i="19"/>
  <c r="H58" i="19" s="1"/>
  <c r="M58" i="19" s="1"/>
  <c r="F59" i="19"/>
  <c r="H59" i="19" s="1"/>
  <c r="M59" i="19" s="1"/>
  <c r="J70" i="19"/>
  <c r="H70" i="19"/>
  <c r="F47" i="19"/>
  <c r="H47" i="19" s="1"/>
  <c r="M47" i="19" s="1"/>
  <c r="F43" i="19"/>
  <c r="M70" i="19" l="1"/>
  <c r="F45" i="19"/>
  <c r="L45" i="19" s="1"/>
  <c r="M45" i="19" s="1"/>
  <c r="F52" i="19"/>
  <c r="H52" i="19" s="1"/>
  <c r="M52" i="19" s="1"/>
  <c r="F53" i="19"/>
  <c r="H53" i="19" s="1"/>
  <c r="M53" i="19" s="1"/>
  <c r="F46" i="19"/>
  <c r="F51" i="19"/>
  <c r="H51" i="19" s="1"/>
  <c r="M51" i="19" s="1"/>
  <c r="F44" i="19"/>
  <c r="J44" i="19" s="1"/>
  <c r="M44" i="19" s="1"/>
  <c r="F101" i="20" l="1"/>
  <c r="F458" i="6" l="1"/>
  <c r="M458" i="6"/>
  <c r="F459" i="6"/>
  <c r="M459" i="6"/>
  <c r="F460" i="6"/>
  <c r="M460" i="6"/>
  <c r="E461" i="6"/>
  <c r="F461" i="6" s="1"/>
  <c r="M461" i="6"/>
  <c r="F462" i="6"/>
  <c r="M462" i="6"/>
  <c r="E464" i="6"/>
  <c r="F464" i="6"/>
  <c r="M464" i="6"/>
  <c r="E465" i="6"/>
  <c r="F465" i="6" s="1"/>
  <c r="M465" i="6"/>
  <c r="F466" i="6"/>
  <c r="M466" i="6"/>
  <c r="E467" i="6"/>
  <c r="F467" i="6" s="1"/>
  <c r="M467" i="6"/>
  <c r="E468" i="6"/>
  <c r="F468" i="6" s="1"/>
  <c r="M468" i="6"/>
  <c r="F469" i="6"/>
  <c r="F477" i="6" s="1"/>
  <c r="M470" i="6"/>
  <c r="M471" i="6"/>
  <c r="M472" i="6"/>
  <c r="M473" i="6"/>
  <c r="M474" i="6"/>
  <c r="M475" i="6"/>
  <c r="M476" i="6"/>
  <c r="M477" i="6"/>
  <c r="F478" i="6"/>
  <c r="F480" i="6" s="1"/>
  <c r="M479" i="6"/>
  <c r="M480" i="6"/>
  <c r="M481" i="6"/>
  <c r="M482" i="6"/>
  <c r="M483" i="6"/>
  <c r="F484" i="6"/>
  <c r="F485" i="6" s="1"/>
  <c r="M485" i="6"/>
  <c r="M486" i="6"/>
  <c r="M487" i="6"/>
  <c r="M488" i="6"/>
  <c r="M489" i="6"/>
  <c r="M490" i="6"/>
  <c r="G382" i="6"/>
  <c r="F351" i="6"/>
  <c r="F265" i="6"/>
  <c r="F325" i="6" s="1"/>
  <c r="F213" i="6"/>
  <c r="H136" i="6"/>
  <c r="F9" i="6"/>
  <c r="J246" i="17"/>
  <c r="H207" i="17"/>
  <c r="M207" i="17" s="1"/>
  <c r="F479" i="6" l="1"/>
  <c r="F470" i="6"/>
  <c r="F489" i="6"/>
  <c r="F486" i="6"/>
  <c r="F483" i="6"/>
  <c r="F471" i="6"/>
  <c r="F122" i="20" l="1"/>
  <c r="H122" i="20" s="1"/>
  <c r="M122" i="20" s="1"/>
  <c r="F128" i="20"/>
  <c r="J128" i="20" s="1"/>
  <c r="M128" i="20" s="1"/>
  <c r="F121" i="20"/>
  <c r="J121" i="20" s="1"/>
  <c r="M121" i="20" s="1"/>
  <c r="H97" i="20"/>
  <c r="M97" i="20" s="1"/>
  <c r="H112" i="20"/>
  <c r="M112" i="20" s="1"/>
  <c r="H127" i="20"/>
  <c r="M127" i="20" s="1"/>
  <c r="H117" i="20"/>
  <c r="M117" i="20" s="1"/>
  <c r="H118" i="20"/>
  <c r="M118" i="20" s="1"/>
  <c r="H76" i="20"/>
  <c r="M76" i="20" s="1"/>
  <c r="J68" i="20"/>
  <c r="H68" i="20"/>
  <c r="H69" i="20"/>
  <c r="H70" i="20"/>
  <c r="F39" i="20"/>
  <c r="H42" i="20"/>
  <c r="M42" i="20" s="1"/>
  <c r="H37" i="20"/>
  <c r="M37" i="20" s="1"/>
  <c r="F29" i="20"/>
  <c r="F17" i="20"/>
  <c r="H242" i="17"/>
  <c r="M242" i="17" s="1"/>
  <c r="H243" i="17"/>
  <c r="M243" i="17" s="1"/>
  <c r="H244" i="17"/>
  <c r="M244" i="17" s="1"/>
  <c r="H245" i="17"/>
  <c r="M245" i="17" s="1"/>
  <c r="H236" i="17"/>
  <c r="M236" i="17" s="1"/>
  <c r="H237" i="17"/>
  <c r="M237" i="17" s="1"/>
  <c r="H238" i="17"/>
  <c r="M238" i="17" s="1"/>
  <c r="M246" i="17"/>
  <c r="H241" i="17"/>
  <c r="M241" i="17" s="1"/>
  <c r="F240" i="17"/>
  <c r="J240" i="17" s="1"/>
  <c r="M240" i="17" s="1"/>
  <c r="H219" i="17"/>
  <c r="M219" i="17" s="1"/>
  <c r="H218" i="17"/>
  <c r="M218" i="17" s="1"/>
  <c r="H217" i="17"/>
  <c r="M217" i="17" s="1"/>
  <c r="F214" i="17"/>
  <c r="F216" i="17" s="1"/>
  <c r="L216" i="17" s="1"/>
  <c r="M216" i="17" s="1"/>
  <c r="F203" i="17"/>
  <c r="F208" i="17" s="1"/>
  <c r="H208" i="17" s="1"/>
  <c r="M208" i="17" s="1"/>
  <c r="F209" i="17"/>
  <c r="F211" i="17" s="1"/>
  <c r="L211" i="17" s="1"/>
  <c r="M211" i="17" s="1"/>
  <c r="H201" i="17"/>
  <c r="M201" i="17" s="1"/>
  <c r="F198" i="17"/>
  <c r="F199" i="17" s="1"/>
  <c r="J199" i="17" s="1"/>
  <c r="M199" i="17" s="1"/>
  <c r="H212" i="17"/>
  <c r="M212" i="17" s="1"/>
  <c r="H206" i="17"/>
  <c r="M206" i="17" s="1"/>
  <c r="H225" i="17"/>
  <c r="M225" i="17" s="1"/>
  <c r="H226" i="17"/>
  <c r="M226" i="17" s="1"/>
  <c r="H224" i="17"/>
  <c r="M224" i="17" s="1"/>
  <c r="F221" i="17"/>
  <c r="F223" i="17" s="1"/>
  <c r="L223" i="17" s="1"/>
  <c r="M223" i="17" s="1"/>
  <c r="F313" i="17"/>
  <c r="F304" i="17"/>
  <c r="H42" i="17"/>
  <c r="M42" i="17" s="1"/>
  <c r="F38" i="17"/>
  <c r="F41" i="17" s="1"/>
  <c r="H41" i="17" s="1"/>
  <c r="M41" i="17" s="1"/>
  <c r="F30" i="17"/>
  <c r="F33" i="17"/>
  <c r="F34" i="17" s="1"/>
  <c r="J34" i="17" s="1"/>
  <c r="M34" i="17" s="1"/>
  <c r="E36" i="17"/>
  <c r="F274" i="17"/>
  <c r="F271" i="17"/>
  <c r="F266" i="17"/>
  <c r="F263" i="17"/>
  <c r="F261" i="17"/>
  <c r="F21" i="17"/>
  <c r="F18" i="17"/>
  <c r="F15" i="17"/>
  <c r="F10" i="17"/>
  <c r="H179" i="17"/>
  <c r="M179" i="17" s="1"/>
  <c r="F175" i="17"/>
  <c r="H169" i="17"/>
  <c r="M169" i="17" s="1"/>
  <c r="E180" i="17"/>
  <c r="H178" i="17"/>
  <c r="M178" i="17" s="1"/>
  <c r="E177" i="17"/>
  <c r="E176" i="17"/>
  <c r="F184" i="17"/>
  <c r="H184" i="17" s="1"/>
  <c r="M184" i="17" s="1"/>
  <c r="F183" i="17"/>
  <c r="H183" i="17" s="1"/>
  <c r="M183" i="17" s="1"/>
  <c r="F182" i="17"/>
  <c r="J182" i="17" s="1"/>
  <c r="M182" i="17" s="1"/>
  <c r="F107" i="17"/>
  <c r="M68" i="20" l="1"/>
  <c r="M69" i="20"/>
  <c r="M70" i="20"/>
  <c r="F215" i="17"/>
  <c r="J215" i="17" s="1"/>
  <c r="M215" i="17" s="1"/>
  <c r="F220" i="17"/>
  <c r="H220" i="17" s="1"/>
  <c r="M220" i="17" s="1"/>
  <c r="F202" i="17"/>
  <c r="H202" i="17" s="1"/>
  <c r="M202" i="17" s="1"/>
  <c r="F200" i="17"/>
  <c r="L200" i="17" s="1"/>
  <c r="M200" i="17" s="1"/>
  <c r="F210" i="17"/>
  <c r="J210" i="17" s="1"/>
  <c r="M210" i="17" s="1"/>
  <c r="F213" i="17"/>
  <c r="H213" i="17" s="1"/>
  <c r="M213" i="17" s="1"/>
  <c r="F205" i="17"/>
  <c r="L205" i="17" s="1"/>
  <c r="M205" i="17" s="1"/>
  <c r="F204" i="17"/>
  <c r="J204" i="17" s="1"/>
  <c r="M204" i="17" s="1"/>
  <c r="F222" i="17"/>
  <c r="J222" i="17" s="1"/>
  <c r="M222" i="17" s="1"/>
  <c r="F227" i="17"/>
  <c r="H227" i="17" s="1"/>
  <c r="M227" i="17" s="1"/>
  <c r="F37" i="17"/>
  <c r="H37" i="17" s="1"/>
  <c r="M37" i="17" s="1"/>
  <c r="F36" i="17"/>
  <c r="H36" i="17" s="1"/>
  <c r="M36" i="17" s="1"/>
  <c r="F29" i="17"/>
  <c r="J29" i="17" s="1"/>
  <c r="M29" i="17" s="1"/>
  <c r="F32" i="17"/>
  <c r="L32" i="17" s="1"/>
  <c r="M32" i="17" s="1"/>
  <c r="F31" i="17"/>
  <c r="J31" i="17" s="1"/>
  <c r="M31" i="17" s="1"/>
  <c r="F40" i="17"/>
  <c r="L40" i="17" s="1"/>
  <c r="M40" i="17" s="1"/>
  <c r="F43" i="17"/>
  <c r="H43" i="17" s="1"/>
  <c r="M43" i="17" s="1"/>
  <c r="F39" i="17"/>
  <c r="J39" i="17" s="1"/>
  <c r="M39" i="17" s="1"/>
  <c r="F35" i="17"/>
  <c r="L35" i="17" s="1"/>
  <c r="M35" i="17" s="1"/>
  <c r="F180" i="17"/>
  <c r="H180" i="17" s="1"/>
  <c r="M180" i="17" s="1"/>
  <c r="F177" i="17"/>
  <c r="L177" i="17" s="1"/>
  <c r="M177" i="17" s="1"/>
  <c r="F176" i="17"/>
  <c r="J176" i="17" s="1"/>
  <c r="M176" i="17" s="1"/>
  <c r="H132" i="17" l="1"/>
  <c r="M132" i="17" s="1"/>
  <c r="H168" i="17"/>
  <c r="M168" i="17" s="1"/>
  <c r="F156" i="17" l="1"/>
  <c r="H133" i="17"/>
  <c r="M133" i="17" s="1"/>
  <c r="H131" i="17"/>
  <c r="M131" i="17" s="1"/>
  <c r="H130" i="17"/>
  <c r="M130" i="17" s="1"/>
  <c r="H129" i="17"/>
  <c r="M129" i="17" s="1"/>
  <c r="H128" i="17"/>
  <c r="M128" i="17" s="1"/>
  <c r="J29" i="21"/>
  <c r="H29" i="21"/>
  <c r="J28" i="21"/>
  <c r="H140" i="17"/>
  <c r="M140" i="17" s="1"/>
  <c r="F143" i="17"/>
  <c r="H110" i="17"/>
  <c r="M110" i="17" s="1"/>
  <c r="H111" i="17"/>
  <c r="M111" i="17" s="1"/>
  <c r="H112" i="17"/>
  <c r="M112" i="17" s="1"/>
  <c r="H113" i="17"/>
  <c r="M113" i="17" s="1"/>
  <c r="H114" i="17"/>
  <c r="M114" i="17" s="1"/>
  <c r="H115" i="17"/>
  <c r="M115" i="17" s="1"/>
  <c r="H116" i="17"/>
  <c r="M116" i="17" s="1"/>
  <c r="H117" i="17"/>
  <c r="M117" i="17" s="1"/>
  <c r="H118" i="17"/>
  <c r="M118" i="17" s="1"/>
  <c r="H119" i="17"/>
  <c r="M119" i="17" s="1"/>
  <c r="H120" i="17"/>
  <c r="M120" i="17" s="1"/>
  <c r="H121" i="17"/>
  <c r="M121" i="17" s="1"/>
  <c r="H122" i="17"/>
  <c r="M122" i="17" s="1"/>
  <c r="H123" i="17"/>
  <c r="M123" i="17" s="1"/>
  <c r="H124" i="17"/>
  <c r="M124" i="17" s="1"/>
  <c r="H125" i="17"/>
  <c r="M125" i="17" s="1"/>
  <c r="H126" i="17"/>
  <c r="M126" i="17" s="1"/>
  <c r="H127" i="17"/>
  <c r="M127" i="17" s="1"/>
  <c r="F53" i="17"/>
  <c r="H74" i="17"/>
  <c r="M74" i="17" s="1"/>
  <c r="H73" i="17"/>
  <c r="M73" i="17" s="1"/>
  <c r="H75" i="17"/>
  <c r="M75" i="17" s="1"/>
  <c r="H76" i="17"/>
  <c r="M76" i="17" s="1"/>
  <c r="H77" i="17"/>
  <c r="M77" i="17" s="1"/>
  <c r="H78" i="17"/>
  <c r="M78" i="17" s="1"/>
  <c r="H79" i="17"/>
  <c r="M79" i="17" s="1"/>
  <c r="H80" i="17"/>
  <c r="M80" i="17" s="1"/>
  <c r="H81" i="17"/>
  <c r="M81" i="17" s="1"/>
  <c r="H82" i="17"/>
  <c r="M82" i="17" s="1"/>
  <c r="H83" i="17"/>
  <c r="M83" i="17" s="1"/>
  <c r="H86" i="17"/>
  <c r="M86" i="17" s="1"/>
  <c r="H87" i="17"/>
  <c r="M87" i="17" s="1"/>
  <c r="H88" i="17"/>
  <c r="M88" i="17" s="1"/>
  <c r="H89" i="17"/>
  <c r="M89" i="17" s="1"/>
  <c r="H90" i="17"/>
  <c r="M90" i="17" s="1"/>
  <c r="H91" i="17"/>
  <c r="M91" i="17" s="1"/>
  <c r="H92" i="17"/>
  <c r="M92" i="17" s="1"/>
  <c r="H93" i="17"/>
  <c r="M93" i="17" s="1"/>
  <c r="H94" i="17"/>
  <c r="M94" i="17" s="1"/>
  <c r="H85" i="17"/>
  <c r="M85" i="17" s="1"/>
  <c r="H97" i="17"/>
  <c r="M97" i="17" s="1"/>
  <c r="H98" i="17"/>
  <c r="M98" i="17" s="1"/>
  <c r="H99" i="17"/>
  <c r="M99" i="17" s="1"/>
  <c r="H100" i="17"/>
  <c r="M100" i="17" s="1"/>
  <c r="H101" i="17"/>
  <c r="M101" i="17" s="1"/>
  <c r="H102" i="17"/>
  <c r="M102" i="17" s="1"/>
  <c r="H103" i="17"/>
  <c r="M103" i="17" s="1"/>
  <c r="H104" i="17"/>
  <c r="M104" i="17" s="1"/>
  <c r="H105" i="17"/>
  <c r="M105" i="17" s="1"/>
  <c r="H96" i="17"/>
  <c r="M96" i="17" s="1"/>
  <c r="H57" i="17"/>
  <c r="M57" i="17" s="1"/>
  <c r="H58" i="17"/>
  <c r="M58" i="17" s="1"/>
  <c r="H59" i="17"/>
  <c r="M59" i="17" s="1"/>
  <c r="H60" i="17"/>
  <c r="M60" i="17" s="1"/>
  <c r="H61" i="17"/>
  <c r="M61" i="17" s="1"/>
  <c r="H62" i="17"/>
  <c r="M62" i="17" s="1"/>
  <c r="H63" i="17"/>
  <c r="M63" i="17" s="1"/>
  <c r="H64" i="17"/>
  <c r="M64" i="17" s="1"/>
  <c r="H65" i="17"/>
  <c r="M65" i="17" s="1"/>
  <c r="H66" i="17"/>
  <c r="M66" i="17" s="1"/>
  <c r="H67" i="17"/>
  <c r="M67" i="17" s="1"/>
  <c r="H68" i="17"/>
  <c r="M68" i="17" s="1"/>
  <c r="H69" i="17"/>
  <c r="M69" i="17" s="1"/>
  <c r="H70" i="17"/>
  <c r="M70" i="17" s="1"/>
  <c r="H71" i="17"/>
  <c r="M71" i="17" s="1"/>
  <c r="M29" i="21" l="1"/>
  <c r="F1031" i="16" l="1"/>
  <c r="F1028" i="16"/>
  <c r="L1028" i="16" s="1"/>
  <c r="M1028" i="16" s="1"/>
  <c r="F1030" i="16"/>
  <c r="H1030" i="16" s="1"/>
  <c r="M1030" i="16" s="1"/>
  <c r="F1029" i="16"/>
  <c r="H1029" i="16" s="1"/>
  <c r="M1029" i="16" s="1"/>
  <c r="F1027" i="16"/>
  <c r="L1027" i="16" s="1"/>
  <c r="M1027" i="16" s="1"/>
  <c r="F1026" i="16"/>
  <c r="J1026" i="16" s="1"/>
  <c r="M1026" i="16" s="1"/>
  <c r="F1036" i="16" l="1"/>
  <c r="H1036" i="16" s="1"/>
  <c r="M1036" i="16" s="1"/>
  <c r="F1033" i="16"/>
  <c r="L1033" i="16" s="1"/>
  <c r="M1033" i="16" s="1"/>
  <c r="F1034" i="16"/>
  <c r="H1034" i="16" s="1"/>
  <c r="M1034" i="16" s="1"/>
  <c r="F1037" i="16"/>
  <c r="H1037" i="16" s="1"/>
  <c r="M1037" i="16" s="1"/>
  <c r="F1035" i="16"/>
  <c r="H1035" i="16" s="1"/>
  <c r="M1035" i="16" s="1"/>
  <c r="F1032" i="16"/>
  <c r="J1032" i="16" s="1"/>
  <c r="M1032" i="16" s="1"/>
  <c r="F276" i="18"/>
  <c r="H276" i="18" s="1"/>
  <c r="M276" i="18" s="1"/>
  <c r="F275" i="18"/>
  <c r="H275" i="18" s="1"/>
  <c r="M275" i="18" s="1"/>
  <c r="F274" i="18"/>
  <c r="L274" i="18" s="1"/>
  <c r="M274" i="18" s="1"/>
  <c r="F273" i="18"/>
  <c r="J273" i="18" s="1"/>
  <c r="M273" i="18" s="1"/>
  <c r="F271" i="18"/>
  <c r="H271" i="18" s="1"/>
  <c r="M271" i="18" s="1"/>
  <c r="F270" i="18"/>
  <c r="H270" i="18" s="1"/>
  <c r="M270" i="18" s="1"/>
  <c r="F269" i="18"/>
  <c r="L269" i="18" s="1"/>
  <c r="M269" i="18" s="1"/>
  <c r="F268" i="18"/>
  <c r="J268" i="18" s="1"/>
  <c r="M268" i="18" s="1"/>
  <c r="F265" i="18"/>
  <c r="H265" i="18" s="1"/>
  <c r="M265" i="18" s="1"/>
  <c r="F264" i="18"/>
  <c r="H264" i="18" s="1"/>
  <c r="M264" i="18" s="1"/>
  <c r="F263" i="18"/>
  <c r="L263" i="18" s="1"/>
  <c r="M263" i="18" s="1"/>
  <c r="F262" i="18"/>
  <c r="J262" i="18" s="1"/>
  <c r="M262" i="18" s="1"/>
  <c r="F260" i="18"/>
  <c r="H260" i="18" s="1"/>
  <c r="M260" i="18" s="1"/>
  <c r="F259" i="18"/>
  <c r="H259" i="18" s="1"/>
  <c r="M259" i="18" s="1"/>
  <c r="F258" i="18"/>
  <c r="L258" i="18" s="1"/>
  <c r="M258" i="18" s="1"/>
  <c r="F257" i="18"/>
  <c r="J257" i="18" s="1"/>
  <c r="M257" i="18" s="1"/>
  <c r="H255" i="18"/>
  <c r="M255" i="18" s="1"/>
  <c r="F254" i="18"/>
  <c r="H254" i="18" s="1"/>
  <c r="M254" i="18" s="1"/>
  <c r="F253" i="18"/>
  <c r="H253" i="18" s="1"/>
  <c r="M253" i="18" s="1"/>
  <c r="F252" i="18"/>
  <c r="L252" i="18" s="1"/>
  <c r="M252" i="18" s="1"/>
  <c r="F251" i="18"/>
  <c r="J251" i="18" s="1"/>
  <c r="M251" i="18" s="1"/>
  <c r="F248" i="18"/>
  <c r="H248" i="18" s="1"/>
  <c r="M248" i="18" s="1"/>
  <c r="H247" i="18"/>
  <c r="M247" i="18" s="1"/>
  <c r="F246" i="18"/>
  <c r="H246" i="18" s="1"/>
  <c r="M246" i="18" s="1"/>
  <c r="F245" i="18"/>
  <c r="H245" i="18" s="1"/>
  <c r="M245" i="18" s="1"/>
  <c r="F244" i="18"/>
  <c r="L244" i="18" s="1"/>
  <c r="M244" i="18" s="1"/>
  <c r="F243" i="18"/>
  <c r="J243" i="18" s="1"/>
  <c r="M243" i="18" s="1"/>
  <c r="F241" i="18"/>
  <c r="H241" i="18" s="1"/>
  <c r="M241" i="18" s="1"/>
  <c r="F240" i="18"/>
  <c r="H240" i="18" s="1"/>
  <c r="M240" i="18" s="1"/>
  <c r="F239" i="18"/>
  <c r="L239" i="18" s="1"/>
  <c r="M239" i="18" s="1"/>
  <c r="F238" i="18"/>
  <c r="J238" i="18" s="1"/>
  <c r="M238" i="18" s="1"/>
  <c r="F236" i="18"/>
  <c r="H236" i="18" s="1"/>
  <c r="M236" i="18" s="1"/>
  <c r="F235" i="18"/>
  <c r="H235" i="18" s="1"/>
  <c r="M235" i="18" s="1"/>
  <c r="F234" i="18"/>
  <c r="L234" i="18" s="1"/>
  <c r="M234" i="18" s="1"/>
  <c r="F233" i="18"/>
  <c r="J233" i="18" s="1"/>
  <c r="M233" i="18" s="1"/>
  <c r="F231" i="18"/>
  <c r="H231" i="18" s="1"/>
  <c r="M231" i="18" s="1"/>
  <c r="F230" i="18"/>
  <c r="H230" i="18" s="1"/>
  <c r="M230" i="18" s="1"/>
  <c r="F229" i="18"/>
  <c r="L229" i="18" s="1"/>
  <c r="M229" i="18" s="1"/>
  <c r="F228" i="18"/>
  <c r="J228" i="18" s="1"/>
  <c r="M228" i="18" s="1"/>
  <c r="F225" i="18"/>
  <c r="H225" i="18" s="1"/>
  <c r="M225" i="18" s="1"/>
  <c r="H224" i="18"/>
  <c r="M224" i="18" s="1"/>
  <c r="F223" i="18"/>
  <c r="H223" i="18" s="1"/>
  <c r="M223" i="18" s="1"/>
  <c r="F222" i="18"/>
  <c r="H222" i="18" s="1"/>
  <c r="M222" i="18" s="1"/>
  <c r="F221" i="18"/>
  <c r="L221" i="18" s="1"/>
  <c r="M221" i="18" s="1"/>
  <c r="F220" i="18"/>
  <c r="J220" i="18" s="1"/>
  <c r="M220" i="18" s="1"/>
  <c r="F218" i="18"/>
  <c r="H218" i="18" s="1"/>
  <c r="M218" i="18" s="1"/>
  <c r="F217" i="18"/>
  <c r="H217" i="18" s="1"/>
  <c r="M217" i="18" s="1"/>
  <c r="F216" i="18"/>
  <c r="L216" i="18" s="1"/>
  <c r="M216" i="18" s="1"/>
  <c r="F215" i="18"/>
  <c r="J215" i="18" s="1"/>
  <c r="M215" i="18" s="1"/>
  <c r="F213" i="18"/>
  <c r="H213" i="18" s="1"/>
  <c r="M213" i="18" s="1"/>
  <c r="F212" i="18"/>
  <c r="H212" i="18" s="1"/>
  <c r="M212" i="18" s="1"/>
  <c r="F211" i="18"/>
  <c r="L211" i="18" s="1"/>
  <c r="M211" i="18" s="1"/>
  <c r="F210" i="18"/>
  <c r="J210" i="18" s="1"/>
  <c r="M210" i="18" s="1"/>
  <c r="F208" i="18"/>
  <c r="H208" i="18" s="1"/>
  <c r="M208" i="18" s="1"/>
  <c r="F207" i="18"/>
  <c r="H207" i="18" s="1"/>
  <c r="M207" i="18" s="1"/>
  <c r="F206" i="18"/>
  <c r="L206" i="18" s="1"/>
  <c r="M206" i="18" s="1"/>
  <c r="F205" i="18"/>
  <c r="J205" i="18" s="1"/>
  <c r="M205" i="18" s="1"/>
  <c r="F202" i="18"/>
  <c r="H202" i="18" s="1"/>
  <c r="M202" i="18" s="1"/>
  <c r="H201" i="18"/>
  <c r="M201" i="18" s="1"/>
  <c r="F200" i="18"/>
  <c r="H200" i="18" s="1"/>
  <c r="M200" i="18" s="1"/>
  <c r="F199" i="18"/>
  <c r="H199" i="18" s="1"/>
  <c r="M199" i="18" s="1"/>
  <c r="F198" i="18"/>
  <c r="L198" i="18" s="1"/>
  <c r="M198" i="18" s="1"/>
  <c r="F197" i="18"/>
  <c r="J197" i="18" s="1"/>
  <c r="M197" i="18" s="1"/>
  <c r="F195" i="18"/>
  <c r="H195" i="18" s="1"/>
  <c r="M195" i="18" s="1"/>
  <c r="F194" i="18"/>
  <c r="H194" i="18" s="1"/>
  <c r="M194" i="18" s="1"/>
  <c r="F193" i="18"/>
  <c r="L193" i="18" s="1"/>
  <c r="M193" i="18" s="1"/>
  <c r="F192" i="18"/>
  <c r="J192" i="18" s="1"/>
  <c r="M192" i="18" s="1"/>
  <c r="F190" i="18"/>
  <c r="H190" i="18" s="1"/>
  <c r="M190" i="18" s="1"/>
  <c r="F189" i="18"/>
  <c r="H189" i="18" s="1"/>
  <c r="M189" i="18" s="1"/>
  <c r="F188" i="18"/>
  <c r="L188" i="18" s="1"/>
  <c r="M188" i="18" s="1"/>
  <c r="F187" i="18"/>
  <c r="J187" i="18" s="1"/>
  <c r="M187" i="18" s="1"/>
  <c r="F185" i="18"/>
  <c r="H185" i="18" s="1"/>
  <c r="M185" i="18" s="1"/>
  <c r="F184" i="18"/>
  <c r="H184" i="18" s="1"/>
  <c r="M184" i="18" s="1"/>
  <c r="F183" i="18"/>
  <c r="L183" i="18" s="1"/>
  <c r="M183" i="18" s="1"/>
  <c r="F182" i="18"/>
  <c r="J182" i="18" s="1"/>
  <c r="M182" i="18" s="1"/>
  <c r="F179" i="18"/>
  <c r="H179" i="18" s="1"/>
  <c r="M179" i="18" s="1"/>
  <c r="F178" i="18"/>
  <c r="H178" i="18" s="1"/>
  <c r="M178" i="18" s="1"/>
  <c r="F177" i="18"/>
  <c r="H177" i="18" s="1"/>
  <c r="M177" i="18" s="1"/>
  <c r="F176" i="18"/>
  <c r="H176" i="18" s="1"/>
  <c r="M176" i="18" s="1"/>
  <c r="F175" i="18"/>
  <c r="L175" i="18" s="1"/>
  <c r="M175" i="18" s="1"/>
  <c r="F174" i="18"/>
  <c r="J174" i="18" s="1"/>
  <c r="M174" i="18" s="1"/>
  <c r="F172" i="18"/>
  <c r="H172" i="18" s="1"/>
  <c r="M172" i="18" s="1"/>
  <c r="F171" i="18"/>
  <c r="H171" i="18" s="1"/>
  <c r="M171" i="18" s="1"/>
  <c r="F170" i="18"/>
  <c r="L170" i="18" s="1"/>
  <c r="M170" i="18" s="1"/>
  <c r="F169" i="18"/>
  <c r="J169" i="18" s="1"/>
  <c r="M169" i="18" s="1"/>
  <c r="F167" i="18"/>
  <c r="H167" i="18" s="1"/>
  <c r="M167" i="18" s="1"/>
  <c r="F166" i="18"/>
  <c r="H166" i="18" s="1"/>
  <c r="M166" i="18" s="1"/>
  <c r="F165" i="18"/>
  <c r="L165" i="18" s="1"/>
  <c r="M165" i="18" s="1"/>
  <c r="F164" i="18"/>
  <c r="J164" i="18" s="1"/>
  <c r="M164" i="18" s="1"/>
  <c r="F162" i="18"/>
  <c r="H162" i="18" s="1"/>
  <c r="M162" i="18" s="1"/>
  <c r="F161" i="18"/>
  <c r="H161" i="18" s="1"/>
  <c r="M161" i="18" s="1"/>
  <c r="F160" i="18"/>
  <c r="L160" i="18" s="1"/>
  <c r="M160" i="18" s="1"/>
  <c r="F159" i="18"/>
  <c r="J159" i="18" s="1"/>
  <c r="M159" i="18" s="1"/>
  <c r="F156" i="18"/>
  <c r="H156" i="18" s="1"/>
  <c r="M156" i="18" s="1"/>
  <c r="F155" i="18"/>
  <c r="H155" i="18" s="1"/>
  <c r="M155" i="18" s="1"/>
  <c r="F154" i="18"/>
  <c r="H154" i="18" s="1"/>
  <c r="M154" i="18" s="1"/>
  <c r="F153" i="18"/>
  <c r="H153" i="18" s="1"/>
  <c r="M153" i="18" s="1"/>
  <c r="F152" i="18"/>
  <c r="L152" i="18" s="1"/>
  <c r="M152" i="18" s="1"/>
  <c r="F151" i="18"/>
  <c r="J151" i="18" s="1"/>
  <c r="M151" i="18" s="1"/>
  <c r="F149" i="18"/>
  <c r="H149" i="18" s="1"/>
  <c r="M149" i="18" s="1"/>
  <c r="F148" i="18"/>
  <c r="H148" i="18" s="1"/>
  <c r="M148" i="18" s="1"/>
  <c r="F147" i="18"/>
  <c r="L147" i="18" s="1"/>
  <c r="M147" i="18" s="1"/>
  <c r="F146" i="18"/>
  <c r="J146" i="18" s="1"/>
  <c r="M146" i="18" s="1"/>
  <c r="F139" i="18"/>
  <c r="H139" i="18" s="1"/>
  <c r="F144" i="18"/>
  <c r="H144" i="18" s="1"/>
  <c r="M144" i="18" s="1"/>
  <c r="F143" i="18"/>
  <c r="H143" i="18" s="1"/>
  <c r="M143" i="18" s="1"/>
  <c r="F142" i="18"/>
  <c r="L142" i="18" s="1"/>
  <c r="M142" i="18" s="1"/>
  <c r="F141" i="18"/>
  <c r="J141" i="18" s="1"/>
  <c r="M141" i="18" s="1"/>
  <c r="F138" i="18"/>
  <c r="H138" i="18" s="1"/>
  <c r="M138" i="18" s="1"/>
  <c r="F137" i="18"/>
  <c r="L137" i="18" s="1"/>
  <c r="M137" i="18" s="1"/>
  <c r="F136" i="18"/>
  <c r="J136" i="18" s="1"/>
  <c r="M136" i="18" s="1"/>
  <c r="F439" i="18"/>
  <c r="F290" i="18"/>
  <c r="F286" i="18"/>
  <c r="F293" i="18"/>
  <c r="F298" i="18"/>
  <c r="F121" i="18"/>
  <c r="F122" i="18"/>
  <c r="F123" i="18"/>
  <c r="F120" i="18"/>
  <c r="F9" i="18"/>
  <c r="H24" i="18"/>
  <c r="M24" i="18" s="1"/>
  <c r="H25" i="18"/>
  <c r="M25" i="18" s="1"/>
  <c r="H26" i="18"/>
  <c r="M26" i="18" s="1"/>
  <c r="H27" i="18"/>
  <c r="M27" i="18" s="1"/>
  <c r="H22" i="18"/>
  <c r="M22" i="18" s="1"/>
  <c r="F377" i="6"/>
  <c r="F329" i="6"/>
  <c r="F341" i="6" s="1"/>
  <c r="F373" i="6"/>
  <c r="F375" i="6" s="1"/>
  <c r="H283" i="6"/>
  <c r="M283" i="6" s="1"/>
  <c r="F331" i="6"/>
  <c r="H321" i="6"/>
  <c r="M321" i="6" s="1"/>
  <c r="H323" i="6"/>
  <c r="M323" i="6" s="1"/>
  <c r="H322" i="6"/>
  <c r="M322" i="6" s="1"/>
  <c r="H320" i="6"/>
  <c r="M320" i="6" s="1"/>
  <c r="H319" i="6"/>
  <c r="M319" i="6" s="1"/>
  <c r="H318" i="6"/>
  <c r="M318" i="6" s="1"/>
  <c r="H317" i="6"/>
  <c r="M317" i="6" s="1"/>
  <c r="H316" i="6"/>
  <c r="M316" i="6" s="1"/>
  <c r="F313" i="6"/>
  <c r="F315" i="6" s="1"/>
  <c r="L315" i="6" s="1"/>
  <c r="M315" i="6" s="1"/>
  <c r="H297" i="6"/>
  <c r="M297" i="6" s="1"/>
  <c r="H296" i="6"/>
  <c r="M296" i="6" s="1"/>
  <c r="F286" i="6"/>
  <c r="F277" i="6"/>
  <c r="H300" i="6"/>
  <c r="M300" i="6" s="1"/>
  <c r="H292" i="6"/>
  <c r="M292" i="6" s="1"/>
  <c r="H291" i="6"/>
  <c r="M291" i="6" s="1"/>
  <c r="H293" i="6"/>
  <c r="M293" i="6" s="1"/>
  <c r="H282" i="6"/>
  <c r="M282" i="6" s="1"/>
  <c r="M139" i="18" l="1"/>
  <c r="H283" i="18"/>
  <c r="M278" i="18"/>
  <c r="F392" i="6"/>
  <c r="F394" i="6" s="1"/>
  <c r="F343" i="6"/>
  <c r="L343" i="6" s="1"/>
  <c r="M343" i="6" s="1"/>
  <c r="F342" i="6"/>
  <c r="J342" i="6" s="1"/>
  <c r="M342" i="6" s="1"/>
  <c r="F390" i="6"/>
  <c r="F389" i="6"/>
  <c r="F324" i="6"/>
  <c r="H324" i="6" s="1"/>
  <c r="M324" i="6" s="1"/>
  <c r="F314" i="6"/>
  <c r="J314" i="6" s="1"/>
  <c r="M314" i="6" s="1"/>
  <c r="F327" i="6"/>
  <c r="F207" i="6"/>
  <c r="F212" i="6" s="1"/>
  <c r="F127" i="6"/>
  <c r="H173" i="6"/>
  <c r="M173" i="6" s="1"/>
  <c r="H142" i="6"/>
  <c r="M142" i="6" s="1"/>
  <c r="H143" i="6"/>
  <c r="M143" i="6" s="1"/>
  <c r="M136" i="6"/>
  <c r="F50" i="6"/>
  <c r="F37" i="6"/>
  <c r="F40" i="6"/>
  <c r="F41" i="6" s="1"/>
  <c r="F36" i="6"/>
  <c r="H31" i="6"/>
  <c r="M31" i="6" s="1"/>
  <c r="F28" i="6"/>
  <c r="F32" i="6" s="1"/>
  <c r="H32" i="6" s="1"/>
  <c r="M32" i="6" s="1"/>
  <c r="L375" i="6" l="1"/>
  <c r="M375" i="6" s="1"/>
  <c r="F374" i="6"/>
  <c r="J374" i="6" s="1"/>
  <c r="M374" i="6" s="1"/>
  <c r="F29" i="6"/>
  <c r="J29" i="6" s="1"/>
  <c r="M29" i="6" s="1"/>
  <c r="F30" i="6"/>
  <c r="L30" i="6" s="1"/>
  <c r="M30" i="6" s="1"/>
  <c r="F20" i="6" l="1"/>
  <c r="F21" i="6" s="1"/>
  <c r="J21" i="6" s="1"/>
  <c r="M21" i="6" s="1"/>
  <c r="H22" i="6"/>
  <c r="M22" i="6" s="1"/>
  <c r="F827" i="16" l="1"/>
  <c r="H827" i="16" s="1"/>
  <c r="M827" i="16" s="1"/>
  <c r="F756" i="16"/>
  <c r="L756" i="16" s="1"/>
  <c r="M756" i="16" s="1"/>
  <c r="F758" i="16"/>
  <c r="H758" i="16" s="1"/>
  <c r="M758" i="16" s="1"/>
  <c r="F754" i="16"/>
  <c r="J754" i="16" s="1"/>
  <c r="M754" i="16" s="1"/>
  <c r="F757" i="16"/>
  <c r="H757" i="16" s="1"/>
  <c r="M757" i="16" s="1"/>
  <c r="F755" i="16"/>
  <c r="L755" i="16" s="1"/>
  <c r="M755" i="16" s="1"/>
  <c r="F759" i="16"/>
  <c r="H759" i="16" s="1"/>
  <c r="M759" i="16" s="1"/>
  <c r="F845" i="16"/>
  <c r="F809" i="16"/>
  <c r="F830" i="16" l="1"/>
  <c r="H830" i="16" s="1"/>
  <c r="M830" i="16" s="1"/>
  <c r="F828" i="16"/>
  <c r="H828" i="16" s="1"/>
  <c r="M828" i="16" s="1"/>
  <c r="F825" i="16"/>
  <c r="J825" i="16" s="1"/>
  <c r="M825" i="16" s="1"/>
  <c r="F829" i="16"/>
  <c r="H829" i="16" s="1"/>
  <c r="M829" i="16" s="1"/>
  <c r="F826" i="16"/>
  <c r="L826" i="16" s="1"/>
  <c r="M826" i="16" s="1"/>
  <c r="F844" i="16"/>
  <c r="H844" i="16" s="1"/>
  <c r="M844" i="16" s="1"/>
  <c r="F842" i="16"/>
  <c r="H842" i="16" s="1"/>
  <c r="M842" i="16" s="1"/>
  <c r="F841" i="16"/>
  <c r="H841" i="16" s="1"/>
  <c r="M841" i="16" s="1"/>
  <c r="F843" i="16"/>
  <c r="H843" i="16" s="1"/>
  <c r="M843" i="16" s="1"/>
  <c r="F839" i="16"/>
  <c r="J839" i="16" s="1"/>
  <c r="M839" i="16" s="1"/>
  <c r="F840" i="16"/>
  <c r="L840" i="16" s="1"/>
  <c r="M840" i="16" s="1"/>
  <c r="F1083" i="16" l="1"/>
  <c r="H1083" i="16" s="1"/>
  <c r="M1083" i="16" s="1"/>
  <c r="F1079" i="16"/>
  <c r="L1079" i="16" s="1"/>
  <c r="M1079" i="16" s="1"/>
  <c r="F1080" i="16"/>
  <c r="H1080" i="16" s="1"/>
  <c r="M1080" i="16" s="1"/>
  <c r="F1077" i="16"/>
  <c r="J1077" i="16" s="1"/>
  <c r="M1077" i="16" s="1"/>
  <c r="F1081" i="16"/>
  <c r="H1081" i="16" s="1"/>
  <c r="M1081" i="16" s="1"/>
  <c r="F1078" i="16"/>
  <c r="L1078" i="16" s="1"/>
  <c r="M1078" i="16" s="1"/>
  <c r="F1082" i="16"/>
  <c r="H1082" i="16" s="1"/>
  <c r="M1082" i="16" s="1"/>
  <c r="F682" i="16"/>
  <c r="L682" i="16" s="1"/>
  <c r="M682" i="16" s="1"/>
  <c r="F683" i="16"/>
  <c r="F684" i="16" s="1"/>
  <c r="F685" i="16"/>
  <c r="H685" i="16" s="1"/>
  <c r="M685" i="16" s="1"/>
  <c r="F686" i="16"/>
  <c r="H686" i="16" s="1"/>
  <c r="M686" i="16" s="1"/>
  <c r="F690" i="16"/>
  <c r="F691" i="16" s="1"/>
  <c r="F692" i="16"/>
  <c r="H692" i="16" s="1"/>
  <c r="M692" i="16" s="1"/>
  <c r="F689" i="16"/>
  <c r="L689" i="16" s="1"/>
  <c r="M689" i="16" s="1"/>
  <c r="F693" i="16"/>
  <c r="H693" i="16" s="1"/>
  <c r="M693" i="16" s="1"/>
  <c r="H691" i="16" l="1"/>
  <c r="M691" i="16" s="1"/>
  <c r="F688" i="16"/>
  <c r="J688" i="16" s="1"/>
  <c r="H684" i="16"/>
  <c r="M684" i="16" s="1"/>
  <c r="F681" i="16"/>
  <c r="J681" i="16" s="1"/>
  <c r="F1087" i="16"/>
  <c r="H1087" i="16" s="1"/>
  <c r="M1087" i="16" s="1"/>
  <c r="F1089" i="16"/>
  <c r="H1089" i="16" s="1"/>
  <c r="M1089" i="16" s="1"/>
  <c r="F1088" i="16"/>
  <c r="H1088" i="16" s="1"/>
  <c r="M1088" i="16" s="1"/>
  <c r="F1086" i="16"/>
  <c r="L1086" i="16" s="1"/>
  <c r="M1086" i="16" s="1"/>
  <c r="F1085" i="16"/>
  <c r="J1085" i="16" s="1"/>
  <c r="M1085" i="16" s="1"/>
  <c r="M688" i="16" l="1"/>
  <c r="O688" i="16"/>
  <c r="O681" i="16"/>
  <c r="M681" i="16"/>
  <c r="F1046" i="16" l="1"/>
  <c r="F1024" i="16"/>
  <c r="H1024" i="16" s="1"/>
  <c r="M1024" i="16" s="1"/>
  <c r="F1019" i="16"/>
  <c r="L1019" i="16" s="1"/>
  <c r="M1019" i="16" s="1"/>
  <c r="F1023" i="16"/>
  <c r="H1023" i="16" s="1"/>
  <c r="M1023" i="16" s="1"/>
  <c r="F1018" i="16"/>
  <c r="J1018" i="16" s="1"/>
  <c r="M1018" i="16" s="1"/>
  <c r="F1022" i="16"/>
  <c r="H1022" i="16" s="1"/>
  <c r="M1022" i="16" s="1"/>
  <c r="F1021" i="16"/>
  <c r="H1021" i="16" s="1"/>
  <c r="M1021" i="16" s="1"/>
  <c r="F1020" i="16"/>
  <c r="L1020" i="16" s="1"/>
  <c r="M1020" i="16" s="1"/>
  <c r="F897" i="16"/>
  <c r="F1015" i="16" l="1"/>
  <c r="H1015" i="16" s="1"/>
  <c r="M1015" i="16" s="1"/>
  <c r="F1012" i="16"/>
  <c r="L1012" i="16" s="1"/>
  <c r="M1012" i="16" s="1"/>
  <c r="F1013" i="16"/>
  <c r="H1013" i="16" s="1"/>
  <c r="M1013" i="16" s="1"/>
  <c r="F1016" i="16"/>
  <c r="H1016" i="16" s="1"/>
  <c r="M1016" i="16" s="1"/>
  <c r="F1014" i="16"/>
  <c r="H1014" i="16" s="1"/>
  <c r="M1014" i="16" s="1"/>
  <c r="F1011" i="16"/>
  <c r="J1011" i="16" s="1"/>
  <c r="M1011" i="16" s="1"/>
  <c r="F1051" i="16"/>
  <c r="H1051" i="16" s="1"/>
  <c r="M1051" i="16" s="1"/>
  <c r="F1047" i="16"/>
  <c r="J1047" i="16" s="1"/>
  <c r="M1047" i="16" s="1"/>
  <c r="F1048" i="16"/>
  <c r="L1048" i="16" s="1"/>
  <c r="M1048" i="16" s="1"/>
  <c r="F1049" i="16"/>
  <c r="H1049" i="16" s="1"/>
  <c r="M1049" i="16" s="1"/>
  <c r="F1050" i="16"/>
  <c r="H1050" i="16" s="1"/>
  <c r="M1050" i="16" s="1"/>
  <c r="A1" i="16" l="1"/>
  <c r="A1" i="17"/>
  <c r="A1" i="6"/>
  <c r="A1" i="18"/>
  <c r="A1" i="20"/>
  <c r="A1" i="19"/>
  <c r="A1" i="21"/>
  <c r="H28" i="21"/>
  <c r="M28" i="21" l="1"/>
  <c r="G16" i="21"/>
  <c r="G21" i="21"/>
  <c r="G11" i="21"/>
  <c r="F186" i="17"/>
  <c r="H189" i="17"/>
  <c r="M189" i="17" s="1"/>
  <c r="F856" i="16" l="1"/>
  <c r="H856" i="16" s="1"/>
  <c r="M856" i="16" s="1"/>
  <c r="F187" i="17"/>
  <c r="J187" i="17" s="1"/>
  <c r="M187" i="17" s="1"/>
  <c r="F188" i="17"/>
  <c r="L188" i="17" s="1"/>
  <c r="M188" i="17" s="1"/>
  <c r="F190" i="17"/>
  <c r="H190" i="17" s="1"/>
  <c r="M190" i="17" s="1"/>
  <c r="F858" i="16" l="1"/>
  <c r="H858" i="16" s="1"/>
  <c r="M858" i="16" s="1"/>
  <c r="F854" i="16"/>
  <c r="L854" i="16" s="1"/>
  <c r="M854" i="16" s="1"/>
  <c r="F853" i="16"/>
  <c r="J853" i="16" s="1"/>
  <c r="M853" i="16" s="1"/>
  <c r="F857" i="16"/>
  <c r="H857" i="16" s="1"/>
  <c r="M857" i="16" s="1"/>
  <c r="F855" i="16"/>
  <c r="H855" i="16" s="1"/>
  <c r="M855" i="16" s="1"/>
  <c r="F171" i="17"/>
  <c r="H174" i="17"/>
  <c r="M174" i="17" s="1"/>
  <c r="H173" i="17"/>
  <c r="M173" i="17" s="1"/>
  <c r="F172" i="17"/>
  <c r="J172" i="17" s="1"/>
  <c r="M172" i="17" s="1"/>
  <c r="H167" i="17" l="1"/>
  <c r="M167" i="17" s="1"/>
  <c r="H235" i="17"/>
  <c r="M235" i="17" s="1"/>
  <c r="H196" i="17" l="1"/>
  <c r="M196" i="17" s="1"/>
  <c r="F193" i="17"/>
  <c r="F115" i="19" l="1"/>
  <c r="L115" i="19" s="1"/>
  <c r="M115" i="19" s="1"/>
  <c r="F117" i="19"/>
  <c r="H117" i="19" s="1"/>
  <c r="M117" i="19" s="1"/>
  <c r="F116" i="19"/>
  <c r="L116" i="19" s="1"/>
  <c r="M116" i="19" s="1"/>
  <c r="F114" i="19"/>
  <c r="J114" i="19" s="1"/>
  <c r="M114" i="19" s="1"/>
  <c r="F230" i="19"/>
  <c r="F231" i="19" s="1"/>
  <c r="F268" i="19" s="1"/>
  <c r="H256" i="19"/>
  <c r="M256" i="19" s="1"/>
  <c r="F246" i="19"/>
  <c r="F241" i="19"/>
  <c r="L241" i="19" s="1"/>
  <c r="M241" i="19" s="1"/>
  <c r="F192" i="19"/>
  <c r="F194" i="19" s="1"/>
  <c r="L194" i="19" s="1"/>
  <c r="M194" i="19" s="1"/>
  <c r="F195" i="19"/>
  <c r="F196" i="19" s="1"/>
  <c r="J196" i="19" s="1"/>
  <c r="M196" i="19" s="1"/>
  <c r="E198" i="19"/>
  <c r="F203" i="19"/>
  <c r="H203" i="19" s="1"/>
  <c r="M203" i="19" s="1"/>
  <c r="H206" i="19"/>
  <c r="M206" i="19" s="1"/>
  <c r="H207" i="19"/>
  <c r="M207" i="19" s="1"/>
  <c r="F215" i="19"/>
  <c r="J215" i="19" s="1"/>
  <c r="M215" i="19" s="1"/>
  <c r="F217" i="19"/>
  <c r="J217" i="19" s="1"/>
  <c r="M217" i="19" s="1"/>
  <c r="F218" i="19"/>
  <c r="L218" i="19" s="1"/>
  <c r="M218" i="19" s="1"/>
  <c r="F219" i="19"/>
  <c r="L219" i="19" s="1"/>
  <c r="M219" i="19" s="1"/>
  <c r="F220" i="19"/>
  <c r="H220" i="19" s="1"/>
  <c r="M220" i="19" s="1"/>
  <c r="F221" i="19"/>
  <c r="H221" i="19" s="1"/>
  <c r="M221" i="19" s="1"/>
  <c r="F222" i="19"/>
  <c r="H222" i="19" s="1"/>
  <c r="M222" i="19" s="1"/>
  <c r="F223" i="19"/>
  <c r="H223" i="19" s="1"/>
  <c r="M223" i="19" s="1"/>
  <c r="F225" i="19"/>
  <c r="J225" i="19" s="1"/>
  <c r="M225" i="19" s="1"/>
  <c r="F226" i="19"/>
  <c r="L226" i="19" s="1"/>
  <c r="M226" i="19" s="1"/>
  <c r="F227" i="19"/>
  <c r="H227" i="19" s="1"/>
  <c r="M227" i="19" s="1"/>
  <c r="F228" i="19"/>
  <c r="H228" i="19" s="1"/>
  <c r="M228" i="19" s="1"/>
  <c r="F229" i="19"/>
  <c r="H229" i="19" s="1"/>
  <c r="M229" i="19" s="1"/>
  <c r="E233" i="19"/>
  <c r="E234" i="19"/>
  <c r="E235" i="19"/>
  <c r="D236" i="19"/>
  <c r="E237" i="19"/>
  <c r="E238" i="19"/>
  <c r="J253" i="19"/>
  <c r="M253" i="19" s="1"/>
  <c r="E254" i="19"/>
  <c r="F254" i="19" s="1"/>
  <c r="L254" i="19" s="1"/>
  <c r="M254" i="19" s="1"/>
  <c r="E255" i="19"/>
  <c r="F255" i="19" s="1"/>
  <c r="L255" i="19" s="1"/>
  <c r="M255" i="19" s="1"/>
  <c r="E257" i="19"/>
  <c r="F257" i="19" s="1"/>
  <c r="H257" i="19" s="1"/>
  <c r="M257" i="19" s="1"/>
  <c r="E258" i="19"/>
  <c r="F258" i="19" s="1"/>
  <c r="H258" i="19" s="1"/>
  <c r="M258" i="19" s="1"/>
  <c r="F259" i="19"/>
  <c r="H259" i="19" s="1"/>
  <c r="M259" i="19" s="1"/>
  <c r="E260" i="19"/>
  <c r="M261" i="19"/>
  <c r="E262" i="19"/>
  <c r="F262" i="19" s="1"/>
  <c r="J262" i="19" s="1"/>
  <c r="M262" i="19" s="1"/>
  <c r="E263" i="19"/>
  <c r="F263" i="19" s="1"/>
  <c r="L263" i="19" s="1"/>
  <c r="M263" i="19" s="1"/>
  <c r="H264" i="19"/>
  <c r="M264" i="19" s="1"/>
  <c r="E265" i="19"/>
  <c r="F265" i="19" s="1"/>
  <c r="H265" i="19" s="1"/>
  <c r="M265" i="19" s="1"/>
  <c r="F232" i="19" l="1"/>
  <c r="J232" i="19" s="1"/>
  <c r="M232" i="19" s="1"/>
  <c r="F236" i="19"/>
  <c r="H236" i="19" s="1"/>
  <c r="M236" i="19" s="1"/>
  <c r="F260" i="19"/>
  <c r="H260" i="19" s="1"/>
  <c r="M260" i="19" s="1"/>
  <c r="F197" i="19"/>
  <c r="L197" i="19" s="1"/>
  <c r="M197" i="19" s="1"/>
  <c r="F199" i="19"/>
  <c r="H199" i="19" s="1"/>
  <c r="M199" i="19" s="1"/>
  <c r="F191" i="19"/>
  <c r="J191" i="19" s="1"/>
  <c r="M191" i="19" s="1"/>
  <c r="F251" i="19"/>
  <c r="H251" i="19" s="1"/>
  <c r="M251" i="19" s="1"/>
  <c r="F238" i="19"/>
  <c r="H238" i="19" s="1"/>
  <c r="M238" i="19" s="1"/>
  <c r="F235" i="19"/>
  <c r="H235" i="19" s="1"/>
  <c r="M235" i="19" s="1"/>
  <c r="F244" i="19"/>
  <c r="H244" i="19" s="1"/>
  <c r="M244" i="19" s="1"/>
  <c r="F237" i="19"/>
  <c r="H237" i="19" s="1"/>
  <c r="M237" i="19" s="1"/>
  <c r="F234" i="19"/>
  <c r="L234" i="19" s="1"/>
  <c r="M234" i="19" s="1"/>
  <c r="F240" i="19"/>
  <c r="J240" i="19" s="1"/>
  <c r="M240" i="19" s="1"/>
  <c r="F233" i="19"/>
  <c r="L233" i="19" s="1"/>
  <c r="M233" i="19" s="1"/>
  <c r="F243" i="19"/>
  <c r="H243" i="19" s="1"/>
  <c r="M243" i="19" s="1"/>
  <c r="F242" i="19"/>
  <c r="H242" i="19" s="1"/>
  <c r="M242" i="19" s="1"/>
  <c r="F202" i="19"/>
  <c r="L202" i="19" s="1"/>
  <c r="M202" i="19" s="1"/>
  <c r="F193" i="19"/>
  <c r="J193" i="19" s="1"/>
  <c r="M193" i="19" s="1"/>
  <c r="F198" i="19"/>
  <c r="H198" i="19" s="1"/>
  <c r="M198" i="19" s="1"/>
  <c r="F208" i="19"/>
  <c r="H208" i="19" s="1"/>
  <c r="M208" i="19" s="1"/>
  <c r="F204" i="19"/>
  <c r="H204" i="19" s="1"/>
  <c r="M204" i="19" s="1"/>
  <c r="F205" i="19"/>
  <c r="H205" i="19" s="1"/>
  <c r="M205" i="19" s="1"/>
  <c r="F201" i="19"/>
  <c r="J201" i="19" s="1"/>
  <c r="M201" i="19" s="1"/>
  <c r="F250" i="19" l="1"/>
  <c r="H250" i="19" s="1"/>
  <c r="M250" i="19" s="1"/>
  <c r="F248" i="19"/>
  <c r="L248" i="19" s="1"/>
  <c r="M248" i="19" s="1"/>
  <c r="F247" i="19"/>
  <c r="J247" i="19" s="1"/>
  <c r="M247" i="19" s="1"/>
  <c r="F249" i="19"/>
  <c r="H249" i="19" s="1"/>
  <c r="M249" i="19" s="1"/>
  <c r="H443" i="6" l="1"/>
  <c r="F218" i="6"/>
  <c r="E220" i="6"/>
  <c r="E219" i="6"/>
  <c r="F273" i="17" l="1"/>
  <c r="H273" i="17" s="1"/>
  <c r="M273" i="17" s="1"/>
  <c r="F287" i="17"/>
  <c r="F292" i="17" s="1"/>
  <c r="H292" i="17" s="1"/>
  <c r="M292" i="17" s="1"/>
  <c r="F282" i="17"/>
  <c r="F284" i="17" s="1"/>
  <c r="L284" i="17" s="1"/>
  <c r="M284" i="17" s="1"/>
  <c r="F277" i="17"/>
  <c r="F278" i="17" s="1"/>
  <c r="J278" i="17" s="1"/>
  <c r="M278" i="17" s="1"/>
  <c r="F275" i="17"/>
  <c r="J275" i="17" s="1"/>
  <c r="M275" i="17" s="1"/>
  <c r="F264" i="17"/>
  <c r="J264" i="17" s="1"/>
  <c r="M264" i="17" s="1"/>
  <c r="F262" i="17"/>
  <c r="J262" i="17" s="1"/>
  <c r="H147" i="17"/>
  <c r="M147" i="17" s="1"/>
  <c r="H148" i="17"/>
  <c r="M148" i="17" s="1"/>
  <c r="F151" i="17"/>
  <c r="F136" i="17"/>
  <c r="F141" i="17" s="1"/>
  <c r="H139" i="17"/>
  <c r="M139" i="17" s="1"/>
  <c r="H333" i="17"/>
  <c r="F330" i="17"/>
  <c r="F334" i="17" s="1"/>
  <c r="H334" i="17" s="1"/>
  <c r="M334" i="17" s="1"/>
  <c r="H329" i="17"/>
  <c r="M329" i="17" s="1"/>
  <c r="H327" i="17"/>
  <c r="M327" i="17" s="1"/>
  <c r="F324" i="17"/>
  <c r="F326" i="17" s="1"/>
  <c r="L326" i="17" s="1"/>
  <c r="M326" i="17" s="1"/>
  <c r="H322" i="17"/>
  <c r="M322" i="17" s="1"/>
  <c r="H321" i="17"/>
  <c r="M321" i="17" s="1"/>
  <c r="H320" i="17"/>
  <c r="M320" i="17" s="1"/>
  <c r="H319" i="17"/>
  <c r="M319" i="17" s="1"/>
  <c r="H318" i="17"/>
  <c r="M318" i="17" s="1"/>
  <c r="H317" i="17"/>
  <c r="M317" i="17" s="1"/>
  <c r="H316" i="17"/>
  <c r="M316" i="17" s="1"/>
  <c r="H315" i="17"/>
  <c r="M315" i="17" s="1"/>
  <c r="H314" i="17"/>
  <c r="M314" i="17" s="1"/>
  <c r="J313" i="17"/>
  <c r="M313" i="17" s="1"/>
  <c r="H309" i="17"/>
  <c r="M309" i="17" s="1"/>
  <c r="H308" i="17"/>
  <c r="M308" i="17" s="1"/>
  <c r="F306" i="17"/>
  <c r="F310" i="17" s="1"/>
  <c r="H310" i="17" s="1"/>
  <c r="M310" i="17" s="1"/>
  <c r="F301" i="17"/>
  <c r="F302" i="17" s="1"/>
  <c r="J302" i="17" s="1"/>
  <c r="H291" i="17"/>
  <c r="M291" i="17" s="1"/>
  <c r="E285" i="17"/>
  <c r="E272" i="17"/>
  <c r="F268" i="17"/>
  <c r="L268" i="17" s="1"/>
  <c r="F328" i="17" l="1"/>
  <c r="H328" i="17" s="1"/>
  <c r="M328" i="17" s="1"/>
  <c r="F290" i="17"/>
  <c r="H290" i="17" s="1"/>
  <c r="M290" i="17" s="1"/>
  <c r="F331" i="17"/>
  <c r="J331" i="17" s="1"/>
  <c r="M331" i="17" s="1"/>
  <c r="H304" i="17"/>
  <c r="M304" i="17" s="1"/>
  <c r="F283" i="17"/>
  <c r="J283" i="17" s="1"/>
  <c r="M283" i="17" s="1"/>
  <c r="F285" i="17"/>
  <c r="H285" i="17" s="1"/>
  <c r="M285" i="17" s="1"/>
  <c r="F270" i="17"/>
  <c r="H270" i="17" s="1"/>
  <c r="M270" i="17" s="1"/>
  <c r="F267" i="17"/>
  <c r="J267" i="17" s="1"/>
  <c r="M267" i="17" s="1"/>
  <c r="M262" i="17"/>
  <c r="M302" i="17"/>
  <c r="M268" i="17"/>
  <c r="F269" i="17"/>
  <c r="H269" i="17" s="1"/>
  <c r="M269" i="17" s="1"/>
  <c r="F272" i="17"/>
  <c r="J272" i="17" s="1"/>
  <c r="M272" i="17" s="1"/>
  <c r="F286" i="17"/>
  <c r="H286" i="17" s="1"/>
  <c r="M286" i="17" s="1"/>
  <c r="F288" i="17"/>
  <c r="J288" i="17" s="1"/>
  <c r="M288" i="17" s="1"/>
  <c r="F305" i="17"/>
  <c r="H305" i="17" s="1"/>
  <c r="M305" i="17" s="1"/>
  <c r="F307" i="17"/>
  <c r="J307" i="17" s="1"/>
  <c r="M307" i="17" s="1"/>
  <c r="F325" i="17"/>
  <c r="J325" i="17" s="1"/>
  <c r="M325" i="17" s="1"/>
  <c r="F332" i="17"/>
  <c r="L332" i="17" s="1"/>
  <c r="M332" i="17" s="1"/>
  <c r="F265" i="17"/>
  <c r="H265" i="17" s="1"/>
  <c r="F279" i="17"/>
  <c r="F303" i="17"/>
  <c r="L303" i="17" s="1"/>
  <c r="F289" i="17"/>
  <c r="L289" i="17" s="1"/>
  <c r="M289" i="17" s="1"/>
  <c r="F280" i="17" l="1"/>
  <c r="J280" i="17" s="1"/>
  <c r="F281" i="17"/>
  <c r="L281" i="17" s="1"/>
  <c r="L337" i="17"/>
  <c r="M303" i="17"/>
  <c r="M337" i="17" s="1"/>
  <c r="H337" i="17"/>
  <c r="M338" i="17" s="1"/>
  <c r="J337" i="17"/>
  <c r="M340" i="17" s="1"/>
  <c r="H293" i="17"/>
  <c r="M294" i="17" s="1"/>
  <c r="M265" i="17"/>
  <c r="M339" i="17" l="1"/>
  <c r="M341" i="17" s="1"/>
  <c r="M342" i="17" s="1"/>
  <c r="M343" i="17" s="1"/>
  <c r="N337" i="17"/>
  <c r="M280" i="17"/>
  <c r="J293" i="17"/>
  <c r="M281" i="17"/>
  <c r="L293" i="17"/>
  <c r="M293" i="17" l="1"/>
  <c r="M295" i="17" s="1"/>
  <c r="M296" i="17" l="1"/>
  <c r="M297" i="17" s="1"/>
  <c r="F1244" i="16"/>
  <c r="F1238" i="16"/>
  <c r="H1238" i="16" s="1"/>
  <c r="M1238" i="16" s="1"/>
  <c r="F1237" i="16"/>
  <c r="H1237" i="16" s="1"/>
  <c r="M1237" i="16" s="1"/>
  <c r="F1236" i="16"/>
  <c r="H1236" i="16" s="1"/>
  <c r="M1236" i="16" s="1"/>
  <c r="F1235" i="16"/>
  <c r="H1235" i="16" s="1"/>
  <c r="M1235" i="16" s="1"/>
  <c r="F1234" i="16"/>
  <c r="H1234" i="16" s="1"/>
  <c r="M1234" i="16" s="1"/>
  <c r="E1233" i="16"/>
  <c r="F1233" i="16" s="1"/>
  <c r="H1233" i="16" s="1"/>
  <c r="M1233" i="16" s="1"/>
  <c r="F1232" i="16"/>
  <c r="H1232" i="16" s="1"/>
  <c r="M1232" i="16" s="1"/>
  <c r="F1231" i="16"/>
  <c r="L1231" i="16" s="1"/>
  <c r="M1231" i="16" s="1"/>
  <c r="F1230" i="16"/>
  <c r="J1230" i="16" s="1"/>
  <c r="M1230" i="16" s="1"/>
  <c r="F939" i="16"/>
  <c r="H939" i="16" s="1"/>
  <c r="M939" i="16" s="1"/>
  <c r="E899" i="16"/>
  <c r="F952" i="16"/>
  <c r="H952" i="16" s="1"/>
  <c r="M952" i="16" s="1"/>
  <c r="F950" i="16"/>
  <c r="F949" i="16"/>
  <c r="J949" i="16" s="1"/>
  <c r="M949" i="16" s="1"/>
  <c r="M948" i="16"/>
  <c r="M298" i="17" l="1"/>
  <c r="M299" i="17" s="1"/>
  <c r="M344" i="17" s="1"/>
  <c r="L950" i="16"/>
  <c r="M950" i="16" s="1"/>
  <c r="H956" i="16"/>
  <c r="M956" i="16" s="1"/>
  <c r="F19" i="17" l="1"/>
  <c r="E677" i="16" l="1"/>
  <c r="E537" i="16"/>
  <c r="E816" i="16" l="1"/>
  <c r="F816" i="16" s="1"/>
  <c r="H816" i="16" s="1"/>
  <c r="M816" i="16" s="1"/>
  <c r="F815" i="16"/>
  <c r="H815" i="16" s="1"/>
  <c r="M815" i="16" s="1"/>
  <c r="E812" i="16"/>
  <c r="F812" i="16" s="1"/>
  <c r="L812" i="16" s="1"/>
  <c r="M812" i="16" s="1"/>
  <c r="F811" i="16"/>
  <c r="J811" i="16" s="1"/>
  <c r="M811" i="16" s="1"/>
  <c r="F814" i="16" l="1"/>
  <c r="H814" i="16" s="1"/>
  <c r="M814" i="16" s="1"/>
  <c r="F813" i="16"/>
  <c r="H813" i="16" s="1"/>
  <c r="M813" i="16" s="1"/>
  <c r="H697" i="16" l="1"/>
  <c r="M697" i="16" s="1"/>
  <c r="F696" i="16"/>
  <c r="L696" i="16" s="1"/>
  <c r="M696" i="16" s="1"/>
  <c r="F695" i="16"/>
  <c r="J695" i="16" s="1"/>
  <c r="M695" i="16" s="1"/>
  <c r="F1351" i="16" l="1"/>
  <c r="H1351" i="16" s="1"/>
  <c r="M1351" i="16" s="1"/>
  <c r="F1350" i="16"/>
  <c r="H1350" i="16" s="1"/>
  <c r="M1350" i="16" s="1"/>
  <c r="F1349" i="16"/>
  <c r="J1349" i="16" s="1"/>
  <c r="M1349" i="16" s="1"/>
  <c r="E1338" i="16"/>
  <c r="F1329" i="16"/>
  <c r="F1308" i="16"/>
  <c r="E1298" i="16"/>
  <c r="F1294" i="16"/>
  <c r="F1300" i="16" s="1"/>
  <c r="H1300" i="16" s="1"/>
  <c r="M1300" i="16" s="1"/>
  <c r="F1289" i="16"/>
  <c r="F1293" i="16" s="1"/>
  <c r="H1293" i="16" s="1"/>
  <c r="M1293" i="16" s="1"/>
  <c r="F1282" i="16"/>
  <c r="F1287" i="16" s="1"/>
  <c r="H1287" i="16" s="1"/>
  <c r="M1287" i="16" s="1"/>
  <c r="E1281" i="16"/>
  <c r="E1280" i="16"/>
  <c r="E1279" i="16"/>
  <c r="F1277" i="16"/>
  <c r="E1273" i="16"/>
  <c r="E1270" i="16"/>
  <c r="E1269" i="16"/>
  <c r="E1267" i="16"/>
  <c r="E1266" i="16"/>
  <c r="F1264" i="16"/>
  <c r="F1271" i="16" s="1"/>
  <c r="E1263" i="16"/>
  <c r="F1263" i="16" s="1"/>
  <c r="H1263" i="16" s="1"/>
  <c r="M1263" i="16" s="1"/>
  <c r="F1262" i="16"/>
  <c r="E1261" i="16"/>
  <c r="F1261" i="16" s="1"/>
  <c r="L1261" i="16" s="1"/>
  <c r="M1261" i="16" s="1"/>
  <c r="F1257" i="16"/>
  <c r="H1257" i="16" s="1"/>
  <c r="M1257" i="16" s="1"/>
  <c r="H1256" i="16"/>
  <c r="M1256" i="16" s="1"/>
  <c r="F1252" i="16"/>
  <c r="F1253" i="16" s="1"/>
  <c r="J1253" i="16" s="1"/>
  <c r="M1253" i="16" s="1"/>
  <c r="F1247" i="16"/>
  <c r="H1247" i="16" s="1"/>
  <c r="M1247" i="16" s="1"/>
  <c r="F1243" i="16"/>
  <c r="H1243" i="16" s="1"/>
  <c r="M1243" i="16" s="1"/>
  <c r="F1242" i="16"/>
  <c r="H1242" i="16" s="1"/>
  <c r="M1242" i="16" s="1"/>
  <c r="F1241" i="16"/>
  <c r="L1241" i="16" s="1"/>
  <c r="M1241" i="16" s="1"/>
  <c r="F1240" i="16"/>
  <c r="L1240" i="16" s="1"/>
  <c r="F1225" i="16"/>
  <c r="H1225" i="16" s="1"/>
  <c r="M1225" i="16" s="1"/>
  <c r="F1201" i="16"/>
  <c r="F1200" i="16"/>
  <c r="H1200" i="16" s="1"/>
  <c r="M1200" i="16" s="1"/>
  <c r="H1199" i="16"/>
  <c r="M1199" i="16" s="1"/>
  <c r="H1198" i="16"/>
  <c r="M1198" i="16" s="1"/>
  <c r="H1197" i="16"/>
  <c r="M1197" i="16" s="1"/>
  <c r="F1196" i="16"/>
  <c r="L1196" i="16" s="1"/>
  <c r="M1196" i="16" s="1"/>
  <c r="F1195" i="16"/>
  <c r="J1195" i="16" s="1"/>
  <c r="M1195" i="16" s="1"/>
  <c r="H1193" i="16"/>
  <c r="M1193" i="16" s="1"/>
  <c r="H1192" i="16"/>
  <c r="M1192" i="16" s="1"/>
  <c r="F1191" i="16"/>
  <c r="H1191" i="16" s="1"/>
  <c r="M1191" i="16" s="1"/>
  <c r="F1190" i="16"/>
  <c r="H1190" i="16" s="1"/>
  <c r="M1190" i="16" s="1"/>
  <c r="F1189" i="16"/>
  <c r="H1189" i="16" s="1"/>
  <c r="M1189" i="16" s="1"/>
  <c r="F1188" i="16"/>
  <c r="H1188" i="16" s="1"/>
  <c r="M1188" i="16" s="1"/>
  <c r="F1187" i="16"/>
  <c r="H1187" i="16" s="1"/>
  <c r="M1187" i="16" s="1"/>
  <c r="F1186" i="16"/>
  <c r="L1186" i="16" s="1"/>
  <c r="M1186" i="16" s="1"/>
  <c r="F1185" i="16"/>
  <c r="J1185" i="16" s="1"/>
  <c r="M1185" i="16" s="1"/>
  <c r="F1177" i="16"/>
  <c r="E1176" i="16"/>
  <c r="F1176" i="16" s="1"/>
  <c r="H1176" i="16" s="1"/>
  <c r="M1176" i="16" s="1"/>
  <c r="F1175" i="16"/>
  <c r="H1175" i="16" s="1"/>
  <c r="M1175" i="16" s="1"/>
  <c r="E1174" i="16"/>
  <c r="F1174" i="16" s="1"/>
  <c r="L1174" i="16" s="1"/>
  <c r="M1174" i="16" s="1"/>
  <c r="F1173" i="16"/>
  <c r="J1173" i="16" s="1"/>
  <c r="M1173" i="16" s="1"/>
  <c r="E1162" i="16"/>
  <c r="F1162" i="16" s="1"/>
  <c r="H1162" i="16" s="1"/>
  <c r="M1162" i="16" s="1"/>
  <c r="E1161" i="16"/>
  <c r="F1161" i="16" s="1"/>
  <c r="H1161" i="16" s="1"/>
  <c r="M1161" i="16" s="1"/>
  <c r="E1160" i="16"/>
  <c r="F1160" i="16" s="1"/>
  <c r="L1160" i="16" s="1"/>
  <c r="M1160" i="16" s="1"/>
  <c r="E1159" i="16"/>
  <c r="F1159" i="16" s="1"/>
  <c r="J1159" i="16" s="1"/>
  <c r="M1159" i="16" s="1"/>
  <c r="F1157" i="16"/>
  <c r="H1157" i="16" s="1"/>
  <c r="M1157" i="16" s="1"/>
  <c r="F1156" i="16"/>
  <c r="L1156" i="16" s="1"/>
  <c r="M1156" i="16" s="1"/>
  <c r="F1155" i="16"/>
  <c r="L1155" i="16" s="1"/>
  <c r="H1152" i="16"/>
  <c r="M1152" i="16" s="1"/>
  <c r="H1151" i="16"/>
  <c r="M1151" i="16" s="1"/>
  <c r="F1150" i="16"/>
  <c r="H1150" i="16" s="1"/>
  <c r="M1150" i="16" s="1"/>
  <c r="F1149" i="16"/>
  <c r="H1149" i="16" s="1"/>
  <c r="M1149" i="16" s="1"/>
  <c r="F1148" i="16"/>
  <c r="H1148" i="16" s="1"/>
  <c r="M1148" i="16" s="1"/>
  <c r="E1147" i="16"/>
  <c r="F1147" i="16" s="1"/>
  <c r="H1147" i="16" s="1"/>
  <c r="M1147" i="16" s="1"/>
  <c r="F1146" i="16"/>
  <c r="H1146" i="16" s="1"/>
  <c r="M1146" i="16" s="1"/>
  <c r="E1145" i="16"/>
  <c r="F1145" i="16" s="1"/>
  <c r="H1145" i="16" s="1"/>
  <c r="M1145" i="16" s="1"/>
  <c r="F1144" i="16"/>
  <c r="L1144" i="16" s="1"/>
  <c r="M1144" i="16" s="1"/>
  <c r="F1143" i="16"/>
  <c r="J1143" i="16" s="1"/>
  <c r="M1143" i="16" s="1"/>
  <c r="H1141" i="16"/>
  <c r="M1141" i="16" s="1"/>
  <c r="H1140" i="16"/>
  <c r="M1140" i="16" s="1"/>
  <c r="E1139" i="16"/>
  <c r="F1139" i="16" s="1"/>
  <c r="H1139" i="16" s="1"/>
  <c r="M1139" i="16" s="1"/>
  <c r="E1138" i="16"/>
  <c r="F1138" i="16" s="1"/>
  <c r="H1138" i="16" s="1"/>
  <c r="M1138" i="16" s="1"/>
  <c r="E1137" i="16"/>
  <c r="F1137" i="16" s="1"/>
  <c r="H1137" i="16" s="1"/>
  <c r="M1137" i="16" s="1"/>
  <c r="E1136" i="16"/>
  <c r="F1136" i="16" s="1"/>
  <c r="H1136" i="16" s="1"/>
  <c r="M1136" i="16" s="1"/>
  <c r="E1135" i="16"/>
  <c r="F1135" i="16" s="1"/>
  <c r="L1135" i="16" s="1"/>
  <c r="M1135" i="16" s="1"/>
  <c r="E1134" i="16"/>
  <c r="F1134" i="16" s="1"/>
  <c r="J1134" i="16" s="1"/>
  <c r="M1134" i="16" s="1"/>
  <c r="H1132" i="16"/>
  <c r="M1132" i="16" s="1"/>
  <c r="H1131" i="16"/>
  <c r="M1131" i="16" s="1"/>
  <c r="F1130" i="16"/>
  <c r="H1130" i="16" s="1"/>
  <c r="M1130" i="16" s="1"/>
  <c r="F1129" i="16"/>
  <c r="H1129" i="16" s="1"/>
  <c r="M1129" i="16" s="1"/>
  <c r="E1128" i="16"/>
  <c r="F1128" i="16" s="1"/>
  <c r="H1128" i="16" s="1"/>
  <c r="M1128" i="16" s="1"/>
  <c r="F1127" i="16"/>
  <c r="H1127" i="16" s="1"/>
  <c r="M1127" i="16" s="1"/>
  <c r="F1126" i="16"/>
  <c r="H1126" i="16" s="1"/>
  <c r="M1126" i="16" s="1"/>
  <c r="F1125" i="16"/>
  <c r="L1125" i="16" s="1"/>
  <c r="M1125" i="16" s="1"/>
  <c r="F1124" i="16"/>
  <c r="J1124" i="16" s="1"/>
  <c r="M1124" i="16" s="1"/>
  <c r="H1122" i="16"/>
  <c r="M1122" i="16" s="1"/>
  <c r="H1121" i="16"/>
  <c r="M1121" i="16" s="1"/>
  <c r="F1120" i="16"/>
  <c r="H1120" i="16" s="1"/>
  <c r="M1120" i="16" s="1"/>
  <c r="F1119" i="16"/>
  <c r="H1119" i="16" s="1"/>
  <c r="M1119" i="16" s="1"/>
  <c r="E1118" i="16"/>
  <c r="F1118" i="16" s="1"/>
  <c r="H1118" i="16" s="1"/>
  <c r="M1118" i="16" s="1"/>
  <c r="F1117" i="16"/>
  <c r="H1117" i="16" s="1"/>
  <c r="M1117" i="16" s="1"/>
  <c r="F1116" i="16"/>
  <c r="H1116" i="16" s="1"/>
  <c r="M1116" i="16" s="1"/>
  <c r="F1115" i="16"/>
  <c r="L1115" i="16" s="1"/>
  <c r="M1115" i="16" s="1"/>
  <c r="F1114" i="16"/>
  <c r="J1114" i="16" s="1"/>
  <c r="M1114" i="16" s="1"/>
  <c r="H1112" i="16"/>
  <c r="M1112" i="16" s="1"/>
  <c r="H1111" i="16"/>
  <c r="M1111" i="16" s="1"/>
  <c r="E1110" i="16"/>
  <c r="F1110" i="16" s="1"/>
  <c r="H1110" i="16" s="1"/>
  <c r="M1110" i="16" s="1"/>
  <c r="E1109" i="16"/>
  <c r="F1109" i="16" s="1"/>
  <c r="H1109" i="16" s="1"/>
  <c r="M1109" i="16" s="1"/>
  <c r="E1108" i="16"/>
  <c r="F1108" i="16" s="1"/>
  <c r="H1108" i="16" s="1"/>
  <c r="M1108" i="16" s="1"/>
  <c r="E1107" i="16"/>
  <c r="F1107" i="16" s="1"/>
  <c r="H1107" i="16" s="1"/>
  <c r="M1107" i="16" s="1"/>
  <c r="E1106" i="16"/>
  <c r="F1106" i="16" s="1"/>
  <c r="L1106" i="16" s="1"/>
  <c r="M1106" i="16" s="1"/>
  <c r="F1105" i="16"/>
  <c r="J1105" i="16" s="1"/>
  <c r="M1105" i="16" s="1"/>
  <c r="F1103" i="16"/>
  <c r="H1103" i="16" s="1"/>
  <c r="M1103" i="16" s="1"/>
  <c r="F1102" i="16"/>
  <c r="H1102" i="16" s="1"/>
  <c r="M1102" i="16" s="1"/>
  <c r="F1101" i="16"/>
  <c r="L1101" i="16" s="1"/>
  <c r="M1101" i="16" s="1"/>
  <c r="F1100" i="16"/>
  <c r="J1100" i="16" s="1"/>
  <c r="M1100" i="16" s="1"/>
  <c r="E1097" i="16"/>
  <c r="F1094" i="16"/>
  <c r="F1096" i="16" s="1"/>
  <c r="L1096" i="16" s="1"/>
  <c r="M1096" i="16" s="1"/>
  <c r="F1092" i="16"/>
  <c r="F1093" i="16" s="1"/>
  <c r="J1093" i="16" s="1"/>
  <c r="M1093" i="16" s="1"/>
  <c r="F643" i="16"/>
  <c r="H643" i="16" s="1"/>
  <c r="M643" i="16" s="1"/>
  <c r="F642" i="16"/>
  <c r="H642" i="16" s="1"/>
  <c r="M642" i="16" s="1"/>
  <c r="F641" i="16"/>
  <c r="H641" i="16" s="1"/>
  <c r="M641" i="16" s="1"/>
  <c r="F640" i="16"/>
  <c r="H640" i="16" s="1"/>
  <c r="M640" i="16" s="1"/>
  <c r="F639" i="16"/>
  <c r="H639" i="16" s="1"/>
  <c r="M639" i="16" s="1"/>
  <c r="F638" i="16"/>
  <c r="L638" i="16" s="1"/>
  <c r="M638" i="16" s="1"/>
  <c r="F637" i="16"/>
  <c r="J637" i="16" s="1"/>
  <c r="M637" i="16" s="1"/>
  <c r="F635" i="16"/>
  <c r="H635" i="16" s="1"/>
  <c r="M635" i="16" s="1"/>
  <c r="F634" i="16"/>
  <c r="H634" i="16" s="1"/>
  <c r="M634" i="16" s="1"/>
  <c r="F633" i="16"/>
  <c r="L633" i="16" s="1"/>
  <c r="M633" i="16" s="1"/>
  <c r="F632" i="16"/>
  <c r="J632" i="16" s="1"/>
  <c r="M632" i="16" s="1"/>
  <c r="F630" i="16"/>
  <c r="H630" i="16" s="1"/>
  <c r="M630" i="16" s="1"/>
  <c r="F629" i="16"/>
  <c r="H629" i="16" s="1"/>
  <c r="M629" i="16" s="1"/>
  <c r="F628" i="16"/>
  <c r="H628" i="16" s="1"/>
  <c r="M628" i="16" s="1"/>
  <c r="F627" i="16"/>
  <c r="H627" i="16" s="1"/>
  <c r="M627" i="16" s="1"/>
  <c r="E626" i="16"/>
  <c r="F626" i="16" s="1"/>
  <c r="H626" i="16" s="1"/>
  <c r="M626" i="16" s="1"/>
  <c r="H625" i="16"/>
  <c r="M625" i="16" s="1"/>
  <c r="F624" i="16"/>
  <c r="H624" i="16" s="1"/>
  <c r="M624" i="16" s="1"/>
  <c r="F623" i="16"/>
  <c r="L623" i="16" s="1"/>
  <c r="M623" i="16" s="1"/>
  <c r="F622" i="16"/>
  <c r="J622" i="16" s="1"/>
  <c r="M622" i="16" s="1"/>
  <c r="F616" i="16"/>
  <c r="F619" i="16" s="1"/>
  <c r="H619" i="16" s="1"/>
  <c r="M619" i="16" s="1"/>
  <c r="F606" i="16"/>
  <c r="F610" i="16" s="1"/>
  <c r="M610" i="16" s="1"/>
  <c r="E604" i="16"/>
  <c r="E603" i="16"/>
  <c r="F601" i="16"/>
  <c r="F605" i="16" s="1"/>
  <c r="H605" i="16" s="1"/>
  <c r="M605" i="16" s="1"/>
  <c r="F595" i="16"/>
  <c r="F599" i="16" s="1"/>
  <c r="H599" i="16" s="1"/>
  <c r="M599" i="16" s="1"/>
  <c r="F590" i="16"/>
  <c r="F593" i="16" s="1"/>
  <c r="H593" i="16" s="1"/>
  <c r="M593" i="16" s="1"/>
  <c r="F581" i="16"/>
  <c r="L581" i="16" s="1"/>
  <c r="M581" i="16" s="1"/>
  <c r="F1312" i="16" l="1"/>
  <c r="H1312" i="16" s="1"/>
  <c r="M1312" i="16" s="1"/>
  <c r="F1311" i="16"/>
  <c r="H1311" i="16" s="1"/>
  <c r="M1311" i="16" s="1"/>
  <c r="F1313" i="16"/>
  <c r="H1313" i="16" s="1"/>
  <c r="M1313" i="16" s="1"/>
  <c r="F1309" i="16"/>
  <c r="J1309" i="16" s="1"/>
  <c r="M1309" i="16" s="1"/>
  <c r="F1310" i="16"/>
  <c r="L1310" i="16" s="1"/>
  <c r="M1310" i="16" s="1"/>
  <c r="F1314" i="16"/>
  <c r="H1314" i="16" s="1"/>
  <c r="M1314" i="16" s="1"/>
  <c r="F1330" i="16"/>
  <c r="F1347" i="16"/>
  <c r="F1205" i="16"/>
  <c r="M1205" i="16" s="1"/>
  <c r="F1207" i="16"/>
  <c r="H1207" i="16" s="1"/>
  <c r="M1207" i="16" s="1"/>
  <c r="H1262" i="16"/>
  <c r="M1262" i="16" s="1"/>
  <c r="F1260" i="16"/>
  <c r="J1260" i="16" s="1"/>
  <c r="M1260" i="16" s="1"/>
  <c r="F1317" i="16"/>
  <c r="L1317" i="16" s="1"/>
  <c r="M1317" i="16" s="1"/>
  <c r="F1319" i="16"/>
  <c r="H1319" i="16" s="1"/>
  <c r="M1319" i="16" s="1"/>
  <c r="F1203" i="16"/>
  <c r="L1203" i="16" s="1"/>
  <c r="M1203" i="16" s="1"/>
  <c r="F1269" i="16"/>
  <c r="H1269" i="16" s="1"/>
  <c r="M1269" i="16" s="1"/>
  <c r="F1212" i="16"/>
  <c r="M1212" i="16" s="1"/>
  <c r="F1340" i="16"/>
  <c r="F1179" i="16"/>
  <c r="L1179" i="16" s="1"/>
  <c r="M1179" i="16" s="1"/>
  <c r="F1098" i="16"/>
  <c r="H1098" i="16" s="1"/>
  <c r="M1098" i="16" s="1"/>
  <c r="F1291" i="16"/>
  <c r="L1291" i="16" s="1"/>
  <c r="M1291" i="16" s="1"/>
  <c r="F1297" i="16"/>
  <c r="L1297" i="16" s="1"/>
  <c r="M1297" i="16" s="1"/>
  <c r="F1095" i="16"/>
  <c r="J1095" i="16" s="1"/>
  <c r="M1095" i="16" s="1"/>
  <c r="F1284" i="16"/>
  <c r="L1284" i="16" s="1"/>
  <c r="M1284" i="16" s="1"/>
  <c r="F1223" i="16"/>
  <c r="L1223" i="16" s="1"/>
  <c r="M1223" i="16" s="1"/>
  <c r="F1228" i="16"/>
  <c r="H1228" i="16" s="1"/>
  <c r="M1228" i="16" s="1"/>
  <c r="F1180" i="16"/>
  <c r="H1180" i="16" s="1"/>
  <c r="M1180" i="16" s="1"/>
  <c r="F1163" i="16"/>
  <c r="F1166" i="16" s="1"/>
  <c r="H1166" i="16" s="1"/>
  <c r="M1166" i="16" s="1"/>
  <c r="F1181" i="16"/>
  <c r="F1182" i="16" s="1"/>
  <c r="F1295" i="16"/>
  <c r="J1295" i="16" s="1"/>
  <c r="M1295" i="16" s="1"/>
  <c r="F1270" i="16"/>
  <c r="H1270" i="16" s="1"/>
  <c r="M1270" i="16" s="1"/>
  <c r="F1202" i="16"/>
  <c r="J1202" i="16" s="1"/>
  <c r="M1202" i="16" s="1"/>
  <c r="F1283" i="16"/>
  <c r="J1283" i="16" s="1"/>
  <c r="M1283" i="16" s="1"/>
  <c r="F1296" i="16"/>
  <c r="L1296" i="16" s="1"/>
  <c r="M1296" i="16" s="1"/>
  <c r="J1155" i="16"/>
  <c r="M1155" i="16" s="1"/>
  <c r="F1265" i="16"/>
  <c r="J1265" i="16" s="1"/>
  <c r="M1265" i="16" s="1"/>
  <c r="F1281" i="16"/>
  <c r="H1281" i="16" s="1"/>
  <c r="M1281" i="16" s="1"/>
  <c r="F1285" i="16"/>
  <c r="H1285" i="16" s="1"/>
  <c r="M1285" i="16" s="1"/>
  <c r="F1298" i="16"/>
  <c r="H1298" i="16" s="1"/>
  <c r="M1298" i="16" s="1"/>
  <c r="F1299" i="16"/>
  <c r="F1321" i="16"/>
  <c r="F1324" i="16" s="1"/>
  <c r="H1324" i="16" s="1"/>
  <c r="M1324" i="16" s="1"/>
  <c r="F1097" i="16"/>
  <c r="H1097" i="16" s="1"/>
  <c r="M1097" i="16" s="1"/>
  <c r="F1222" i="16"/>
  <c r="J1222" i="16" s="1"/>
  <c r="M1222" i="16" s="1"/>
  <c r="F1267" i="16"/>
  <c r="L1267" i="16" s="1"/>
  <c r="M1267" i="16" s="1"/>
  <c r="F1290" i="16"/>
  <c r="J1290" i="16" s="1"/>
  <c r="M1290" i="16" s="1"/>
  <c r="F1301" i="16"/>
  <c r="F1306" i="16" s="1"/>
  <c r="H1306" i="16" s="1"/>
  <c r="M1306" i="16" s="1"/>
  <c r="F1332" i="16"/>
  <c r="F1331" i="16"/>
  <c r="J1331" i="16" s="1"/>
  <c r="M1331" i="16" s="1"/>
  <c r="F1276" i="16"/>
  <c r="H1276" i="16" s="1"/>
  <c r="M1276" i="16" s="1"/>
  <c r="F1274" i="16"/>
  <c r="H1274" i="16" s="1"/>
  <c r="M1274" i="16" s="1"/>
  <c r="F1273" i="16"/>
  <c r="L1273" i="16" s="1"/>
  <c r="M1273" i="16" s="1"/>
  <c r="F1272" i="16"/>
  <c r="J1272" i="16" s="1"/>
  <c r="M1272" i="16" s="1"/>
  <c r="F1275" i="16"/>
  <c r="H1275" i="16" s="1"/>
  <c r="M1275" i="16" s="1"/>
  <c r="F1183" i="16"/>
  <c r="H1183" i="16" s="1"/>
  <c r="M1183" i="16" s="1"/>
  <c r="F1206" i="16"/>
  <c r="M1206" i="16" s="1"/>
  <c r="F1226" i="16"/>
  <c r="H1226" i="16" s="1"/>
  <c r="M1226" i="16" s="1"/>
  <c r="F1248" i="16"/>
  <c r="H1248" i="16" s="1"/>
  <c r="M1248" i="16" s="1"/>
  <c r="F1254" i="16"/>
  <c r="L1254" i="16" s="1"/>
  <c r="M1254" i="16" s="1"/>
  <c r="F1288" i="16"/>
  <c r="H1288" i="16" s="1"/>
  <c r="M1288" i="16" s="1"/>
  <c r="F1318" i="16"/>
  <c r="L1318" i="16" s="1"/>
  <c r="M1318" i="16" s="1"/>
  <c r="F1335" i="16"/>
  <c r="F1251" i="16"/>
  <c r="H1251" i="16" s="1"/>
  <c r="M1251" i="16" s="1"/>
  <c r="F1278" i="16"/>
  <c r="J1278" i="16" s="1"/>
  <c r="M1278" i="16" s="1"/>
  <c r="F1280" i="16"/>
  <c r="H1280" i="16" s="1"/>
  <c r="M1280" i="16" s="1"/>
  <c r="F1204" i="16"/>
  <c r="M1204" i="16" s="1"/>
  <c r="F1224" i="16"/>
  <c r="H1224" i="16" s="1"/>
  <c r="M1224" i="16" s="1"/>
  <c r="J1240" i="16"/>
  <c r="M1240" i="16" s="1"/>
  <c r="F1246" i="16"/>
  <c r="L1246" i="16" s="1"/>
  <c r="M1246" i="16" s="1"/>
  <c r="F1268" i="16"/>
  <c r="H1268" i="16" s="1"/>
  <c r="M1268" i="16" s="1"/>
  <c r="F1286" i="16"/>
  <c r="H1286" i="16" s="1"/>
  <c r="M1286" i="16" s="1"/>
  <c r="F1292" i="16"/>
  <c r="L1292" i="16" s="1"/>
  <c r="M1292" i="16" s="1"/>
  <c r="F1316" i="16"/>
  <c r="J1316" i="16" s="1"/>
  <c r="M1316" i="16" s="1"/>
  <c r="F1245" i="16"/>
  <c r="J1245" i="16" s="1"/>
  <c r="M1245" i="16" s="1"/>
  <c r="F1208" i="16"/>
  <c r="H1208" i="16" s="1"/>
  <c r="M1208" i="16" s="1"/>
  <c r="F1227" i="16"/>
  <c r="H1227" i="16" s="1"/>
  <c r="M1227" i="16" s="1"/>
  <c r="F1249" i="16"/>
  <c r="H1249" i="16" s="1"/>
  <c r="M1249" i="16" s="1"/>
  <c r="F1255" i="16"/>
  <c r="L1255" i="16" s="1"/>
  <c r="M1255" i="16" s="1"/>
  <c r="F1258" i="16"/>
  <c r="H1258" i="16" s="1"/>
  <c r="M1258" i="16" s="1"/>
  <c r="F1266" i="16"/>
  <c r="L1266" i="16" s="1"/>
  <c r="M1266" i="16" s="1"/>
  <c r="F1320" i="16"/>
  <c r="H1320" i="16" s="1"/>
  <c r="M1320" i="16" s="1"/>
  <c r="F1250" i="16"/>
  <c r="H1250" i="16" s="1"/>
  <c r="M1250" i="16" s="1"/>
  <c r="F1279" i="16"/>
  <c r="L1279" i="16" s="1"/>
  <c r="M1279" i="16" s="1"/>
  <c r="F594" i="16"/>
  <c r="H594" i="16" s="1"/>
  <c r="M594" i="16" s="1"/>
  <c r="F597" i="16"/>
  <c r="L597" i="16" s="1"/>
  <c r="M597" i="16" s="1"/>
  <c r="F608" i="16"/>
  <c r="L608" i="16" s="1"/>
  <c r="M608" i="16" s="1"/>
  <c r="F600" i="16"/>
  <c r="H600" i="16" s="1"/>
  <c r="M600" i="16" s="1"/>
  <c r="F611" i="16"/>
  <c r="H611" i="16" s="1"/>
  <c r="M611" i="16" s="1"/>
  <c r="F604" i="16"/>
  <c r="H604" i="16" s="1"/>
  <c r="M604" i="16" s="1"/>
  <c r="F620" i="16"/>
  <c r="H620" i="16" s="1"/>
  <c r="M620" i="16" s="1"/>
  <c r="F591" i="16"/>
  <c r="J591" i="16" s="1"/>
  <c r="M591" i="16" s="1"/>
  <c r="F613" i="16"/>
  <c r="H613" i="16" s="1"/>
  <c r="M613" i="16" s="1"/>
  <c r="F617" i="16"/>
  <c r="J617" i="16" s="1"/>
  <c r="M617" i="16" s="1"/>
  <c r="F603" i="16"/>
  <c r="L603" i="16" s="1"/>
  <c r="M603" i="16" s="1"/>
  <c r="F618" i="16"/>
  <c r="L618" i="16" s="1"/>
  <c r="M618" i="16" s="1"/>
  <c r="F592" i="16"/>
  <c r="L592" i="16" s="1"/>
  <c r="M592" i="16" s="1"/>
  <c r="F598" i="16"/>
  <c r="H598" i="16" s="1"/>
  <c r="M598" i="16" s="1"/>
  <c r="F609" i="16"/>
  <c r="H609" i="16" s="1"/>
  <c r="M609" i="16" s="1"/>
  <c r="F614" i="16"/>
  <c r="H614" i="16" s="1"/>
  <c r="M614" i="16" s="1"/>
  <c r="F612" i="16"/>
  <c r="H612" i="16" s="1"/>
  <c r="M612" i="16" s="1"/>
  <c r="F596" i="16"/>
  <c r="J596" i="16" s="1"/>
  <c r="M596" i="16" s="1"/>
  <c r="F607" i="16"/>
  <c r="J607" i="16" s="1"/>
  <c r="M607" i="16" s="1"/>
  <c r="F602" i="16"/>
  <c r="J602" i="16" s="1"/>
  <c r="M602" i="16" s="1"/>
  <c r="F580" i="16"/>
  <c r="J580" i="16" s="1"/>
  <c r="M580" i="16" s="1"/>
  <c r="F582" i="16"/>
  <c r="H582" i="16" s="1"/>
  <c r="M582" i="16" s="1"/>
  <c r="F583" i="16"/>
  <c r="H583" i="16" s="1"/>
  <c r="M583" i="16" s="1"/>
  <c r="F1344" i="16" l="1"/>
  <c r="H1344" i="16" s="1"/>
  <c r="M1344" i="16" s="1"/>
  <c r="F1341" i="16"/>
  <c r="J1341" i="16" s="1"/>
  <c r="M1341" i="16" s="1"/>
  <c r="F1346" i="16"/>
  <c r="H1346" i="16" s="1"/>
  <c r="M1346" i="16" s="1"/>
  <c r="F1343" i="16"/>
  <c r="H1343" i="16" s="1"/>
  <c r="M1343" i="16" s="1"/>
  <c r="F1345" i="16"/>
  <c r="H1345" i="16" s="1"/>
  <c r="M1345" i="16" s="1"/>
  <c r="F1342" i="16"/>
  <c r="L1342" i="16" s="1"/>
  <c r="M1342" i="16" s="1"/>
  <c r="H1182" i="16"/>
  <c r="M1182" i="16" s="1"/>
  <c r="F1178" i="16"/>
  <c r="J1178" i="16" s="1"/>
  <c r="M1178" i="16" s="1"/>
  <c r="F1214" i="16"/>
  <c r="M1214" i="16" s="1"/>
  <c r="H1299" i="16"/>
  <c r="M1299" i="16" s="1"/>
  <c r="F1304" i="16"/>
  <c r="H1304" i="16" s="1"/>
  <c r="M1304" i="16" s="1"/>
  <c r="F1307" i="16"/>
  <c r="H1307" i="16" s="1"/>
  <c r="M1307" i="16" s="1"/>
  <c r="J1210" i="16"/>
  <c r="M1210" i="16" s="1"/>
  <c r="F1211" i="16"/>
  <c r="L1211" i="16" s="1"/>
  <c r="M1211" i="16" s="1"/>
  <c r="F1325" i="16"/>
  <c r="H1325" i="16" s="1"/>
  <c r="M1325" i="16" s="1"/>
  <c r="F1216" i="16"/>
  <c r="H1216" i="16" s="1"/>
  <c r="M1216" i="16" s="1"/>
  <c r="F1303" i="16"/>
  <c r="L1303" i="16" s="1"/>
  <c r="M1303" i="16" s="1"/>
  <c r="F1217" i="16"/>
  <c r="F1218" i="16" s="1"/>
  <c r="J1218" i="16" s="1"/>
  <c r="M1218" i="16" s="1"/>
  <c r="F1213" i="16"/>
  <c r="M1213" i="16" s="1"/>
  <c r="F1171" i="16"/>
  <c r="H1171" i="16" s="1"/>
  <c r="M1171" i="16" s="1"/>
  <c r="F1170" i="16"/>
  <c r="H1170" i="16" s="1"/>
  <c r="M1170" i="16" s="1"/>
  <c r="F1168" i="16"/>
  <c r="H1168" i="16" s="1"/>
  <c r="M1168" i="16" s="1"/>
  <c r="F1323" i="16"/>
  <c r="L1323" i="16" s="1"/>
  <c r="M1323" i="16" s="1"/>
  <c r="F1169" i="16"/>
  <c r="H1169" i="16" s="1"/>
  <c r="M1169" i="16" s="1"/>
  <c r="F1164" i="16"/>
  <c r="J1164" i="16" s="1"/>
  <c r="M1164" i="16" s="1"/>
  <c r="F1328" i="16"/>
  <c r="H1328" i="16" s="1"/>
  <c r="M1328" i="16" s="1"/>
  <c r="F1326" i="16"/>
  <c r="H1326" i="16" s="1"/>
  <c r="M1326" i="16" s="1"/>
  <c r="F1165" i="16"/>
  <c r="L1165" i="16" s="1"/>
  <c r="M1165" i="16" s="1"/>
  <c r="F1327" i="16"/>
  <c r="H1327" i="16" s="1"/>
  <c r="M1327" i="16" s="1"/>
  <c r="F1167" i="16"/>
  <c r="H1167" i="16" s="1"/>
  <c r="M1167" i="16" s="1"/>
  <c r="F1322" i="16"/>
  <c r="J1322" i="16" s="1"/>
  <c r="M1322" i="16" s="1"/>
  <c r="F1302" i="16"/>
  <c r="J1302" i="16" s="1"/>
  <c r="M1302" i="16" s="1"/>
  <c r="F1305" i="16"/>
  <c r="H1305" i="16" s="1"/>
  <c r="M1305" i="16" s="1"/>
  <c r="F1334" i="16"/>
  <c r="L1334" i="16" s="1"/>
  <c r="M1334" i="16" s="1"/>
  <c r="F1333" i="16"/>
  <c r="J1333" i="16" s="1"/>
  <c r="M1333" i="16" s="1"/>
  <c r="F1337" i="16"/>
  <c r="L1337" i="16" s="1"/>
  <c r="M1337" i="16" s="1"/>
  <c r="F1339" i="16"/>
  <c r="H1339" i="16" s="1"/>
  <c r="M1339" i="16" s="1"/>
  <c r="F1336" i="16"/>
  <c r="J1336" i="16" s="1"/>
  <c r="M1336" i="16" s="1"/>
  <c r="F1338" i="16"/>
  <c r="H1338" i="16" s="1"/>
  <c r="M1338" i="16" s="1"/>
  <c r="F1220" i="16" l="1"/>
  <c r="H1220" i="16" s="1"/>
  <c r="M1220" i="16" s="1"/>
  <c r="F1219" i="16"/>
  <c r="L1219" i="16" s="1"/>
  <c r="M1219" i="16" s="1"/>
  <c r="H671" i="16"/>
  <c r="M671" i="16" s="1"/>
  <c r="H670" i="16"/>
  <c r="M670" i="16" s="1"/>
  <c r="F669" i="16"/>
  <c r="H669" i="16" s="1"/>
  <c r="M669" i="16" s="1"/>
  <c r="E668" i="16"/>
  <c r="F668" i="16" s="1"/>
  <c r="H668" i="16" s="1"/>
  <c r="M668" i="16" s="1"/>
  <c r="E667" i="16"/>
  <c r="F667" i="16" s="1"/>
  <c r="H667" i="16" s="1"/>
  <c r="M667" i="16" s="1"/>
  <c r="E666" i="16"/>
  <c r="F666" i="16" s="1"/>
  <c r="H666" i="16" s="1"/>
  <c r="M666" i="16" s="1"/>
  <c r="E665" i="16"/>
  <c r="F665" i="16" s="1"/>
  <c r="L665" i="16" s="1"/>
  <c r="M665" i="16" s="1"/>
  <c r="F664" i="16"/>
  <c r="J664" i="16" s="1"/>
  <c r="M664" i="16" s="1"/>
  <c r="F576" i="16"/>
  <c r="F533" i="16" l="1"/>
  <c r="H533" i="16" s="1"/>
  <c r="M533" i="16" s="1"/>
  <c r="F532" i="16"/>
  <c r="H532" i="16" s="1"/>
  <c r="M532" i="16" s="1"/>
  <c r="F531" i="16"/>
  <c r="H531" i="16" s="1"/>
  <c r="M531" i="16" s="1"/>
  <c r="F530" i="16"/>
  <c r="H530" i="16" s="1"/>
  <c r="M530" i="16" s="1"/>
  <c r="F540" i="16" l="1"/>
  <c r="H540" i="16" s="1"/>
  <c r="M540" i="16" s="1"/>
  <c r="F539" i="16"/>
  <c r="H539" i="16" s="1"/>
  <c r="M539" i="16" s="1"/>
  <c r="F538" i="16"/>
  <c r="H538" i="16" s="1"/>
  <c r="M538" i="16" s="1"/>
  <c r="F536" i="16"/>
  <c r="J536" i="16" s="1"/>
  <c r="M536" i="16" s="1"/>
  <c r="F537" i="16"/>
  <c r="L537" i="16" s="1"/>
  <c r="M537" i="16" s="1"/>
  <c r="F534" i="16"/>
  <c r="F529" i="16"/>
  <c r="H529" i="16" s="1"/>
  <c r="M529" i="16" s="1"/>
  <c r="H528" i="16"/>
  <c r="M528" i="16" s="1"/>
  <c r="F527" i="16"/>
  <c r="H534" i="16" l="1"/>
  <c r="M534" i="16" s="1"/>
  <c r="F524" i="16" l="1"/>
  <c r="H524" i="16" s="1"/>
  <c r="M524" i="16" s="1"/>
  <c r="F523" i="16"/>
  <c r="H523" i="16" s="1"/>
  <c r="M523" i="16" s="1"/>
  <c r="F210" i="16" l="1"/>
  <c r="H210" i="16" s="1"/>
  <c r="M210" i="16" s="1"/>
  <c r="E209" i="16"/>
  <c r="F209" i="16" s="1"/>
  <c r="H209" i="16" s="1"/>
  <c r="M209" i="16" s="1"/>
  <c r="F208" i="16"/>
  <c r="L208" i="16" s="1"/>
  <c r="M208" i="16" s="1"/>
  <c r="F207" i="16"/>
  <c r="J207" i="16" s="1"/>
  <c r="M207" i="16" s="1"/>
  <c r="H89" i="16"/>
  <c r="M89" i="16" s="1"/>
  <c r="H88" i="16"/>
  <c r="M88" i="16" s="1"/>
  <c r="F87" i="16"/>
  <c r="H87" i="16" s="1"/>
  <c r="M87" i="16" s="1"/>
  <c r="E86" i="16"/>
  <c r="F86" i="16" s="1"/>
  <c r="H86" i="16" s="1"/>
  <c r="M86" i="16" s="1"/>
  <c r="F85" i="16"/>
  <c r="H85" i="16" s="1"/>
  <c r="M85" i="16" s="1"/>
  <c r="F84" i="16"/>
  <c r="H84" i="16" s="1"/>
  <c r="M84" i="16" s="1"/>
  <c r="F83" i="16"/>
  <c r="L83" i="16" s="1"/>
  <c r="M83" i="16" s="1"/>
  <c r="F82" i="16"/>
  <c r="J82" i="16" s="1"/>
  <c r="M82" i="16" s="1"/>
  <c r="F75" i="16"/>
  <c r="H75" i="16" s="1"/>
  <c r="M75" i="16" s="1"/>
  <c r="E74" i="16"/>
  <c r="F74" i="16" s="1"/>
  <c r="H74" i="16" s="1"/>
  <c r="M74" i="16" s="1"/>
  <c r="F73" i="16"/>
  <c r="L73" i="16" s="1"/>
  <c r="M73" i="16" s="1"/>
  <c r="F72" i="16"/>
  <c r="J72" i="16" s="1"/>
  <c r="M72" i="16" s="1"/>
  <c r="F286" i="19" l="1"/>
  <c r="H286" i="19" s="1"/>
  <c r="M286" i="19" s="1"/>
  <c r="F285" i="19"/>
  <c r="J285" i="19" s="1"/>
  <c r="M285" i="19" s="1"/>
  <c r="F186" i="19"/>
  <c r="H186" i="19" s="1"/>
  <c r="M186" i="19" s="1"/>
  <c r="H187" i="19"/>
  <c r="M187" i="19" s="1"/>
  <c r="E181" i="19"/>
  <c r="F174" i="19"/>
  <c r="J174" i="19" s="1"/>
  <c r="M174" i="19" s="1"/>
  <c r="F170" i="19"/>
  <c r="H170" i="19" s="1"/>
  <c r="M170" i="19" s="1"/>
  <c r="F169" i="19"/>
  <c r="L169" i="19" s="1"/>
  <c r="M169" i="19" s="1"/>
  <c r="F168" i="19"/>
  <c r="L168" i="19" s="1"/>
  <c r="M168" i="19" s="1"/>
  <c r="F167" i="19"/>
  <c r="J167" i="19" s="1"/>
  <c r="M167" i="19" s="1"/>
  <c r="E165" i="19"/>
  <c r="E164" i="19"/>
  <c r="E159" i="19"/>
  <c r="F161" i="19"/>
  <c r="L161" i="19" s="1"/>
  <c r="M161" i="19" s="1"/>
  <c r="F156" i="19"/>
  <c r="L156" i="19" s="1"/>
  <c r="M156" i="19" s="1"/>
  <c r="E154" i="19"/>
  <c r="E153" i="19"/>
  <c r="E148" i="19"/>
  <c r="F150" i="19"/>
  <c r="L150" i="19" s="1"/>
  <c r="M150" i="19" s="1"/>
  <c r="E146" i="19"/>
  <c r="E145" i="19"/>
  <c r="E140" i="19"/>
  <c r="F142" i="19"/>
  <c r="L142" i="19" s="1"/>
  <c r="M142" i="19" s="1"/>
  <c r="F136" i="19"/>
  <c r="F137" i="19" s="1"/>
  <c r="L137" i="19" s="1"/>
  <c r="M137" i="19" s="1"/>
  <c r="F134" i="19"/>
  <c r="H134" i="19" s="1"/>
  <c r="M134" i="19" s="1"/>
  <c r="F125" i="19"/>
  <c r="L125" i="19" s="1"/>
  <c r="M125" i="19" s="1"/>
  <c r="F181" i="19" l="1"/>
  <c r="H181" i="19" s="1"/>
  <c r="M181" i="19" s="1"/>
  <c r="F157" i="19"/>
  <c r="H157" i="19" s="1"/>
  <c r="M157" i="19" s="1"/>
  <c r="F124" i="19"/>
  <c r="J124" i="19" s="1"/>
  <c r="M124" i="19" s="1"/>
  <c r="F135" i="19"/>
  <c r="H135" i="19" s="1"/>
  <c r="M135" i="19" s="1"/>
  <c r="F130" i="19"/>
  <c r="L130" i="19" s="1"/>
  <c r="M130" i="19" s="1"/>
  <c r="F140" i="19"/>
  <c r="J140" i="19" s="1"/>
  <c r="M140" i="19" s="1"/>
  <c r="F128" i="19"/>
  <c r="L128" i="19" s="1"/>
  <c r="M128" i="19" s="1"/>
  <c r="F143" i="19"/>
  <c r="L143" i="19" s="1"/>
  <c r="M143" i="19" s="1"/>
  <c r="F162" i="19"/>
  <c r="L162" i="19" s="1"/>
  <c r="M162" i="19" s="1"/>
  <c r="F184" i="19"/>
  <c r="J184" i="19" s="1"/>
  <c r="M184" i="19" s="1"/>
  <c r="F144" i="19"/>
  <c r="L144" i="19" s="1"/>
  <c r="M144" i="19" s="1"/>
  <c r="F145" i="19"/>
  <c r="H145" i="19" s="1"/>
  <c r="M145" i="19" s="1"/>
  <c r="F141" i="19"/>
  <c r="L141" i="19" s="1"/>
  <c r="M141" i="19" s="1"/>
  <c r="F146" i="19"/>
  <c r="H146" i="19" s="1"/>
  <c r="M146" i="19" s="1"/>
  <c r="F179" i="19"/>
  <c r="J179" i="19" s="1"/>
  <c r="M179" i="19" s="1"/>
  <c r="F185" i="19"/>
  <c r="L185" i="19" s="1"/>
  <c r="M185" i="19" s="1"/>
  <c r="F188" i="19"/>
  <c r="H188" i="19" s="1"/>
  <c r="M188" i="19" s="1"/>
  <c r="F182" i="19"/>
  <c r="H182" i="19" s="1"/>
  <c r="M182" i="19" s="1"/>
  <c r="F180" i="19"/>
  <c r="L180" i="19" s="1"/>
  <c r="M180" i="19" s="1"/>
  <c r="F138" i="19"/>
  <c r="H138" i="19" s="1"/>
  <c r="M138" i="19" s="1"/>
  <c r="F129" i="19"/>
  <c r="L129" i="19" s="1"/>
  <c r="M129" i="19" s="1"/>
  <c r="F149" i="19"/>
  <c r="L149" i="19" s="1"/>
  <c r="M149" i="19" s="1"/>
  <c r="F127" i="19"/>
  <c r="J127" i="19" s="1"/>
  <c r="M127" i="19" s="1"/>
  <c r="F133" i="19"/>
  <c r="L133" i="19" s="1"/>
  <c r="M133" i="19" s="1"/>
  <c r="F148" i="19"/>
  <c r="J148" i="19" s="1"/>
  <c r="M148" i="19" s="1"/>
  <c r="F152" i="19"/>
  <c r="L152" i="19" s="1"/>
  <c r="M152" i="19" s="1"/>
  <c r="F153" i="19"/>
  <c r="H153" i="19" s="1"/>
  <c r="M153" i="19" s="1"/>
  <c r="F154" i="19"/>
  <c r="H154" i="19" s="1"/>
  <c r="M154" i="19" s="1"/>
  <c r="F160" i="19"/>
  <c r="L160" i="19" s="1"/>
  <c r="M160" i="19" s="1"/>
  <c r="F132" i="19"/>
  <c r="L132" i="19" s="1"/>
  <c r="M132" i="19" s="1"/>
  <c r="F151" i="19"/>
  <c r="L151" i="19" s="1"/>
  <c r="M151" i="19" s="1"/>
  <c r="F159" i="19"/>
  <c r="J159" i="19" s="1"/>
  <c r="M159" i="19" s="1"/>
  <c r="F163" i="19"/>
  <c r="L163" i="19" s="1"/>
  <c r="M163" i="19" s="1"/>
  <c r="F164" i="19"/>
  <c r="H164" i="19" s="1"/>
  <c r="M164" i="19" s="1"/>
  <c r="F165" i="19"/>
  <c r="H165" i="19" s="1"/>
  <c r="M165" i="19" s="1"/>
  <c r="F176" i="19" l="1"/>
  <c r="J176" i="19" s="1"/>
  <c r="M176" i="19" s="1"/>
  <c r="L177" i="19"/>
  <c r="M177" i="19" s="1"/>
  <c r="E112" i="19" l="1"/>
  <c r="L110" i="19"/>
  <c r="M110" i="19" s="1"/>
  <c r="E110" i="19"/>
  <c r="E109" i="19"/>
  <c r="F108" i="19"/>
  <c r="F106" i="19"/>
  <c r="H106" i="19" s="1"/>
  <c r="M106" i="19" s="1"/>
  <c r="F105" i="19"/>
  <c r="H105" i="19" s="1"/>
  <c r="M105" i="19" s="1"/>
  <c r="F101" i="19"/>
  <c r="F102" i="19" s="1"/>
  <c r="J102" i="19" s="1"/>
  <c r="M102" i="19" s="1"/>
  <c r="F96" i="19"/>
  <c r="F100" i="19" s="1"/>
  <c r="H100" i="19" s="1"/>
  <c r="M100" i="19" s="1"/>
  <c r="F91" i="19"/>
  <c r="F92" i="19" s="1"/>
  <c r="J92" i="19" s="1"/>
  <c r="M92" i="19" s="1"/>
  <c r="F109" i="19" l="1"/>
  <c r="J109" i="19" s="1"/>
  <c r="M109" i="19" s="1"/>
  <c r="F99" i="19"/>
  <c r="H99" i="19" s="1"/>
  <c r="M99" i="19" s="1"/>
  <c r="F104" i="19"/>
  <c r="H104" i="19" s="1"/>
  <c r="M104" i="19" s="1"/>
  <c r="F98" i="19"/>
  <c r="L98" i="19" s="1"/>
  <c r="M98" i="19" s="1"/>
  <c r="F111" i="19"/>
  <c r="H111" i="19" s="1"/>
  <c r="M111" i="19" s="1"/>
  <c r="F112" i="19"/>
  <c r="H112" i="19" s="1"/>
  <c r="M112" i="19" s="1"/>
  <c r="F93" i="19"/>
  <c r="F97" i="19"/>
  <c r="J97" i="19" s="1"/>
  <c r="M97" i="19" s="1"/>
  <c r="F103" i="19"/>
  <c r="L103" i="19" s="1"/>
  <c r="M103" i="19" s="1"/>
  <c r="F107" i="19"/>
  <c r="H107" i="19" s="1"/>
  <c r="M107" i="19" s="1"/>
  <c r="F94" i="19" l="1"/>
  <c r="J94" i="19" s="1"/>
  <c r="M94" i="19" s="1"/>
  <c r="F95" i="19"/>
  <c r="L95" i="19" s="1"/>
  <c r="M95" i="19" s="1"/>
  <c r="E89" i="19" l="1"/>
  <c r="E88" i="19"/>
  <c r="H85" i="19"/>
  <c r="M85" i="19" s="1"/>
  <c r="E84" i="19"/>
  <c r="F82" i="19"/>
  <c r="F86" i="19" s="1"/>
  <c r="H86" i="19" s="1"/>
  <c r="M86" i="19" s="1"/>
  <c r="E80" i="19"/>
  <c r="F77" i="19"/>
  <c r="F79" i="19" s="1"/>
  <c r="L79" i="19" s="1"/>
  <c r="M79" i="19" s="1"/>
  <c r="F72" i="19"/>
  <c r="F73" i="19" s="1"/>
  <c r="J73" i="19" s="1"/>
  <c r="M73" i="19" s="1"/>
  <c r="E270" i="19"/>
  <c r="F270" i="19" s="1"/>
  <c r="L270" i="19" s="1"/>
  <c r="M270" i="19" s="1"/>
  <c r="E267" i="19"/>
  <c r="F267" i="19" s="1"/>
  <c r="H267" i="19" s="1"/>
  <c r="M267" i="19" s="1"/>
  <c r="F266" i="19"/>
  <c r="H266" i="19" s="1"/>
  <c r="M266" i="19" s="1"/>
  <c r="F78" i="19" l="1"/>
  <c r="J78" i="19" s="1"/>
  <c r="M78" i="19" s="1"/>
  <c r="F81" i="19"/>
  <c r="H81" i="19" s="1"/>
  <c r="M81" i="19" s="1"/>
  <c r="F88" i="19"/>
  <c r="H88" i="19" s="1"/>
  <c r="M88" i="19" s="1"/>
  <c r="F89" i="19"/>
  <c r="H89" i="19" s="1"/>
  <c r="M89" i="19" s="1"/>
  <c r="F84" i="19"/>
  <c r="L84" i="19" s="1"/>
  <c r="M84" i="19" s="1"/>
  <c r="F80" i="19"/>
  <c r="H80" i="19" s="1"/>
  <c r="F74" i="19"/>
  <c r="F83" i="19"/>
  <c r="J83" i="19" s="1"/>
  <c r="M83" i="19" s="1"/>
  <c r="F87" i="19"/>
  <c r="H87" i="19" s="1"/>
  <c r="M87" i="19" s="1"/>
  <c r="F273" i="19"/>
  <c r="H273" i="19" s="1"/>
  <c r="M273" i="19" s="1"/>
  <c r="F272" i="19"/>
  <c r="H272" i="19" s="1"/>
  <c r="M272" i="19" s="1"/>
  <c r="F271" i="19"/>
  <c r="H271" i="19" s="1"/>
  <c r="M271" i="19" s="1"/>
  <c r="F269" i="19"/>
  <c r="J269" i="19" s="1"/>
  <c r="M269" i="19" s="1"/>
  <c r="M80" i="19" l="1"/>
  <c r="H288" i="19"/>
  <c r="M289" i="19" s="1"/>
  <c r="F75" i="19"/>
  <c r="J75" i="19" s="1"/>
  <c r="M75" i="19" s="1"/>
  <c r="F76" i="19"/>
  <c r="L76" i="19" s="1"/>
  <c r="M76" i="19" s="1"/>
  <c r="E137" i="20" l="1"/>
  <c r="E132" i="20"/>
  <c r="F132" i="20" s="1"/>
  <c r="F131" i="20"/>
  <c r="L131" i="20" s="1"/>
  <c r="M131" i="20" s="1"/>
  <c r="F130" i="20"/>
  <c r="J130" i="20" s="1"/>
  <c r="M130" i="20" s="1"/>
  <c r="M129" i="20"/>
  <c r="H125" i="20"/>
  <c r="M125" i="20" s="1"/>
  <c r="F123" i="20"/>
  <c r="F124" i="20" s="1"/>
  <c r="J124" i="20" s="1"/>
  <c r="M124" i="20" s="1"/>
  <c r="E119" i="20"/>
  <c r="H116" i="20"/>
  <c r="M116" i="20" s="1"/>
  <c r="F114" i="20"/>
  <c r="H111" i="20"/>
  <c r="M111" i="20" s="1"/>
  <c r="H110" i="20"/>
  <c r="M110" i="20" s="1"/>
  <c r="H109" i="20"/>
  <c r="M109" i="20" s="1"/>
  <c r="H108" i="20"/>
  <c r="M108" i="20" s="1"/>
  <c r="H107" i="20"/>
  <c r="M107" i="20" s="1"/>
  <c r="H106" i="20"/>
  <c r="M106" i="20" s="1"/>
  <c r="H105" i="20"/>
  <c r="M105" i="20" s="1"/>
  <c r="D105" i="20"/>
  <c r="H104" i="20"/>
  <c r="M104" i="20" s="1"/>
  <c r="D104" i="20"/>
  <c r="M101" i="20"/>
  <c r="F103" i="20"/>
  <c r="L103" i="20" s="1"/>
  <c r="H100" i="20"/>
  <c r="M100" i="20" s="1"/>
  <c r="H99" i="20"/>
  <c r="M99" i="20" s="1"/>
  <c r="H96" i="20"/>
  <c r="M96" i="20" s="1"/>
  <c r="H98" i="20"/>
  <c r="M98" i="20" s="1"/>
  <c r="H95" i="20"/>
  <c r="H94" i="20"/>
  <c r="F93" i="20"/>
  <c r="J93" i="20" s="1"/>
  <c r="L83" i="20"/>
  <c r="H81" i="20"/>
  <c r="M81" i="20" s="1"/>
  <c r="H80" i="20"/>
  <c r="M80" i="20" s="1"/>
  <c r="H79" i="20"/>
  <c r="M79" i="20" s="1"/>
  <c r="H78" i="20"/>
  <c r="M78" i="20" s="1"/>
  <c r="H77" i="20"/>
  <c r="M77" i="20" s="1"/>
  <c r="H75" i="20"/>
  <c r="M75" i="20" s="1"/>
  <c r="H74" i="20"/>
  <c r="M74" i="20" s="1"/>
  <c r="F73" i="20"/>
  <c r="H73" i="20" s="1"/>
  <c r="M73" i="20" s="1"/>
  <c r="F72" i="20"/>
  <c r="J72" i="20" s="1"/>
  <c r="M72" i="20" s="1"/>
  <c r="J67" i="20"/>
  <c r="H67" i="20"/>
  <c r="J66" i="20"/>
  <c r="H66" i="20"/>
  <c r="H54" i="20"/>
  <c r="M54" i="20" s="1"/>
  <c r="H53" i="20"/>
  <c r="M53" i="20" s="1"/>
  <c r="H51" i="20"/>
  <c r="M51" i="20" s="1"/>
  <c r="H50" i="20"/>
  <c r="M50" i="20" s="1"/>
  <c r="H49" i="20"/>
  <c r="M49" i="20" s="1"/>
  <c r="H48" i="20"/>
  <c r="M48" i="20" s="1"/>
  <c r="F47" i="20"/>
  <c r="H47" i="20" s="1"/>
  <c r="M47" i="20" s="1"/>
  <c r="F46" i="20"/>
  <c r="H46" i="20" s="1"/>
  <c r="M46" i="20" s="1"/>
  <c r="F45" i="20"/>
  <c r="J45" i="20" s="1"/>
  <c r="M45" i="20" s="1"/>
  <c r="H43" i="20"/>
  <c r="M43" i="20" s="1"/>
  <c r="F41" i="20"/>
  <c r="H41" i="20" s="1"/>
  <c r="M41" i="20" s="1"/>
  <c r="F40" i="20"/>
  <c r="J40" i="20" s="1"/>
  <c r="M40" i="20" s="1"/>
  <c r="H38" i="20"/>
  <c r="M38" i="20" s="1"/>
  <c r="H36" i="20"/>
  <c r="M36" i="20" s="1"/>
  <c r="H35" i="20"/>
  <c r="M35" i="20" s="1"/>
  <c r="H34" i="20"/>
  <c r="M34" i="20" s="1"/>
  <c r="E31" i="20"/>
  <c r="F30" i="20"/>
  <c r="F32" i="20" s="1"/>
  <c r="L32" i="20" s="1"/>
  <c r="H29" i="20"/>
  <c r="M29" i="20" s="1"/>
  <c r="F28" i="20"/>
  <c r="F27" i="20"/>
  <c r="J27" i="20" s="1"/>
  <c r="M27" i="20" s="1"/>
  <c r="F25" i="20"/>
  <c r="H25" i="20" s="1"/>
  <c r="M25" i="20" s="1"/>
  <c r="F24" i="20"/>
  <c r="H24" i="20" s="1"/>
  <c r="M24" i="20" s="1"/>
  <c r="F23" i="20"/>
  <c r="J23" i="20" s="1"/>
  <c r="M23" i="20" s="1"/>
  <c r="F21" i="20"/>
  <c r="H21" i="20" s="1"/>
  <c r="M21" i="20" s="1"/>
  <c r="F20" i="20"/>
  <c r="F19" i="20"/>
  <c r="J19" i="20" s="1"/>
  <c r="M19" i="20" s="1"/>
  <c r="H17" i="20"/>
  <c r="M17" i="20" s="1"/>
  <c r="F16" i="20"/>
  <c r="H16" i="20" s="1"/>
  <c r="M16" i="20" s="1"/>
  <c r="F15" i="20"/>
  <c r="J15" i="20" s="1"/>
  <c r="M15" i="20" s="1"/>
  <c r="H13" i="20"/>
  <c r="M13" i="20" s="1"/>
  <c r="F12" i="20"/>
  <c r="H12" i="20" s="1"/>
  <c r="F11" i="20"/>
  <c r="J11" i="20" s="1"/>
  <c r="M94" i="20" l="1"/>
  <c r="H83" i="20"/>
  <c r="M84" i="20" s="1"/>
  <c r="F137" i="20"/>
  <c r="H137" i="20" s="1"/>
  <c r="M137" i="20" s="1"/>
  <c r="F119" i="20"/>
  <c r="H119" i="20" s="1"/>
  <c r="M119" i="20" s="1"/>
  <c r="M66" i="20"/>
  <c r="F126" i="20"/>
  <c r="H126" i="20" s="1"/>
  <c r="M126" i="20" s="1"/>
  <c r="J83" i="20"/>
  <c r="M86" i="20" s="1"/>
  <c r="F113" i="20"/>
  <c r="H113" i="20" s="1"/>
  <c r="M113" i="20" s="1"/>
  <c r="F102" i="20"/>
  <c r="J102" i="20" s="1"/>
  <c r="M102" i="20" s="1"/>
  <c r="M67" i="20"/>
  <c r="F31" i="20"/>
  <c r="J31" i="20" s="1"/>
  <c r="M31" i="20" s="1"/>
  <c r="L56" i="20"/>
  <c r="M32" i="20"/>
  <c r="M11" i="20"/>
  <c r="M95" i="20"/>
  <c r="M103" i="20"/>
  <c r="F33" i="20"/>
  <c r="H33" i="20" s="1"/>
  <c r="M33" i="20" s="1"/>
  <c r="F135" i="20"/>
  <c r="H135" i="20" s="1"/>
  <c r="M135" i="20" s="1"/>
  <c r="F134" i="20"/>
  <c r="L134" i="20" s="1"/>
  <c r="M134" i="20" s="1"/>
  <c r="M12" i="20"/>
  <c r="M93" i="20"/>
  <c r="F115" i="20"/>
  <c r="J115" i="20" s="1"/>
  <c r="M115" i="20" s="1"/>
  <c r="F133" i="20"/>
  <c r="J133" i="20" s="1"/>
  <c r="M133" i="20" s="1"/>
  <c r="F136" i="20"/>
  <c r="H136" i="20" s="1"/>
  <c r="M136" i="20" s="1"/>
  <c r="H56" i="20" l="1"/>
  <c r="M57" i="20" s="1"/>
  <c r="H138" i="20"/>
  <c r="M139" i="20" s="1"/>
  <c r="M83" i="20"/>
  <c r="M85" i="20" s="1"/>
  <c r="M87" i="20" s="1"/>
  <c r="J56" i="20"/>
  <c r="M59" i="20" s="1"/>
  <c r="L138" i="20"/>
  <c r="N83" i="20"/>
  <c r="M138" i="20"/>
  <c r="J138" i="20"/>
  <c r="M141" i="20" s="1"/>
  <c r="M56" i="20"/>
  <c r="M140" i="20" l="1"/>
  <c r="M142" i="20" s="1"/>
  <c r="M143" i="20" s="1"/>
  <c r="M144" i="20" s="1"/>
  <c r="M58" i="20"/>
  <c r="M60" i="20" s="1"/>
  <c r="M88" i="20"/>
  <c r="M89" i="20" s="1"/>
  <c r="N56" i="20"/>
  <c r="N138" i="20"/>
  <c r="M61" i="20" l="1"/>
  <c r="M62" i="20" s="1"/>
  <c r="M146" i="20" s="1"/>
  <c r="D11" i="8" s="1"/>
  <c r="F329" i="18" l="1"/>
  <c r="H400" i="18"/>
  <c r="M400" i="18" s="1"/>
  <c r="E402" i="18"/>
  <c r="F391" i="18"/>
  <c r="F109" i="17" l="1"/>
  <c r="F23" i="17" l="1"/>
  <c r="H386" i="6"/>
  <c r="M386" i="6" s="1"/>
  <c r="F427" i="6"/>
  <c r="E337" i="6"/>
  <c r="F332" i="6"/>
  <c r="J332" i="6" s="1"/>
  <c r="M332" i="6" s="1"/>
  <c r="F339" i="6"/>
  <c r="H339" i="6" s="1"/>
  <c r="M339" i="6" s="1"/>
  <c r="F330" i="6"/>
  <c r="J330" i="6" s="1"/>
  <c r="M330" i="6" s="1"/>
  <c r="F302" i="6"/>
  <c r="F310" i="6" s="1"/>
  <c r="H310" i="6" s="1"/>
  <c r="M310" i="6" s="1"/>
  <c r="H309" i="6"/>
  <c r="M309" i="6" s="1"/>
  <c r="H308" i="6"/>
  <c r="M308" i="6" s="1"/>
  <c r="H307" i="6"/>
  <c r="M307" i="6" s="1"/>
  <c r="H306" i="6"/>
  <c r="M306" i="6" s="1"/>
  <c r="H305" i="6"/>
  <c r="M305" i="6" s="1"/>
  <c r="F303" i="6" l="1"/>
  <c r="F338" i="6"/>
  <c r="H338" i="6" s="1"/>
  <c r="M338" i="6" s="1"/>
  <c r="F312" i="6"/>
  <c r="H312" i="6" s="1"/>
  <c r="M312" i="6" s="1"/>
  <c r="F311" i="6"/>
  <c r="H311" i="6" s="1"/>
  <c r="M311" i="6" s="1"/>
  <c r="F337" i="6"/>
  <c r="H337" i="6" s="1"/>
  <c r="M337" i="6" s="1"/>
  <c r="F333" i="6"/>
  <c r="L333" i="6" s="1"/>
  <c r="M333" i="6" s="1"/>
  <c r="F335" i="6"/>
  <c r="H335" i="6" s="1"/>
  <c r="M335" i="6" s="1"/>
  <c r="F340" i="6"/>
  <c r="H340" i="6" s="1"/>
  <c r="M340" i="6" s="1"/>
  <c r="F336" i="6"/>
  <c r="H336" i="6" s="1"/>
  <c r="M336" i="6" s="1"/>
  <c r="H334" i="6"/>
  <c r="M334" i="6" s="1"/>
  <c r="F304" i="6"/>
  <c r="L304" i="6" s="1"/>
  <c r="M304" i="6" s="1"/>
  <c r="J303" i="6" l="1"/>
  <c r="M303" i="6" s="1"/>
  <c r="F450" i="6"/>
  <c r="H237" i="6" l="1"/>
  <c r="M237" i="6" s="1"/>
  <c r="H238" i="6"/>
  <c r="M238" i="6" s="1"/>
  <c r="E249" i="6"/>
  <c r="H211" i="6"/>
  <c r="M211" i="6" s="1"/>
  <c r="F107" i="6"/>
  <c r="F116" i="6"/>
  <c r="H124" i="6"/>
  <c r="M124" i="6" s="1"/>
  <c r="E180" i="6"/>
  <c r="F44" i="6" l="1"/>
  <c r="H44" i="6" s="1"/>
  <c r="M44" i="6" s="1"/>
  <c r="H43" i="6"/>
  <c r="M43" i="6" s="1"/>
  <c r="F42" i="6"/>
  <c r="L42" i="6" s="1"/>
  <c r="M42" i="6" s="1"/>
  <c r="J41" i="6"/>
  <c r="M41" i="6" s="1"/>
  <c r="F23" i="6" l="1"/>
  <c r="F14" i="6"/>
  <c r="H18" i="6"/>
  <c r="M18" i="6" s="1"/>
  <c r="F26" i="21" l="1"/>
  <c r="E25" i="21"/>
  <c r="F25" i="21" s="1"/>
  <c r="E27" i="21"/>
  <c r="F27" i="21" s="1"/>
  <c r="H27" i="21" s="1"/>
  <c r="M27" i="21" s="1"/>
  <c r="F24" i="21"/>
  <c r="J24" i="21" l="1"/>
  <c r="M24" i="21" s="1"/>
  <c r="L25" i="21"/>
  <c r="M25" i="21" s="1"/>
  <c r="L443" i="6"/>
  <c r="J443" i="6"/>
  <c r="H280" i="6"/>
  <c r="H289" i="6"/>
  <c r="H290" i="6"/>
  <c r="H294" i="6"/>
  <c r="H295" i="6"/>
  <c r="H298" i="6"/>
  <c r="H369" i="6"/>
  <c r="H371" i="6"/>
  <c r="M371" i="6" s="1"/>
  <c r="H417" i="6"/>
  <c r="H418" i="6"/>
  <c r="M418" i="6" s="1"/>
  <c r="H419" i="6"/>
  <c r="M419" i="6" s="1"/>
  <c r="H424" i="6"/>
  <c r="H425" i="6"/>
  <c r="H430" i="6"/>
  <c r="M430" i="6" s="1"/>
  <c r="H431" i="6"/>
  <c r="H432" i="6"/>
  <c r="H433" i="6"/>
  <c r="M433" i="6" s="1"/>
  <c r="H434" i="6"/>
  <c r="H440" i="6"/>
  <c r="M440" i="6" s="1"/>
  <c r="H453" i="6"/>
  <c r="H36" i="6"/>
  <c r="M36" i="6" s="1"/>
  <c r="H37" i="6"/>
  <c r="H38" i="6"/>
  <c r="M38" i="6" s="1"/>
  <c r="H110" i="6"/>
  <c r="M110" i="6" s="1"/>
  <c r="H111" i="6"/>
  <c r="H112" i="6"/>
  <c r="M112" i="6" s="1"/>
  <c r="H113" i="6"/>
  <c r="H114" i="6"/>
  <c r="M114" i="6" s="1"/>
  <c r="H119" i="6"/>
  <c r="H120" i="6"/>
  <c r="M120" i="6" s="1"/>
  <c r="H121" i="6"/>
  <c r="H122" i="6"/>
  <c r="M122" i="6" s="1"/>
  <c r="H123" i="6"/>
  <c r="H125" i="6"/>
  <c r="M125" i="6" s="1"/>
  <c r="H130" i="6"/>
  <c r="H131" i="6"/>
  <c r="H132" i="6"/>
  <c r="H133" i="6"/>
  <c r="M133" i="6" s="1"/>
  <c r="H134" i="6"/>
  <c r="H135" i="6"/>
  <c r="H137" i="6"/>
  <c r="H138" i="6"/>
  <c r="M138" i="6" s="1"/>
  <c r="H139" i="6"/>
  <c r="H140" i="6"/>
  <c r="H141" i="6"/>
  <c r="H144" i="6"/>
  <c r="H145" i="6"/>
  <c r="H146" i="6"/>
  <c r="H147" i="6"/>
  <c r="M147" i="6" s="1"/>
  <c r="H148" i="6"/>
  <c r="H149" i="6"/>
  <c r="H150" i="6"/>
  <c r="H151" i="6"/>
  <c r="M151" i="6" s="1"/>
  <c r="H152" i="6"/>
  <c r="H153" i="6"/>
  <c r="H154" i="6"/>
  <c r="H155" i="6"/>
  <c r="M155" i="6" s="1"/>
  <c r="H156" i="6"/>
  <c r="H157" i="6"/>
  <c r="H158" i="6"/>
  <c r="H159" i="6"/>
  <c r="M159" i="6" s="1"/>
  <c r="H160" i="6"/>
  <c r="H161" i="6"/>
  <c r="H162" i="6"/>
  <c r="H163" i="6"/>
  <c r="M163" i="6" s="1"/>
  <c r="H164" i="6"/>
  <c r="H165" i="6"/>
  <c r="H166" i="6"/>
  <c r="H167" i="6"/>
  <c r="M167" i="6" s="1"/>
  <c r="H168" i="6"/>
  <c r="H169" i="6"/>
  <c r="H170" i="6"/>
  <c r="H171" i="6"/>
  <c r="M171" i="6" s="1"/>
  <c r="H172" i="6"/>
  <c r="H174" i="6"/>
  <c r="H175" i="6"/>
  <c r="H185" i="6"/>
  <c r="H221" i="6"/>
  <c r="M221" i="6" s="1"/>
  <c r="H222" i="6"/>
  <c r="H223" i="6"/>
  <c r="M223" i="6" s="1"/>
  <c r="H224" i="6"/>
  <c r="H225" i="6"/>
  <c r="M225" i="6" s="1"/>
  <c r="H226" i="6"/>
  <c r="H227" i="6"/>
  <c r="M227" i="6" s="1"/>
  <c r="H228" i="6"/>
  <c r="H229" i="6"/>
  <c r="M229" i="6" s="1"/>
  <c r="H230" i="6"/>
  <c r="H231" i="6"/>
  <c r="M231" i="6" s="1"/>
  <c r="H232" i="6"/>
  <c r="H233" i="6"/>
  <c r="M233" i="6" s="1"/>
  <c r="H234" i="6"/>
  <c r="H235" i="6"/>
  <c r="M235" i="6" s="1"/>
  <c r="H236" i="6"/>
  <c r="H239" i="6"/>
  <c r="M239" i="6" s="1"/>
  <c r="H240" i="6"/>
  <c r="H241" i="6"/>
  <c r="M241" i="6" s="1"/>
  <c r="H242" i="6"/>
  <c r="H243" i="6"/>
  <c r="M243" i="6" s="1"/>
  <c r="H244" i="6"/>
  <c r="H120" i="18"/>
  <c r="H121" i="18"/>
  <c r="H122" i="18"/>
  <c r="H123" i="18"/>
  <c r="H124" i="18"/>
  <c r="H290" i="18"/>
  <c r="M290" i="18" s="1"/>
  <c r="H296" i="18"/>
  <c r="M296" i="18" s="1"/>
  <c r="H326" i="18"/>
  <c r="M326" i="18" s="1"/>
  <c r="H327" i="18"/>
  <c r="M327" i="18" s="1"/>
  <c r="H328" i="18"/>
  <c r="M328" i="18" s="1"/>
  <c r="H329" i="18"/>
  <c r="M329" i="18" s="1"/>
  <c r="H330" i="18"/>
  <c r="M330" i="18" s="1"/>
  <c r="H331" i="18"/>
  <c r="M331" i="18" s="1"/>
  <c r="H332" i="18"/>
  <c r="M332" i="18" s="1"/>
  <c r="H306" i="18"/>
  <c r="M306" i="18" s="1"/>
  <c r="H307" i="18"/>
  <c r="M307" i="18" s="1"/>
  <c r="H301" i="18"/>
  <c r="M301" i="18" s="1"/>
  <c r="H349" i="18"/>
  <c r="M349" i="18" s="1"/>
  <c r="H350" i="18"/>
  <c r="M350" i="18" s="1"/>
  <c r="H454" i="18"/>
  <c r="L12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J12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H12" i="18"/>
  <c r="H13" i="18"/>
  <c r="H14" i="18"/>
  <c r="H15" i="18"/>
  <c r="H16" i="18"/>
  <c r="H17" i="18"/>
  <c r="H18" i="18"/>
  <c r="H19" i="18"/>
  <c r="H20" i="18"/>
  <c r="M20" i="18" s="1"/>
  <c r="H21" i="18"/>
  <c r="M21" i="18" s="1"/>
  <c r="H23" i="18"/>
  <c r="H66" i="18"/>
  <c r="M66" i="18" s="1"/>
  <c r="H67" i="18"/>
  <c r="M67" i="18" s="1"/>
  <c r="H68" i="18"/>
  <c r="M68" i="18" s="1"/>
  <c r="H69" i="18"/>
  <c r="H70" i="18"/>
  <c r="M70" i="18" s="1"/>
  <c r="H71" i="18"/>
  <c r="M71" i="18" s="1"/>
  <c r="H34" i="18"/>
  <c r="M34" i="18" s="1"/>
  <c r="H35" i="18"/>
  <c r="H36" i="18"/>
  <c r="M36" i="18" s="1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E454" i="18"/>
  <c r="E185" i="6"/>
  <c r="E254" i="6"/>
  <c r="F445" i="18"/>
  <c r="F443" i="18"/>
  <c r="M90" i="18" l="1"/>
  <c r="M94" i="18"/>
  <c r="M78" i="18"/>
  <c r="M86" i="18"/>
  <c r="M82" i="18"/>
  <c r="M74" i="18"/>
  <c r="M443" i="6"/>
  <c r="M23" i="18"/>
  <c r="M434" i="6"/>
  <c r="M424" i="6"/>
  <c r="M369" i="6"/>
  <c r="M290" i="6"/>
  <c r="M96" i="18"/>
  <c r="M92" i="18"/>
  <c r="M88" i="18"/>
  <c r="M84" i="18"/>
  <c r="M80" i="18"/>
  <c r="M76" i="18"/>
  <c r="M453" i="6"/>
  <c r="M431" i="6"/>
  <c r="M425" i="6"/>
  <c r="M417" i="6"/>
  <c r="M298" i="6"/>
  <c r="M289" i="6"/>
  <c r="M69" i="18"/>
  <c r="M174" i="6"/>
  <c r="M169" i="6"/>
  <c r="M165" i="6"/>
  <c r="M161" i="6"/>
  <c r="M157" i="6"/>
  <c r="M153" i="6"/>
  <c r="M149" i="6"/>
  <c r="M145" i="6"/>
  <c r="M140" i="6"/>
  <c r="M135" i="6"/>
  <c r="M131" i="6"/>
  <c r="M37" i="6"/>
  <c r="M35" i="18"/>
  <c r="M95" i="18"/>
  <c r="M91" i="18"/>
  <c r="M87" i="18"/>
  <c r="M83" i="18"/>
  <c r="M79" i="18"/>
  <c r="M75" i="18"/>
  <c r="M242" i="6"/>
  <c r="M236" i="6"/>
  <c r="M232" i="6"/>
  <c r="M228" i="6"/>
  <c r="M224" i="6"/>
  <c r="M175" i="6"/>
  <c r="M170" i="6"/>
  <c r="M166" i="6"/>
  <c r="M162" i="6"/>
  <c r="M158" i="6"/>
  <c r="M154" i="6"/>
  <c r="M150" i="6"/>
  <c r="M146" i="6"/>
  <c r="M141" i="6"/>
  <c r="M137" i="6"/>
  <c r="M132" i="6"/>
  <c r="M123" i="6"/>
  <c r="M119" i="6"/>
  <c r="M111" i="6"/>
  <c r="M97" i="18"/>
  <c r="M93" i="18"/>
  <c r="M89" i="18"/>
  <c r="M85" i="18"/>
  <c r="M81" i="18"/>
  <c r="M77" i="18"/>
  <c r="M454" i="18"/>
  <c r="M244" i="6"/>
  <c r="M240" i="6"/>
  <c r="M234" i="6"/>
  <c r="M230" i="6"/>
  <c r="M226" i="6"/>
  <c r="M222" i="6"/>
  <c r="M185" i="6"/>
  <c r="M172" i="6"/>
  <c r="M168" i="6"/>
  <c r="M164" i="6"/>
  <c r="M160" i="6"/>
  <c r="M156" i="6"/>
  <c r="M152" i="6"/>
  <c r="M148" i="6"/>
  <c r="M144" i="6"/>
  <c r="M139" i="6"/>
  <c r="M134" i="6"/>
  <c r="M130" i="6"/>
  <c r="M121" i="6"/>
  <c r="M113" i="6"/>
  <c r="M295" i="6"/>
  <c r="M432" i="6"/>
  <c r="M294" i="6"/>
  <c r="M280" i="6"/>
  <c r="H443" i="18"/>
  <c r="J445" i="18"/>
  <c r="M124" i="18"/>
  <c r="M122" i="18"/>
  <c r="M120" i="18"/>
  <c r="M123" i="18"/>
  <c r="M121" i="18"/>
  <c r="M18" i="18"/>
  <c r="M16" i="18"/>
  <c r="M14" i="18"/>
  <c r="M12" i="18"/>
  <c r="M19" i="18"/>
  <c r="M17" i="18"/>
  <c r="M15" i="18"/>
  <c r="M13" i="18"/>
  <c r="F440" i="18"/>
  <c r="F442" i="18"/>
  <c r="F441" i="18"/>
  <c r="M445" i="18" l="1"/>
  <c r="L442" i="18"/>
  <c r="L441" i="18"/>
  <c r="J440" i="18"/>
  <c r="M443" i="18"/>
  <c r="E438" i="18"/>
  <c r="F438" i="18" s="1"/>
  <c r="E437" i="18"/>
  <c r="F437" i="18" s="1"/>
  <c r="F436" i="18"/>
  <c r="E435" i="18"/>
  <c r="F435" i="18" s="1"/>
  <c r="E434" i="18"/>
  <c r="F434" i="18" s="1"/>
  <c r="F428" i="18"/>
  <c r="F429" i="18" s="1"/>
  <c r="F431" i="18"/>
  <c r="F426" i="18"/>
  <c r="F425" i="18"/>
  <c r="F424" i="18"/>
  <c r="F423" i="18"/>
  <c r="F421" i="18"/>
  <c r="F420" i="18"/>
  <c r="F419" i="18"/>
  <c r="F418" i="18"/>
  <c r="F416" i="18"/>
  <c r="F415" i="18"/>
  <c r="F414" i="18"/>
  <c r="F413" i="18"/>
  <c r="F376" i="18"/>
  <c r="F373" i="18"/>
  <c r="F371" i="18"/>
  <c r="F370" i="18"/>
  <c r="F369" i="18"/>
  <c r="F368" i="18"/>
  <c r="F366" i="18"/>
  <c r="F365" i="18"/>
  <c r="F364" i="18"/>
  <c r="F363" i="18"/>
  <c r="F361" i="18"/>
  <c r="F360" i="18"/>
  <c r="F359" i="18"/>
  <c r="F358" i="18"/>
  <c r="F356" i="18"/>
  <c r="F355" i="18"/>
  <c r="F354" i="18"/>
  <c r="F353" i="18"/>
  <c r="F447" i="18"/>
  <c r="F448" i="18"/>
  <c r="E449" i="18"/>
  <c r="F449" i="18" s="1"/>
  <c r="F351" i="18"/>
  <c r="F348" i="18"/>
  <c r="F347" i="18"/>
  <c r="M440" i="18" l="1"/>
  <c r="M441" i="18"/>
  <c r="H351" i="18"/>
  <c r="J353" i="18"/>
  <c r="H355" i="18"/>
  <c r="J358" i="18"/>
  <c r="H360" i="18"/>
  <c r="J363" i="18"/>
  <c r="H365" i="18"/>
  <c r="M365" i="18" s="1"/>
  <c r="J368" i="18"/>
  <c r="H370" i="18"/>
  <c r="F377" i="18"/>
  <c r="H415" i="18"/>
  <c r="J418" i="18"/>
  <c r="H420" i="18"/>
  <c r="J423" i="18"/>
  <c r="H425" i="18"/>
  <c r="J429" i="18"/>
  <c r="L435" i="18"/>
  <c r="H437" i="18"/>
  <c r="J347" i="18"/>
  <c r="M347" i="18" s="1"/>
  <c r="L448" i="18"/>
  <c r="L348" i="18"/>
  <c r="J447" i="18"/>
  <c r="L354" i="18"/>
  <c r="H356" i="18"/>
  <c r="L359" i="18"/>
  <c r="H361" i="18"/>
  <c r="L364" i="18"/>
  <c r="H366" i="18"/>
  <c r="L369" i="18"/>
  <c r="H371" i="18"/>
  <c r="H376" i="18"/>
  <c r="L414" i="18"/>
  <c r="H416" i="18"/>
  <c r="L419" i="18"/>
  <c r="H421" i="18"/>
  <c r="L424" i="18"/>
  <c r="H426" i="18"/>
  <c r="H431" i="18"/>
  <c r="M431" i="18" s="1"/>
  <c r="J434" i="18"/>
  <c r="H436" i="18"/>
  <c r="H438" i="18"/>
  <c r="M442" i="18"/>
  <c r="F430" i="18"/>
  <c r="F432" i="18"/>
  <c r="F375" i="18"/>
  <c r="F374" i="18"/>
  <c r="F453" i="18"/>
  <c r="F452" i="18"/>
  <c r="F451" i="18"/>
  <c r="F450" i="18"/>
  <c r="M355" i="18" l="1"/>
  <c r="G378" i="18"/>
  <c r="M415" i="18"/>
  <c r="M360" i="18"/>
  <c r="M351" i="18"/>
  <c r="M434" i="18"/>
  <c r="M366" i="18"/>
  <c r="M356" i="18"/>
  <c r="M348" i="18"/>
  <c r="M438" i="18"/>
  <c r="M426" i="18"/>
  <c r="M419" i="18"/>
  <c r="M416" i="18"/>
  <c r="M371" i="18"/>
  <c r="M361" i="18"/>
  <c r="M447" i="18"/>
  <c r="M448" i="18"/>
  <c r="M435" i="18"/>
  <c r="M429" i="18"/>
  <c r="M423" i="18"/>
  <c r="M413" i="18"/>
  <c r="M368" i="18"/>
  <c r="M363" i="18"/>
  <c r="H452" i="18"/>
  <c r="H432" i="18"/>
  <c r="J450" i="18"/>
  <c r="J456" i="18" s="1"/>
  <c r="L451" i="18"/>
  <c r="H453" i="18"/>
  <c r="L375" i="18"/>
  <c r="L430" i="18"/>
  <c r="M436" i="18"/>
  <c r="M424" i="18"/>
  <c r="M421" i="18"/>
  <c r="M414" i="18"/>
  <c r="M376" i="18"/>
  <c r="M369" i="18"/>
  <c r="M364" i="18"/>
  <c r="M359" i="18"/>
  <c r="M354" i="18"/>
  <c r="M437" i="18"/>
  <c r="M425" i="18"/>
  <c r="M418" i="18"/>
  <c r="M370" i="18"/>
  <c r="J374" i="18"/>
  <c r="H377" i="18"/>
  <c r="M420" i="18"/>
  <c r="M358" i="18"/>
  <c r="M353" i="18"/>
  <c r="H456" i="18" l="1"/>
  <c r="M457" i="18" s="1"/>
  <c r="L456" i="18"/>
  <c r="M377" i="18"/>
  <c r="M430" i="18"/>
  <c r="M375" i="18"/>
  <c r="M451" i="18"/>
  <c r="M450" i="18"/>
  <c r="M452" i="18"/>
  <c r="M374" i="18"/>
  <c r="M453" i="18"/>
  <c r="M432" i="18"/>
  <c r="H378" i="18"/>
  <c r="M378" i="18" s="1"/>
  <c r="N456" i="18" l="1"/>
  <c r="M456" i="18"/>
  <c r="M458" i="18" s="1"/>
  <c r="M459" i="18" s="1"/>
  <c r="M460" i="18" s="1"/>
  <c r="M461" i="18" s="1"/>
  <c r="M462" i="18" s="1"/>
  <c r="F399" i="18"/>
  <c r="H399" i="18" l="1"/>
  <c r="H382" i="6"/>
  <c r="M382" i="6" s="1"/>
  <c r="O382" i="6"/>
  <c r="E388" i="6"/>
  <c r="F388" i="6" s="1"/>
  <c r="F363" i="6"/>
  <c r="D366" i="6"/>
  <c r="D368" i="6"/>
  <c r="F186" i="6"/>
  <c r="F106" i="6"/>
  <c r="F105" i="6"/>
  <c r="F104" i="6"/>
  <c r="F103" i="6"/>
  <c r="F102" i="6"/>
  <c r="F100" i="6"/>
  <c r="F99" i="6"/>
  <c r="F98" i="6"/>
  <c r="F97" i="6"/>
  <c r="F96" i="6"/>
  <c r="F33" i="6"/>
  <c r="E452" i="6"/>
  <c r="E451" i="6"/>
  <c r="F449" i="6"/>
  <c r="F448" i="6"/>
  <c r="F447" i="6"/>
  <c r="F446" i="6"/>
  <c r="F445" i="6"/>
  <c r="F442" i="6"/>
  <c r="E441" i="6"/>
  <c r="F441" i="6" s="1"/>
  <c r="F439" i="6"/>
  <c r="F438" i="6"/>
  <c r="F437" i="6"/>
  <c r="F421" i="6"/>
  <c r="F414" i="6"/>
  <c r="F413" i="6"/>
  <c r="F412" i="6"/>
  <c r="F411" i="6"/>
  <c r="F410" i="6"/>
  <c r="F409" i="6"/>
  <c r="F407" i="6"/>
  <c r="F406" i="6"/>
  <c r="F405" i="6"/>
  <c r="F404" i="6"/>
  <c r="F403" i="6"/>
  <c r="F400" i="6"/>
  <c r="F399" i="6"/>
  <c r="F397" i="6"/>
  <c r="F396" i="6"/>
  <c r="E372" i="6"/>
  <c r="E367" i="6"/>
  <c r="D367" i="6"/>
  <c r="E364" i="6"/>
  <c r="E359" i="6"/>
  <c r="F357" i="6"/>
  <c r="F349" i="6"/>
  <c r="F348" i="6"/>
  <c r="F347" i="6"/>
  <c r="F346" i="6"/>
  <c r="F276" i="6"/>
  <c r="F274" i="6"/>
  <c r="E273" i="6"/>
  <c r="F273" i="6" s="1"/>
  <c r="F271" i="6"/>
  <c r="F249" i="6"/>
  <c r="F248" i="6"/>
  <c r="F247" i="6"/>
  <c r="E206" i="6"/>
  <c r="F206" i="6" s="1"/>
  <c r="E205" i="6"/>
  <c r="F205" i="6" s="1"/>
  <c r="F204" i="6"/>
  <c r="E203" i="6"/>
  <c r="F203" i="6" s="1"/>
  <c r="E202" i="6"/>
  <c r="F202" i="6" s="1"/>
  <c r="F200" i="6"/>
  <c r="E199" i="6"/>
  <c r="F199" i="6" s="1"/>
  <c r="F198" i="6"/>
  <c r="F197" i="6"/>
  <c r="F196" i="6"/>
  <c r="F193" i="6"/>
  <c r="F192" i="6"/>
  <c r="F191" i="6"/>
  <c r="F180" i="6"/>
  <c r="F179" i="6"/>
  <c r="F178" i="6"/>
  <c r="E109" i="6"/>
  <c r="E108" i="6"/>
  <c r="F94" i="6"/>
  <c r="F93" i="6"/>
  <c r="F92" i="6"/>
  <c r="F91" i="6"/>
  <c r="F90" i="6"/>
  <c r="E88" i="6"/>
  <c r="F88" i="6" s="1"/>
  <c r="F87" i="6"/>
  <c r="F86" i="6"/>
  <c r="E85" i="6"/>
  <c r="F85" i="6" s="1"/>
  <c r="E84" i="6"/>
  <c r="F84" i="6" s="1"/>
  <c r="E82" i="6"/>
  <c r="F82" i="6" s="1"/>
  <c r="F81" i="6"/>
  <c r="F80" i="6"/>
  <c r="E79" i="6"/>
  <c r="F79" i="6" s="1"/>
  <c r="E78" i="6"/>
  <c r="F78" i="6" s="1"/>
  <c r="F76" i="6"/>
  <c r="F75" i="6"/>
  <c r="F74" i="6"/>
  <c r="F73" i="6"/>
  <c r="F72" i="6"/>
  <c r="F70" i="6"/>
  <c r="F69" i="6"/>
  <c r="F68" i="6"/>
  <c r="F67" i="6"/>
  <c r="F66" i="6"/>
  <c r="F64" i="6"/>
  <c r="F63" i="6"/>
  <c r="F62" i="6"/>
  <c r="F61" i="6"/>
  <c r="F60" i="6"/>
  <c r="E58" i="6"/>
  <c r="F58" i="6" s="1"/>
  <c r="F57" i="6"/>
  <c r="E55" i="6"/>
  <c r="F55" i="6" s="1"/>
  <c r="E54" i="6"/>
  <c r="F54" i="6" s="1"/>
  <c r="E52" i="6"/>
  <c r="F52" i="6" s="1"/>
  <c r="F51" i="6"/>
  <c r="E49" i="6"/>
  <c r="F49" i="6" s="1"/>
  <c r="E48" i="6"/>
  <c r="F48" i="6" s="1"/>
  <c r="F27" i="6"/>
  <c r="F25" i="6"/>
  <c r="F24" i="6"/>
  <c r="J24" i="6" s="1"/>
  <c r="F16" i="6"/>
  <c r="F13" i="6"/>
  <c r="F11" i="6"/>
  <c r="F10" i="6"/>
  <c r="F365" i="6" l="1"/>
  <c r="L365" i="6" s="1"/>
  <c r="F372" i="6"/>
  <c r="J10" i="6"/>
  <c r="J48" i="6"/>
  <c r="H57" i="6"/>
  <c r="L67" i="6"/>
  <c r="H76" i="6"/>
  <c r="H86" i="6"/>
  <c r="L91" i="6"/>
  <c r="L179" i="6"/>
  <c r="H193" i="6"/>
  <c r="H204" i="6"/>
  <c r="L248" i="6"/>
  <c r="H349" i="6"/>
  <c r="H406" i="6"/>
  <c r="M406" i="6" s="1"/>
  <c r="F423" i="6"/>
  <c r="L446" i="6"/>
  <c r="H12" i="6"/>
  <c r="F126" i="6"/>
  <c r="F354" i="6"/>
  <c r="H366" i="6"/>
  <c r="L25" i="6"/>
  <c r="J54" i="6"/>
  <c r="H63" i="6"/>
  <c r="M63" i="6" s="1"/>
  <c r="L73" i="6"/>
  <c r="H82" i="6"/>
  <c r="H92" i="6"/>
  <c r="J196" i="6"/>
  <c r="M196" i="6" s="1"/>
  <c r="H205" i="6"/>
  <c r="J271" i="6"/>
  <c r="J403" i="6"/>
  <c r="H412" i="6"/>
  <c r="M412" i="6" s="1"/>
  <c r="F429" i="6"/>
  <c r="H447" i="6"/>
  <c r="H99" i="6"/>
  <c r="H281" i="6"/>
  <c r="H13" i="6"/>
  <c r="M13" i="6" s="1"/>
  <c r="H26" i="6"/>
  <c r="H50" i="6"/>
  <c r="L55" i="6"/>
  <c r="J60" i="6"/>
  <c r="M60" i="6" s="1"/>
  <c r="H64" i="6"/>
  <c r="H69" i="6"/>
  <c r="H74" i="6"/>
  <c r="L79" i="6"/>
  <c r="M79" i="6" s="1"/>
  <c r="J84" i="6"/>
  <c r="H88" i="6"/>
  <c r="H93" i="6"/>
  <c r="J191" i="6"/>
  <c r="L197" i="6"/>
  <c r="J202" i="6"/>
  <c r="H206" i="6"/>
  <c r="J273" i="6"/>
  <c r="L347" i="6"/>
  <c r="H367" i="6"/>
  <c r="H397" i="6"/>
  <c r="L404" i="6"/>
  <c r="M404" i="6" s="1"/>
  <c r="J409" i="6"/>
  <c r="H413" i="6"/>
  <c r="J437" i="6"/>
  <c r="H442" i="6"/>
  <c r="M442" i="6" s="1"/>
  <c r="H448" i="6"/>
  <c r="J96" i="6"/>
  <c r="H100" i="6"/>
  <c r="H105" i="6"/>
  <c r="H216" i="6"/>
  <c r="H383" i="6"/>
  <c r="M383" i="6" s="1"/>
  <c r="H52" i="6"/>
  <c r="H62" i="6"/>
  <c r="J72" i="6"/>
  <c r="M72" i="6" s="1"/>
  <c r="H81" i="6"/>
  <c r="H199" i="6"/>
  <c r="J276" i="6"/>
  <c r="M276" i="6" s="1"/>
  <c r="H400" i="6"/>
  <c r="H411" i="6"/>
  <c r="H439" i="6"/>
  <c r="M439" i="6" s="1"/>
  <c r="H98" i="6"/>
  <c r="L103" i="6"/>
  <c r="F176" i="6"/>
  <c r="L11" i="6"/>
  <c r="M11" i="6" s="1"/>
  <c r="L49" i="6"/>
  <c r="H58" i="6"/>
  <c r="H68" i="6"/>
  <c r="J78" i="6"/>
  <c r="M78" i="6" s="1"/>
  <c r="H87" i="6"/>
  <c r="H200" i="6"/>
  <c r="J346" i="6"/>
  <c r="J357" i="6"/>
  <c r="J396" i="6"/>
  <c r="H407" i="6"/>
  <c r="M407" i="6" s="1"/>
  <c r="H441" i="6"/>
  <c r="F35" i="6"/>
  <c r="H104" i="6"/>
  <c r="H368" i="6"/>
  <c r="M368" i="6" s="1"/>
  <c r="L16" i="6"/>
  <c r="M16" i="6" s="1"/>
  <c r="H27" i="6"/>
  <c r="H51" i="6"/>
  <c r="H56" i="6"/>
  <c r="L61" i="6"/>
  <c r="M61" i="6" s="1"/>
  <c r="J66" i="6"/>
  <c r="H70" i="6"/>
  <c r="H75" i="6"/>
  <c r="H80" i="6"/>
  <c r="L85" i="6"/>
  <c r="J90" i="6"/>
  <c r="H94" i="6"/>
  <c r="J178" i="6"/>
  <c r="M178" i="6" s="1"/>
  <c r="L192" i="6"/>
  <c r="H198" i="6"/>
  <c r="L203" i="6"/>
  <c r="J247" i="6"/>
  <c r="M247" i="6" s="1"/>
  <c r="H274" i="6"/>
  <c r="H348" i="6"/>
  <c r="H399" i="6"/>
  <c r="H405" i="6"/>
  <c r="M405" i="6" s="1"/>
  <c r="L410" i="6"/>
  <c r="F416" i="6"/>
  <c r="L438" i="6"/>
  <c r="J445" i="6"/>
  <c r="H449" i="6"/>
  <c r="M449" i="6" s="1"/>
  <c r="F19" i="6"/>
  <c r="L97" i="6"/>
  <c r="J102" i="6"/>
  <c r="H106" i="6"/>
  <c r="F245" i="6"/>
  <c r="H299" i="6"/>
  <c r="M299" i="6" s="1"/>
  <c r="H370" i="6"/>
  <c r="H384" i="6"/>
  <c r="M399" i="18"/>
  <c r="F285" i="6"/>
  <c r="F15" i="6"/>
  <c r="F355" i="6"/>
  <c r="F266" i="6"/>
  <c r="F364" i="6"/>
  <c r="F208" i="6"/>
  <c r="F209" i="6"/>
  <c r="F288" i="6"/>
  <c r="F378" i="6"/>
  <c r="F352" i="6"/>
  <c r="F353" i="6"/>
  <c r="F415" i="6"/>
  <c r="F426" i="6"/>
  <c r="F219" i="6"/>
  <c r="F422" i="6"/>
  <c r="F362" i="6"/>
  <c r="F214" i="6"/>
  <c r="F215" i="6"/>
  <c r="F217" i="6"/>
  <c r="F109" i="6"/>
  <c r="F360" i="6"/>
  <c r="F451" i="6"/>
  <c r="F398" i="6"/>
  <c r="F359" i="6"/>
  <c r="F428" i="6"/>
  <c r="F267" i="6"/>
  <c r="F393" i="6"/>
  <c r="F435" i="6"/>
  <c r="F118" i="6"/>
  <c r="F129" i="6"/>
  <c r="F268" i="6"/>
  <c r="F39" i="6"/>
  <c r="F34" i="6"/>
  <c r="F108" i="6"/>
  <c r="F115" i="6"/>
  <c r="F181" i="6"/>
  <c r="F184" i="6"/>
  <c r="F182" i="6"/>
  <c r="F183" i="6"/>
  <c r="F117" i="6"/>
  <c r="F128" i="6"/>
  <c r="F253" i="6"/>
  <c r="F252" i="6"/>
  <c r="F251" i="6"/>
  <c r="F220" i="6"/>
  <c r="F250" i="6"/>
  <c r="F254" i="6"/>
  <c r="F284" i="6"/>
  <c r="H284" i="6" s="1"/>
  <c r="M284" i="6" s="1"/>
  <c r="F279" i="6"/>
  <c r="F278" i="6"/>
  <c r="F269" i="6"/>
  <c r="F452" i="6"/>
  <c r="F454" i="6"/>
  <c r="F301" i="6" l="1"/>
  <c r="F287" i="6"/>
  <c r="J287" i="6" s="1"/>
  <c r="M106" i="6"/>
  <c r="M445" i="6"/>
  <c r="M399" i="6"/>
  <c r="M274" i="6"/>
  <c r="M94" i="6"/>
  <c r="M75" i="6"/>
  <c r="M56" i="6"/>
  <c r="M396" i="6"/>
  <c r="M357" i="6"/>
  <c r="M200" i="6"/>
  <c r="M68" i="6"/>
  <c r="M58" i="6"/>
  <c r="M411" i="6"/>
  <c r="M400" i="6"/>
  <c r="M62" i="6"/>
  <c r="M100" i="6"/>
  <c r="M437" i="6"/>
  <c r="M397" i="6"/>
  <c r="M206" i="6"/>
  <c r="M202" i="6"/>
  <c r="M74" i="6"/>
  <c r="M55" i="6"/>
  <c r="M99" i="6"/>
  <c r="M403" i="6"/>
  <c r="M271" i="6"/>
  <c r="M92" i="6"/>
  <c r="M54" i="6"/>
  <c r="M349" i="6"/>
  <c r="M248" i="6"/>
  <c r="M91" i="6"/>
  <c r="M67" i="6"/>
  <c r="M76" i="6"/>
  <c r="M10" i="6"/>
  <c r="L288" i="6"/>
  <c r="L452" i="6"/>
  <c r="J117" i="6"/>
  <c r="J34" i="6"/>
  <c r="L215" i="6"/>
  <c r="H355" i="6"/>
  <c r="H285" i="6"/>
  <c r="H269" i="6"/>
  <c r="H183" i="6"/>
  <c r="H39" i="6"/>
  <c r="J428" i="6"/>
  <c r="J214" i="6"/>
  <c r="J352" i="6"/>
  <c r="H372" i="6"/>
  <c r="M203" i="6"/>
  <c r="M103" i="6"/>
  <c r="M199" i="6"/>
  <c r="M281" i="6"/>
  <c r="M366" i="6"/>
  <c r="J278" i="6"/>
  <c r="J250" i="6"/>
  <c r="H253" i="6"/>
  <c r="L182" i="6"/>
  <c r="J108" i="6"/>
  <c r="L268" i="6"/>
  <c r="J393" i="6"/>
  <c r="J359" i="6"/>
  <c r="L109" i="6"/>
  <c r="J362" i="6"/>
  <c r="J415" i="6"/>
  <c r="J378" i="6"/>
  <c r="J208" i="6"/>
  <c r="J364" i="6"/>
  <c r="J15" i="6"/>
  <c r="M410" i="6"/>
  <c r="M192" i="6"/>
  <c r="M80" i="6"/>
  <c r="M27" i="6"/>
  <c r="H212" i="6"/>
  <c r="M441" i="6"/>
  <c r="M49" i="6"/>
  <c r="M81" i="6"/>
  <c r="M24" i="6"/>
  <c r="M105" i="6"/>
  <c r="M448" i="6"/>
  <c r="M409" i="6"/>
  <c r="M347" i="6"/>
  <c r="M191" i="6"/>
  <c r="M84" i="6"/>
  <c r="M73" i="6"/>
  <c r="L354" i="6"/>
  <c r="H126" i="6"/>
  <c r="M446" i="6"/>
  <c r="M204" i="6"/>
  <c r="M193" i="6"/>
  <c r="M86" i="6"/>
  <c r="M48" i="6"/>
  <c r="H210" i="6"/>
  <c r="L251" i="6"/>
  <c r="J181" i="6"/>
  <c r="L118" i="6"/>
  <c r="J451" i="6"/>
  <c r="J219" i="6"/>
  <c r="L353" i="6"/>
  <c r="H19" i="6"/>
  <c r="L429" i="6"/>
  <c r="L423" i="6"/>
  <c r="H254" i="6"/>
  <c r="H252" i="6"/>
  <c r="H115" i="6"/>
  <c r="H435" i="6"/>
  <c r="H360" i="6"/>
  <c r="H426" i="6"/>
  <c r="L209" i="6"/>
  <c r="H17" i="6"/>
  <c r="L416" i="6"/>
  <c r="L35" i="6"/>
  <c r="M93" i="6"/>
  <c r="M179" i="6"/>
  <c r="H454" i="6"/>
  <c r="L279" i="6"/>
  <c r="L220" i="6"/>
  <c r="H301" i="6"/>
  <c r="J128" i="6"/>
  <c r="H184" i="6"/>
  <c r="L129" i="6"/>
  <c r="L267" i="6"/>
  <c r="H398" i="6"/>
  <c r="H217" i="6"/>
  <c r="J422" i="6"/>
  <c r="J266" i="6"/>
  <c r="M384" i="6"/>
  <c r="M370" i="6"/>
  <c r="H245" i="6"/>
  <c r="M102" i="6"/>
  <c r="M97" i="6"/>
  <c r="M438" i="6"/>
  <c r="M348" i="6"/>
  <c r="M198" i="6"/>
  <c r="M90" i="6"/>
  <c r="M85" i="6"/>
  <c r="M70" i="6"/>
  <c r="M66" i="6"/>
  <c r="M51" i="6"/>
  <c r="M104" i="6"/>
  <c r="M346" i="6"/>
  <c r="M87" i="6"/>
  <c r="H176" i="6"/>
  <c r="M98" i="6"/>
  <c r="M365" i="6"/>
  <c r="M52" i="6"/>
  <c r="M216" i="6"/>
  <c r="M96" i="6"/>
  <c r="M413" i="6"/>
  <c r="M367" i="6"/>
  <c r="M273" i="6"/>
  <c r="M197" i="6"/>
  <c r="M88" i="6"/>
  <c r="M69" i="6"/>
  <c r="M64" i="6"/>
  <c r="M50" i="6"/>
  <c r="M26" i="6"/>
  <c r="M447" i="6"/>
  <c r="M205" i="6"/>
  <c r="M82" i="6"/>
  <c r="M25" i="6"/>
  <c r="M12" i="6"/>
  <c r="L394" i="6"/>
  <c r="M57" i="6"/>
  <c r="F420" i="6"/>
  <c r="F189" i="6"/>
  <c r="F188" i="6"/>
  <c r="F326" i="6"/>
  <c r="F187" i="6"/>
  <c r="F391" i="6"/>
  <c r="F381" i="6"/>
  <c r="F380" i="6"/>
  <c r="M266" i="6" l="1"/>
  <c r="M454" i="6"/>
  <c r="M17" i="6"/>
  <c r="M360" i="6"/>
  <c r="M254" i="6"/>
  <c r="M19" i="6"/>
  <c r="M219" i="6"/>
  <c r="M251" i="6"/>
  <c r="M210" i="6"/>
  <c r="M126" i="6"/>
  <c r="M212" i="6"/>
  <c r="M364" i="6"/>
  <c r="M362" i="6"/>
  <c r="M109" i="6"/>
  <c r="M250" i="6"/>
  <c r="M278" i="6"/>
  <c r="M352" i="6"/>
  <c r="M214" i="6"/>
  <c r="M355" i="6"/>
  <c r="M279" i="6"/>
  <c r="M252" i="6"/>
  <c r="M181" i="6"/>
  <c r="M285" i="6"/>
  <c r="M117" i="6"/>
  <c r="M288" i="6"/>
  <c r="M394" i="6"/>
  <c r="M353" i="6"/>
  <c r="L381" i="6"/>
  <c r="H391" i="6"/>
  <c r="H189" i="6"/>
  <c r="M176" i="6"/>
  <c r="M398" i="6"/>
  <c r="M267" i="6"/>
  <c r="M184" i="6"/>
  <c r="M128" i="6"/>
  <c r="M416" i="6"/>
  <c r="M426" i="6"/>
  <c r="M429" i="6"/>
  <c r="M415" i="6"/>
  <c r="M393" i="6"/>
  <c r="M268" i="6"/>
  <c r="M253" i="6"/>
  <c r="M372" i="6"/>
  <c r="M39" i="6"/>
  <c r="M183" i="6"/>
  <c r="H390" i="6"/>
  <c r="H389" i="6"/>
  <c r="H188" i="6"/>
  <c r="M188" i="6" s="1"/>
  <c r="H387" i="6"/>
  <c r="J187" i="6"/>
  <c r="H420" i="6"/>
  <c r="L327" i="6"/>
  <c r="M217" i="6"/>
  <c r="M35" i="6"/>
  <c r="M423" i="6"/>
  <c r="M118" i="6"/>
  <c r="M354" i="6"/>
  <c r="M15" i="6"/>
  <c r="M378" i="6"/>
  <c r="M359" i="6"/>
  <c r="M182" i="6"/>
  <c r="H388" i="6"/>
  <c r="M388" i="6" s="1"/>
  <c r="M34" i="6"/>
  <c r="M452" i="6"/>
  <c r="J380" i="6"/>
  <c r="H385" i="6"/>
  <c r="J326" i="6"/>
  <c r="M245" i="6"/>
  <c r="M422" i="6"/>
  <c r="M129" i="6"/>
  <c r="M301" i="6"/>
  <c r="M220" i="6"/>
  <c r="M209" i="6"/>
  <c r="M435" i="6"/>
  <c r="M115" i="6"/>
  <c r="M451" i="6"/>
  <c r="M208" i="6"/>
  <c r="M108" i="6"/>
  <c r="M428" i="6"/>
  <c r="M287" i="6"/>
  <c r="M269" i="6"/>
  <c r="M215" i="6"/>
  <c r="L256" i="6"/>
  <c r="H493" i="6" l="1"/>
  <c r="M494" i="6" s="1"/>
  <c r="M326" i="6"/>
  <c r="M387" i="6"/>
  <c r="M381" i="6"/>
  <c r="M189" i="6"/>
  <c r="M327" i="6"/>
  <c r="M385" i="6"/>
  <c r="M390" i="6"/>
  <c r="M391" i="6"/>
  <c r="H256" i="6"/>
  <c r="M380" i="6"/>
  <c r="M420" i="6"/>
  <c r="M187" i="6"/>
  <c r="M256" i="6" s="1"/>
  <c r="M389" i="6"/>
  <c r="J256" i="6"/>
  <c r="L493" i="6"/>
  <c r="J493" i="6"/>
  <c r="N493" i="6" l="1"/>
  <c r="M493" i="6"/>
  <c r="M495" i="6" s="1"/>
  <c r="M496" i="6" s="1"/>
  <c r="M497" i="6" s="1"/>
  <c r="M257" i="6"/>
  <c r="M258" i="6" s="1"/>
  <c r="N256" i="6"/>
  <c r="F345" i="18"/>
  <c r="F344" i="18"/>
  <c r="F302" i="18"/>
  <c r="F300" i="18"/>
  <c r="F299" i="18"/>
  <c r="M259" i="6" l="1"/>
  <c r="M260" i="6" s="1"/>
  <c r="M498" i="6"/>
  <c r="M499" i="6" s="1"/>
  <c r="J299" i="18"/>
  <c r="H302" i="18"/>
  <c r="H345" i="18"/>
  <c r="L300" i="18"/>
  <c r="J344" i="18"/>
  <c r="F336" i="18"/>
  <c r="F341" i="18"/>
  <c r="F340" i="18"/>
  <c r="F303" i="18"/>
  <c r="F305" i="18" s="1"/>
  <c r="F342" i="18"/>
  <c r="F339" i="18"/>
  <c r="F337" i="18"/>
  <c r="F335" i="18"/>
  <c r="A334" i="18"/>
  <c r="A338" i="18" s="1"/>
  <c r="F323" i="18"/>
  <c r="F322" i="18"/>
  <c r="F321" i="18"/>
  <c r="F320" i="18"/>
  <c r="F319" i="18"/>
  <c r="F297" i="18"/>
  <c r="F295" i="18"/>
  <c r="F294" i="18"/>
  <c r="M261" i="6" l="1"/>
  <c r="M262" i="6" s="1"/>
  <c r="M501" i="6" s="1"/>
  <c r="D9" i="8" s="1"/>
  <c r="M300" i="18"/>
  <c r="M302" i="18"/>
  <c r="J319" i="18"/>
  <c r="J294" i="18"/>
  <c r="H297" i="18"/>
  <c r="L320" i="18"/>
  <c r="H322" i="18"/>
  <c r="L305" i="18"/>
  <c r="J335" i="18"/>
  <c r="J339" i="18"/>
  <c r="H341" i="18"/>
  <c r="M344" i="18"/>
  <c r="M345" i="18"/>
  <c r="M299" i="18"/>
  <c r="L295" i="18"/>
  <c r="H321" i="18"/>
  <c r="F325" i="18"/>
  <c r="H337" i="18"/>
  <c r="H342" i="18"/>
  <c r="L340" i="18"/>
  <c r="H336" i="18"/>
  <c r="F304" i="18"/>
  <c r="F308" i="18"/>
  <c r="F324" i="18"/>
  <c r="F333" i="18"/>
  <c r="H333" i="18" s="1"/>
  <c r="M333" i="18" s="1"/>
  <c r="M337" i="18" l="1"/>
  <c r="M341" i="18"/>
  <c r="M305" i="18"/>
  <c r="M340" i="18"/>
  <c r="M295" i="18"/>
  <c r="M339" i="18"/>
  <c r="M320" i="18"/>
  <c r="M294" i="18"/>
  <c r="J324" i="18"/>
  <c r="M324" i="18" s="1"/>
  <c r="H308" i="18"/>
  <c r="M336" i="18"/>
  <c r="M342" i="18"/>
  <c r="M321" i="18"/>
  <c r="M335" i="18"/>
  <c r="M322" i="18"/>
  <c r="M297" i="18"/>
  <c r="M319" i="18"/>
  <c r="J304" i="18"/>
  <c r="L325" i="18"/>
  <c r="F402" i="18"/>
  <c r="E401" i="18"/>
  <c r="F401" i="18" s="1"/>
  <c r="E398" i="18"/>
  <c r="F398" i="18" s="1"/>
  <c r="E397" i="18"/>
  <c r="F397" i="18" s="1"/>
  <c r="F389" i="18"/>
  <c r="F390" i="18"/>
  <c r="F388" i="18"/>
  <c r="F387" i="18"/>
  <c r="F386" i="18"/>
  <c r="F384" i="18"/>
  <c r="F382" i="18"/>
  <c r="F381" i="18"/>
  <c r="M304" i="18" l="1"/>
  <c r="M308" i="18"/>
  <c r="L382" i="18"/>
  <c r="H384" i="18"/>
  <c r="J386" i="18"/>
  <c r="H388" i="18"/>
  <c r="H389" i="18"/>
  <c r="L398" i="18"/>
  <c r="H402" i="18"/>
  <c r="J381" i="18"/>
  <c r="H383" i="18"/>
  <c r="F394" i="18"/>
  <c r="L387" i="18"/>
  <c r="H390" i="18"/>
  <c r="J397" i="18"/>
  <c r="H401" i="18"/>
  <c r="M325" i="18"/>
  <c r="F392" i="18"/>
  <c r="F395" i="18"/>
  <c r="F393" i="18"/>
  <c r="M387" i="18" l="1"/>
  <c r="M398" i="18"/>
  <c r="M397" i="18"/>
  <c r="M381" i="18"/>
  <c r="M388" i="18"/>
  <c r="M384" i="18"/>
  <c r="L393" i="18"/>
  <c r="L404" i="18" s="1"/>
  <c r="H395" i="18"/>
  <c r="M401" i="18"/>
  <c r="M390" i="18"/>
  <c r="M383" i="18"/>
  <c r="M402" i="18"/>
  <c r="M389" i="18"/>
  <c r="M386" i="18"/>
  <c r="M382" i="18"/>
  <c r="J392" i="18"/>
  <c r="J404" i="18" s="1"/>
  <c r="H394" i="18"/>
  <c r="F112" i="18"/>
  <c r="F118" i="18" s="1"/>
  <c r="H404" i="18" l="1"/>
  <c r="M405" i="18" s="1"/>
  <c r="M392" i="18"/>
  <c r="M393" i="18"/>
  <c r="L118" i="18"/>
  <c r="L126" i="18" s="1"/>
  <c r="M394" i="18"/>
  <c r="M395" i="18"/>
  <c r="F117" i="18"/>
  <c r="F119" i="18"/>
  <c r="N404" i="18" l="1"/>
  <c r="M404" i="18"/>
  <c r="M406" i="18" s="1"/>
  <c r="H119" i="18"/>
  <c r="H126" i="18" s="1"/>
  <c r="M118" i="18"/>
  <c r="J117" i="18"/>
  <c r="M407" i="18" l="1"/>
  <c r="M408" i="18" s="1"/>
  <c r="J126" i="18"/>
  <c r="M119" i="18"/>
  <c r="M117" i="18"/>
  <c r="M409" i="18" l="1"/>
  <c r="M410" i="18" s="1"/>
  <c r="M126" i="18"/>
  <c r="F31" i="18"/>
  <c r="F33" i="18" s="1"/>
  <c r="F98" i="18"/>
  <c r="F63" i="18"/>
  <c r="F62" i="18"/>
  <c r="F61" i="18"/>
  <c r="F60" i="18"/>
  <c r="F59" i="18"/>
  <c r="F57" i="18"/>
  <c r="F56" i="18"/>
  <c r="F55" i="18"/>
  <c r="F54" i="18"/>
  <c r="F52" i="18"/>
  <c r="F51" i="18"/>
  <c r="F50" i="18"/>
  <c r="F49" i="18"/>
  <c r="F47" i="18"/>
  <c r="F46" i="18"/>
  <c r="F45" i="18"/>
  <c r="F44" i="18"/>
  <c r="F42" i="18"/>
  <c r="F41" i="18"/>
  <c r="F40" i="18"/>
  <c r="F39" i="18"/>
  <c r="E30" i="18"/>
  <c r="H29" i="18"/>
  <c r="M29" i="18" s="1"/>
  <c r="H28" i="18"/>
  <c r="M28" i="18" s="1"/>
  <c r="E11" i="18"/>
  <c r="E10" i="18"/>
  <c r="J39" i="18" l="1"/>
  <c r="H41" i="18"/>
  <c r="J44" i="18"/>
  <c r="H46" i="18"/>
  <c r="J49" i="18"/>
  <c r="H51" i="18"/>
  <c r="J54" i="18"/>
  <c r="H56" i="18"/>
  <c r="J59" i="18"/>
  <c r="H61" i="18"/>
  <c r="F65" i="18"/>
  <c r="L40" i="18"/>
  <c r="H42" i="18"/>
  <c r="L45" i="18"/>
  <c r="H47" i="18"/>
  <c r="L50" i="18"/>
  <c r="H52" i="18"/>
  <c r="L55" i="18"/>
  <c r="H57" i="18"/>
  <c r="L60" i="18"/>
  <c r="H62" i="18"/>
  <c r="L33" i="18"/>
  <c r="F101" i="18"/>
  <c r="F100" i="18"/>
  <c r="F102" i="18"/>
  <c r="F99" i="18"/>
  <c r="F10" i="18"/>
  <c r="F11" i="18"/>
  <c r="F30" i="18"/>
  <c r="F72" i="18"/>
  <c r="F64" i="18"/>
  <c r="F37" i="18"/>
  <c r="F32" i="18"/>
  <c r="L278" i="18" l="1"/>
  <c r="H278" i="18"/>
  <c r="J278" i="18"/>
  <c r="M281" i="18" s="1"/>
  <c r="M33" i="18"/>
  <c r="M55" i="18"/>
  <c r="M45" i="18"/>
  <c r="M59" i="18"/>
  <c r="M49" i="18"/>
  <c r="M39" i="18"/>
  <c r="J64" i="18"/>
  <c r="L11" i="18"/>
  <c r="J99" i="18"/>
  <c r="L100" i="18"/>
  <c r="L65" i="18"/>
  <c r="M60" i="18"/>
  <c r="M50" i="18"/>
  <c r="M40" i="18"/>
  <c r="M54" i="18"/>
  <c r="M44" i="18"/>
  <c r="J32" i="18"/>
  <c r="H37" i="18"/>
  <c r="H72" i="18"/>
  <c r="H30" i="18"/>
  <c r="J10" i="18"/>
  <c r="H102" i="18"/>
  <c r="H101" i="18"/>
  <c r="M62" i="18"/>
  <c r="M57" i="18"/>
  <c r="M52" i="18"/>
  <c r="M47" i="18"/>
  <c r="M42" i="18"/>
  <c r="M61" i="18"/>
  <c r="M56" i="18"/>
  <c r="M51" i="18"/>
  <c r="M46" i="18"/>
  <c r="M41" i="18"/>
  <c r="M279" i="18" l="1"/>
  <c r="M280" i="18" s="1"/>
  <c r="M282" i="18" s="1"/>
  <c r="M283" i="18" s="1"/>
  <c r="N278" i="18"/>
  <c r="J104" i="18"/>
  <c r="L104" i="18"/>
  <c r="M30" i="18"/>
  <c r="M99" i="18"/>
  <c r="M10" i="18"/>
  <c r="M37" i="18"/>
  <c r="M65" i="18"/>
  <c r="M100" i="18"/>
  <c r="M64" i="18"/>
  <c r="M101" i="18"/>
  <c r="M102" i="18"/>
  <c r="M72" i="18"/>
  <c r="M32" i="18"/>
  <c r="M11" i="18"/>
  <c r="H73" i="18"/>
  <c r="M73" i="18" s="1"/>
  <c r="M104" i="18" l="1"/>
  <c r="M129" i="18"/>
  <c r="H104" i="18"/>
  <c r="M105" i="18" l="1"/>
  <c r="N104" i="18"/>
  <c r="M106" i="18"/>
  <c r="M127" i="18"/>
  <c r="M128" i="18" s="1"/>
  <c r="M130" i="18" s="1"/>
  <c r="M107" i="18" l="1"/>
  <c r="M108" i="18" s="1"/>
  <c r="M131" i="18"/>
  <c r="M132" i="18" s="1"/>
  <c r="M109" i="18" l="1"/>
  <c r="M110" i="18" s="1"/>
  <c r="H231" i="17"/>
  <c r="H233" i="17"/>
  <c r="H232" i="17"/>
  <c r="F197" i="17"/>
  <c r="F195" i="17"/>
  <c r="F194" i="17"/>
  <c r="F22" i="17"/>
  <c r="F12" i="17"/>
  <c r="F20" i="17"/>
  <c r="J194" i="17" l="1"/>
  <c r="F228" i="17"/>
  <c r="F229" i="17" s="1"/>
  <c r="J229" i="17" s="1"/>
  <c r="M232" i="17"/>
  <c r="H197" i="17"/>
  <c r="M231" i="17"/>
  <c r="M233" i="17"/>
  <c r="L195" i="17"/>
  <c r="F16" i="17"/>
  <c r="J16" i="17" s="1"/>
  <c r="F13" i="17"/>
  <c r="F17" i="17"/>
  <c r="H17" i="17" s="1"/>
  <c r="H20" i="17"/>
  <c r="J19" i="17"/>
  <c r="J22" i="17"/>
  <c r="L12" i="17"/>
  <c r="F11" i="17"/>
  <c r="H45" i="17" l="1"/>
  <c r="M46" i="17" s="1"/>
  <c r="F230" i="17"/>
  <c r="L230" i="17" s="1"/>
  <c r="M194" i="17"/>
  <c r="M197" i="17"/>
  <c r="F234" i="17"/>
  <c r="H234" i="17" s="1"/>
  <c r="M195" i="17"/>
  <c r="M20" i="17"/>
  <c r="M19" i="17"/>
  <c r="F24" i="17"/>
  <c r="J11" i="17"/>
  <c r="F14" i="17"/>
  <c r="M12" i="17"/>
  <c r="M22" i="17"/>
  <c r="F26" i="17" l="1"/>
  <c r="F25" i="17"/>
  <c r="J25" i="17" s="1"/>
  <c r="M25" i="17" s="1"/>
  <c r="M229" i="17"/>
  <c r="M17" i="17"/>
  <c r="M16" i="17"/>
  <c r="M230" i="17"/>
  <c r="M11" i="17"/>
  <c r="J14" i="17"/>
  <c r="M234" i="17" l="1"/>
  <c r="L26" i="17"/>
  <c r="L45" i="17" s="1"/>
  <c r="M14" i="17"/>
  <c r="J45" i="17" l="1"/>
  <c r="M26" i="17"/>
  <c r="M45" i="17" s="1"/>
  <c r="M47" i="17" s="1"/>
  <c r="M48" i="17" l="1"/>
  <c r="M49" i="17" s="1"/>
  <c r="N45" i="17"/>
  <c r="M50" i="17" l="1"/>
  <c r="M51" i="17" s="1"/>
  <c r="F170" i="17"/>
  <c r="H166" i="17"/>
  <c r="H165" i="17"/>
  <c r="H163" i="17"/>
  <c r="H162" i="17"/>
  <c r="H164" i="17"/>
  <c r="H161" i="17"/>
  <c r="H160" i="17"/>
  <c r="E159" i="17"/>
  <c r="E158" i="17"/>
  <c r="E157" i="17"/>
  <c r="F155" i="17"/>
  <c r="H155" i="17" s="1"/>
  <c r="H154" i="17"/>
  <c r="F153" i="17"/>
  <c r="F152" i="17"/>
  <c r="J152" i="17" s="1"/>
  <c r="E150" i="17"/>
  <c r="H146" i="17"/>
  <c r="H145" i="17"/>
  <c r="F149" i="17"/>
  <c r="E142" i="17"/>
  <c r="H138" i="17"/>
  <c r="H56" i="17"/>
  <c r="H149" i="17" l="1"/>
  <c r="M166" i="17"/>
  <c r="M56" i="17"/>
  <c r="M138" i="17"/>
  <c r="M163" i="17"/>
  <c r="F150" i="17"/>
  <c r="M146" i="17"/>
  <c r="M160" i="17"/>
  <c r="F159" i="17"/>
  <c r="L159" i="17" s="1"/>
  <c r="M145" i="17"/>
  <c r="F144" i="17"/>
  <c r="J144" i="17" s="1"/>
  <c r="M162" i="17"/>
  <c r="M164" i="17"/>
  <c r="F157" i="17"/>
  <c r="M161" i="17"/>
  <c r="M165" i="17"/>
  <c r="F108" i="17"/>
  <c r="J108" i="17" s="1"/>
  <c r="F54" i="17"/>
  <c r="H170" i="17"/>
  <c r="H109" i="17"/>
  <c r="L153" i="17"/>
  <c r="F158" i="17"/>
  <c r="M149" i="17" l="1"/>
  <c r="H150" i="17"/>
  <c r="J157" i="17"/>
  <c r="M153" i="17"/>
  <c r="M155" i="17"/>
  <c r="M152" i="17"/>
  <c r="M170" i="17"/>
  <c r="M154" i="17"/>
  <c r="J54" i="17"/>
  <c r="L158" i="17"/>
  <c r="M109" i="17"/>
  <c r="M150" i="17" l="1"/>
  <c r="M108" i="17"/>
  <c r="M54" i="17"/>
  <c r="M159" i="17"/>
  <c r="M157" i="17"/>
  <c r="M144" i="17"/>
  <c r="M158" i="17"/>
  <c r="E654" i="16" l="1"/>
  <c r="E126" i="16" l="1"/>
  <c r="H231" i="16"/>
  <c r="H230" i="16"/>
  <c r="F229" i="16"/>
  <c r="H229" i="16" s="1"/>
  <c r="E228" i="16"/>
  <c r="F228" i="16" s="1"/>
  <c r="E227" i="16"/>
  <c r="F227" i="16" s="1"/>
  <c r="H227" i="16" s="1"/>
  <c r="E226" i="16"/>
  <c r="F226" i="16" s="1"/>
  <c r="E225" i="16"/>
  <c r="F225" i="16" s="1"/>
  <c r="F224" i="16"/>
  <c r="F217" i="16"/>
  <c r="H108" i="16"/>
  <c r="H109" i="16"/>
  <c r="H128" i="16"/>
  <c r="H129" i="16"/>
  <c r="H149" i="16"/>
  <c r="H150" i="16"/>
  <c r="F140" i="16"/>
  <c r="H140" i="16" s="1"/>
  <c r="F139" i="16"/>
  <c r="F138" i="16"/>
  <c r="F137" i="16"/>
  <c r="F142" i="16"/>
  <c r="J142" i="16" s="1"/>
  <c r="F143" i="16"/>
  <c r="L143" i="16" s="1"/>
  <c r="F144" i="16"/>
  <c r="E145" i="16"/>
  <c r="F145" i="16" s="1"/>
  <c r="E146" i="16"/>
  <c r="F146" i="16" s="1"/>
  <c r="H146" i="16" s="1"/>
  <c r="F147" i="16"/>
  <c r="H147" i="16" s="1"/>
  <c r="E148" i="16"/>
  <c r="F148" i="16" s="1"/>
  <c r="F659" i="16" l="1"/>
  <c r="F662" i="16"/>
  <c r="F658" i="16"/>
  <c r="F661" i="16"/>
  <c r="F657" i="16"/>
  <c r="F660" i="16"/>
  <c r="F655" i="16"/>
  <c r="F652" i="16"/>
  <c r="F654" i="16"/>
  <c r="F653" i="16"/>
  <c r="F647" i="16"/>
  <c r="H527" i="16"/>
  <c r="H226" i="16"/>
  <c r="M231" i="16"/>
  <c r="M230" i="16"/>
  <c r="H145" i="16"/>
  <c r="H148" i="16"/>
  <c r="H144" i="16"/>
  <c r="J224" i="16"/>
  <c r="H139" i="16"/>
  <c r="L138" i="16"/>
  <c r="J137" i="16"/>
  <c r="H228" i="16"/>
  <c r="L225" i="16"/>
  <c r="H217" i="16"/>
  <c r="F213" i="16"/>
  <c r="F214" i="16"/>
  <c r="F215" i="16"/>
  <c r="F212" i="16"/>
  <c r="F216" i="16"/>
  <c r="M129" i="16"/>
  <c r="M149" i="16"/>
  <c r="M108" i="16"/>
  <c r="M150" i="16"/>
  <c r="M128" i="16"/>
  <c r="M109" i="16"/>
  <c r="H26" i="21"/>
  <c r="M26" i="21" s="1"/>
  <c r="F79" i="16" l="1"/>
  <c r="H79" i="16" s="1"/>
  <c r="M79" i="16" s="1"/>
  <c r="F78" i="16"/>
  <c r="L78" i="16" s="1"/>
  <c r="M78" i="16" s="1"/>
  <c r="F77" i="16"/>
  <c r="J77" i="16" s="1"/>
  <c r="M77" i="16" s="1"/>
  <c r="F80" i="16"/>
  <c r="H80" i="16" s="1"/>
  <c r="M80" i="16" s="1"/>
  <c r="H654" i="16"/>
  <c r="H661" i="16"/>
  <c r="J652" i="16"/>
  <c r="H660" i="16"/>
  <c r="J647" i="16"/>
  <c r="L653" i="16"/>
  <c r="H655" i="16"/>
  <c r="L658" i="16"/>
  <c r="J657" i="16"/>
  <c r="H662" i="16"/>
  <c r="H659" i="16"/>
  <c r="M527" i="16"/>
  <c r="M224" i="16"/>
  <c r="M139" i="16"/>
  <c r="M144" i="16"/>
  <c r="M138" i="16"/>
  <c r="M143" i="16"/>
  <c r="M137" i="16"/>
  <c r="M148" i="16"/>
  <c r="M228" i="16"/>
  <c r="M140" i="16"/>
  <c r="M145" i="16"/>
  <c r="M226" i="16"/>
  <c r="M147" i="16"/>
  <c r="M142" i="16"/>
  <c r="M146" i="16"/>
  <c r="M229" i="16"/>
  <c r="M227" i="16"/>
  <c r="M225" i="16"/>
  <c r="M217" i="16"/>
  <c r="H214" i="16"/>
  <c r="H216" i="16"/>
  <c r="J212" i="16"/>
  <c r="L213" i="16"/>
  <c r="H215" i="16"/>
  <c r="M657" i="16" l="1"/>
  <c r="M660" i="16"/>
  <c r="M662" i="16"/>
  <c r="M658" i="16"/>
  <c r="M655" i="16"/>
  <c r="M653" i="16"/>
  <c r="M652" i="16"/>
  <c r="M647" i="16"/>
  <c r="M654" i="16"/>
  <c r="M659" i="16"/>
  <c r="M661" i="16"/>
  <c r="M216" i="16"/>
  <c r="M214" i="16"/>
  <c r="M215" i="16"/>
  <c r="M212" i="16"/>
  <c r="M213" i="16"/>
  <c r="J649" i="16" l="1"/>
  <c r="F519" i="16"/>
  <c r="J519" i="16" s="1"/>
  <c r="F22" i="21" l="1"/>
  <c r="F20" i="21"/>
  <c r="L20" i="21" s="1"/>
  <c r="M20" i="21" s="1"/>
  <c r="F21" i="21"/>
  <c r="F19" i="21"/>
  <c r="J19" i="21" s="1"/>
  <c r="M19" i="21" s="1"/>
  <c r="F17" i="21"/>
  <c r="F16" i="21"/>
  <c r="F15" i="21"/>
  <c r="F14" i="21"/>
  <c r="F11" i="21"/>
  <c r="F10" i="21"/>
  <c r="F9" i="21"/>
  <c r="J9" i="21" s="1"/>
  <c r="F12" i="21"/>
  <c r="M649" i="16"/>
  <c r="F525" i="16"/>
  <c r="F522" i="16"/>
  <c r="F521" i="16"/>
  <c r="F520" i="16"/>
  <c r="M9" i="21" l="1"/>
  <c r="M519" i="16"/>
  <c r="H21" i="21"/>
  <c r="M21" i="21" s="1"/>
  <c r="H22" i="21"/>
  <c r="M22" i="21" s="1"/>
  <c r="L15" i="21"/>
  <c r="M15" i="21" s="1"/>
  <c r="H16" i="21"/>
  <c r="M16" i="21" s="1"/>
  <c r="J14" i="21"/>
  <c r="M14" i="21" s="1"/>
  <c r="H17" i="21"/>
  <c r="M17" i="21" s="1"/>
  <c r="L10" i="21"/>
  <c r="H12" i="21"/>
  <c r="M12" i="21" s="1"/>
  <c r="H11" i="21"/>
  <c r="L521" i="16"/>
  <c r="L522" i="16"/>
  <c r="L520" i="16"/>
  <c r="H525" i="16"/>
  <c r="M11" i="21" l="1"/>
  <c r="M10" i="21"/>
  <c r="M522" i="16"/>
  <c r="M525" i="16"/>
  <c r="M520" i="16"/>
  <c r="M521" i="16"/>
  <c r="N35" i="21" l="1"/>
  <c r="F724" i="16" l="1"/>
  <c r="F731" i="16" s="1"/>
  <c r="F734" i="16" l="1"/>
  <c r="H734" i="16" s="1"/>
  <c r="M734" i="16" s="1"/>
  <c r="F732" i="16"/>
  <c r="J732" i="16" s="1"/>
  <c r="M732" i="16" s="1"/>
  <c r="F733" i="16"/>
  <c r="L733" i="16" s="1"/>
  <c r="M733" i="16" s="1"/>
  <c r="F736" i="16"/>
  <c r="H736" i="16" s="1"/>
  <c r="M736" i="16" s="1"/>
  <c r="F735" i="16"/>
  <c r="H735" i="16" s="1"/>
  <c r="M735" i="16" s="1"/>
  <c r="M711" i="16" l="1"/>
  <c r="F1572" i="16" l="1"/>
  <c r="L1572" i="16" s="1"/>
  <c r="F1570" i="16"/>
  <c r="F1569" i="16"/>
  <c r="J1569" i="16" s="1"/>
  <c r="E896" i="16"/>
  <c r="D895" i="16"/>
  <c r="E894" i="16"/>
  <c r="F887" i="16"/>
  <c r="D862" i="16"/>
  <c r="E764" i="16"/>
  <c r="E763" i="16"/>
  <c r="E762" i="16"/>
  <c r="E750" i="16"/>
  <c r="E741" i="16"/>
  <c r="E739" i="16"/>
  <c r="E738" i="16"/>
  <c r="E730" i="16"/>
  <c r="E729" i="16"/>
  <c r="E727" i="16"/>
  <c r="E726" i="16"/>
  <c r="E588" i="16"/>
  <c r="F588" i="16" s="1"/>
  <c r="F587" i="16"/>
  <c r="E586" i="16"/>
  <c r="F586" i="16" s="1"/>
  <c r="F585" i="16"/>
  <c r="J585" i="16" s="1"/>
  <c r="F578" i="16"/>
  <c r="H578" i="16" s="1"/>
  <c r="F577" i="16"/>
  <c r="H577" i="16" s="1"/>
  <c r="H576" i="16"/>
  <c r="F575" i="16"/>
  <c r="F574" i="16"/>
  <c r="J574" i="16" s="1"/>
  <c r="F571" i="16"/>
  <c r="F564" i="16"/>
  <c r="F563" i="16"/>
  <c r="H563" i="16" s="1"/>
  <c r="F562" i="16"/>
  <c r="F561" i="16"/>
  <c r="J561" i="16" s="1"/>
  <c r="F558" i="16"/>
  <c r="F546" i="16"/>
  <c r="H546" i="16" s="1"/>
  <c r="F191" i="16"/>
  <c r="H191" i="16" s="1"/>
  <c r="F190" i="16"/>
  <c r="E189" i="16"/>
  <c r="F189" i="16" s="1"/>
  <c r="F188" i="16"/>
  <c r="H188" i="16" s="1"/>
  <c r="F187" i="16"/>
  <c r="F186" i="16"/>
  <c r="J185" i="16"/>
  <c r="F170" i="16"/>
  <c r="F169" i="16"/>
  <c r="H169" i="16" s="1"/>
  <c r="E168" i="16"/>
  <c r="F168" i="16" s="1"/>
  <c r="H168" i="16" s="1"/>
  <c r="F167" i="16"/>
  <c r="H167" i="16" s="1"/>
  <c r="H172" i="16"/>
  <c r="F166" i="16"/>
  <c r="F165" i="16"/>
  <c r="F164" i="16"/>
  <c r="J164" i="16" s="1"/>
  <c r="F127" i="16"/>
  <c r="F126" i="16"/>
  <c r="F125" i="16"/>
  <c r="F124" i="16"/>
  <c r="F123" i="16"/>
  <c r="F122" i="16"/>
  <c r="E107" i="16"/>
  <c r="F107" i="16" s="1"/>
  <c r="E106" i="16"/>
  <c r="F106" i="16" s="1"/>
  <c r="E105" i="16"/>
  <c r="F105" i="16" s="1"/>
  <c r="E104" i="16"/>
  <c r="F104" i="16" s="1"/>
  <c r="E103" i="16"/>
  <c r="F103" i="16" s="1"/>
  <c r="E102" i="16"/>
  <c r="F102" i="16" s="1"/>
  <c r="E65" i="16"/>
  <c r="F57" i="16"/>
  <c r="F56" i="16"/>
  <c r="F55" i="16"/>
  <c r="F53" i="16"/>
  <c r="F52" i="16"/>
  <c r="F51" i="16"/>
  <c r="F54" i="16"/>
  <c r="H127" i="16" l="1"/>
  <c r="J102" i="16"/>
  <c r="H124" i="16"/>
  <c r="L103" i="16"/>
  <c r="H107" i="16"/>
  <c r="H125" i="16"/>
  <c r="H104" i="16"/>
  <c r="J122" i="16"/>
  <c r="H126" i="16"/>
  <c r="L123" i="16"/>
  <c r="H105" i="16"/>
  <c r="H106" i="16"/>
  <c r="F549" i="16"/>
  <c r="H549" i="16" s="1"/>
  <c r="F553" i="16"/>
  <c r="L53" i="16"/>
  <c r="F544" i="16"/>
  <c r="F891" i="16"/>
  <c r="L575" i="16"/>
  <c r="H587" i="16"/>
  <c r="L56" i="16"/>
  <c r="L186" i="16"/>
  <c r="H193" i="16"/>
  <c r="H170" i="16"/>
  <c r="L562" i="16"/>
  <c r="H192" i="16"/>
  <c r="F545" i="16"/>
  <c r="F556" i="16"/>
  <c r="H564" i="16"/>
  <c r="M576" i="16"/>
  <c r="F548" i="16"/>
  <c r="H166" i="16"/>
  <c r="L165" i="16"/>
  <c r="L52" i="16"/>
  <c r="L57" i="16"/>
  <c r="F771" i="16"/>
  <c r="H771" i="16" s="1"/>
  <c r="F927" i="16"/>
  <c r="F944" i="16"/>
  <c r="F946" i="16"/>
  <c r="H946" i="16" s="1"/>
  <c r="F945" i="16"/>
  <c r="L54" i="16"/>
  <c r="H189" i="16"/>
  <c r="J51" i="16"/>
  <c r="L55" i="16"/>
  <c r="M172" i="16"/>
  <c r="L586" i="16"/>
  <c r="H588" i="16"/>
  <c r="H171" i="16"/>
  <c r="H187" i="16"/>
  <c r="H190" i="16"/>
  <c r="H558" i="16"/>
  <c r="H571" i="16"/>
  <c r="F543" i="16"/>
  <c r="F547" i="16"/>
  <c r="F552" i="16"/>
  <c r="F555" i="16"/>
  <c r="F559" i="16"/>
  <c r="F568" i="16"/>
  <c r="F572" i="16"/>
  <c r="F569" i="16"/>
  <c r="F790" i="16"/>
  <c r="H887" i="16"/>
  <c r="E554" i="16"/>
  <c r="F554" i="16" s="1"/>
  <c r="F557" i="16"/>
  <c r="F566" i="16"/>
  <c r="F570" i="16"/>
  <c r="F551" i="16"/>
  <c r="F567" i="16"/>
  <c r="F889" i="16"/>
  <c r="F885" i="16"/>
  <c r="F888" i="16"/>
  <c r="F890" i="16"/>
  <c r="F886" i="16"/>
  <c r="F942" i="16"/>
  <c r="F943" i="16"/>
  <c r="F1571" i="16"/>
  <c r="F706" i="16" l="1"/>
  <c r="H720" i="16"/>
  <c r="M720" i="16" s="1"/>
  <c r="F717" i="16"/>
  <c r="F902" i="16"/>
  <c r="H902" i="16" s="1"/>
  <c r="M902" i="16" s="1"/>
  <c r="F901" i="16"/>
  <c r="H901" i="16" s="1"/>
  <c r="M901" i="16" s="1"/>
  <c r="F900" i="16"/>
  <c r="H900" i="16" s="1"/>
  <c r="M900" i="16" s="1"/>
  <c r="F898" i="16"/>
  <c r="J898" i="16" s="1"/>
  <c r="M898" i="16" s="1"/>
  <c r="F899" i="16"/>
  <c r="L899" i="16" s="1"/>
  <c r="M899" i="16" s="1"/>
  <c r="F876" i="16"/>
  <c r="H876" i="16" s="1"/>
  <c r="M876" i="16" s="1"/>
  <c r="F873" i="16"/>
  <c r="J873" i="16" s="1"/>
  <c r="M873" i="16" s="1"/>
  <c r="F875" i="16"/>
  <c r="H875" i="16" s="1"/>
  <c r="M875" i="16" s="1"/>
  <c r="F874" i="16"/>
  <c r="L874" i="16" s="1"/>
  <c r="M874" i="16" s="1"/>
  <c r="F894" i="16"/>
  <c r="L894" i="16" s="1"/>
  <c r="F895" i="16"/>
  <c r="H895" i="16" s="1"/>
  <c r="F896" i="16"/>
  <c r="H896" i="16" s="1"/>
  <c r="F893" i="16"/>
  <c r="M105" i="16"/>
  <c r="M104" i="16"/>
  <c r="M103" i="16"/>
  <c r="M124" i="16"/>
  <c r="M125" i="16"/>
  <c r="M107" i="16"/>
  <c r="M102" i="16"/>
  <c r="M106" i="16"/>
  <c r="M123" i="16"/>
  <c r="M122" i="16"/>
  <c r="M126" i="16"/>
  <c r="M127" i="16"/>
  <c r="H553" i="16"/>
  <c r="H548" i="16"/>
  <c r="M577" i="16"/>
  <c r="M578" i="16"/>
  <c r="M53" i="16"/>
  <c r="M563" i="16"/>
  <c r="M585" i="16"/>
  <c r="M575" i="16"/>
  <c r="M1572" i="16"/>
  <c r="H556" i="16"/>
  <c r="M186" i="16"/>
  <c r="M193" i="16"/>
  <c r="M1569" i="16"/>
  <c r="H891" i="16"/>
  <c r="M564" i="16"/>
  <c r="L544" i="16"/>
  <c r="M167" i="16"/>
  <c r="M165" i="16"/>
  <c r="M190" i="16"/>
  <c r="M587" i="16"/>
  <c r="H545" i="16"/>
  <c r="M188" i="16"/>
  <c r="M546" i="16"/>
  <c r="M56" i="16"/>
  <c r="M54" i="16"/>
  <c r="M169" i="16"/>
  <c r="M170" i="16"/>
  <c r="M52" i="16"/>
  <c r="M192" i="16"/>
  <c r="M574" i="16"/>
  <c r="M561" i="16"/>
  <c r="M191" i="16"/>
  <c r="M168" i="16"/>
  <c r="M562" i="16"/>
  <c r="M164" i="16"/>
  <c r="M189" i="16"/>
  <c r="M57" i="16"/>
  <c r="M171" i="16"/>
  <c r="M166" i="16"/>
  <c r="F929" i="16"/>
  <c r="F928" i="16"/>
  <c r="H928" i="16" s="1"/>
  <c r="F926" i="16"/>
  <c r="F729" i="16"/>
  <c r="F730" i="16"/>
  <c r="F770" i="16"/>
  <c r="F768" i="16"/>
  <c r="F766" i="16"/>
  <c r="F930" i="16"/>
  <c r="H930" i="16" s="1"/>
  <c r="F767" i="16"/>
  <c r="L767" i="16" s="1"/>
  <c r="F725" i="16"/>
  <c r="F726" i="16"/>
  <c r="H945" i="16"/>
  <c r="H728" i="16"/>
  <c r="F727" i="16"/>
  <c r="L727" i="16" s="1"/>
  <c r="F769" i="16"/>
  <c r="H769" i="16" s="1"/>
  <c r="H944" i="16"/>
  <c r="F152" i="16"/>
  <c r="F155" i="16"/>
  <c r="F154" i="16"/>
  <c r="F153" i="16"/>
  <c r="F763" i="16"/>
  <c r="F761" i="16"/>
  <c r="F764" i="16"/>
  <c r="F762" i="16"/>
  <c r="L886" i="16"/>
  <c r="L567" i="16"/>
  <c r="H570" i="16"/>
  <c r="H557" i="16"/>
  <c r="H569" i="16"/>
  <c r="L927" i="16"/>
  <c r="H568" i="16"/>
  <c r="H559" i="16"/>
  <c r="M558" i="16"/>
  <c r="M187" i="16"/>
  <c r="F782" i="16"/>
  <c r="F781" i="16"/>
  <c r="F780" i="16"/>
  <c r="J780" i="16" s="1"/>
  <c r="M780" i="16" s="1"/>
  <c r="F783" i="16"/>
  <c r="F801" i="16"/>
  <c r="F803" i="16"/>
  <c r="F802" i="16"/>
  <c r="F804" i="16"/>
  <c r="L943" i="16"/>
  <c r="H890" i="16"/>
  <c r="J885" i="16"/>
  <c r="F797" i="16"/>
  <c r="F799" i="16"/>
  <c r="F798" i="16"/>
  <c r="J566" i="16"/>
  <c r="H554" i="16"/>
  <c r="F786" i="16"/>
  <c r="F789" i="16"/>
  <c r="F788" i="16"/>
  <c r="F787" i="16"/>
  <c r="H555" i="16"/>
  <c r="M571" i="16"/>
  <c r="M185" i="16"/>
  <c r="M586" i="16"/>
  <c r="M55" i="16"/>
  <c r="M51" i="16"/>
  <c r="J1571" i="16"/>
  <c r="J942" i="16"/>
  <c r="H889" i="16"/>
  <c r="J551" i="16"/>
  <c r="L552" i="16"/>
  <c r="H547" i="16"/>
  <c r="F807" i="16"/>
  <c r="F806" i="16"/>
  <c r="F808" i="16"/>
  <c r="F778" i="16"/>
  <c r="F774" i="16"/>
  <c r="F777" i="16"/>
  <c r="F776" i="16"/>
  <c r="F775" i="16"/>
  <c r="F773" i="16"/>
  <c r="H888" i="16"/>
  <c r="M887" i="16"/>
  <c r="F795" i="16"/>
  <c r="F791" i="16"/>
  <c r="F794" i="16"/>
  <c r="F793" i="16"/>
  <c r="F792" i="16"/>
  <c r="H572" i="16"/>
  <c r="J543" i="16"/>
  <c r="M588" i="16"/>
  <c r="F962" i="16" l="1"/>
  <c r="F698" i="16"/>
  <c r="H703" i="16"/>
  <c r="M703" i="16" s="1"/>
  <c r="F721" i="16"/>
  <c r="H721" i="16" s="1"/>
  <c r="M721" i="16" s="1"/>
  <c r="F723" i="16"/>
  <c r="H723" i="16" s="1"/>
  <c r="M723" i="16" s="1"/>
  <c r="F722" i="16"/>
  <c r="H722" i="16" s="1"/>
  <c r="M722" i="16" s="1"/>
  <c r="F718" i="16"/>
  <c r="J718" i="16" s="1"/>
  <c r="M718" i="16" s="1"/>
  <c r="F719" i="16"/>
  <c r="L719" i="16" s="1"/>
  <c r="M719" i="16" s="1"/>
  <c r="J893" i="16"/>
  <c r="L68" i="16"/>
  <c r="F159" i="16"/>
  <c r="H154" i="16"/>
  <c r="H155" i="16"/>
  <c r="J152" i="16"/>
  <c r="L153" i="16"/>
  <c r="F64" i="16"/>
  <c r="F63" i="16"/>
  <c r="F65" i="16"/>
  <c r="L65" i="16" s="1"/>
  <c r="F67" i="16"/>
  <c r="M553" i="16"/>
  <c r="M549" i="16"/>
  <c r="M556" i="16"/>
  <c r="M544" i="16"/>
  <c r="M891" i="16"/>
  <c r="M548" i="16"/>
  <c r="M545" i="16"/>
  <c r="M551" i="16"/>
  <c r="M567" i="16"/>
  <c r="M555" i="16"/>
  <c r="M566" i="16"/>
  <c r="M945" i="16"/>
  <c r="J926" i="16"/>
  <c r="H929" i="16"/>
  <c r="J725" i="16"/>
  <c r="M946" i="16"/>
  <c r="H730" i="16"/>
  <c r="H729" i="16"/>
  <c r="M944" i="16"/>
  <c r="H770" i="16"/>
  <c r="H768" i="16"/>
  <c r="J766" i="16"/>
  <c r="M771" i="16"/>
  <c r="L726" i="16"/>
  <c r="L792" i="16"/>
  <c r="L807" i="16"/>
  <c r="H788" i="16"/>
  <c r="H804" i="16"/>
  <c r="H783" i="16"/>
  <c r="H763" i="16"/>
  <c r="M572" i="16"/>
  <c r="J791" i="16"/>
  <c r="M543" i="16"/>
  <c r="H793" i="16"/>
  <c r="H795" i="16"/>
  <c r="M888" i="16"/>
  <c r="J773" i="16"/>
  <c r="H776" i="16"/>
  <c r="H778" i="16"/>
  <c r="J806" i="16"/>
  <c r="M547" i="16"/>
  <c r="M894" i="16"/>
  <c r="M943" i="16"/>
  <c r="J288" i="19"/>
  <c r="L288" i="19"/>
  <c r="L802" i="16"/>
  <c r="J801" i="16"/>
  <c r="L781" i="16"/>
  <c r="M568" i="16"/>
  <c r="M569" i="16"/>
  <c r="M557" i="16"/>
  <c r="M886" i="16"/>
  <c r="M895" i="16"/>
  <c r="F739" i="16"/>
  <c r="F738" i="16"/>
  <c r="F741" i="16"/>
  <c r="H794" i="16"/>
  <c r="H777" i="16"/>
  <c r="H808" i="16"/>
  <c r="F850" i="16"/>
  <c r="F846" i="16"/>
  <c r="F849" i="16"/>
  <c r="F851" i="16"/>
  <c r="F847" i="16"/>
  <c r="F848" i="16"/>
  <c r="L787" i="16"/>
  <c r="M554" i="16"/>
  <c r="H798" i="16"/>
  <c r="J797" i="16"/>
  <c r="M890" i="16"/>
  <c r="M559" i="16"/>
  <c r="L762" i="16"/>
  <c r="J761" i="16"/>
  <c r="H803" i="16"/>
  <c r="H775" i="16"/>
  <c r="L774" i="16"/>
  <c r="H809" i="16"/>
  <c r="M552" i="16"/>
  <c r="M889" i="16"/>
  <c r="M942" i="16"/>
  <c r="M1571" i="16"/>
  <c r="H789" i="16"/>
  <c r="J786" i="16"/>
  <c r="H799" i="16"/>
  <c r="M885" i="16"/>
  <c r="M896" i="16"/>
  <c r="H782" i="16"/>
  <c r="M927" i="16"/>
  <c r="M570" i="16"/>
  <c r="H764" i="16"/>
  <c r="F961" i="16" l="1"/>
  <c r="F960" i="16"/>
  <c r="F963" i="16"/>
  <c r="H963" i="16" s="1"/>
  <c r="M963" i="16" s="1"/>
  <c r="E965" i="16"/>
  <c r="F964" i="16"/>
  <c r="H964" i="16" s="1"/>
  <c r="M964" i="16" s="1"/>
  <c r="F973" i="16"/>
  <c r="F959" i="16"/>
  <c r="F699" i="16"/>
  <c r="J699" i="16" s="1"/>
  <c r="M699" i="16" s="1"/>
  <c r="F705" i="16"/>
  <c r="H705" i="16" s="1"/>
  <c r="M705" i="16" s="1"/>
  <c r="F701" i="16"/>
  <c r="L701" i="16" s="1"/>
  <c r="M701" i="16" s="1"/>
  <c r="F700" i="16"/>
  <c r="L700" i="16" s="1"/>
  <c r="M700" i="16" s="1"/>
  <c r="F704" i="16"/>
  <c r="H704" i="16" s="1"/>
  <c r="M704" i="16" s="1"/>
  <c r="F702" i="16"/>
  <c r="L702" i="16" s="1"/>
  <c r="M702" i="16" s="1"/>
  <c r="M37" i="21"/>
  <c r="M39" i="21" s="1"/>
  <c r="M40" i="21" s="1"/>
  <c r="F863" i="16"/>
  <c r="F861" i="16"/>
  <c r="F860" i="16"/>
  <c r="M893" i="16"/>
  <c r="F157" i="16"/>
  <c r="J157" i="16" s="1"/>
  <c r="L64" i="16"/>
  <c r="M65" i="16"/>
  <c r="M152" i="16"/>
  <c r="L159" i="16"/>
  <c r="M159" i="16" s="1"/>
  <c r="F160" i="16"/>
  <c r="L160" i="16" s="1"/>
  <c r="F158" i="16"/>
  <c r="F161" i="16"/>
  <c r="H161" i="16" s="1"/>
  <c r="M154" i="16"/>
  <c r="J63" i="16"/>
  <c r="M153" i="16"/>
  <c r="M155" i="16"/>
  <c r="J68" i="16"/>
  <c r="J67" i="16"/>
  <c r="M67" i="16" s="1"/>
  <c r="M928" i="16"/>
  <c r="M926" i="16"/>
  <c r="M929" i="16"/>
  <c r="M725" i="16"/>
  <c r="M770" i="16"/>
  <c r="M930" i="16"/>
  <c r="M730" i="16"/>
  <c r="M728" i="16"/>
  <c r="F932" i="16"/>
  <c r="J932" i="16" s="1"/>
  <c r="F933" i="16"/>
  <c r="M727" i="16"/>
  <c r="M729" i="16"/>
  <c r="M766" i="16"/>
  <c r="M768" i="16"/>
  <c r="F934" i="16"/>
  <c r="H934" i="16" s="1"/>
  <c r="M934" i="16" s="1"/>
  <c r="M767" i="16"/>
  <c r="M769" i="16"/>
  <c r="M726" i="16"/>
  <c r="M806" i="16"/>
  <c r="M799" i="16"/>
  <c r="M774" i="16"/>
  <c r="M781" i="16"/>
  <c r="M778" i="16"/>
  <c r="M804" i="16"/>
  <c r="M786" i="16"/>
  <c r="M775" i="16"/>
  <c r="M803" i="16"/>
  <c r="M776" i="16"/>
  <c r="M795" i="16"/>
  <c r="M791" i="16"/>
  <c r="M797" i="16"/>
  <c r="M807" i="16"/>
  <c r="H710" i="16"/>
  <c r="M782" i="16"/>
  <c r="F744" i="16"/>
  <c r="F743" i="16"/>
  <c r="F745" i="16"/>
  <c r="J846" i="16"/>
  <c r="M777" i="16"/>
  <c r="H741" i="16"/>
  <c r="M802" i="16"/>
  <c r="M793" i="16"/>
  <c r="M763" i="16"/>
  <c r="F862" i="16"/>
  <c r="M809" i="16"/>
  <c r="F938" i="16"/>
  <c r="F937" i="16"/>
  <c r="F940" i="16"/>
  <c r="F936" i="16"/>
  <c r="M762" i="16"/>
  <c r="H848" i="16"/>
  <c r="L847" i="16"/>
  <c r="H850" i="16"/>
  <c r="M808" i="16"/>
  <c r="M794" i="16"/>
  <c r="H740" i="16"/>
  <c r="M801" i="16"/>
  <c r="M773" i="16"/>
  <c r="M792" i="16"/>
  <c r="H849" i="16"/>
  <c r="J738" i="16"/>
  <c r="M789" i="16"/>
  <c r="M764" i="16"/>
  <c r="F709" i="16"/>
  <c r="F708" i="16"/>
  <c r="F707" i="16"/>
  <c r="M761" i="16"/>
  <c r="M798" i="16"/>
  <c r="M787" i="16"/>
  <c r="H851" i="16"/>
  <c r="L739" i="16"/>
  <c r="F679" i="16"/>
  <c r="F675" i="16"/>
  <c r="F678" i="16"/>
  <c r="F676" i="16"/>
  <c r="M783" i="16"/>
  <c r="M788" i="16"/>
  <c r="F975" i="16" l="1"/>
  <c r="L975" i="16" s="1"/>
  <c r="M975" i="16" s="1"/>
  <c r="F980" i="16"/>
  <c r="F979" i="16"/>
  <c r="H979" i="16" s="1"/>
  <c r="M979" i="16" s="1"/>
  <c r="F976" i="16"/>
  <c r="L976" i="16" s="1"/>
  <c r="M976" i="16" s="1"/>
  <c r="F977" i="16"/>
  <c r="H977" i="16" s="1"/>
  <c r="M977" i="16" s="1"/>
  <c r="F978" i="16"/>
  <c r="H978" i="16" s="1"/>
  <c r="M978" i="16" s="1"/>
  <c r="F974" i="16"/>
  <c r="J974" i="16" s="1"/>
  <c r="M974" i="16" s="1"/>
  <c r="M63" i="16"/>
  <c r="M64" i="16"/>
  <c r="N288" i="19"/>
  <c r="M288" i="19"/>
  <c r="M290" i="19" s="1"/>
  <c r="M41" i="21"/>
  <c r="D13" i="8" s="1"/>
  <c r="J860" i="16"/>
  <c r="L861" i="16"/>
  <c r="H863" i="16"/>
  <c r="L158" i="16"/>
  <c r="M68" i="16"/>
  <c r="L933" i="16"/>
  <c r="M933" i="16" s="1"/>
  <c r="M740" i="16"/>
  <c r="M710" i="16"/>
  <c r="M851" i="16"/>
  <c r="F677" i="16"/>
  <c r="F674" i="16" s="1"/>
  <c r="J674" i="16" s="1"/>
  <c r="O674" i="16" s="1"/>
  <c r="H678" i="16"/>
  <c r="L675" i="16"/>
  <c r="H679" i="16"/>
  <c r="M739" i="16"/>
  <c r="L709" i="16"/>
  <c r="M738" i="16"/>
  <c r="M849" i="16"/>
  <c r="M847" i="16"/>
  <c r="M848" i="16"/>
  <c r="H940" i="16"/>
  <c r="L938" i="16"/>
  <c r="H862" i="16"/>
  <c r="H745" i="16"/>
  <c r="M741" i="16"/>
  <c r="J743" i="16"/>
  <c r="L744" i="16"/>
  <c r="M850" i="16"/>
  <c r="J707" i="16"/>
  <c r="L937" i="16"/>
  <c r="L708" i="16"/>
  <c r="J936" i="16"/>
  <c r="M846" i="16"/>
  <c r="F983" i="16" l="1"/>
  <c r="H983" i="16" s="1"/>
  <c r="M983" i="16" s="1"/>
  <c r="F982" i="16"/>
  <c r="L982" i="16" s="1"/>
  <c r="M982" i="16" s="1"/>
  <c r="F981" i="16"/>
  <c r="J981" i="16" s="1"/>
  <c r="F984" i="16"/>
  <c r="H984" i="16" s="1"/>
  <c r="M984" i="16" s="1"/>
  <c r="M291" i="19"/>
  <c r="M292" i="19" s="1"/>
  <c r="M861" i="16"/>
  <c r="M860" i="16"/>
  <c r="M157" i="16"/>
  <c r="M863" i="16"/>
  <c r="M158" i="16"/>
  <c r="M160" i="16"/>
  <c r="M161" i="16"/>
  <c r="M932" i="16"/>
  <c r="M937" i="16"/>
  <c r="M743" i="16"/>
  <c r="M745" i="16"/>
  <c r="M940" i="16"/>
  <c r="M674" i="16"/>
  <c r="M936" i="16"/>
  <c r="M707" i="16"/>
  <c r="F969" i="16"/>
  <c r="F968" i="16"/>
  <c r="F967" i="16"/>
  <c r="F966" i="16"/>
  <c r="F972" i="16"/>
  <c r="F971" i="16"/>
  <c r="F970" i="16"/>
  <c r="M862" i="16"/>
  <c r="M679" i="16"/>
  <c r="M675" i="16"/>
  <c r="M678" i="16"/>
  <c r="H961" i="16"/>
  <c r="M708" i="16"/>
  <c r="M744" i="16"/>
  <c r="H962" i="16"/>
  <c r="M709" i="16"/>
  <c r="J959" i="16"/>
  <c r="L960" i="16"/>
  <c r="M938" i="16"/>
  <c r="H677" i="16"/>
  <c r="M981" i="16" l="1"/>
  <c r="O981" i="16"/>
  <c r="M293" i="19"/>
  <c r="M294" i="19" s="1"/>
  <c r="D12" i="8" s="1"/>
  <c r="M961" i="16"/>
  <c r="M677" i="16"/>
  <c r="M959" i="16"/>
  <c r="H970" i="16"/>
  <c r="L967" i="16"/>
  <c r="M962" i="16"/>
  <c r="H971" i="16"/>
  <c r="H968" i="16"/>
  <c r="H972" i="16"/>
  <c r="H969" i="16"/>
  <c r="J966" i="16"/>
  <c r="M960" i="16"/>
  <c r="M969" i="16" l="1"/>
  <c r="M970" i="16"/>
  <c r="M972" i="16"/>
  <c r="M971" i="16"/>
  <c r="M967" i="16"/>
  <c r="M968" i="16"/>
  <c r="M966" i="16"/>
  <c r="F751" i="16" l="1"/>
  <c r="F748" i="16"/>
  <c r="F749" i="16"/>
  <c r="F752" i="16"/>
  <c r="F747" i="16"/>
  <c r="F750" i="16"/>
  <c r="L749" i="16" l="1"/>
  <c r="H750" i="16"/>
  <c r="L748" i="16"/>
  <c r="J747" i="16"/>
  <c r="H752" i="16"/>
  <c r="H751" i="16"/>
  <c r="M752" i="16" l="1"/>
  <c r="M747" i="16"/>
  <c r="M751" i="16"/>
  <c r="M748" i="16"/>
  <c r="M749" i="16"/>
  <c r="M750" i="16"/>
  <c r="F866" i="16" l="1"/>
  <c r="F867" i="16"/>
  <c r="F871" i="16"/>
  <c r="F865" i="16"/>
  <c r="F868" i="16"/>
  <c r="F869" i="16"/>
  <c r="F870" i="16"/>
  <c r="F878" i="16"/>
  <c r="F882" i="16"/>
  <c r="F880" i="16"/>
  <c r="F879" i="16"/>
  <c r="F881" i="16"/>
  <c r="F883" i="16"/>
  <c r="H883" i="16" l="1"/>
  <c r="J878" i="16"/>
  <c r="H880" i="16"/>
  <c r="H881" i="16"/>
  <c r="H882" i="16"/>
  <c r="H871" i="16"/>
  <c r="L879" i="16"/>
  <c r="H870" i="16"/>
  <c r="H868" i="16"/>
  <c r="H867" i="16"/>
  <c r="J865" i="16"/>
  <c r="J1578" i="16" s="1"/>
  <c r="L866" i="16"/>
  <c r="L1578" i="16" l="1"/>
  <c r="H1578" i="16"/>
  <c r="M1579" i="16" s="1"/>
  <c r="M881" i="16"/>
  <c r="M882" i="16"/>
  <c r="M878" i="16"/>
  <c r="M866" i="16"/>
  <c r="M879" i="16"/>
  <c r="M868" i="16"/>
  <c r="M870" i="16"/>
  <c r="M880" i="16"/>
  <c r="M883" i="16"/>
  <c r="M865" i="16"/>
  <c r="M867" i="16"/>
  <c r="M871" i="16"/>
  <c r="M1578" i="16" l="1"/>
  <c r="M1580" i="16" s="1"/>
  <c r="M1581" i="16" s="1"/>
  <c r="M1582" i="16" s="1"/>
  <c r="N1578" i="16"/>
  <c r="M1583" i="16" l="1"/>
  <c r="M1584" i="16" s="1"/>
  <c r="D7" i="8" s="1"/>
  <c r="L248" i="17"/>
  <c r="F142" i="17"/>
  <c r="H142" i="17" s="1"/>
  <c r="H141" i="17"/>
  <c r="F137" i="17"/>
  <c r="J137" i="17" s="1"/>
  <c r="M141" i="17" l="1"/>
  <c r="M142" i="17"/>
  <c r="H248" i="17"/>
  <c r="M249" i="17" s="1"/>
  <c r="J248" i="17"/>
  <c r="M251" i="17" s="1"/>
  <c r="M137" i="17"/>
  <c r="M248" i="17" l="1"/>
  <c r="M250" i="17" s="1"/>
  <c r="M252" i="17" s="1"/>
  <c r="N248" i="17"/>
  <c r="M253" i="17" l="1"/>
  <c r="M254" i="17" s="1"/>
  <c r="M255" i="17" s="1"/>
  <c r="M346" i="17" s="1"/>
  <c r="D8" i="8" s="1"/>
  <c r="H289" i="18"/>
  <c r="F292" i="18"/>
  <c r="H292" i="18" s="1"/>
  <c r="M292" i="18" s="1"/>
  <c r="F287" i="18"/>
  <c r="J287" i="18" s="1"/>
  <c r="M289" i="18" l="1"/>
  <c r="J310" i="18"/>
  <c r="M287" i="18"/>
  <c r="F291" i="18"/>
  <c r="H291" i="18" s="1"/>
  <c r="H315" i="18" s="1"/>
  <c r="F288" i="18"/>
  <c r="L288" i="18" s="1"/>
  <c r="H310" i="18" l="1"/>
  <c r="M311" i="18" s="1"/>
  <c r="M313" i="18"/>
  <c r="M288" i="18"/>
  <c r="L310" i="18"/>
  <c r="M291" i="18"/>
  <c r="N310" i="18" l="1"/>
  <c r="M310" i="18"/>
  <c r="M312" i="18" l="1"/>
  <c r="M314" i="18" s="1"/>
  <c r="M284" i="18"/>
  <c r="M315" i="18" l="1"/>
  <c r="M316" i="18" s="1"/>
  <c r="M464" i="18" s="1"/>
  <c r="D10" i="8" s="1"/>
  <c r="D15" i="8" l="1"/>
  <c r="F21" i="8" l="1"/>
  <c r="D16" i="8"/>
  <c r="D17" i="8" s="1"/>
  <c r="D18" i="8" l="1"/>
  <c r="D1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05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(290+140+76*1)/100=5,06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8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0,426
</t>
        </r>
      </text>
    </comment>
    <comment ref="E383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0,999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7,05</t>
        </r>
      </text>
    </comment>
    <comment ref="I9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6</t>
        </r>
      </text>
    </comment>
    <comment ref="E102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0,220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((0,29+0,14)*1000)/100</t>
        </r>
      </text>
    </comment>
  </commentList>
</comments>
</file>

<file path=xl/sharedStrings.xml><?xml version="1.0" encoding="utf-8"?>
<sst xmlns="http://schemas.openxmlformats.org/spreadsheetml/2006/main" count="7553" uniqueCount="1921">
  <si>
    <t>##</t>
  </si>
  <si>
    <t>g/m</t>
  </si>
  <si>
    <t>c</t>
  </si>
  <si>
    <t>lokaluri ხ ა რ ჯ თ ა ღ რ ი ც ვ ხ ვ ა #1</t>
  </si>
  <si>
    <t>kbm</t>
  </si>
  <si>
    <t>kvm</t>
  </si>
  <si>
    <t>kg</t>
  </si>
  <si>
    <t>tn</t>
  </si>
  <si>
    <t>zumfara</t>
  </si>
  <si>
    <t>sul</t>
  </si>
  <si>
    <t>laminirebuli iatakis mowyoba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</si>
  <si>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</si>
  <si>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</si>
  <si>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</si>
  <si>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</si>
  <si>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</si>
  <si>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</si>
  <si>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</si>
  <si>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m2</t>
  </si>
  <si>
    <t>sxva masala</t>
  </si>
  <si>
    <t xml:space="preserve">Sromis danaxarjebi </t>
  </si>
  <si>
    <t>sxva manqana</t>
  </si>
  <si>
    <t>12-8-5</t>
  </si>
  <si>
    <t xml:space="preserve">sxva masala </t>
  </si>
  <si>
    <t xml:space="preserve">sxva manqana </t>
  </si>
  <si>
    <t>manqanebi</t>
  </si>
  <si>
    <t>sxva masalebi</t>
  </si>
  <si>
    <t>8-15-1</t>
  </si>
  <si>
    <t xml:space="preserve">Sromis danaxarjebi  </t>
  </si>
  <si>
    <t>11-8-1-2</t>
  </si>
  <si>
    <t>11-20-3</t>
  </si>
  <si>
    <t>emulsiuri saRebavi</t>
  </si>
  <si>
    <t>15-168-7</t>
  </si>
  <si>
    <t xml:space="preserve">fiTxi </t>
  </si>
  <si>
    <t>sabazro</t>
  </si>
  <si>
    <t>snf 15,15</t>
  </si>
  <si>
    <t>9-14-5</t>
  </si>
  <si>
    <t>11-27-5</t>
  </si>
  <si>
    <t>5</t>
  </si>
  <si>
    <t>8</t>
  </si>
  <si>
    <t>11-42-1</t>
  </si>
  <si>
    <t>15-168-10</t>
  </si>
  <si>
    <t xml:space="preserve">kafelis fila                </t>
  </si>
  <si>
    <t>webocementi yinvagamZle</t>
  </si>
  <si>
    <t>keramogranitis fila</t>
  </si>
  <si>
    <t>Senobis el montaJis samuSaoebi</t>
  </si>
  <si>
    <t>gegmiuri dagroveba</t>
  </si>
  <si>
    <t>lokaluri ხ ა რ ჯ თ ა ღ რ ი ც ვ ხ ვ ა #3</t>
  </si>
  <si>
    <t>მ</t>
  </si>
  <si>
    <t>krebsiTi xarjTaRicxva</t>
  </si>
  <si>
    <t>saxarjTaRricxvo gaangariSebis #</t>
  </si>
  <si>
    <t>samuSaoebisa da danaxarjebis dasaxeleba</t>
  </si>
  <si>
    <t>lk 1</t>
  </si>
  <si>
    <t>lk 2</t>
  </si>
  <si>
    <t>jami</t>
  </si>
  <si>
    <t>sul xarjTaRricxviT</t>
  </si>
  <si>
    <t>lokaluri ხ ა რ ჯ თ ა ღ რ ი ც ვ ხ ვ ა #4</t>
  </si>
  <si>
    <t>I</t>
  </si>
  <si>
    <t>IV</t>
  </si>
  <si>
    <t>VI</t>
  </si>
  <si>
    <t>VII</t>
  </si>
  <si>
    <t>lk 3</t>
  </si>
  <si>
    <t>lk 4</t>
  </si>
  <si>
    <t>zednadebi xarjebi</t>
  </si>
  <si>
    <t>9</t>
  </si>
  <si>
    <t>kompl</t>
  </si>
  <si>
    <t>sarke, xelis saSrobi, qaRaldisa da sapnis spenserebi</t>
  </si>
  <si>
    <t>Sromis danaxarji</t>
  </si>
  <si>
    <t>#1</t>
  </si>
  <si>
    <t>12</t>
  </si>
  <si>
    <t>eleqtrodi</t>
  </si>
  <si>
    <t xml:space="preserve">j a m i     #1     </t>
  </si>
  <si>
    <t>lk 5</t>
  </si>
  <si>
    <t>lokaluri ხ ა რ ჯ თ ა ღ რ ი ც ვ ხ ვ ა #2</t>
  </si>
  <si>
    <t>lokaluri ხ ა რ ჯ თ ა ღ რ ი ც ვ ხ ვ ა #5</t>
  </si>
  <si>
    <t>wert</t>
  </si>
  <si>
    <t>კომპლ</t>
  </si>
  <si>
    <t xml:space="preserve">iatakis mopirkeTeba keramogranitis filiT </t>
  </si>
  <si>
    <t>lokaluri ხ ა რ ჯ თ ა ღ რ ი ც ვ ხ ვ ა #6</t>
  </si>
  <si>
    <t>Senobis saxanZro usafrTxoebis qselis  montaJi</t>
  </si>
  <si>
    <t>lk 6</t>
  </si>
  <si>
    <t>santeqnikuri mowyobilobebis montaJi</t>
  </si>
  <si>
    <t>saerTo samSeneblo samuSaoebi</t>
  </si>
  <si>
    <t>3</t>
  </si>
  <si>
    <t xml:space="preserve">iatakis mopirkeTeba metlaxis filiT </t>
  </si>
  <si>
    <t>keramikuli filis plintusis mowyoba</t>
  </si>
  <si>
    <t>TabaSirmuyaos Sekiduli Weris mowyoba</t>
  </si>
  <si>
    <t>amstrongis tipis Sekiduli Weris mowyoba</t>
  </si>
  <si>
    <t>100 kvm</t>
  </si>
  <si>
    <t>wvrilmarcvlovani         betoni b.25</t>
  </si>
  <si>
    <t>cali</t>
  </si>
  <si>
    <t>betoni b.25</t>
  </si>
  <si>
    <t>100 kbm</t>
  </si>
  <si>
    <t>proeqtiT</t>
  </si>
  <si>
    <t>amwe saavtomobilo svlaze 25t</t>
  </si>
  <si>
    <t>amwe saavtomobilo svlaze 6,3t</t>
  </si>
  <si>
    <t>0625</t>
  </si>
  <si>
    <t>jalambari (libiotka) 3t  eleqtroreversiuli</t>
  </si>
  <si>
    <t>m3</t>
  </si>
  <si>
    <t>toli</t>
  </si>
  <si>
    <t>cementis xsnari m-100</t>
  </si>
  <si>
    <t>cementis xsnari m-200</t>
  </si>
  <si>
    <t>10-20-1 gamoy</t>
  </si>
  <si>
    <t>dubliaJi</t>
  </si>
  <si>
    <t>r21-87</t>
  </si>
  <si>
    <t>samSeneblo narCenebis Segroveba, gamotana, avtoTviTmclelze dasatvirTavad</t>
  </si>
  <si>
    <t>samSeneblo nagvis datvirTva xeliT avtoTviTmclelze</t>
  </si>
  <si>
    <t>11-36-3</t>
  </si>
  <si>
    <t>15-15-3</t>
  </si>
  <si>
    <t>k/sT</t>
  </si>
  <si>
    <t>liTonis profilebi</t>
  </si>
  <si>
    <t>grZ.m.</t>
  </si>
  <si>
    <t>samSeneblo WanWiki</t>
  </si>
  <si>
    <t>kg.</t>
  </si>
  <si>
    <t>TabaSir_muyaos fila</t>
  </si>
  <si>
    <t xml:space="preserve">sxva masalebi  </t>
  </si>
  <si>
    <t>amstrongis tipis Sekiduli Weri</t>
  </si>
  <si>
    <t>metaloplastmasis fanjris rafa 20-30sm</t>
  </si>
  <si>
    <t>13</t>
  </si>
  <si>
    <t>შრომის დანახარჯი</t>
  </si>
  <si>
    <t>კაც/სთ</t>
  </si>
  <si>
    <t>ლარი</t>
  </si>
  <si>
    <t>სხვა მასალები</t>
  </si>
  <si>
    <t>პანელური ტიპის რადიატორების მონტაჟი</t>
  </si>
  <si>
    <t>გ/მ</t>
  </si>
  <si>
    <t xml:space="preserve"> სხვა მანქანები</t>
  </si>
  <si>
    <t xml:space="preserve"> 16-24-2</t>
  </si>
  <si>
    <t>გრ/მ</t>
  </si>
  <si>
    <t xml:space="preserve"> 16-24-3</t>
  </si>
  <si>
    <t xml:space="preserve"> 16-24-4</t>
  </si>
  <si>
    <t xml:space="preserve"> 16-12-1</t>
  </si>
  <si>
    <t>ვენტილების მოწყობა</t>
  </si>
  <si>
    <t xml:space="preserve"> 16-3-1    გამ.</t>
  </si>
  <si>
    <t>შრომის დანახარჯები</t>
  </si>
  <si>
    <t>სხვა მანქანები</t>
  </si>
  <si>
    <t>მილების თბოიზოლაცია დამათბუნებელი მილით</t>
  </si>
  <si>
    <t>46-19-3</t>
  </si>
  <si>
    <t>xvrelebis gamotexva</t>
  </si>
  <si>
    <t>adg.</t>
  </si>
  <si>
    <t xml:space="preserve">sxva manqana  </t>
  </si>
  <si>
    <t>xvrelebis aRdgena cementis xsnariT</t>
  </si>
  <si>
    <t>18-2-10</t>
  </si>
  <si>
    <t>18-5-1</t>
  </si>
  <si>
    <t>46-22-5</t>
  </si>
  <si>
    <t>samSeneblo lursmani</t>
  </si>
  <si>
    <t>plastikatis Sekiduli Weris mowyoba (feradi)</t>
  </si>
  <si>
    <t xml:space="preserve">TabaSirmuyaos fiTxi </t>
  </si>
  <si>
    <t>დამატ.
2- გამოშ.
16-24-2</t>
  </si>
  <si>
    <t>მილების პლასტმასის სამაგრი დეტალები</t>
  </si>
  <si>
    <t>დამატ.
2- გამოშ.
16-24-3</t>
  </si>
  <si>
    <t>16–12–1</t>
  </si>
  <si>
    <t>სფერული ვენტილების მონტაჟი</t>
  </si>
  <si>
    <t>16–3–1</t>
  </si>
  <si>
    <t xml:space="preserve">პოლიეთილენის  ფასონური ნაწილების მოწყობა </t>
  </si>
  <si>
    <t>სხვა მასალა</t>
  </si>
  <si>
    <t>17-4-1</t>
  </si>
  <si>
    <t>man.</t>
  </si>
  <si>
    <t>კომპ</t>
  </si>
  <si>
    <t>17-1-5</t>
  </si>
  <si>
    <t xml:space="preserve">უნიტაზebიs muntaJi </t>
  </si>
  <si>
    <t>ხელსაბანebis montaJi</t>
  </si>
  <si>
    <t>17-3-3</t>
  </si>
  <si>
    <t>wylis შემრევebიs montaJi</t>
  </si>
  <si>
    <t>trapebis montaJi</t>
  </si>
  <si>
    <t>kanalizaciis qselis montaJi</t>
  </si>
  <si>
    <t>sakanalizacio plastmasis milebis damontaJeba 50 mm</t>
  </si>
  <si>
    <t>plasmasis mili d=100mm</t>
  </si>
  <si>
    <t>m</t>
  </si>
  <si>
    <t>სამგრი დეტალები</t>
  </si>
  <si>
    <t>კგ</t>
  </si>
  <si>
    <t>sakanalizacio plastmasis milebis damontaJeba 100 mm</t>
  </si>
  <si>
    <t>16-6-2</t>
  </si>
  <si>
    <t>16-12-2</t>
  </si>
  <si>
    <t xml:space="preserve">fasonuri nawilebi </t>
  </si>
  <si>
    <t>wyalsadenis qselis daerTeba arsebul gare qselze</t>
  </si>
  <si>
    <t>16-20-1</t>
  </si>
  <si>
    <t>milsadenis gidravlikuri gamocda</t>
  </si>
  <si>
    <t>100 g/m</t>
  </si>
  <si>
    <t>wyali</t>
  </si>
  <si>
    <t>კ/სთ</t>
  </si>
  <si>
    <t>კომპ.</t>
  </si>
  <si>
    <t>16-22</t>
  </si>
  <si>
    <t>16-6-1</t>
  </si>
  <si>
    <t>21-23-8</t>
  </si>
  <si>
    <t>21-23-3</t>
  </si>
  <si>
    <t>21-18-1.</t>
  </si>
  <si>
    <t>გრძ.მ.</t>
  </si>
  <si>
    <t>maq/sT</t>
  </si>
  <si>
    <t>8-414-1</t>
  </si>
  <si>
    <t>SromiTi resursebi</t>
  </si>
  <si>
    <t>ჩამრთველების montaJi</t>
  </si>
  <si>
    <t>saStepselo rozetebis montaJi</t>
  </si>
  <si>
    <t>21-26-6 gamoy</t>
  </si>
  <si>
    <t>სანათების მონტაჟი</t>
  </si>
  <si>
    <t>0635</t>
  </si>
  <si>
    <t>0633</t>
  </si>
  <si>
    <t xml:space="preserve">hidravlikuri amwevi </t>
  </si>
  <si>
    <t>amwevi anZuri tvirTamweobiT 0.5 t</t>
  </si>
  <si>
    <t>trapi plastmasis d=50mm</t>
  </si>
  <si>
    <t>6,1,41</t>
  </si>
  <si>
    <t>2,5,3,105</t>
  </si>
  <si>
    <t>grZ.m</t>
  </si>
  <si>
    <t>Senobis el montaJi</t>
  </si>
  <si>
    <t>Senobis Sida wyalsadenisa da kanalizaciis qselis montaJi</t>
  </si>
  <si>
    <t>sxva xarjebi</t>
  </si>
  <si>
    <t>mdf-is 15sm siganis damcavi zolis montaJi kedelze</t>
  </si>
  <si>
    <t>mdf-is zoli (15sm siganis) samagrebiT</t>
  </si>
  <si>
    <t>*</t>
  </si>
  <si>
    <t>masala</t>
  </si>
  <si>
    <t>normatiuli resursi</t>
  </si>
  <si>
    <t>erTeulze</t>
  </si>
  <si>
    <t>avtogreideri saSualo tipis 79 kvt.</t>
  </si>
  <si>
    <t>m/sT</t>
  </si>
  <si>
    <t>satkepni sagz. TviTmavali gluvi 5 tn.</t>
  </si>
  <si>
    <t>satkepni sagz. TviTmavali gluvi 10 tn.</t>
  </si>
  <si>
    <t>traqtori muxluxa svlaze 79 kvt.</t>
  </si>
  <si>
    <t>mosarwyav-mosarecxi manqana 6000l.</t>
  </si>
  <si>
    <t>xeliT damatebiT damuSaveba (tranSeis ZirSi)</t>
  </si>
  <si>
    <t>tn.</t>
  </si>
  <si>
    <t>8-3-2</t>
  </si>
  <si>
    <t>RorRi</t>
  </si>
  <si>
    <t>6-1-5</t>
  </si>
  <si>
    <t>xe masala</t>
  </si>
  <si>
    <t>betoni m-300</t>
  </si>
  <si>
    <t>6-15-1</t>
  </si>
  <si>
    <t>8-4-7</t>
  </si>
  <si>
    <t>bitumis emulsia</t>
  </si>
  <si>
    <t>qvabulis Sevseba balastiT datkepvniT (Semkvrivebuli moculobiT)</t>
  </si>
  <si>
    <t>avtogreideri 79 kvt</t>
  </si>
  <si>
    <t>satkepni 18 tn</t>
  </si>
  <si>
    <t>balasti</t>
  </si>
  <si>
    <t>6-16-1</t>
  </si>
  <si>
    <t>miwis samuSaoebi</t>
  </si>
  <si>
    <t>tona</t>
  </si>
  <si>
    <r>
      <t>m</t>
    </r>
    <r>
      <rPr>
        <vertAlign val="superscript"/>
        <sz val="10"/>
        <rFont val="AcadNusx"/>
      </rPr>
      <t>2</t>
    </r>
  </si>
  <si>
    <t>xis masala</t>
  </si>
  <si>
    <t>monoliTuri r/b saZirkvlis koWis mowyoba</t>
  </si>
  <si>
    <t>saZirkvlebisa da saZirkvlis koWis betonis zedapirebis damuSaveba bitumis emulsiiT (hidroizolacia)</t>
  </si>
  <si>
    <t xml:space="preserve">eleqtrodi </t>
  </si>
  <si>
    <t xml:space="preserve">monoliTuri r/b svetebis mowyoba </t>
  </si>
  <si>
    <t>monoliTuri r/b  rigelebis mowyoba</t>
  </si>
  <si>
    <t>6-15-5</t>
  </si>
  <si>
    <t>6-12-11</t>
  </si>
  <si>
    <t>6-15-2</t>
  </si>
  <si>
    <t>6-16-2</t>
  </si>
  <si>
    <t xml:space="preserve">monoliTuri rk/betonis  filebis mowyoba </t>
  </si>
  <si>
    <t>WanWiki samSeneblo</t>
  </si>
  <si>
    <t>1-80-3</t>
  </si>
  <si>
    <t>gruntis damuSaveba xeliT</t>
  </si>
  <si>
    <t>zedmeti gruntis datvirTva xeliT avtomanqanaze</t>
  </si>
  <si>
    <t>t</t>
  </si>
  <si>
    <t>zedmeti gruntis transportireba 15km manZilze da gatana</t>
  </si>
  <si>
    <t>11-1-6</t>
  </si>
  <si>
    <t>RorRis fenilis mowyoba, sisqiT 10sm</t>
  </si>
  <si>
    <t>11-3-1</t>
  </si>
  <si>
    <t>geoteqstilis fenis mowyoba</t>
  </si>
  <si>
    <t>kv.m.</t>
  </si>
  <si>
    <t xml:space="preserve">mastika </t>
  </si>
  <si>
    <t>11-1-11</t>
  </si>
  <si>
    <t>12,4</t>
  </si>
  <si>
    <t>კვმ</t>
  </si>
  <si>
    <t>lursmani</t>
  </si>
  <si>
    <t>12-6-3</t>
  </si>
  <si>
    <t>sWvali Tunuqis</t>
  </si>
  <si>
    <t>12-8-4</t>
  </si>
  <si>
    <t>wyalmimRebi Rari pl  dasakidi</t>
  </si>
  <si>
    <t>WanWiki</t>
  </si>
  <si>
    <t>naWedi</t>
  </si>
  <si>
    <t>16-17-4</t>
  </si>
  <si>
    <t>wyalmimRebi Zabrebi</t>
  </si>
  <si>
    <t>12-8-3</t>
  </si>
  <si>
    <t>13,2</t>
  </si>
  <si>
    <t>14</t>
  </si>
  <si>
    <t>feradi Tunuqis furceli 0,5mm</t>
  </si>
  <si>
    <t>12-9-5</t>
  </si>
  <si>
    <t>pemzis damaTbunebeli fenis mowyoba  moWimvebis qveS.</t>
  </si>
  <si>
    <t>pemza</t>
  </si>
  <si>
    <t>12-10-1-2</t>
  </si>
  <si>
    <t>saxuravis gamasworebeli moWimvis mowyoba qviSa-cementis xsnariT, sisqiT 50mm</t>
  </si>
  <si>
    <r>
      <t>m</t>
    </r>
    <r>
      <rPr>
        <b/>
        <vertAlign val="superscript"/>
        <sz val="10"/>
        <rFont val="AcadNusx"/>
      </rPr>
      <t>2</t>
    </r>
  </si>
  <si>
    <t>კაც.სთ.</t>
  </si>
  <si>
    <t>gazi</t>
  </si>
  <si>
    <t xml:space="preserve">8-22-2                      </t>
  </si>
  <si>
    <t>liTonis elementebi</t>
  </si>
  <si>
    <t>xe-masala</t>
  </si>
  <si>
    <t>fenilis farebi</t>
  </si>
  <si>
    <t>15_52_1</t>
  </si>
  <si>
    <t>fasadis kedlebis Selesva qviSa-cementis xsnariT</t>
  </si>
  <si>
    <t>wyal-emulsiis saRebavi</t>
  </si>
  <si>
    <t>15_52_5</t>
  </si>
  <si>
    <t>qviSa-cementis xsnari       m-100</t>
  </si>
  <si>
    <t>15_168-7</t>
  </si>
  <si>
    <t>fiTxi fasadis</t>
  </si>
  <si>
    <t>grunti fasadis</t>
  </si>
  <si>
    <t xml:space="preserve">sxva manqanebi </t>
  </si>
  <si>
    <t>kac.sT.</t>
  </si>
  <si>
    <t>cementi</t>
  </si>
  <si>
    <t>qviSa-cementis xsnari           m-200</t>
  </si>
  <si>
    <t>danmati
1 gamosS.
7-58-4</t>
  </si>
  <si>
    <t>liTonis moajiri</t>
  </si>
  <si>
    <t>22</t>
  </si>
  <si>
    <t>9-5-1
gamy.</t>
  </si>
  <si>
    <t>liTonis karebi (aqsesuarebiT)</t>
  </si>
  <si>
    <t>sWvali</t>
  </si>
  <si>
    <t>10-19-2 gamy.</t>
  </si>
  <si>
    <t>alebastri</t>
  </si>
  <si>
    <t>metaloplastmasis rafebis mowyoba</t>
  </si>
  <si>
    <t xml:space="preserve">liTonis karebis blokis damzadeba da montaJi  </t>
  </si>
  <si>
    <t xml:space="preserve">Senobis Sida kar fanjrebis ferdoebis Selesva qviSa-cementis xsnariT </t>
  </si>
  <si>
    <t>Senobis Sida kedlebis Selesva qviSa-cementis xsnariT</t>
  </si>
  <si>
    <t>15_55_9</t>
  </si>
  <si>
    <t xml:space="preserve">fasadze gare kar fanjrebis ferdoebis Selesva qviSa-cementis xsnariT </t>
  </si>
  <si>
    <t>Senobis Sida kedlebis damuSaveba da SeRebva emulsiuri saRebaviT</t>
  </si>
  <si>
    <t>kuTxeebis damcavi kuTxovana</t>
  </si>
  <si>
    <t>Sida kibeebis mopirketeba keramogranitis filiT</t>
  </si>
  <si>
    <t>21-27-4</t>
  </si>
  <si>
    <t>wylis შემრევი xelsabanis</t>
  </si>
  <si>
    <t>kanalizaciis gare qseli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</si>
  <si>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</si>
  <si>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</si>
  <si>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22-8-6</t>
  </si>
  <si>
    <t>Wis Ziri</t>
  </si>
  <si>
    <t>23-22-2</t>
  </si>
  <si>
    <t>SeWra</t>
  </si>
  <si>
    <t>gazinTuli ZenZi</t>
  </si>
  <si>
    <t>wyalmomaragebis gare qseli</t>
  </si>
  <si>
    <t>22-28-1 gam.</t>
  </si>
  <si>
    <t>fasonuri nawilebi</t>
  </si>
  <si>
    <t>23-1-1</t>
  </si>
  <si>
    <t>qviSa Savi</t>
  </si>
  <si>
    <t>II</t>
  </si>
  <si>
    <t>III</t>
  </si>
  <si>
    <t>26-2-7</t>
  </si>
  <si>
    <t>V</t>
  </si>
  <si>
    <t>anakrebi rk/betonis Wis mosawyobad qvabulis mowyoba</t>
  </si>
  <si>
    <t>1-80-7</t>
  </si>
  <si>
    <t>qviSa xreSi</t>
  </si>
  <si>
    <t>23-12-2 gam.</t>
  </si>
  <si>
    <t>15-164-7</t>
  </si>
  <si>
    <t>rkina betonis iatakis moWimva cementis xsnariT   m-200 30mm</t>
  </si>
  <si>
    <t>webocementi</t>
  </si>
  <si>
    <t>fuga (Semavsebeli)</t>
  </si>
  <si>
    <t>mosrialebis sawinaaRmdego kuTxovana</t>
  </si>
  <si>
    <t>15-164-8</t>
  </si>
  <si>
    <t>kibis liTonis konstruqciebis SeRebva antikoroziuli saRebaviT</t>
  </si>
  <si>
    <t>antikoroziuli saRebavi</t>
  </si>
  <si>
    <t>10-472-1</t>
  </si>
  <si>
    <t>10-743-3</t>
  </si>
  <si>
    <t>ც.</t>
  </si>
  <si>
    <t>samisamarTo kvamlis  optikuri deteqtoris montaJi</t>
  </si>
  <si>
    <t>samisamarTo Tburi   deteqtoris montaJi</t>
  </si>
  <si>
    <t>10-744-5</t>
  </si>
  <si>
    <t>samisamarTo sagangebo Rilakis montaji</t>
  </si>
  <si>
    <t>samisamarTo sagangebo Rilaki</t>
  </si>
  <si>
    <t>kvamlis deteqtori</t>
  </si>
  <si>
    <t>Tburi deteqtori</t>
  </si>
  <si>
    <t>10-744-6</t>
  </si>
  <si>
    <t>სირენა (stromiT)</t>
  </si>
  <si>
    <t>10-54-8</t>
  </si>
  <si>
    <t>სახანძრო სიგნალიზაციის სადენი</t>
  </si>
  <si>
    <t>8-121-1</t>
  </si>
  <si>
    <t>universaluri samisamarToo bazis montaJi</t>
  </si>
  <si>
    <t xml:space="preserve">teritoriis keTilmowyobis samuSaoebi               </t>
  </si>
  <si>
    <t>18-15-2</t>
  </si>
  <si>
    <t>manometrebis montaJi</t>
  </si>
  <si>
    <t>manometri</t>
  </si>
  <si>
    <t>18-8-4</t>
  </si>
  <si>
    <t>დამატ.2- გამოშ. 16-24-4</t>
  </si>
  <si>
    <t>დამატ.2- გამოშ .16-24-5</t>
  </si>
  <si>
    <t>16-12-1.</t>
  </si>
  <si>
    <t>26–16</t>
  </si>
  <si>
    <t xml:space="preserve">qafplastis Weris karnizis mowyoba             </t>
  </si>
  <si>
    <t>sportdarbazis xis iatakis mowyoba             (gembanuri, 10-12sm siganis, mSrali, wiwvovani jiSi, "SipebSi" Camjdari)</t>
  </si>
  <si>
    <t>11-9-3</t>
  </si>
  <si>
    <t>lagebis mowyoba</t>
  </si>
  <si>
    <t>xis lagebi</t>
  </si>
  <si>
    <t>11-27-2</t>
  </si>
  <si>
    <t>xis iatakis mowyoba</t>
  </si>
  <si>
    <t>ficari 37mm (10-12sm siganis, mSrali, wiwvovani jiSi, "SipebSi" Camjdari)</t>
  </si>
  <si>
    <t>xis iatakis moxvewa da galaqva 2 piri wasma</t>
  </si>
  <si>
    <t>parketis laqi</t>
  </si>
  <si>
    <t>1504</t>
  </si>
  <si>
    <t>0209</t>
  </si>
  <si>
    <t>1554</t>
  </si>
  <si>
    <t>0926</t>
  </si>
  <si>
    <t>1523</t>
  </si>
  <si>
    <t>1430</t>
  </si>
  <si>
    <t>xsnaris tumbo  3kbm/sT</t>
  </si>
  <si>
    <t>1431</t>
  </si>
  <si>
    <t>xsnaris tumbo  1kbm/sT</t>
  </si>
  <si>
    <t>xsnaris tumbo  3,0kbm/sT</t>
  </si>
  <si>
    <t>4,1,538</t>
  </si>
  <si>
    <t xml:space="preserve">monoliTuri rk/betonis wertilovani saZirkvlis mowyoba </t>
  </si>
  <si>
    <t>1,6,5</t>
  </si>
  <si>
    <t>snf                       15-15</t>
  </si>
  <si>
    <t>6-1-22</t>
  </si>
  <si>
    <t>amwe - kranis momsaxureoba 10t</t>
  </si>
  <si>
    <t>liTonis Robe</t>
  </si>
  <si>
    <t>liTonis konstruqcia samontaJo</t>
  </si>
  <si>
    <t>7-22-1</t>
  </si>
  <si>
    <t>samSeneblo qanCi WanWikiT</t>
  </si>
  <si>
    <t>eleqtrodi d=4mm</t>
  </si>
  <si>
    <t>liTonis konstruqciebis SeRebva antikoroziuli saRebaviT</t>
  </si>
  <si>
    <t>7-22-8</t>
  </si>
  <si>
    <t>48-18-4</t>
  </si>
  <si>
    <t>teritoriaze balaxis daTesva</t>
  </si>
  <si>
    <t>qviSa-cementis xsnari  m.100</t>
  </si>
  <si>
    <t>6-1-1</t>
  </si>
  <si>
    <t>100kv.m.</t>
  </si>
  <si>
    <t>6</t>
  </si>
  <si>
    <t xml:space="preserve">SromiTi resursebi                                                </t>
  </si>
  <si>
    <t xml:space="preserve">kac/sT                                                               </t>
  </si>
  <si>
    <t>kub.m.</t>
  </si>
  <si>
    <t xml:space="preserve">liTonis kutikaris damzadeba da montaJi  </t>
  </si>
  <si>
    <t>liTonis WiSkari (aqsesuarebiT)</t>
  </si>
  <si>
    <t>0470</t>
  </si>
  <si>
    <t>ceclmaqri fxvnilis Semcveli  baloni  10 l</t>
  </si>
  <si>
    <t>saxanZro sainventaro karadis montaJi, fxnilis Semcveli
cecmaqri saSualebebiT</t>
  </si>
  <si>
    <t>betoni ბ.7,5</t>
  </si>
  <si>
    <t>Senobis Sida wyalsadenisa da kanalizaciis qselis montaJis samuSaoebi</t>
  </si>
  <si>
    <t>Senobis centraluri gaTbobis sistemis montajis samuSaoebi</t>
  </si>
  <si>
    <t>16</t>
  </si>
  <si>
    <t>ZviradRirebuli mowyobilobebi da danadgarebi</t>
  </si>
  <si>
    <t>lokaluri ხ ა რ ჯ თ ა ღ რ ი ც ვ ხ ვ ა #7</t>
  </si>
  <si>
    <t>lk 7</t>
  </si>
  <si>
    <t>sul danaxarjebi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</si>
  <si>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</t>
    </r>
  </si>
  <si>
    <r>
      <t>armatura</t>
    </r>
    <r>
      <rPr>
        <sz val="11"/>
        <color rgb="FFFF0000"/>
        <rFont val="Times New Roman"/>
        <family val="1"/>
        <charset val="204"/>
      </rPr>
      <t xml:space="preserve"> A-I</t>
    </r>
  </si>
  <si>
    <t>komp.</t>
  </si>
  <si>
    <t>1</t>
  </si>
  <si>
    <t>2</t>
  </si>
  <si>
    <t>4</t>
  </si>
  <si>
    <t>7</t>
  </si>
  <si>
    <t>10</t>
  </si>
  <si>
    <t>11</t>
  </si>
  <si>
    <t>15</t>
  </si>
  <si>
    <t>17</t>
  </si>
  <si>
    <t xml:space="preserve">tribunis skamebis SeZena montaJi </t>
  </si>
  <si>
    <t>c/kompl</t>
  </si>
  <si>
    <t>6-16-6
gamoy.</t>
  </si>
  <si>
    <t>1,2</t>
  </si>
  <si>
    <t>tribunis gadaxurvis liTonis fermebis mowyoba</t>
  </si>
  <si>
    <t xml:space="preserve">sul liTonis konstruqcia </t>
  </si>
  <si>
    <t>avtoamwe krani 25tn</t>
  </si>
  <si>
    <t>tribunis liTonis fermebis mowyoba</t>
  </si>
  <si>
    <t>saqvabe Senobis mowyoba</t>
  </si>
  <si>
    <t>betonis mosamzadebeli fenis mowyoba  saZirkvlis rk/betonis filis qveS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</si>
  <si>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 </t>
    </r>
  </si>
  <si>
    <r>
      <t xml:space="preserve">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</si>
  <si>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</si>
  <si>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</si>
  <si>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t>monoliTuri r/b rigelebvis mowyoba</t>
  </si>
  <si>
    <r>
      <t xml:space="preserve"> betoni </t>
    </r>
    <r>
      <rPr>
        <sz val="11"/>
        <rFont val="Arial"/>
        <family val="2"/>
        <charset val="204"/>
      </rPr>
      <t>B25</t>
    </r>
  </si>
  <si>
    <t xml:space="preserve">saqvabis Senobis monoliTuri rk/betonis gadaxurvis filis mowyoba +3,20 niSnulze </t>
  </si>
  <si>
    <t>betonis wyalsarinis mowyoba Senobis garSemo</t>
  </si>
  <si>
    <t>ZiriTadi Senobisa da tribunis saxuravis mowyoba</t>
  </si>
  <si>
    <t>18</t>
  </si>
  <si>
    <t>kedlebis mopirketeba keramikuli filiT kafeliT</t>
  </si>
  <si>
    <t>Sromis danaxarJi</t>
  </si>
  <si>
    <t>tribunis rk.betonis terasebis morkinva cvetamedegi SriT</t>
  </si>
  <si>
    <t>1,1</t>
  </si>
  <si>
    <t>monoliTuri rk.betoni saZirkvlis filis mowyoba</t>
  </si>
  <si>
    <t>6-1-16</t>
  </si>
  <si>
    <t>monoliTuri r/b  saZirkvlis mowyoba</t>
  </si>
  <si>
    <t>yalibis fari  25mm</t>
  </si>
  <si>
    <t>yalibis fari 25mm</t>
  </si>
  <si>
    <r>
      <t xml:space="preserve">armatura </t>
    </r>
    <r>
      <rPr>
        <sz val="11"/>
        <color rgb="FFFF0000"/>
        <rFont val="Times New Roman"/>
        <family val="1"/>
        <charset val="204"/>
      </rPr>
      <t>A-I</t>
    </r>
  </si>
  <si>
    <r>
      <t xml:space="preserve">laminirebuli  plintusi, montaJi    </t>
    </r>
    <r>
      <rPr>
        <b/>
        <sz val="11"/>
        <color theme="1"/>
        <rFont val="Sylfaen"/>
        <family val="2"/>
        <charset val="204"/>
        <scheme val="minor"/>
      </rPr>
      <t>h</t>
    </r>
    <r>
      <rPr>
        <b/>
        <sz val="11"/>
        <color theme="1"/>
        <rFont val="AcadNusx"/>
      </rPr>
      <t xml:space="preserve">=5-7 sm, sisqiT 2,5mm    </t>
    </r>
  </si>
  <si>
    <r>
      <t xml:space="preserve">kuTxeebis damcavi kuTxovanebis mowyoba </t>
    </r>
    <r>
      <rPr>
        <sz val="11"/>
        <rFont val="AcadNusx"/>
      </rPr>
      <t>(4X4X150sm.)</t>
    </r>
  </si>
  <si>
    <r>
      <rPr>
        <sz val="11"/>
        <rFont val="Sylfaen"/>
        <family val="2"/>
        <charset val="204"/>
        <scheme val="minor"/>
      </rPr>
      <t>XPS</t>
    </r>
    <r>
      <rPr>
        <sz val="11"/>
        <rFont val="AcadNusx"/>
      </rPr>
      <t>-is safasade kompozituri paneli  30mm sisqis</t>
    </r>
  </si>
  <si>
    <t>snf 15</t>
  </si>
  <si>
    <t>4,1</t>
  </si>
  <si>
    <t>4,2</t>
  </si>
  <si>
    <t>4,3</t>
  </si>
  <si>
    <t>6,1</t>
  </si>
  <si>
    <t>7,1</t>
  </si>
  <si>
    <t>foladis konstruqcia:</t>
  </si>
  <si>
    <t>10,1</t>
  </si>
  <si>
    <t>13,1</t>
  </si>
  <si>
    <t>13,3</t>
  </si>
  <si>
    <t>7,2</t>
  </si>
  <si>
    <t>7,3</t>
  </si>
  <si>
    <t>7,4</t>
  </si>
  <si>
    <t>7,5</t>
  </si>
  <si>
    <t>5,2</t>
  </si>
  <si>
    <t>9,1</t>
  </si>
  <si>
    <t>9,2</t>
  </si>
  <si>
    <t>Zalovani farebisa da qvefarebis montaJi</t>
  </si>
  <si>
    <t>el.ganaTebis  qselis montaJi</t>
  </si>
  <si>
    <t>gamanawilebeli kolofebis montaJi</t>
  </si>
  <si>
    <r>
      <t>gamanawilebeli kolofi
dacvis klasi</t>
    </r>
    <r>
      <rPr>
        <sz val="11"/>
        <rFont val="Sylfaen"/>
        <family val="2"/>
        <charset val="204"/>
        <scheme val="minor"/>
      </rPr>
      <t xml:space="preserve"> IP 20</t>
    </r>
  </si>
  <si>
    <t>სპილენძის სადენების montaJi</t>
  </si>
  <si>
    <t>I samSeneblo samuSaoebi</t>
  </si>
  <si>
    <t>1-12-6.</t>
  </si>
  <si>
    <t>sakabelo Txrilis mowyoba  eqskavatoriT muxluxa svlaze, CamCis moc. 0,25kub.m. (kabelebisaTvis)</t>
  </si>
  <si>
    <t>1000 kbm</t>
  </si>
  <si>
    <t>eqskavatoris eqspluatacia  0,25kbm CamCiT</t>
  </si>
  <si>
    <t>gruntis Semdgomi damuSaveba xeliT</t>
  </si>
  <si>
    <t>23-1-1.</t>
  </si>
  <si>
    <t xml:space="preserve">qviSis safaris mowyoba milebisaTvis </t>
  </si>
  <si>
    <t xml:space="preserve">qviSa </t>
  </si>
  <si>
    <t>kabelis dafarva sasignalo lentiT</t>
  </si>
  <si>
    <t>sasignalo mauwyebeli zolovani lenti</t>
  </si>
  <si>
    <t>1-81-3</t>
  </si>
  <si>
    <t>gruntis ukan Cayra xeliT da mosworeba</t>
  </si>
  <si>
    <t>kub.m</t>
  </si>
  <si>
    <t xml:space="preserve">zedmeti gruntis datvirTva xeliT avtoTviTmclelebze </t>
  </si>
  <si>
    <t>sul I Tavi</t>
  </si>
  <si>
    <t>II samontaJo samuSaoebi</t>
  </si>
  <si>
    <t>СНиП
IV-6-82
8-471-1</t>
  </si>
  <si>
    <t>horizontaluri damiwebis konturis mowyoba</t>
  </si>
  <si>
    <t>sul II Tavi</t>
  </si>
  <si>
    <t>moTuTiebuli zolovana  40X4</t>
  </si>
  <si>
    <r>
      <t xml:space="preserve">betoni </t>
    </r>
    <r>
      <rPr>
        <sz val="11"/>
        <rFont val="Arial"/>
        <family val="2"/>
        <charset val="204"/>
      </rPr>
      <t>B7.5</t>
    </r>
  </si>
  <si>
    <r>
      <t xml:space="preserve">liTonis WiSkris damzadeba da montaJi </t>
    </r>
    <r>
      <rPr>
        <sz val="11"/>
        <rFont val="AcadNusx"/>
      </rPr>
      <t xml:space="preserve">(samanqano Sesasvleli)  </t>
    </r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</si>
  <si>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</si>
  <si>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r>
      <t>anakrebi rk/betonis Wis montaJi</t>
    </r>
    <r>
      <rPr>
        <sz val="11"/>
        <rFont val="AcadNusx"/>
      </rPr>
      <t xml:space="preserve"> </t>
    </r>
  </si>
  <si>
    <r>
      <t>anakrebi Wis rgolebi</t>
    </r>
    <r>
      <rPr>
        <sz val="11"/>
        <rFont val="Sylfaen"/>
        <family val="2"/>
        <charset val="204"/>
        <scheme val="minor"/>
      </rPr>
      <t xml:space="preserve">               Ø</t>
    </r>
    <r>
      <rPr>
        <sz val="11"/>
        <rFont val="AcadNusx"/>
      </rPr>
      <t>1000mm;</t>
    </r>
    <r>
      <rPr>
        <sz val="11"/>
        <rFont val="Sylfaen"/>
        <family val="2"/>
        <charset val="204"/>
        <scheme val="minor"/>
      </rPr>
      <t xml:space="preserve"> H</t>
    </r>
    <r>
      <rPr>
        <sz val="11"/>
        <rFont val="AcadNusx"/>
      </rPr>
      <t>=1.0m</t>
    </r>
  </si>
  <si>
    <t>იატაკის ფენქოილი გათბობის სიმძლავრით: 6.50 კვტ</t>
  </si>
  <si>
    <t>იატაკის ფენქოილი გათბობის სიმძლავრით: 8.50 კვტ</t>
  </si>
  <si>
    <t xml:space="preserve">მილების თბოიზოლაცია შლანგური კაუჩუკით, იზოლაციის სისქე 13მმ , იზოლაციის თბოგამტარობა არანაკლებ 0,45ვტ/მ.0C </t>
  </si>
  <si>
    <t>ქურო d-32მმ  PN 25</t>
  </si>
  <si>
    <t>ქურო d-40მმ  PN 25</t>
  </si>
  <si>
    <t>ქურო d-50მმ  PN 25</t>
  </si>
  <si>
    <t>დამხმარე სამონტაჟო მასალები</t>
  </si>
  <si>
    <t>დამხმარე და საინსტალაციო მასალები</t>
  </si>
  <si>
    <t>პანელური რადიატორი 600-600   22 PKKP  kwT=1,0</t>
  </si>
  <si>
    <t>პანელური რადიატორი 600-900   22 PKKP  kwT=1,5</t>
  </si>
  <si>
    <t>პანელური რადიატორი 600-1000   22 PKKP  kwT=1,7</t>
  </si>
  <si>
    <t>პანელური რადიატორი 600-1100   22 PKKP  kwT=1,6</t>
  </si>
  <si>
    <t>პანელური რადიატორი 600-1200   22 PKKP  kwT=2,0</t>
  </si>
  <si>
    <t>პანელური რადიატორი 600-1400   22 PKKP  kwT=2,3</t>
  </si>
  <si>
    <t>პანელური რადიატორი 600-1600   22 PKKP  kwT=2,6</t>
  </si>
  <si>
    <t>პანელური რადიატორი 600-1800   22 PKKP  kwT=4,1</t>
  </si>
  <si>
    <t xml:space="preserve">radiatoris ventili pirdapiri </t>
  </si>
  <si>
    <t>drosel ventili pirdapiri</t>
  </si>
  <si>
    <t>gaTbobis sistemis montaJi</t>
  </si>
  <si>
    <t>avtomaturi sahaero onkani</t>
  </si>
  <si>
    <t>minaboWkovani mili  d-20</t>
  </si>
  <si>
    <t>minaboWkovani milis montaJi d-20</t>
  </si>
  <si>
    <t>minaboWkovani milis montaJi d-25</t>
  </si>
  <si>
    <t>minaboWkovani mili  d-25</t>
  </si>
  <si>
    <t>minaboWkovani milis montaJi d-32</t>
  </si>
  <si>
    <t>minaboWkovani mili  d-32</t>
  </si>
  <si>
    <t>minaboWkovani milis montaJi d-40</t>
  </si>
  <si>
    <t>minaboWkovani mili  d-40</t>
  </si>
  <si>
    <t>minaboWkovani milis montaJi d-50</t>
  </si>
  <si>
    <t>minaboWkovani mili  d-50</t>
  </si>
  <si>
    <r>
      <t xml:space="preserve">kedlis kondicioneri,                                         split-sistema, zamTar-zafxulis reJimiT </t>
    </r>
    <r>
      <rPr>
        <b/>
        <sz val="11"/>
        <rFont val="Sylfaen"/>
        <family val="2"/>
        <charset val="204"/>
        <scheme val="minor"/>
      </rPr>
      <t>Q</t>
    </r>
    <r>
      <rPr>
        <b/>
        <vertAlign val="subscript"/>
        <sz val="11"/>
        <rFont val="AcadNusx"/>
      </rPr>
      <t>sic</t>
    </r>
    <r>
      <rPr>
        <b/>
        <sz val="11"/>
        <rFont val="AcadNusx"/>
      </rPr>
      <t>=2,5kvt</t>
    </r>
  </si>
  <si>
    <r>
      <t xml:space="preserve">kedlis kondicioneri,                                         split-sistema, zamTar-zafxulis reJimiT </t>
    </r>
    <r>
      <rPr>
        <b/>
        <sz val="11"/>
        <rFont val="Sylfaen"/>
        <family val="2"/>
        <charset val="204"/>
        <scheme val="minor"/>
      </rPr>
      <t>Q</t>
    </r>
    <r>
      <rPr>
        <b/>
        <vertAlign val="subscript"/>
        <sz val="11"/>
        <rFont val="AcadNusx"/>
      </rPr>
      <t>sic</t>
    </r>
    <r>
      <rPr>
        <b/>
        <sz val="11"/>
        <rFont val="AcadNusx"/>
      </rPr>
      <t>=3,6kvt</t>
    </r>
  </si>
  <si>
    <r>
      <t xml:space="preserve">kedlis kondicioneri,                                         split-sistema, zamTar-zafxulis reJimiT </t>
    </r>
    <r>
      <rPr>
        <b/>
        <sz val="11"/>
        <rFont val="Sylfaen"/>
        <family val="2"/>
        <charset val="204"/>
        <scheme val="minor"/>
      </rPr>
      <t>Q</t>
    </r>
    <r>
      <rPr>
        <b/>
        <vertAlign val="subscript"/>
        <sz val="11"/>
        <rFont val="AcadNusx"/>
      </rPr>
      <t>sic</t>
    </r>
    <r>
      <rPr>
        <b/>
        <sz val="11"/>
        <rFont val="AcadNusx"/>
      </rPr>
      <t>=7,0kvt</t>
    </r>
  </si>
  <si>
    <t>kedlis kondicioneri,                                         split-sistema, zamTar-zafxulis reJimiT</t>
  </si>
  <si>
    <t>sadrenaJe rbili mili  d-32 (yvela sistemisaTvis)</t>
  </si>
  <si>
    <t xml:space="preserve">g/m </t>
  </si>
  <si>
    <t>Senobis gaTboba gagrilebisa da ventiliaciis sitemebis montaJi</t>
  </si>
  <si>
    <t>ventiliaciis sistemis montaJi</t>
  </si>
  <si>
    <t>gagrilebis sistemis montaJi</t>
  </si>
  <si>
    <t>arxuli ventiliatoris montaJi</t>
  </si>
  <si>
    <t>20-1-2 gam.</t>
  </si>
  <si>
    <t>samagri</t>
  </si>
  <si>
    <t>2,1</t>
  </si>
  <si>
    <t>2,2</t>
  </si>
  <si>
    <t>6,2</t>
  </si>
  <si>
    <t>ქვაბის დამხმარე და საინსტალაციო მასალა</t>
  </si>
  <si>
    <t>gaTbobis qvabis montaJi</t>
  </si>
  <si>
    <t>ucxouri warmoebis, bunebriv airze momuSave, gazis dabal Tbounarianobaze gaTvlili, orsafexuriani sanTura SerCeuli qvabisaTvis</t>
  </si>
  <si>
    <t>22-5-6</t>
  </si>
  <si>
    <t>foladis mili d-219*7</t>
  </si>
  <si>
    <t>sakvamle milis mowyoba d-219*7 h=5,0m  2c</t>
  </si>
  <si>
    <t>sakvamle milis Tboizolacia bazaltis boWkos bambis folgiani leibiT 50mm sisqiT  13kvm</t>
  </si>
  <si>
    <t>bazaltis boWkos bambis Tboizolacia folgiani leibiT  (rulonuri)</t>
  </si>
  <si>
    <t>2,3</t>
  </si>
  <si>
    <t>foladis milis antikoroziuli SeRebva</t>
  </si>
  <si>
    <t>sarebavi antikoroziuli</t>
  </si>
  <si>
    <t>olifa</t>
  </si>
  <si>
    <t xml:space="preserve">foladis moTuTiebuli furcliT (0,8mm sisqis) izolirebuli milis garsacmis mowyoba </t>
  </si>
  <si>
    <t>ჰაერსატარი მოთუთიებული ფოლადის სისქით 0,8მმ</t>
  </si>
  <si>
    <t>2,4</t>
  </si>
  <si>
    <t>safarToebeli avzis mowyoba</t>
  </si>
  <si>
    <r>
      <t xml:space="preserve">ucxouri warmoebis V=80l tevadobis membraniani, daxuruli safarToebeli avzi Ф450mm </t>
    </r>
    <r>
      <rPr>
        <sz val="11"/>
        <rFont val="Sylfaen"/>
        <family val="2"/>
        <charset val="204"/>
        <scheme val="minor"/>
      </rPr>
      <t>H</t>
    </r>
    <r>
      <rPr>
        <sz val="11"/>
        <rFont val="AcadNusx"/>
      </rPr>
      <t>=850mm</t>
    </r>
  </si>
  <si>
    <t>18–6–1</t>
  </si>
  <si>
    <t>20-12-1</t>
  </si>
  <si>
    <t>defleqtoris montaJi</t>
  </si>
  <si>
    <t>defleqtori d-500 mm</t>
  </si>
  <si>
    <t>16-12-1</t>
  </si>
  <si>
    <t>ventilebis da sarqvelebis mowyoba</t>
  </si>
  <si>
    <t>Camketi ventili d-20</t>
  </si>
  <si>
    <t>Camketi ventili d-25</t>
  </si>
  <si>
    <t>Camketi ventili d-32</t>
  </si>
  <si>
    <t>Camketi ventili d-40</t>
  </si>
  <si>
    <t>Camketi urduli d-50</t>
  </si>
  <si>
    <t>ukusarqveli d-50</t>
  </si>
  <si>
    <t>tumbos montaJi</t>
  </si>
  <si>
    <t>18-15-4</t>
  </si>
  <si>
    <t>Termometrebis montaJi</t>
  </si>
  <si>
    <t>Cqarosnul moculobiTi wyalgamacxeleblis montaJi</t>
  </si>
  <si>
    <t>Termostatis montaJi</t>
  </si>
  <si>
    <t xml:space="preserve">xelsabanis onkani </t>
  </si>
  <si>
    <t>trapi plastmasis d=100mm</t>
  </si>
  <si>
    <t>Senobis Sida da gare wyalsadenisa da kanalizaciis qselis montaJi</t>
  </si>
  <si>
    <t>უნიტაზი Camrecxi avziT drekadi miliT d-15 l=40sm</t>
  </si>
  <si>
    <t>17-5-1</t>
  </si>
  <si>
    <t>fisuarebis montaJi</t>
  </si>
  <si>
    <t>fisuari - sifoniT, fisuaris onkaniT, drekadi miliT d-15 l=40sm</t>
  </si>
  <si>
    <t>cxeli წყლის პლastmasis folgiani  მილების მოntaJi d-20</t>
  </si>
  <si>
    <t>მილი  პლastmasis folgiani    d-20</t>
  </si>
  <si>
    <t>cxeli წყლის პლastmasis folgiani  მილების მოntaJi d-25</t>
  </si>
  <si>
    <t>მილი  პლastmasis folgiani    d-25</t>
  </si>
  <si>
    <t>cxeli წყლის პლastmasis folgiani მილების მოntaJi d-32</t>
  </si>
  <si>
    <t>მილი  პლastmasis folgiani    d-32</t>
  </si>
  <si>
    <t>pl. muxli S/x d-20</t>
  </si>
  <si>
    <t>pl. muxli d-20</t>
  </si>
  <si>
    <t>pl. muxli d-25</t>
  </si>
  <si>
    <t>pl. muxli d-32</t>
  </si>
  <si>
    <t>pl. quro d-20</t>
  </si>
  <si>
    <t>pl. quro d-25</t>
  </si>
  <si>
    <t>pl. quro d-32</t>
  </si>
  <si>
    <t>pl. quro d-40</t>
  </si>
  <si>
    <t>pl. gadamyvani d-25X20</t>
  </si>
  <si>
    <t>pl. gadamyvani d-32X20</t>
  </si>
  <si>
    <t>pl. gadamyvani d-32X25</t>
  </si>
  <si>
    <t>pl. gadamyvani d-40X32</t>
  </si>
  <si>
    <t>pl. samkapi d-20*20</t>
  </si>
  <si>
    <t>pl. samkapi d-25*20</t>
  </si>
  <si>
    <t>pl. samkapi d-32*20</t>
  </si>
  <si>
    <t>pl. samkapi d-32*25</t>
  </si>
  <si>
    <t>pl. samkapi d-32*32</t>
  </si>
  <si>
    <t>pl. samkapi d-40*20</t>
  </si>
  <si>
    <t>pl. samkapi d-40*32</t>
  </si>
  <si>
    <t>plasmasis mili d=50mm</t>
  </si>
  <si>
    <t>17-1-10</t>
  </si>
  <si>
    <t>pl. revizia d-100</t>
  </si>
  <si>
    <t>pl. sacobi d-50</t>
  </si>
  <si>
    <t>pl. sacobi d-100</t>
  </si>
  <si>
    <t>pl. gadamyvani d-100*50</t>
  </si>
  <si>
    <t>pl. muxli (unitazisaTvis)    d-100</t>
  </si>
  <si>
    <t>pl. quro d-50</t>
  </si>
  <si>
    <t>pl. quro d-100</t>
  </si>
  <si>
    <t>gamomwvari mavTuli milebis dasamagreblad</t>
  </si>
  <si>
    <t>1-22-15</t>
  </si>
  <si>
    <r>
      <t>1000 m</t>
    </r>
    <r>
      <rPr>
        <b/>
        <vertAlign val="superscript"/>
        <sz val="10"/>
        <rFont val="AcadNusx"/>
      </rPr>
      <t>3</t>
    </r>
  </si>
  <si>
    <t>eqskavatori 0,5kbm CamCiT</t>
  </si>
  <si>
    <t>tranSeas xeliT damuSaveba</t>
  </si>
  <si>
    <r>
      <t xml:space="preserve">xelovnuri qviSovani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</si>
  <si>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t xml:space="preserve">tranSeis Sevseba gruntiT - gruntis ukuCayra </t>
  </si>
  <si>
    <t>gruntis datvirTva xeliT           avtoTviTmclelze</t>
  </si>
  <si>
    <t>pl quro d-40</t>
  </si>
  <si>
    <t>pl muxli d-40</t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</si>
  <si>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100mm</t>
    </r>
  </si>
  <si>
    <t>pl quro d-100</t>
  </si>
  <si>
    <t>pl.მილის მოntaJi d-40</t>
  </si>
  <si>
    <r>
      <t xml:space="preserve">pl mili </t>
    </r>
    <r>
      <rPr>
        <sz val="11"/>
        <rFont val="Sylfaen"/>
        <family val="2"/>
        <charset val="204"/>
        <scheme val="minor"/>
      </rPr>
      <t xml:space="preserve">PE </t>
    </r>
    <r>
      <rPr>
        <sz val="11"/>
        <rFont val="AcadNusx"/>
      </rPr>
      <t xml:space="preserve">d-40  </t>
    </r>
    <r>
      <rPr>
        <sz val="11"/>
        <rFont val="Sylfaen"/>
        <family val="2"/>
        <charset val="204"/>
        <scheme val="minor"/>
      </rPr>
      <t xml:space="preserve"> PN-10</t>
    </r>
  </si>
  <si>
    <t>pl.მილის მოntaJi d-63</t>
  </si>
  <si>
    <r>
      <t xml:space="preserve">pl mili </t>
    </r>
    <r>
      <rPr>
        <sz val="11"/>
        <rFont val="Sylfaen"/>
        <family val="2"/>
        <charset val="204"/>
        <scheme val="minor"/>
      </rPr>
      <t xml:space="preserve">PE </t>
    </r>
    <r>
      <rPr>
        <sz val="11"/>
        <rFont val="AcadNusx"/>
      </rPr>
      <t xml:space="preserve">d-63 </t>
    </r>
    <r>
      <rPr>
        <sz val="11"/>
        <rFont val="Sylfaen"/>
        <family val="2"/>
        <charset val="204"/>
        <scheme val="minor"/>
      </rPr>
      <t xml:space="preserve"> PN-10</t>
    </r>
  </si>
  <si>
    <t>ventilebis montaJi</t>
  </si>
  <si>
    <t>urdulis montaJi</t>
  </si>
  <si>
    <t>foladis urduli d-125</t>
  </si>
  <si>
    <t>foladis miltuCi misaduRebeli d-125</t>
  </si>
  <si>
    <t>swrafgad SesaerTebeli naxevrad qanCi d-125</t>
  </si>
  <si>
    <t>sakanalizacio plastmasis milis montaJi 50 mm</t>
  </si>
  <si>
    <t>liTonis avzis SeZena montaJi V-60kbm moculobiT</t>
  </si>
  <si>
    <t>15-164-2</t>
  </si>
  <si>
    <t>saxanZro avzis gare zedapiris orjeradiantikoroziuli damuSaveba</t>
  </si>
  <si>
    <t>milebis Tboizolacia gubkiT</t>
  </si>
  <si>
    <t>wyalsadenis qselis montaJi                            (civi da cxeli wyalmomarageba)</t>
  </si>
  <si>
    <t>მილი პლ. d-20 ufolgo</t>
  </si>
  <si>
    <t>ცივი წყლისათვის პლასტმასის მილების მოntaJi d-20</t>
  </si>
  <si>
    <t>ცივი წყლისათვის პლასტმასის მილების მოntaJi d-25</t>
  </si>
  <si>
    <t>მილი პლ. d-25 ufolgo</t>
  </si>
  <si>
    <t>ცივი წყლისათვის პლასტმასის მილების მოntaJi d-32</t>
  </si>
  <si>
    <t>მილი პლ. d-32 ufolgo</t>
  </si>
  <si>
    <t>ცივი წყლისათვის პლასტმასის მილების მოntaJi d-40</t>
  </si>
  <si>
    <t>მილი პლ. d-40 ufolgo</t>
  </si>
  <si>
    <t>ცივი წყლისათვის პლასტმასის მილების მოntaJi d-50</t>
  </si>
  <si>
    <t>მილი პლ. d-50 ufolgo</t>
  </si>
  <si>
    <t>cxeli წყლის პლastmasis folgiani მილებi d-40</t>
  </si>
  <si>
    <t>pl. milebis Tboizolacia   d-25 (gubkiT)</t>
  </si>
  <si>
    <t>სფერული ვენტილი დ= 20 მმ pl.</t>
  </si>
  <si>
    <t>სფერული ვენტილი დ= 25 მმ pl.</t>
  </si>
  <si>
    <t>სფერული ვენტილი დ= 32 მმ pl.</t>
  </si>
  <si>
    <t xml:space="preserve">სფერული ვენტილი დ= 40 მმ pl. </t>
  </si>
  <si>
    <t xml:space="preserve">სფერული ვენტილი დ= 50 მმ pl. </t>
  </si>
  <si>
    <t>pl. muxli d-40</t>
  </si>
  <si>
    <t>pl. muxli d-50</t>
  </si>
  <si>
    <t>pl. gadamyvani d-40X20</t>
  </si>
  <si>
    <t>pl. gadamyvani d-40X25</t>
  </si>
  <si>
    <t>pl. gadamyvani d-50X20</t>
  </si>
  <si>
    <t>pl. gadamyvani d-50X25</t>
  </si>
  <si>
    <t>pl. gadamyvani d-50X32</t>
  </si>
  <si>
    <t>pl. gadamyvani d-50X40</t>
  </si>
  <si>
    <t>pl. samkapi d-25*25</t>
  </si>
  <si>
    <t>pl. samkapi d-40*25</t>
  </si>
  <si>
    <t>pl. samkapi d-40*40</t>
  </si>
  <si>
    <t>pl. samkapi d-50*20</t>
  </si>
  <si>
    <t>pl. samkapi d-50*25</t>
  </si>
  <si>
    <t>pl. samkapi d-50*32</t>
  </si>
  <si>
    <t>pl. samkapi d-50*40</t>
  </si>
  <si>
    <t>pl. samkapi d-50*50</t>
  </si>
  <si>
    <t>pl. milis samagri d-20 (horizontaluri milebis)</t>
  </si>
  <si>
    <t>pl. milis samagri d-25 (horizontaluri milebis)</t>
  </si>
  <si>
    <t>pl. milis samagri d-32 (horizontaluri milebis)</t>
  </si>
  <si>
    <t>pl. milis samagri d-40 (horizontaluri milebis)</t>
  </si>
  <si>
    <t>betonis lursmani (dubeli) vertikaluri milebis</t>
  </si>
  <si>
    <r>
      <t>pl. samkapi a-45</t>
    </r>
    <r>
      <rPr>
        <vertAlign val="superscript"/>
        <sz val="11"/>
        <color theme="1"/>
        <rFont val="AcadNusx"/>
      </rPr>
      <t>0</t>
    </r>
    <r>
      <rPr>
        <sz val="11"/>
        <color theme="1"/>
        <rFont val="AcadNusx"/>
      </rPr>
      <t xml:space="preserve"> d-100*100</t>
    </r>
  </si>
  <si>
    <t>rezinis gadamyvani d-50*32 pirsabanTan</t>
  </si>
  <si>
    <t>pl. milis samagri d-100 (horizontaluri milebisaTvis)</t>
  </si>
  <si>
    <t>pl. milis samagri d-50 (horizontaluri milebisaTvis)</t>
  </si>
  <si>
    <t>betonis lursmani (dubeli) (vertikaluri milebisaTvis)</t>
  </si>
  <si>
    <t xml:space="preserve">tranSeas mowyoba milis montaJisaTvis (sigane 0.5m siRrme 0.8m)  </t>
  </si>
  <si>
    <t>მილი პლ. d-40 folgiani</t>
  </si>
  <si>
    <t>cxeli წყლის პლastmasis folgiani მილებi d-50</t>
  </si>
  <si>
    <t>მილი პლ. d-50 folgiani</t>
  </si>
  <si>
    <t>pl samkapi d-50*40</t>
  </si>
  <si>
    <t>pl samkapi d-50*50</t>
  </si>
  <si>
    <t>pl quro d-50</t>
  </si>
  <si>
    <t>pl muxli d-50</t>
  </si>
  <si>
    <t>tranSeas gaTxra milebis montaJisaTvis fskeris siganiT 0,5m siRrme 0,8m</t>
  </si>
  <si>
    <r>
      <t xml:space="preserve">plastmasis mili </t>
    </r>
    <r>
      <rPr>
        <sz val="11"/>
        <rFont val="Calibri"/>
        <family val="2"/>
        <charset val="204"/>
      </rPr>
      <t>Ø5</t>
    </r>
    <r>
      <rPr>
        <sz val="11"/>
        <rFont val="AcadNusx"/>
      </rPr>
      <t>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</si>
  <si>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150mm</t>
    </r>
  </si>
  <si>
    <t>pl quro d-150</t>
  </si>
  <si>
    <t>d-1500 h-1500+d-1500 h-1000  220+153 კან სატუმბო</t>
  </si>
  <si>
    <t xml:space="preserve">milebis Tboizolacia </t>
  </si>
  <si>
    <t>kanalizaciis Wis satumbo</t>
  </si>
  <si>
    <t>saxnZro avzisa da teqnologiuri milsadeni</t>
  </si>
  <si>
    <t>ventili  d-100</t>
  </si>
  <si>
    <t>ukusarqveli d-100</t>
  </si>
  <si>
    <r>
      <t xml:space="preserve">liTonis kibe </t>
    </r>
    <r>
      <rPr>
        <b/>
        <sz val="11"/>
        <rFont val="Sylfaen"/>
        <family val="2"/>
        <charset val="204"/>
        <scheme val="minor"/>
      </rPr>
      <t>L</t>
    </r>
    <r>
      <rPr>
        <b/>
        <sz val="11"/>
        <rFont val="AcadNusx"/>
      </rPr>
      <t>=2.6m</t>
    </r>
  </si>
  <si>
    <t>qvabis damcavi sarqveli d-32</t>
  </si>
  <si>
    <t>18-4-1 gam.</t>
  </si>
  <si>
    <t>Termostati СОЗ А2</t>
  </si>
  <si>
    <t>haergamSvebis  montaJi</t>
  </si>
  <si>
    <t>horizontaluri haergamSvebi avtomaturi  d-159/4,5</t>
  </si>
  <si>
    <t>sahaero onkani</t>
  </si>
  <si>
    <t>მილების თბოიზოლაცია bazaltis boWkos bambiT</t>
  </si>
  <si>
    <t>bazaltis Tbosaizolacio rulonuri masala</t>
  </si>
  <si>
    <t>Tboqselis montaJi</t>
  </si>
  <si>
    <t>მილების თბოიზოლაცია bazaltis boWkos bambiT  50mm sisqis</t>
  </si>
  <si>
    <t>sakanalizacio plastmasis milebis damontaJeba 200 mm</t>
  </si>
  <si>
    <t>plasmasis mili gofrirebuli d=200mm</t>
  </si>
  <si>
    <t xml:space="preserve">tranSeas mowyoba milebis montaJisaTvis </t>
  </si>
  <si>
    <t xml:space="preserve">milebis montaJis Semdeg tranSeis Sevseba gruntiT - gruntis ukuCayra </t>
  </si>
  <si>
    <t>metaloplastmasis fanjris blokebi       (feradi 6sm sisqis) (evro gaRebis meqanizmiT)</t>
  </si>
  <si>
    <t>metlaxis fila</t>
  </si>
  <si>
    <r>
      <t xml:space="preserve">CaZiruli  kanalizaciis tumbo, damanawilebeli mWreli mowyobilobebiT </t>
    </r>
    <r>
      <rPr>
        <sz val="11"/>
        <rFont val="Sylfaen"/>
        <family val="2"/>
        <charset val="204"/>
        <scheme val="minor"/>
      </rPr>
      <t>Q</t>
    </r>
    <r>
      <rPr>
        <sz val="11"/>
        <rFont val="AcadNusx"/>
      </rPr>
      <t>=3.0kbm/DR.R</t>
    </r>
    <r>
      <rPr>
        <sz val="11"/>
        <rFont val="Sylfaen"/>
        <family val="2"/>
        <charset val="204"/>
        <scheme val="minor"/>
      </rPr>
      <t xml:space="preserve"> H</t>
    </r>
    <r>
      <rPr>
        <sz val="11"/>
        <rFont val="AcadNusx"/>
      </rPr>
      <t>=5.0m  1.2kvt</t>
    </r>
  </si>
  <si>
    <t>gauTvaliswinebeli xarjebi 3%</t>
  </si>
  <si>
    <t>dRg 18%</t>
  </si>
  <si>
    <t>pl. milebis Tboizolacia   d-20 (gubkiT)</t>
  </si>
  <si>
    <t>10-34-2</t>
  </si>
  <si>
    <t>sportuli moednis (fexburTis stadionis) tribunis skami - maRali xarisxis</t>
  </si>
  <si>
    <t>10-34-1</t>
  </si>
  <si>
    <t>8-489-4gam  8=102-1</t>
  </si>
  <si>
    <t>manqanebi  3,3+4,02</t>
  </si>
  <si>
    <t>11-42-1 gamoy</t>
  </si>
  <si>
    <t>11-8-1-2 gamoy</t>
  </si>
  <si>
    <t>WanWiki uxeSi normaluri da gazrdili simtkicis</t>
  </si>
  <si>
    <t>pres loJis qpec skamebis SeZena (magidebiT) montaJi</t>
  </si>
  <si>
    <t>vip loJis qpec skamebis SeZena montaJi</t>
  </si>
  <si>
    <t>17-1-9</t>
  </si>
  <si>
    <t>ხელსაბამი fexiT qaSanuris,sifoniT, erTi drekadi miliT d-15 l=40sm</t>
  </si>
  <si>
    <t>wylis შემრევი Sxapis</t>
  </si>
  <si>
    <t>17-3-4</t>
  </si>
  <si>
    <t>sarke, xelis saSrobi, qaRaldisa da sapnis spenserebis montaJi</t>
  </si>
  <si>
    <t>6,1, 18,29,30</t>
  </si>
  <si>
    <t>unitazisa da xelsabanis kompleqti SSmp pirTaTvis (xelCasavlebi aqsesuarebiT)</t>
  </si>
  <si>
    <t>pl. milis samagri d-50 (horizontaluri milebis)</t>
  </si>
  <si>
    <t>kuTxis ventili d-15</t>
  </si>
  <si>
    <t>cxeli wylis milebis Termoizolaciis   mowyoba</t>
  </si>
  <si>
    <t>trapi plastmasis d=100mm  (saqvabeSi)</t>
  </si>
  <si>
    <r>
      <t>pl.jvaredini 45</t>
    </r>
    <r>
      <rPr>
        <vertAlign val="superscript"/>
        <sz val="11"/>
        <color theme="1"/>
        <rFont val="AcadNusx"/>
      </rPr>
      <t>0</t>
    </r>
    <r>
      <rPr>
        <sz val="11"/>
        <color theme="1"/>
        <rFont val="AcadNusx"/>
      </rPr>
      <t xml:space="preserve"> d-100/100</t>
    </r>
  </si>
  <si>
    <t>16-19-1</t>
  </si>
  <si>
    <t>wyalmzomi kvanzis mowyoba</t>
  </si>
  <si>
    <t>WanWiki sayeluriT da qanCiT</t>
  </si>
  <si>
    <t>samagrebi</t>
  </si>
  <si>
    <t>pl adaptori d-20*1 3/4</t>
  </si>
  <si>
    <t>amerikanka (Camxsneli)  d-20</t>
  </si>
  <si>
    <r>
      <t>wylis mricxveli d-</t>
    </r>
    <r>
      <rPr>
        <sz val="11"/>
        <rFont val="Calibri"/>
        <family val="2"/>
      </rPr>
      <t xml:space="preserve"> 20</t>
    </r>
  </si>
  <si>
    <t xml:space="preserve">anakrebi rk betonis Wis mowyoba </t>
  </si>
  <si>
    <t>betoni ბ.15</t>
  </si>
  <si>
    <r>
      <t>pl kanalizaciis muxli    a-45</t>
    </r>
    <r>
      <rPr>
        <vertAlign val="superscript"/>
        <sz val="11"/>
        <color theme="1"/>
        <rFont val="AcadNusx"/>
      </rPr>
      <t>0</t>
    </r>
    <r>
      <rPr>
        <sz val="11"/>
        <color theme="1"/>
        <rFont val="AcadNusx"/>
      </rPr>
      <t xml:space="preserve">   d-50</t>
    </r>
  </si>
  <si>
    <t>specialuri muxli iatakSi Casamagrebeli tumbosaTvis</t>
  </si>
  <si>
    <t>tumbos dasakidebeli liTonis JaWvi</t>
  </si>
  <si>
    <t xml:space="preserve">pl. gadamyvani d-100*50 </t>
  </si>
  <si>
    <r>
      <t>anakrebi Wis rgolebi</t>
    </r>
    <r>
      <rPr>
        <sz val="11"/>
        <rFont val="Sylfaen"/>
        <family val="2"/>
        <charset val="204"/>
        <scheme val="minor"/>
      </rPr>
      <t xml:space="preserve">               Ø</t>
    </r>
    <r>
      <rPr>
        <sz val="11"/>
        <rFont val="AcadNusx"/>
      </rPr>
      <t>1000mm;</t>
    </r>
    <r>
      <rPr>
        <sz val="11"/>
        <rFont val="Sylfaen"/>
        <family val="2"/>
        <charset val="204"/>
        <scheme val="minor"/>
      </rPr>
      <t xml:space="preserve"> H</t>
    </r>
    <r>
      <rPr>
        <sz val="11"/>
        <rFont val="AcadNusx"/>
      </rPr>
      <t>=1.5m</t>
    </r>
  </si>
  <si>
    <t>Wis Tavsaxuri rk betonis fila Tujis xufiT</t>
  </si>
  <si>
    <t>6,3</t>
  </si>
  <si>
    <t>masalis transportirebis xarjebi</t>
  </si>
  <si>
    <t>sul xarjTaRricxva                       #1</t>
  </si>
  <si>
    <t>damiwebis vertikaluri eleqtrodebis montaJi</t>
  </si>
  <si>
    <t>2+2</t>
  </si>
  <si>
    <t>safuZveli</t>
  </si>
  <si>
    <t>samuSaos dasaxeleba</t>
  </si>
  <si>
    <t>ganz.erT</t>
  </si>
  <si>
    <t>xelfasi</t>
  </si>
  <si>
    <t>erTeulis</t>
  </si>
  <si>
    <t>lk#5</t>
  </si>
  <si>
    <t>Senobis saxanZro usafrTxoebis qselis, videomonitoringisa da iternetis qselis montaJi</t>
  </si>
  <si>
    <t xml:space="preserve">sakontrolo მართვის პანელი </t>
  </si>
  <si>
    <t>samisamarTo sirenis (strom sanaTiT) montaji</t>
  </si>
  <si>
    <r>
      <t>akumuliator-bataria 12v 10</t>
    </r>
    <r>
      <rPr>
        <sz val="11"/>
        <rFont val="Sylfaen"/>
        <family val="2"/>
        <charset val="204"/>
        <scheme val="minor"/>
      </rPr>
      <t>Ah</t>
    </r>
  </si>
  <si>
    <r>
      <rPr>
        <sz val="11"/>
        <rFont val="AcadNusx"/>
      </rPr>
      <t>adaptori</t>
    </r>
    <r>
      <rPr>
        <sz val="11"/>
        <rFont val="Sylfaen"/>
        <family val="2"/>
        <charset val="204"/>
        <scheme val="minor"/>
      </rPr>
      <t xml:space="preserve"> AC-12DC</t>
    </r>
  </si>
  <si>
    <t>sakomutacio el karada 20X30X7sm</t>
  </si>
  <si>
    <t xml:space="preserve">Senobis sarTulis SesasvlelSi unda daikidos saxanZro dafa, ceclmaqri fxvnilis Semcveli 2 baloni minimum 10 l moculobis, </t>
  </si>
  <si>
    <t>masalis transportirebis xarjebi (samSeneblo masalebis Rirebulebidan)</t>
  </si>
  <si>
    <t>gegmiuri dagroveba  (ZviradRirebuli danadgarebis gareSe)</t>
  </si>
  <si>
    <t>Senobis videomonitoringis  qselis  montaJi</t>
  </si>
  <si>
    <r>
      <t xml:space="preserve">kabeli  </t>
    </r>
    <r>
      <rPr>
        <sz val="11"/>
        <color theme="1"/>
        <rFont val="Sylfaen"/>
        <family val="1"/>
        <charset val="204"/>
        <scheme val="major"/>
      </rPr>
      <t>NYJ 3X2,5mm2</t>
    </r>
    <r>
      <rPr>
        <sz val="11"/>
        <color theme="1"/>
        <rFont val="AcadNusx"/>
      </rPr>
      <t xml:space="preserve"> </t>
    </r>
  </si>
  <si>
    <r>
      <t xml:space="preserve">gamanawilebeli kolofi 40X20sm   </t>
    </r>
    <r>
      <rPr>
        <sz val="11"/>
        <color theme="1"/>
        <rFont val="Sylfaen"/>
        <family val="1"/>
        <charset val="204"/>
        <scheme val="major"/>
      </rPr>
      <t>IP67</t>
    </r>
    <r>
      <rPr>
        <sz val="11"/>
        <color theme="1"/>
        <rFont val="AcadNusx"/>
      </rPr>
      <t>.</t>
    </r>
  </si>
  <si>
    <r>
      <t xml:space="preserve">adaftori kamerebisaTvis 220 </t>
    </r>
    <r>
      <rPr>
        <sz val="11"/>
        <color theme="1"/>
        <rFont val="Sylfaen"/>
        <family val="1"/>
        <charset val="204"/>
        <scheme val="major"/>
      </rPr>
      <t>AC/12 DC Poe</t>
    </r>
  </si>
  <si>
    <r>
      <t>media konvertori siCqare   1</t>
    </r>
    <r>
      <rPr>
        <sz val="11"/>
        <color theme="1"/>
        <rFont val="Sylfaen"/>
        <family val="1"/>
        <charset val="204"/>
        <scheme val="major"/>
      </rPr>
      <t>GB</t>
    </r>
  </si>
  <si>
    <t>21-27-4gamoy</t>
  </si>
  <si>
    <t>10-54-1</t>
  </si>
  <si>
    <t>kabelis montaJi</t>
  </si>
  <si>
    <t>kabelis pl.samagri dubeli TasmiT d-6mm</t>
  </si>
  <si>
    <t>foladis sahaero kabel arxi 50X50X3000mm</t>
  </si>
  <si>
    <t>badisebri susti denebis kabelarxi  50X100X2500</t>
  </si>
  <si>
    <t>sahaero kabel arxis samagri kronSteini</t>
  </si>
  <si>
    <t>betonis dubeli d-10</t>
  </si>
  <si>
    <t>WanWiki d-4</t>
  </si>
  <si>
    <t>21-23-3 gamoy</t>
  </si>
  <si>
    <t>rozetebis montaJi</t>
  </si>
  <si>
    <r>
      <t>rozeti 1</t>
    </r>
    <r>
      <rPr>
        <sz val="11"/>
        <color theme="1"/>
        <rFont val="Sylfaen"/>
        <family val="1"/>
        <charset val="204"/>
        <scheme val="major"/>
      </rPr>
      <t>XRj45</t>
    </r>
  </si>
  <si>
    <r>
      <t xml:space="preserve">sahaero internet bloki </t>
    </r>
    <r>
      <rPr>
        <b/>
        <sz val="11"/>
        <color theme="1"/>
        <rFont val="Sylfaen"/>
        <family val="2"/>
        <charset val="204"/>
        <scheme val="minor"/>
      </rPr>
      <t>WI-FI</t>
    </r>
  </si>
  <si>
    <t>10-276-2gam</t>
  </si>
  <si>
    <t xml:space="preserve">uwyveti denis wyaros  SeZena montaJi </t>
  </si>
  <si>
    <t>xvrelebis mowyoba</t>
  </si>
  <si>
    <t xml:space="preserve">gegmiuri dagroveba  </t>
  </si>
  <si>
    <r>
      <t>kvebis bloki  (uwyveti denis wyaro)</t>
    </r>
    <r>
      <rPr>
        <sz val="11"/>
        <rFont val="Sylfaen"/>
        <family val="2"/>
        <charset val="204"/>
        <scheme val="minor"/>
      </rPr>
      <t xml:space="preserve"> UPS 220v/12v  2000vat </t>
    </r>
  </si>
  <si>
    <r>
      <t xml:space="preserve">sviCi </t>
    </r>
    <r>
      <rPr>
        <sz val="11"/>
        <rFont val="Sylfaen"/>
        <family val="2"/>
        <charset val="204"/>
        <scheme val="minor"/>
      </rPr>
      <t>SWITCH 24 Unit</t>
    </r>
  </si>
  <si>
    <t>wyali  2,82+0,91</t>
  </si>
  <si>
    <t>TiTberis mavTuli</t>
  </si>
  <si>
    <t>sul pirdapiri danaxarjebi #4-1</t>
  </si>
  <si>
    <t>#4-1</t>
  </si>
  <si>
    <t>#4-2</t>
  </si>
  <si>
    <t>zednadebi xarjebi                          (muSa mosamsaxureTa ZiriTadi xelfasidan)</t>
  </si>
  <si>
    <t>sul #4-3</t>
  </si>
  <si>
    <t>#4-3</t>
  </si>
  <si>
    <t>sul #4-2</t>
  </si>
  <si>
    <t>sul #4-1</t>
  </si>
  <si>
    <t>sul pirdapiri danaxarjebi #4-3</t>
  </si>
  <si>
    <t>sul pirdapiri danaxarjebi #4-2</t>
  </si>
  <si>
    <t>zednadebi xarjebi                             (muSa mosamsaxureTa ZiriTadi xelfasidan)</t>
  </si>
  <si>
    <t>saqvabe -- danadgarebis montaJi</t>
  </si>
  <si>
    <t>#4-4</t>
  </si>
  <si>
    <t>sul pirdapiri danaxarjebi #4-4</t>
  </si>
  <si>
    <t>sul #4-4</t>
  </si>
  <si>
    <t>#4-5</t>
  </si>
  <si>
    <t>saqvabe -- santeqnikuri montaJi</t>
  </si>
  <si>
    <t>sakvamle milis mowyoba</t>
  </si>
  <si>
    <t>sul pirdapiri danaxarjebi #4-5</t>
  </si>
  <si>
    <t>sul #4-5</t>
  </si>
  <si>
    <t>#4-6</t>
  </si>
  <si>
    <t>sul pirdapiri danaxarjebi #4-6</t>
  </si>
  <si>
    <t>sul #4-6</t>
  </si>
  <si>
    <t>wvrilmarcvlovani  betoni b.25</t>
  </si>
  <si>
    <t>#5-3</t>
  </si>
  <si>
    <t>#5-2</t>
  </si>
  <si>
    <t>#5-1</t>
  </si>
  <si>
    <t>sul #5-2</t>
  </si>
  <si>
    <t>sul #5-1</t>
  </si>
  <si>
    <t>sul pirdapiri danaxarjebi  #5-1</t>
  </si>
  <si>
    <t>sul pirdapiri danaxarjebi  #5-2</t>
  </si>
  <si>
    <t>sul  #5-3</t>
  </si>
  <si>
    <t>sul pirdapiri danaxarjebi   #5-3</t>
  </si>
  <si>
    <t>gruntis damuSaveba xeliT, liTonis moajiris rk.betonis cokolis saZirkvlis mosawyobad</t>
  </si>
  <si>
    <t>Е1-22</t>
  </si>
  <si>
    <t>zedmeti gruntis datvirTva xeliT avtoTviTmclelze</t>
  </si>
  <si>
    <t>RorRis safuZvlis mowyoba liTonis moajiris rk.betonis  cokolis qveS</t>
  </si>
  <si>
    <t xml:space="preserve">RorRi </t>
  </si>
  <si>
    <t xml:space="preserve">dekoratiuli Robis qveS rk/betonis cokolis mowyoba </t>
  </si>
  <si>
    <t xml:space="preserve">betoni b.20 </t>
  </si>
  <si>
    <t>yalibis fari</t>
  </si>
  <si>
    <r>
      <t>armatura</t>
    </r>
    <r>
      <rPr>
        <b/>
        <sz val="11"/>
        <rFont val="Arial"/>
        <family val="2"/>
        <charset val="204"/>
      </rPr>
      <t xml:space="preserve"> A</t>
    </r>
    <r>
      <rPr>
        <b/>
        <sz val="11"/>
        <rFont val="AcadNusx"/>
      </rPr>
      <t xml:space="preserve">-III </t>
    </r>
  </si>
  <si>
    <r>
      <t>armatura</t>
    </r>
    <r>
      <rPr>
        <b/>
        <sz val="11"/>
        <rFont val="Arial"/>
        <family val="2"/>
        <charset val="204"/>
      </rPr>
      <t xml:space="preserve"> A</t>
    </r>
    <r>
      <rPr>
        <b/>
        <sz val="11"/>
        <rFont val="AcadNusx"/>
      </rPr>
      <t>-I</t>
    </r>
  </si>
  <si>
    <t>rk betonis kedlis gidroizolacia</t>
  </si>
  <si>
    <t>gruntis ukuCayra</t>
  </si>
  <si>
    <t>15-60-3</t>
  </si>
  <si>
    <t>xsnartumbo  3kbm/sT</t>
  </si>
  <si>
    <t>liT bade</t>
  </si>
  <si>
    <t>kalmebi</t>
  </si>
  <si>
    <t xml:space="preserve">fasadis saRebavi </t>
  </si>
  <si>
    <t>15-5-7</t>
  </si>
  <si>
    <t>rk.betonis cokolis Sida da gare zedapiris mopirkeTeba bazaltis filiT (30mm sisqis)</t>
  </si>
  <si>
    <t>bazaltis fila 30mm sisqis</t>
  </si>
  <si>
    <t>7-21-10    gam.</t>
  </si>
  <si>
    <r>
      <t xml:space="preserve">liTonis moajiris mowyoba - rk.betonis kedelze Caankereba </t>
    </r>
    <r>
      <rPr>
        <sz val="11"/>
        <rFont val="AcadNusx"/>
      </rPr>
      <t>(moc eskiozis mixedviT)</t>
    </r>
  </si>
  <si>
    <t>lk#6</t>
  </si>
  <si>
    <t>lk#4</t>
  </si>
  <si>
    <t>teritoriaze arsebuli rk.betonis cokolis zedapirebis lesva cementis xsnariT</t>
  </si>
  <si>
    <t>teritoriaze arsebuli rk.betonis cokolisa da axali cokolis  zedapirebis SeRebva safasade saRebaviT</t>
  </si>
  <si>
    <t>bunebrivi bazaltis bordiuris montaJi  150X300</t>
  </si>
  <si>
    <t>tranSeas mowyoba bordiuris  mosawyobad xeliT</t>
  </si>
  <si>
    <t>snf 15-15</t>
  </si>
  <si>
    <t>RorRis (0-5mm fraqciis) fenilis mowyoba bordiuris qveS</t>
  </si>
  <si>
    <t>RorRi  (0-5mm fraqciis)</t>
  </si>
  <si>
    <t>27-19-1</t>
  </si>
  <si>
    <t>bunebrivi bazaltis bordiuris montaJi 150X300</t>
  </si>
  <si>
    <t>bunebrivi bazaltis bordiuri -- arsebuli</t>
  </si>
  <si>
    <t>bunebrivi bazaltis bordiuri -- axali</t>
  </si>
  <si>
    <t xml:space="preserve">betoni b-15  </t>
  </si>
  <si>
    <t>III kategoriis gruntis damuSaveba qvabulisaTvis xeliT</t>
  </si>
  <si>
    <t>RorRis (0-5mm fraqciis) fenilis mowyoba, sisqiT 10sm</t>
  </si>
  <si>
    <t>parkingis rkinabetonis filis mowyoba</t>
  </si>
  <si>
    <t>RorRis safuZvlis mowyoba sisqiT 10 sm datkepvniT</t>
  </si>
  <si>
    <t>monoliTuri betonis fenilis mowyoba</t>
  </si>
  <si>
    <t>betoni m-25</t>
  </si>
  <si>
    <t>armatura Ф10 АIII b.150</t>
  </si>
  <si>
    <t>armatura Ф8 АI b.450</t>
  </si>
  <si>
    <t>11-3-5,6 gamoy</t>
  </si>
  <si>
    <t>cveTamedegi xsnari (2 fena)</t>
  </si>
  <si>
    <t>1-32-2,</t>
  </si>
  <si>
    <t>1011</t>
  </si>
  <si>
    <t>buldozeri 96k.vt.(130cx.Z)</t>
  </si>
  <si>
    <t>27-7-3</t>
  </si>
  <si>
    <t>kub</t>
  </si>
  <si>
    <t>avtogreideri saSualo tipis 79k.vt. (108cx.Z)</t>
  </si>
  <si>
    <t>1522</t>
  </si>
  <si>
    <t>1525</t>
  </si>
  <si>
    <t>satkepni sagzao TviTmavali gluvi 18 t</t>
  </si>
  <si>
    <t>satkepni sagzao TviTmavali gluvi 10 t</t>
  </si>
  <si>
    <t>mosarwyavi manqana 6000l.</t>
  </si>
  <si>
    <t>1559</t>
  </si>
  <si>
    <t>RorRisa da xreSis gamnawilebeli</t>
  </si>
  <si>
    <t>fraqciuli RorRi (0-40) mm</t>
  </si>
  <si>
    <t>27-63-1.</t>
  </si>
  <si>
    <t>Txevadi biTumis mosxma 0,6kg/kvm²</t>
  </si>
  <si>
    <t>avtogudronatori 3500l</t>
  </si>
  <si>
    <t>Txevadi biTumi, bitumis emulsia</t>
  </si>
  <si>
    <t>27-39-1;         40-1</t>
  </si>
  <si>
    <t>msxvilmarcvlovani forovani a/b cxeli narevi, 6sm sisqiT</t>
  </si>
  <si>
    <t>a/betonis damgebi</t>
  </si>
  <si>
    <t>sagzao mtkepnavi TviTm. gluvi 5t.</t>
  </si>
  <si>
    <t>igive, 10toniani</t>
  </si>
  <si>
    <t>a/betoni msxvilmarcvlovani</t>
  </si>
  <si>
    <r>
      <t>wvrilmarcvlovani forovani a/b cxeli narevi, marka II,  tipi `b~</t>
    </r>
    <r>
      <rPr>
        <b/>
        <sz val="11"/>
        <rFont val="Cambria"/>
        <family val="1"/>
        <charset val="204"/>
      </rPr>
      <t xml:space="preserve"> h</t>
    </r>
    <r>
      <rPr>
        <b/>
        <sz val="11"/>
        <rFont val="AcadNusx"/>
      </rPr>
      <t>=5sm</t>
    </r>
  </si>
  <si>
    <t>a/betoni wvrilmarcvlovani  5sm sisqis</t>
  </si>
  <si>
    <r>
      <t>wvrilmarcvlovani forovani a/b cxeli narevi, marka II,  tipi `b~</t>
    </r>
    <r>
      <rPr>
        <b/>
        <sz val="11"/>
        <rFont val="Cambria"/>
        <family val="1"/>
        <charset val="204"/>
      </rPr>
      <t xml:space="preserve"> h</t>
    </r>
    <r>
      <rPr>
        <b/>
        <sz val="11"/>
        <rFont val="AcadNusx"/>
      </rPr>
      <t>=4sm</t>
    </r>
  </si>
  <si>
    <t>a/betoni wvrilmarcvlovani  4sm sisqis</t>
  </si>
  <si>
    <t>27-56-1</t>
  </si>
  <si>
    <t>parkingis daxazva  (fosforis Semcvelisagzao saRebaviT)</t>
  </si>
  <si>
    <t>1553</t>
  </si>
  <si>
    <t>markirebis manqana (sagzao momniSvneli)</t>
  </si>
  <si>
    <t>saRebavi sagzao</t>
  </si>
  <si>
    <t>qvabulis mowyoba anZis montajisaTvis</t>
  </si>
  <si>
    <t>6-1-1.</t>
  </si>
  <si>
    <t>განათების ანძების დაბეტონება</t>
  </si>
  <si>
    <t>კუბ.მ</t>
  </si>
  <si>
    <t>შრომითი რესურსები</t>
  </si>
  <si>
    <t>მანქანები</t>
  </si>
  <si>
    <t xml:space="preserve">ბეტონი ბ.25 </t>
  </si>
  <si>
    <t>არმატურა Ф8 АIII ბ.150</t>
  </si>
  <si>
    <t>ტნ</t>
  </si>
  <si>
    <t xml:space="preserve">სხვა მასალა </t>
  </si>
  <si>
    <t>gamwvaneba - gazonis mowyoba</t>
  </si>
  <si>
    <t>sul pirdapiri danaxarjebi #6</t>
  </si>
  <si>
    <t>sul danaxarjebi                              (I-II-III Tavebi)</t>
  </si>
  <si>
    <t>lk#3</t>
  </si>
  <si>
    <r>
      <t>kvebis bloki (uwyveti denis wyaro)</t>
    </r>
    <r>
      <rPr>
        <b/>
        <sz val="11"/>
        <rFont val="Sylfaen"/>
        <family val="2"/>
        <charset val="204"/>
        <scheme val="minor"/>
      </rPr>
      <t xml:space="preserve"> UPS</t>
    </r>
  </si>
  <si>
    <t>sxva masala1 4,7+0,88=</t>
  </si>
  <si>
    <t>lk#7</t>
  </si>
  <si>
    <t>inventari, mowyobilobebi da danadgarebi</t>
  </si>
  <si>
    <t>sul pirdapiri danaxarjebi #7</t>
  </si>
  <si>
    <t>sul xarjTaRricxva  #7</t>
  </si>
  <si>
    <t>sul xarjTaRricxva   #6</t>
  </si>
  <si>
    <t>80*3,5/1,18</t>
  </si>
  <si>
    <r>
      <t>saSrefselo komutaciis kolofi dacvis klasi</t>
    </r>
    <r>
      <rPr>
        <sz val="11"/>
        <rFont val="Sylfaen"/>
        <family val="2"/>
        <charset val="204"/>
        <scheme val="minor"/>
      </rPr>
      <t xml:space="preserve">    IP 20</t>
    </r>
  </si>
  <si>
    <t>betoni b.7,5</t>
  </si>
  <si>
    <t>sayalibe fari  40mm</t>
  </si>
  <si>
    <t>12,7</t>
  </si>
  <si>
    <r>
      <t xml:space="preserve">liTonis ankeri, </t>
    </r>
    <r>
      <rPr>
        <sz val="11"/>
        <rFont val="Sylfaen"/>
        <family val="2"/>
        <scheme val="minor"/>
      </rPr>
      <t>M</t>
    </r>
    <r>
      <rPr>
        <sz val="11"/>
        <rFont val="AcadNusx"/>
      </rPr>
      <t>30 sigrZiT 1000 mm</t>
    </r>
  </si>
  <si>
    <t>9-10-1</t>
  </si>
  <si>
    <t>foladi konstruqcia misadagebuli montaJze</t>
  </si>
  <si>
    <t>WanWiki uxeSi, normaluri da gazrdili sizustis</t>
  </si>
  <si>
    <t>liTonis datvifruli furceli, sisqiT 4 mm</t>
  </si>
  <si>
    <t xml:space="preserve">saxuravis qanobze TovldamWeris mowyoba </t>
  </si>
  <si>
    <t xml:space="preserve">saxuravis qanobis TovldamWeri </t>
  </si>
  <si>
    <t>Senobis rulonuri saxuravis mowyoba</t>
  </si>
  <si>
    <t xml:space="preserve">12-9-6                                                        </t>
  </si>
  <si>
    <t>11-3-5</t>
  </si>
  <si>
    <t>betonis zedapirze wasasmeli drekadi izolacia</t>
  </si>
  <si>
    <t>12-1-1</t>
  </si>
  <si>
    <t xml:space="preserve">saxuravis mowyoba rulonuri masaliT          (1 fena linokromi, 1 fena Singli)                         </t>
  </si>
  <si>
    <t>linokromi priala zedapiriT, sisqiT 2,5mm   ТКП, ТПП qveda fena  (1 Sre)</t>
  </si>
  <si>
    <t>linokromi minaqsovilis zedapiriT, sisqiT 2,7mm    ТПК, zeda fena     (1 Sre)</t>
  </si>
  <si>
    <t>"Singli"</t>
  </si>
  <si>
    <t>bitumis mastika "praimeri"</t>
  </si>
  <si>
    <t>litri</t>
  </si>
  <si>
    <t>feradi Tunuqis furceli</t>
  </si>
  <si>
    <t xml:space="preserve">parapetis Tavze Tunuqis qudis mowyoba </t>
  </si>
  <si>
    <t>feradi Tunuqis sawvimari Rari</t>
  </si>
  <si>
    <t>feradi Tunuqis furceli  0.5 mm</t>
  </si>
  <si>
    <t>16-17-1</t>
  </si>
  <si>
    <t>wyalmimRebi Zabrebis mowyoba                                (feradi Tunuqis)</t>
  </si>
  <si>
    <t>wyalmimRebi Zabrebi 150*100                                               (igive masalis Tunuqis)</t>
  </si>
  <si>
    <t>wyalsawreti mili samagrebiT (feradi Tunuqis)</t>
  </si>
  <si>
    <t>wyalsawreti milebi (igive masalis Tunuqis)</t>
  </si>
  <si>
    <t>qvabulis damuSaveba saZirkvlis filis mosawyobad xeliT</t>
  </si>
  <si>
    <t>saZirkvlis filis qveS RorRis fenilis mowyoba</t>
  </si>
  <si>
    <t>4,1,339</t>
  </si>
  <si>
    <r>
      <t xml:space="preserve">saZirkvlis monoliTuri rk/betonis filis mowyoba  </t>
    </r>
    <r>
      <rPr>
        <b/>
        <sz val="11"/>
        <rFont val="Sylfaen"/>
        <family val="2"/>
        <charset val="204"/>
        <scheme val="minor"/>
      </rPr>
      <t xml:space="preserve"> B25 </t>
    </r>
  </si>
  <si>
    <t>6-12-1</t>
  </si>
  <si>
    <t>2,8</t>
  </si>
  <si>
    <t>1,02</t>
  </si>
  <si>
    <t>6-11-10</t>
  </si>
  <si>
    <t>parapetis monoliTuri rk/betonis kedlebis mowyoba</t>
  </si>
  <si>
    <r>
      <t xml:space="preserve">armatura </t>
    </r>
    <r>
      <rPr>
        <sz val="11"/>
        <color rgb="FFFF0000"/>
        <rFont val="Times New Roman"/>
        <family val="1"/>
        <charset val="204"/>
      </rPr>
      <t>A-III Ф8</t>
    </r>
  </si>
  <si>
    <t>saqvabe Senobis rulonuri gadaxurvis mowyoba</t>
  </si>
  <si>
    <t>parapetis mopirketeba feradi Tunuqis furcliT</t>
  </si>
  <si>
    <t>kedlebis wyoba wvrili sakedle blokebiT</t>
  </si>
  <si>
    <t xml:space="preserve">manqanebi </t>
  </si>
  <si>
    <t>duRabi wyobis მ-100</t>
  </si>
  <si>
    <t xml:space="preserve"> sxva masala</t>
  </si>
  <si>
    <t>6-15-9</t>
  </si>
  <si>
    <r>
      <t xml:space="preserve">monoloTuri rk/betonis sartyelis mowyoba klasiT </t>
    </r>
    <r>
      <rPr>
        <b/>
        <sz val="11"/>
        <rFont val="Arial"/>
        <family val="2"/>
        <charset val="204"/>
      </rPr>
      <t>B25</t>
    </r>
    <r>
      <rPr>
        <b/>
        <sz val="11"/>
        <rFont val="AcadNusx"/>
      </rPr>
      <t xml:space="preserve"> </t>
    </r>
  </si>
  <si>
    <t>betoni klasiT В25</t>
  </si>
  <si>
    <t>kubm</t>
  </si>
  <si>
    <t>sayalibe fari  25mm</t>
  </si>
  <si>
    <r>
      <t xml:space="preserve">armatura </t>
    </r>
    <r>
      <rPr>
        <sz val="11"/>
        <color rgb="FFFF0000"/>
        <rFont val="Arial"/>
        <family val="2"/>
        <charset val="204"/>
      </rPr>
      <t>A</t>
    </r>
    <r>
      <rPr>
        <sz val="11"/>
        <color rgb="FFFF0000"/>
        <rFont val="AcadNusx"/>
      </rPr>
      <t xml:space="preserve"> </t>
    </r>
    <r>
      <rPr>
        <sz val="11"/>
        <color rgb="FFFF0000"/>
        <rFont val="Academiuri Nuskhuri"/>
      </rPr>
      <t>III</t>
    </r>
  </si>
  <si>
    <r>
      <t xml:space="preserve">armatura </t>
    </r>
    <r>
      <rPr>
        <sz val="11"/>
        <color rgb="FFFF0000"/>
        <rFont val="Arial"/>
        <family val="2"/>
        <charset val="204"/>
      </rPr>
      <t>A</t>
    </r>
    <r>
      <rPr>
        <sz val="11"/>
        <color rgb="FFFF0000"/>
        <rFont val="AcadNusx"/>
      </rPr>
      <t xml:space="preserve"> </t>
    </r>
    <r>
      <rPr>
        <sz val="11"/>
        <color rgb="FFFF0000"/>
        <rFont val="Academiuri Nuskhuri"/>
      </rPr>
      <t>I</t>
    </r>
  </si>
  <si>
    <t>10-11</t>
  </si>
  <si>
    <t>saxuravis xis  sanivnive sistemis mowyoba SeficvriT</t>
  </si>
  <si>
    <t>daxerxili xe-tye</t>
  </si>
  <si>
    <t>Seficvra 30mm sisqis</t>
  </si>
  <si>
    <t>samagri detalebi</t>
  </si>
  <si>
    <t>10-37-1</t>
  </si>
  <si>
    <t>xis sanivnive sistemis cecxldacva</t>
  </si>
  <si>
    <t>fosformJava amoniumi</t>
  </si>
  <si>
    <t>amoniumis sulfati</t>
  </si>
  <si>
    <t>navTis kontaqti</t>
  </si>
  <si>
    <t>10-37-3</t>
  </si>
  <si>
    <t>molartyvis cecxldacva</t>
  </si>
  <si>
    <t>10-39-3</t>
  </si>
  <si>
    <t>saxuravis xis elementebis antiseptireba</t>
  </si>
  <si>
    <t>pasta antiseptikuri</t>
  </si>
  <si>
    <t xml:space="preserve">gadaxurvis mowyoba feradi proffenilis TunuqiT sisqiT 0,5 mm </t>
  </si>
  <si>
    <t>proffenili 0,5mm (nacrisferi Jangisferi, Sindisferi)</t>
  </si>
  <si>
    <t>wyalmimRebi Zabrebis mowyoba (feradi Tunuqis)</t>
  </si>
  <si>
    <t>1,5,25</t>
  </si>
  <si>
    <t>wyalmimRebi Zabrebi 150*100  (igive masalis Tunuqis)</t>
  </si>
  <si>
    <t>1,5,23</t>
  </si>
  <si>
    <t>sabazro saxelSekrulebo</t>
  </si>
  <si>
    <t>metaloplastmasis  fanjris blokis Casma liTonis cxauriT</t>
  </si>
  <si>
    <t>0,024</t>
  </si>
  <si>
    <t>0,628</t>
  </si>
  <si>
    <t>metaloplastmasis karebis blokebis mowyoba (feradi, 6sm sisqis, ormagi minapaketi)</t>
  </si>
  <si>
    <t>liTonis Jaluzi</t>
  </si>
  <si>
    <t>metaloplastmasis fanjris rafa 25-30sm</t>
  </si>
  <si>
    <t>liTonis karebis blokis damzadeba da montaJi</t>
  </si>
  <si>
    <t>liTonis karebis blokebis SeRebva antikoroziuli
saRebaviT</t>
  </si>
  <si>
    <t>iatakebis moWimva cementis xsnariT m-200 30mm</t>
  </si>
  <si>
    <t>19</t>
  </si>
  <si>
    <t>15-52-3</t>
  </si>
  <si>
    <t>karisa da fanjris ferdoebis lesva-SebaTqaSeba</t>
  </si>
  <si>
    <t>qviSa-cementis xsnari m-100</t>
  </si>
  <si>
    <t>20</t>
  </si>
  <si>
    <t xml:space="preserve">15-55-9 </t>
  </si>
  <si>
    <t>Siga kedlebisa maRalxarisxovani lesva-cementis xsnariT</t>
  </si>
  <si>
    <t>0,041</t>
  </si>
  <si>
    <t>0,027</t>
  </si>
  <si>
    <t>0,0528</t>
  </si>
  <si>
    <t>0,003</t>
  </si>
  <si>
    <t>21</t>
  </si>
  <si>
    <t>Siga zedapirebis SeRebva wyalemulsiis saRebaviT</t>
  </si>
  <si>
    <t>aluminis Sekiduli Weris mowyoba</t>
  </si>
  <si>
    <t>23</t>
  </si>
  <si>
    <t>15-52-1</t>
  </si>
  <si>
    <t>qviSa-cementis xsnari  m-100</t>
  </si>
  <si>
    <t>0,0255</t>
  </si>
  <si>
    <t>24</t>
  </si>
  <si>
    <t xml:space="preserve">fasadis kedlebis SeRebva maRalxarisxovani wyalemulsiis saRebaviT </t>
  </si>
  <si>
    <t>25</t>
  </si>
  <si>
    <t xml:space="preserve">saqvabe Senobis garSemo perimetrze betonis wyalsarinis mowyoba </t>
  </si>
  <si>
    <r>
      <t>tixrebisa da kedlebi antiseismuri armireba</t>
    </r>
    <r>
      <rPr>
        <b/>
        <sz val="11"/>
        <color theme="1"/>
        <rFont val="Sylfaen"/>
        <family val="2"/>
        <scheme val="minor"/>
      </rPr>
      <t xml:space="preserve">    6BP-1</t>
    </r>
  </si>
  <si>
    <r>
      <t xml:space="preserve">wyalmimrebi Rari "Jolubis" mowyoba </t>
    </r>
    <r>
      <rPr>
        <sz val="11"/>
        <rFont val="AcadNusx"/>
      </rPr>
      <t>(dakidebuli, Tunuqis Rari)</t>
    </r>
  </si>
  <si>
    <r>
      <t xml:space="preserve">geoteqstili </t>
    </r>
    <r>
      <rPr>
        <sz val="11"/>
        <color theme="1"/>
        <rFont val="Sylfaen"/>
        <family val="2"/>
        <charset val="204"/>
        <scheme val="minor"/>
      </rPr>
      <t>Pc 400</t>
    </r>
    <r>
      <rPr>
        <sz val="11"/>
        <color theme="1"/>
        <rFont val="AcadNusx"/>
      </rPr>
      <t>kg</t>
    </r>
  </si>
  <si>
    <t>8-7-3</t>
  </si>
  <si>
    <r>
      <rPr>
        <sz val="11"/>
        <color theme="1"/>
        <rFont val="AcadNusx"/>
      </rPr>
      <t xml:space="preserve">armatura  </t>
    </r>
    <r>
      <rPr>
        <sz val="11"/>
        <color theme="1"/>
        <rFont val="Sylfaen"/>
        <family val="2"/>
        <charset val="204"/>
        <scheme val="minor"/>
      </rPr>
      <t>6BP-1</t>
    </r>
  </si>
  <si>
    <t>9-14-6</t>
  </si>
  <si>
    <t>amwe saavtomobilo svlaze 10t</t>
  </si>
  <si>
    <r>
      <t>Senobis gare da Sida Riobebis Sevseba aluminis vitraJuli karebisa da fanjris blokebiT</t>
    </r>
    <r>
      <rPr>
        <sz val="11"/>
        <color theme="1"/>
        <rFont val="AcadNusx"/>
      </rPr>
      <t xml:space="preserve"> (moc eskizis mixedviT)</t>
    </r>
  </si>
  <si>
    <t>aluminis vitraJuli karebisa da fanjris  blokebi, izoprofili  (Termo sistema)</t>
  </si>
  <si>
    <t>metaloplastmasis karis blokebi                 (feradi - muqi yavisferi, Savi, 6sm sisqis) (evro gaRebis meqanizmiT)</t>
  </si>
  <si>
    <t>mdf-is karebis blokebis montaJi</t>
  </si>
  <si>
    <t>mdf-is karis bloki (maRali xarisxis 8mm, myari karkasiT aqsesuarebiT)</t>
  </si>
  <si>
    <t>qviSa-cementis xsnari   m-100</t>
  </si>
  <si>
    <t>qviSa-cementis xsnari    m-100</t>
  </si>
  <si>
    <t>TabaSirmuyaos  Sekiduli Weris damuSaveba da SeRebva emulsiurio saRebaviT</t>
  </si>
  <si>
    <t>nestgamZle TabaSirmuyaos Sekiduli Weris mowyoba</t>
  </si>
  <si>
    <t>TabaSir_muyaos fila nestgamZle</t>
  </si>
  <si>
    <t xml:space="preserve">amstrongis tipis aluminis Sekiduli Weris mowyoba </t>
  </si>
  <si>
    <t>amstrongis tipis aluminis Sekiduli Weri</t>
  </si>
  <si>
    <t>qafplastis Weris karnizi</t>
  </si>
  <si>
    <t>11-42-1 gmoy</t>
  </si>
  <si>
    <t>gamxsnneli</t>
  </si>
  <si>
    <r>
      <t xml:space="preserve">plintusi laminirebuli </t>
    </r>
    <r>
      <rPr>
        <sz val="11"/>
        <color theme="1"/>
        <rFont val="Sylfaen"/>
        <family val="2"/>
        <charset val="204"/>
        <scheme val="minor"/>
      </rPr>
      <t>h</t>
    </r>
    <r>
      <rPr>
        <sz val="11"/>
        <color theme="1"/>
        <rFont val="AcadNusx"/>
      </rPr>
      <t xml:space="preserve">=5-7 sm, sisqiT 2,5mm    </t>
    </r>
  </si>
  <si>
    <t>Senobebis  fasadis mopirkeTeba</t>
  </si>
  <si>
    <t>sikaCapturi cveTamedegi xsnariT morkinva    3-5mm</t>
  </si>
  <si>
    <t>Wis Ziri  d-1500 rk betonis rgolisaTvis</t>
  </si>
  <si>
    <t>Wis Ziri d-1000 rk betonis rgolisaTvis</t>
  </si>
  <si>
    <t>pl. milebis Tboizolacia   d-50 (gubkiT)</t>
  </si>
  <si>
    <r>
      <t xml:space="preserve">sarwyavi onkani rezinis   d-20 </t>
    </r>
    <r>
      <rPr>
        <sz val="11"/>
        <rFont val="Sylfaen"/>
        <family val="2"/>
        <charset val="204"/>
        <scheme val="minor"/>
      </rPr>
      <t>L</t>
    </r>
    <r>
      <rPr>
        <sz val="11"/>
        <rFont val="AcadNusx"/>
      </rPr>
      <t>=20m sigrZis miliT</t>
    </r>
  </si>
  <si>
    <t>8-281-3</t>
  </si>
  <si>
    <t>Senobis gare da Sida Riobebis Sevseba  metaloplastmasis fanjrisa da karebis    blokebiT</t>
  </si>
  <si>
    <t>keramogranitis fila yinvagamZle</t>
  </si>
  <si>
    <t>fasadis detalebis mopirketeba alukabondis filiT</t>
  </si>
  <si>
    <t>alukobond-is safasade mosapirketebeli filovani sistema (konstruqcia, samontaJo elementebiT, fila)</t>
  </si>
  <si>
    <t>wyal-emulsiis saRebavi fasadis</t>
  </si>
  <si>
    <t xml:space="preserve">metaloplastmasis fanjris blokebis mowyoba (feradii, 6sm sisqis, ormagi minapaketi) </t>
  </si>
  <si>
    <t>gamxsneli</t>
  </si>
  <si>
    <t>liTonis konstruqciebis antikoroziuli damuSaveba</t>
  </si>
  <si>
    <r>
      <t xml:space="preserve">cokolis mopirkeTeba granitis filebiT  </t>
    </r>
    <r>
      <rPr>
        <sz val="11"/>
        <rFont val="AcadNusx"/>
      </rPr>
      <t>(30mm sisqis)</t>
    </r>
  </si>
  <si>
    <t>qviSa-cementis xsnari   m-200</t>
  </si>
  <si>
    <t xml:space="preserve">bade lesvis liTonis </t>
  </si>
  <si>
    <t>wyalmimRebi Raris "Jolubis" mowyoba</t>
  </si>
  <si>
    <t>wyalsawreti milebis mowyoba</t>
  </si>
  <si>
    <t>wyalsawreti mili d-150</t>
  </si>
  <si>
    <t>endovos mowyoba feradi Tunuqis furcliT 0,5mm</t>
  </si>
  <si>
    <t>zednadebi xarjebi                                   (muSa mosamsaxureTa ZiriTadi xelfasidan)</t>
  </si>
  <si>
    <t xml:space="preserve"> </t>
  </si>
  <si>
    <t>eleqtro montaJi</t>
  </si>
  <si>
    <t>lk #2</t>
  </si>
  <si>
    <t>teritoriis gare el montaJi</t>
  </si>
  <si>
    <t xml:space="preserve">გარე განათების proJeqtoris მონტაჟი  </t>
  </si>
  <si>
    <t>საკაბელო თხრილის მოწყობა xeliT</t>
  </si>
  <si>
    <t>კბმ</t>
  </si>
  <si>
    <t>ქვიშის საფარის მოწყობა მილებისთვის</t>
  </si>
  <si>
    <t xml:space="preserve">ქვიSა </t>
  </si>
  <si>
    <t>22-8-2.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</si>
  <si>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Ø25 </t>
    </r>
    <r>
      <rPr>
        <b/>
        <sz val="11"/>
        <rFont val="AcadNusx"/>
      </rPr>
      <t>მმ მოწყობა</t>
    </r>
  </si>
  <si>
    <t>გრძ/მ</t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</si>
  <si>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Ø25მმ</t>
    </r>
  </si>
  <si>
    <t>8-281-3,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</si>
  <si>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</si>
  <si>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</si>
  <si>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</si>
  <si>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samSeneblo masalis transportirebis xrjebi  (samSeneblo masalis Rirebulebidan)</t>
  </si>
  <si>
    <t xml:space="preserve">8-370-3     </t>
  </si>
  <si>
    <t>0,0097</t>
  </si>
  <si>
    <t>CamrTveli gare montaJis                                 0-1-2 1X20a</t>
  </si>
  <si>
    <t>SemaerTebeli furnitura</t>
  </si>
  <si>
    <t>damiwebis konturis mowyoba</t>
  </si>
  <si>
    <t>damiwebis Wa</t>
  </si>
  <si>
    <t>III სამშენებლო სამუSაოები</t>
  </si>
  <si>
    <t>IV სამონტაჟო სამუშაოები</t>
  </si>
  <si>
    <t>#1  H=5,0</t>
  </si>
  <si>
    <t>გარე განათების დეკორატიული ლამპიონების მონტაჟი</t>
  </si>
  <si>
    <t>gare განათების ანძების დაბეტონება</t>
  </si>
  <si>
    <r>
      <t xml:space="preserve">sp. sadeni </t>
    </r>
    <r>
      <rPr>
        <sz val="11"/>
        <rFont val="Sylfaen"/>
        <family val="2"/>
        <charset val="204"/>
        <scheme val="minor"/>
      </rPr>
      <t xml:space="preserve">ВВГ </t>
    </r>
    <r>
      <rPr>
        <sz val="11"/>
        <rFont val="AcadNusx"/>
      </rPr>
      <t>3*4</t>
    </r>
  </si>
  <si>
    <r>
      <t xml:space="preserve">sp. sadeni </t>
    </r>
    <r>
      <rPr>
        <sz val="11"/>
        <rFont val="Sylfaen"/>
        <family val="2"/>
        <charset val="204"/>
        <scheme val="minor"/>
      </rPr>
      <t xml:space="preserve">ВВГ </t>
    </r>
    <r>
      <rPr>
        <sz val="11"/>
        <rFont val="AcadNusx"/>
      </rPr>
      <t>3*2,5</t>
    </r>
  </si>
  <si>
    <t>დამიწების მოთუთიებული ღერო,                d-18 sigrZe 1,5m</t>
  </si>
  <si>
    <t>СНиП
IV-6-82
8-471-4</t>
  </si>
  <si>
    <t>damiwebis moTuTiebuli gamtari d-8mm</t>
  </si>
  <si>
    <t>СНиП
IV-6-82
8-472-1</t>
  </si>
  <si>
    <t>22-23- 1-2-3. misad</t>
  </si>
  <si>
    <t>pl. milebis Tboizolacia   d-32 (gubkiT)</t>
  </si>
  <si>
    <t>pl. milebis Tboizolacia   d-40 (gubkiT)</t>
  </si>
  <si>
    <t>15-5-6</t>
  </si>
  <si>
    <t xml:space="preserve">cokolis kedlis Tavze bazaltis filiT "qudis" mowyoba </t>
  </si>
  <si>
    <t xml:space="preserve">rk.betonis filaze  cveTamedegi Sris mowyoba  (2 fena) 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</si>
  <si>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</si>
  <si>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</si>
  <si>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</si>
  <si>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</si>
  <si>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</si>
  <si>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</si>
  <si>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</si>
  <si>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</si>
  <si>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</si>
  <si>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</si>
  <si>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</si>
  <si>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</si>
  <si>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</si>
  <si>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</si>
  <si>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</si>
  <si>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</si>
  <si>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</si>
  <si>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</si>
  <si>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</si>
  <si>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</si>
  <si>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</si>
  <si>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</si>
  <si>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</si>
  <si>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</si>
  <si>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r>
      <t xml:space="preserve">damiwebis moTuTiebuli kuTxovana </t>
    </r>
    <r>
      <rPr>
        <sz val="11"/>
        <rFont val="Sylfaen"/>
        <family val="2"/>
        <charset val="204"/>
        <scheme val="minor"/>
      </rPr>
      <t>50X50X5  L=2,5m</t>
    </r>
  </si>
  <si>
    <r>
      <rPr>
        <sz val="11"/>
        <rFont val="AcadNusx"/>
      </rPr>
      <t xml:space="preserve">dioduri naTebis dekoratiuli lampioni  </t>
    </r>
    <r>
      <rPr>
        <sz val="11"/>
        <rFont val="Sylfaen"/>
        <family val="2"/>
        <charset val="204"/>
        <scheme val="minor"/>
      </rPr>
      <t xml:space="preserve"> #1  H=5,0  </t>
    </r>
    <r>
      <rPr>
        <sz val="11"/>
        <rFont val="AcadNusx"/>
      </rPr>
      <t>(ix.eskizi)</t>
    </r>
  </si>
  <si>
    <t>dioduri lentis montaji</t>
  </si>
  <si>
    <r>
      <t xml:space="preserve">dioduri firi </t>
    </r>
    <r>
      <rPr>
        <sz val="11"/>
        <rFont val="Sylfaen"/>
        <family val="2"/>
        <charset val="204"/>
        <scheme val="minor"/>
      </rPr>
      <t xml:space="preserve">1000mm  14wt </t>
    </r>
    <r>
      <rPr>
        <sz val="11"/>
        <rFont val="AcadNusx"/>
      </rPr>
      <t xml:space="preserve"> </t>
    </r>
    <r>
      <rPr>
        <sz val="11"/>
        <rFont val="Sylfaen"/>
        <family val="2"/>
        <charset val="204"/>
        <scheme val="minor"/>
      </rPr>
      <t>IP 65</t>
    </r>
  </si>
  <si>
    <r>
      <t xml:space="preserve">dioduri firis adaptori                     </t>
    </r>
    <r>
      <rPr>
        <sz val="11"/>
        <rFont val="Sylfaen"/>
        <family val="2"/>
        <charset val="204"/>
        <scheme val="minor"/>
      </rPr>
      <t>1Ph 230v-24v</t>
    </r>
  </si>
  <si>
    <t>20-22-3.</t>
  </si>
  <si>
    <t>haeris gamwovis montaJi</t>
  </si>
  <si>
    <r>
      <t>haeris gamwovi 220v/30</t>
    </r>
    <r>
      <rPr>
        <sz val="11"/>
        <rFont val="Sylfaen"/>
        <family val="2"/>
        <charset val="204"/>
        <scheme val="minor"/>
      </rPr>
      <t>wt</t>
    </r>
    <r>
      <rPr>
        <sz val="11"/>
        <rFont val="AcadNusx"/>
      </rPr>
      <t xml:space="preserve">
250m3/sT; dacvis klasi</t>
    </r>
    <r>
      <rPr>
        <sz val="11"/>
        <rFont val="Sylfaen"/>
        <family val="2"/>
        <charset val="204"/>
        <scheme val="minor"/>
      </rPr>
      <t xml:space="preserve"> IP 44</t>
    </r>
  </si>
  <si>
    <t>150*3,5/1,18</t>
  </si>
  <si>
    <t>200*3,5/1,18</t>
  </si>
  <si>
    <t>saxarjTaRricxvo Rirebuleba (lari)</t>
  </si>
  <si>
    <t>susti denebi</t>
  </si>
  <si>
    <t>lifti gidravlikuri 630(500) kg siCqare 0,633/wm  2-3 gaCereba</t>
  </si>
  <si>
    <t>q.borjomi fexburTis centraluri stadioni</t>
  </si>
  <si>
    <t>ხელსაბამი fexiT qaSanuris, sifoniT, ori drekadi miliT d-15 l=40sm</t>
  </si>
  <si>
    <t>17-1-8</t>
  </si>
  <si>
    <t>kompl.</t>
  </si>
  <si>
    <t>abazanis padonebis montaJi</t>
  </si>
  <si>
    <r>
      <t xml:space="preserve">abazanis padono, ori drekadi miliT d-15, </t>
    </r>
    <r>
      <rPr>
        <sz val="11"/>
        <rFont val="Sylfaen"/>
        <family val="2"/>
        <charset val="204"/>
        <scheme val="minor"/>
      </rPr>
      <t>L</t>
    </r>
    <r>
      <rPr>
        <sz val="11"/>
        <rFont val="AcadNusx"/>
      </rPr>
      <t>-0,4m</t>
    </r>
  </si>
  <si>
    <t>pl. muxli d-63</t>
  </si>
  <si>
    <t>pl. quro d-63</t>
  </si>
  <si>
    <t>pl. milis samagri d-63 (horizontaluri milebis)</t>
  </si>
  <si>
    <t>pl.jvaredini ormag sibrtyeSi  d-100/100</t>
  </si>
  <si>
    <r>
      <t xml:space="preserve">polieTilenis mili    </t>
    </r>
    <r>
      <rPr>
        <sz val="11"/>
        <rFont val="Sylfaen"/>
        <family val="2"/>
        <charset val="204"/>
        <scheme val="minor"/>
      </rPr>
      <t xml:space="preserve"> PE d</t>
    </r>
    <r>
      <rPr>
        <sz val="11"/>
        <rFont val="AcadNusx"/>
      </rPr>
      <t>-40mm</t>
    </r>
  </si>
  <si>
    <r>
      <t xml:space="preserve">polieTilenis mili    </t>
    </r>
    <r>
      <rPr>
        <sz val="11"/>
        <rFont val="Sylfaen"/>
        <family val="2"/>
        <charset val="204"/>
        <scheme val="minor"/>
      </rPr>
      <t xml:space="preserve"> PE d</t>
    </r>
    <r>
      <rPr>
        <sz val="11"/>
        <rFont val="AcadNusx"/>
      </rPr>
      <t>-50mm</t>
    </r>
  </si>
  <si>
    <r>
      <t xml:space="preserve">polieTilenis mili    </t>
    </r>
    <r>
      <rPr>
        <sz val="11"/>
        <rFont val="Sylfaen"/>
        <family val="2"/>
        <charset val="204"/>
        <scheme val="minor"/>
      </rPr>
      <t xml:space="preserve"> PE d</t>
    </r>
    <r>
      <rPr>
        <sz val="11"/>
        <rFont val="AcadNusx"/>
      </rPr>
      <t>-63mm</t>
    </r>
  </si>
  <si>
    <t>დამატ.2- გამოშ.    16-24-5</t>
  </si>
  <si>
    <t>pl quro d-63</t>
  </si>
  <si>
    <t>pl samkapi d-63*50</t>
  </si>
  <si>
    <t>pl samkapi d-63*63</t>
  </si>
  <si>
    <t>pl muxli d-63</t>
  </si>
  <si>
    <t>pl ventili d-63</t>
  </si>
  <si>
    <t>pl gadamyvani d-63*20</t>
  </si>
  <si>
    <t>pl gadamyvani d-63*63</t>
  </si>
  <si>
    <t>pl gadamyvani d-63*50</t>
  </si>
  <si>
    <t>ვენტილების მონტაჟი</t>
  </si>
  <si>
    <t>pl. ვენტილი დ= 20 მმ pl.</t>
  </si>
  <si>
    <t>pl. ვენტილი დ= 25 მმ pl.</t>
  </si>
  <si>
    <t>pl. ვენტილი დ= 32 მმ pl.</t>
  </si>
  <si>
    <t xml:space="preserve">pl. ვენტილი დ= 40 მმ pl. </t>
  </si>
  <si>
    <t xml:space="preserve">pl. ვენტილი დ= 50 მმ pl. </t>
  </si>
  <si>
    <t xml:space="preserve">pl. ვენტილი დ= 63 მმ pl. </t>
  </si>
  <si>
    <t>წყalsadenis  პლ. მილების მოntaJi                                  d-50 d-40 d-63</t>
  </si>
  <si>
    <r>
      <t xml:space="preserve">arsebul wylis qselSi SeWra d-63 </t>
    </r>
    <r>
      <rPr>
        <sz val="11"/>
        <rFont val="AcadNusx"/>
      </rPr>
      <t xml:space="preserve">(makompleqtebeli nawilebiT) </t>
    </r>
  </si>
  <si>
    <t>pl mili d-90 garcmis</t>
  </si>
  <si>
    <r>
      <t xml:space="preserve">kanalizaciis plastmasis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100mm</t>
    </r>
  </si>
  <si>
    <t xml:space="preserve">gruntis gatana 30 km-ze </t>
  </si>
  <si>
    <t>პანელური რადიატორი 600-700   22 PKKP  kwT=1,2</t>
  </si>
  <si>
    <t>პანელური რადიატორი 600-800   22 PKKP kwT=</t>
  </si>
  <si>
    <t>პანელური რადიატორი 600-2000   22 PKKP  kwT=</t>
  </si>
  <si>
    <t>პანელური რადიატორი 600-1500   22 PKKP  kwT=</t>
  </si>
  <si>
    <t>პანელური რადიატორი 900-600   33 PKKP  kwT=3,2</t>
  </si>
  <si>
    <t>პანელური რადიატორი 900-1400  33 PKKP  kwT=4,5</t>
  </si>
  <si>
    <t>milebis Tboizolacia   d-20  sisqe=5mm</t>
  </si>
  <si>
    <t>milebis Tboizolacia   d-25  sisqe=5mm</t>
  </si>
  <si>
    <t>milebis Tboizolacia   d-32  sisqe=5mm</t>
  </si>
  <si>
    <t>milebis Tboizolacia   d-40  sisqe=5mm</t>
  </si>
  <si>
    <t>milebis Tboizolacia   d-50  sisqe=5mm</t>
  </si>
  <si>
    <r>
      <t xml:space="preserve">ucxouri warmoebis საცირკულაციო ტუმბო </t>
    </r>
    <r>
      <rPr>
        <sz val="11"/>
        <rFont val="Sylfaen"/>
        <family val="2"/>
        <charset val="204"/>
        <scheme val="minor"/>
      </rPr>
      <t>G</t>
    </r>
    <r>
      <rPr>
        <sz val="11"/>
        <rFont val="AcadNusx"/>
      </rPr>
      <t xml:space="preserve">=6,0kbm/sT warmadobiT, </t>
    </r>
    <r>
      <rPr>
        <sz val="11"/>
        <rFont val="Sylfaen"/>
        <family val="2"/>
        <charset val="204"/>
        <scheme val="minor"/>
      </rPr>
      <t>H</t>
    </r>
    <r>
      <rPr>
        <sz val="11"/>
        <rFont val="AcadNusx"/>
      </rPr>
      <t>=9,0m awevis simaRliT</t>
    </r>
  </si>
  <si>
    <r>
      <t xml:space="preserve">ucxouri warmoebis საცირკულაციო ტუმბო </t>
    </r>
    <r>
      <rPr>
        <sz val="11"/>
        <rFont val="Sylfaen"/>
        <family val="2"/>
        <charset val="204"/>
        <scheme val="minor"/>
      </rPr>
      <t>G</t>
    </r>
    <r>
      <rPr>
        <sz val="11"/>
        <rFont val="AcadNusx"/>
      </rPr>
      <t xml:space="preserve">=5,0kbm/sT warmadobiT, </t>
    </r>
    <r>
      <rPr>
        <sz val="11"/>
        <rFont val="Sylfaen"/>
        <family val="2"/>
        <charset val="204"/>
        <scheme val="minor"/>
      </rPr>
      <t>H</t>
    </r>
    <r>
      <rPr>
        <sz val="11"/>
        <rFont val="AcadNusx"/>
      </rPr>
      <t>=7,0m awevis simaRliT</t>
    </r>
  </si>
  <si>
    <t>Termometri damcavbi budiT</t>
  </si>
  <si>
    <r>
      <t xml:space="preserve">kedlis kondicioneri,                                         split-sistema, zamTar-zafxulis reJimiT </t>
    </r>
    <r>
      <rPr>
        <b/>
        <sz val="11"/>
        <rFont val="Sylfaen"/>
        <family val="2"/>
        <charset val="204"/>
        <scheme val="minor"/>
      </rPr>
      <t>Q</t>
    </r>
    <r>
      <rPr>
        <b/>
        <vertAlign val="subscript"/>
        <sz val="11"/>
        <rFont val="AcadNusx"/>
      </rPr>
      <t>sic</t>
    </r>
    <r>
      <rPr>
        <b/>
        <sz val="11"/>
        <rFont val="AcadNusx"/>
      </rPr>
      <t>=2kvt</t>
    </r>
  </si>
  <si>
    <t>20-31-4 gam.</t>
  </si>
  <si>
    <t>modinebiT-gamwovi sistema m.g.s.#1</t>
  </si>
  <si>
    <t>modinebiT gamwovi danadgaris  montaJi</t>
  </si>
  <si>
    <t>20-20-3</t>
  </si>
  <si>
    <t>xmaurCamxSobis montaJi</t>
  </si>
  <si>
    <t>xmaurCamxSobi 500X200 l=0,9m</t>
  </si>
  <si>
    <t>20-14-2</t>
  </si>
  <si>
    <t>cxauras montaJi</t>
  </si>
  <si>
    <t>cxaura 300X150</t>
  </si>
  <si>
    <t>20-7-1</t>
  </si>
  <si>
    <t>haersataris montaJi,  moTuTiebuli furclovani foladisagan 0,55mm</t>
  </si>
  <si>
    <t>haersatari, moTuTiebuli furclovani foladisagan 0,55mm</t>
  </si>
  <si>
    <t>haersataris izolacia webovani gubkiT 9mm sisqe</t>
  </si>
  <si>
    <t>20-1-1</t>
  </si>
  <si>
    <t>modinebiT-gamwovi sistema m.g.s.#2-3</t>
  </si>
  <si>
    <t>cxaura 150X100</t>
  </si>
  <si>
    <t>20-11-1</t>
  </si>
  <si>
    <t>gamwovi sistema #1-2</t>
  </si>
  <si>
    <t>gamwovi sistema #3</t>
  </si>
  <si>
    <t>difuzoris montaJi</t>
  </si>
  <si>
    <t>difuzori  Weris d-120</t>
  </si>
  <si>
    <t>gare cxauras montaJi</t>
  </si>
  <si>
    <t>moqnili mili  d-100</t>
  </si>
  <si>
    <t>gamwovi sistema #4</t>
  </si>
  <si>
    <t>gare cxaura 200X200</t>
  </si>
  <si>
    <t>gamwovi sistema #5-6-7-8</t>
  </si>
  <si>
    <t>sayofacxovrebo daniSnulebis RerZuli ventiliatoris montaJi</t>
  </si>
  <si>
    <t>20-22-2</t>
  </si>
  <si>
    <t>pl mili d-100 Txelkedliani</t>
  </si>
  <si>
    <r>
      <t xml:space="preserve">gamwov milze qolgis montaJi </t>
    </r>
    <r>
      <rPr>
        <b/>
        <sz val="11"/>
        <color theme="1"/>
        <rFont val="Sylfaen"/>
        <family val="2"/>
        <charset val="204"/>
        <scheme val="minor"/>
      </rPr>
      <t>d</t>
    </r>
    <r>
      <rPr>
        <b/>
        <sz val="11"/>
        <color theme="1"/>
        <rFont val="AcadNusx"/>
      </rPr>
      <t>-100</t>
    </r>
  </si>
  <si>
    <t>qolga gamwov milze 300X250</t>
  </si>
  <si>
    <t xml:space="preserve">gamwov milze qolgis montaJi </t>
  </si>
  <si>
    <t>gadamwodi cxaurebis montaJi</t>
  </si>
  <si>
    <t>gadamwodi cxaura 400X200</t>
  </si>
  <si>
    <t>gadamwodi cxauras montaJi 400X200</t>
  </si>
  <si>
    <t>gadamwodi cxauras montaJi 400X100</t>
  </si>
  <si>
    <t>gadamwodi cxaura 400X100</t>
  </si>
  <si>
    <t>ლითონის ელ. ფარი  1000x1200x250 IP65, სამონტაჟო ფირფიტით, DIN ლარტყით და მისაფარებელი პანელებით კომპლექტში</t>
  </si>
  <si>
    <t>ავტომატური ამომრთვლი MCCB 3x250A</t>
  </si>
  <si>
    <t>ავტომატური ამომრთვლი MCCB 3x120A</t>
  </si>
  <si>
    <t>ავტომატური ამომრთვლი MCCB 3x50A</t>
  </si>
  <si>
    <t>ავტომატური ამომრთვლი MCB 3x32A/6kA</t>
  </si>
  <si>
    <t>ავტომატური ამომრთვლი MCB 3x25A/6kA</t>
  </si>
  <si>
    <t>ავტომატური ამომრთვლი MCB 3x16A/6kA</t>
  </si>
  <si>
    <t>მინიატურული ავტომატური ამომრთვლი MCB C25/6kA</t>
  </si>
  <si>
    <t>მინიატურული ავტომატური ამომრთვლი MCB C16/6kA</t>
  </si>
  <si>
    <t>3 ფაზა ქსელის ინდიკაცია</t>
  </si>
  <si>
    <t>კონტაქტორი 3NO-3.5kW  AC3 , 1NO+1NC, 220V coil</t>
  </si>
  <si>
    <t>ON/OFF სამართავი ღილაკი  ფიქსაციით, 1NO კონტაქტით</t>
  </si>
  <si>
    <t>ფოტორელე</t>
  </si>
  <si>
    <t>II კლასის გადაძაბვის განმუხტველი  3P+NPE TNS ქსელისთვის, დაკომპლექტებული დამცავი ა/ამომრთველით</t>
  </si>
  <si>
    <t>ძალოვანი გამანაწილებელი საკლემო ბლოკი 4P-250A DIN ლარტყზე სამონტაჟო</t>
  </si>
  <si>
    <t>ცალი</t>
  </si>
  <si>
    <t>კბ/ც</t>
  </si>
  <si>
    <t>მთავარი ელ. გამანაწილებელი ფარი MDB</t>
  </si>
  <si>
    <t xml:space="preserve"> ელ. გამანაწილებელი ფარი MCC</t>
  </si>
  <si>
    <t>ავტომატური ამომრთვლი MCCB 3x100A</t>
  </si>
  <si>
    <t>ლითონის ელ. ფარი  700x500x250 IP67, სამონტაჟო ფირფიტით, DIN ლარტყით და მისაფარებელი პანელებით კომპლექტში</t>
  </si>
  <si>
    <t>ავტომატური ამომრთვლი MCCB 3x32A</t>
  </si>
  <si>
    <t>ავტომატური ამომრთვლი MCCB 3x16A</t>
  </si>
  <si>
    <t>მინიატურული ავტომატური ამომრთვლი MCB C10/6kA</t>
  </si>
  <si>
    <t>ძალოვანი გამანაწილებელი საკლემო ბლოკი 4P-80A DIN ლარტყზე სამონტაჟო</t>
  </si>
  <si>
    <t>დამხმარე ელ. სამონტაჟო მასალები</t>
  </si>
  <si>
    <t>DB1- ელ. გამანაწილებელი ფარი</t>
  </si>
  <si>
    <t>მინიატურული ავტომატური ამომრთვლი MCB 3xC32/6kA</t>
  </si>
  <si>
    <t>დიფერენციალური ავტომატური ამომრთველი 2xC16/30mA</t>
  </si>
  <si>
    <t>სპილენძის დასაპარალელებელი სავარცხელა 3P-63A</t>
  </si>
  <si>
    <t>ლითონის ელ. ფარი  500x500x250 IP65, სამონტაჟო ფირფიტით, DIN ლარტყით და მისაფარებელი პანელებით კომპლექტში</t>
  </si>
  <si>
    <t>DB2- ელ. გამანაწილებელი ფარი</t>
  </si>
  <si>
    <t>ჰალოგენის არშემცველი სპილენძის კაბელი ორმაგი იზოლაციით NHXMH-J 3x1,5</t>
  </si>
  <si>
    <t>ჰალოგენის არშემცველი სპილენძის კაბელი ორმაგი იზოლაციით NHXMH-J 3x2,5</t>
  </si>
  <si>
    <t>ჰალოგენის არშემცველი სპილენძის კაბელი ორმაგი იზოლაციით NHXMH-J 5x2.5</t>
  </si>
  <si>
    <t>ჰალოგენის არშემცველი სპილენძის კაბელი ორმაგი იზოლაციით N2XH-J 3x4</t>
  </si>
  <si>
    <t>ჰალოგენის არშემცველი სპილენძის კაბელი ორმაგი იზოლაციით N2XH-J 5x4</t>
  </si>
  <si>
    <t>ჰალოგენის არშემცველი სპილენძის კაბელი ორმაგი იზოლაციით N2XH-J 5x6</t>
  </si>
  <si>
    <t>ჰალოგენის არშემცველი სპილენძის კაბელი ორმაგი იზოლაციით N2XH-J 4x10</t>
  </si>
  <si>
    <t>ჰალოგენის არშემცველი სპილენძის კაბელი ორმაგი იზოლაციით N2XH-J 4x16+1x10mm2 7OZ1-U</t>
  </si>
  <si>
    <t>ჰალოგენის არშემცველი სპილენძის კაბელი ორმაგი იზოლაციით N2XH-J 4x25</t>
  </si>
  <si>
    <t>ჰალოგენის არშემცველი სპილენძის კაბელი ორმაგი იზოლაციით N2XH-J 4x35</t>
  </si>
  <si>
    <t>ჰალოგენის არშემცველი სპილენძის კაბელი ორმაგი იზოლაციით N2XH-J 4x95</t>
  </si>
  <si>
    <t>გოფრირებული მილი Ø 16 (არააალებადი, თვითქრობადი) LSZH</t>
  </si>
  <si>
    <t>გოფრირებული მილი Ø 20 (არააალებადი, თვითქრობადი) LSZH</t>
  </si>
  <si>
    <t>გოფრირებული მილი Ø 25 (არააალებადი, თვითქრობადი) LSZH</t>
  </si>
  <si>
    <t>გოფრირებული მილი Ø 32 (არააალებადი, თვითქრობადი) LSZH</t>
  </si>
  <si>
    <t>გოფრირებული მილი Ø 40 (არააალებადი, თვითქრობადი) LSZH</t>
  </si>
  <si>
    <t>გოფრირებული მილი Ø 50 (არააალებადი, თვითქრობადი) LSZH</t>
  </si>
  <si>
    <t>PVC ორკედლიანი გოფრირებული მილი Ø 63 UV stable</t>
  </si>
  <si>
    <t xml:space="preserve">1 კლავიშიანი ჩამრთველი , 10A                                                                           </t>
  </si>
  <si>
    <t xml:space="preserve">2 კლავიშიანი ჩამრთველი , 10A        </t>
  </si>
  <si>
    <t xml:space="preserve">2 კლავიშიანი ჩამრთველი რევერსული , 10A        </t>
  </si>
  <si>
    <t xml:space="preserve">1 კლავიშიანი ჩამრთველი რევერსული , 10A        </t>
  </si>
  <si>
    <t xml:space="preserve">საშტეფსელო როზეტი დამიწების კონტაქტით,  2P+E-16A                                                      </t>
  </si>
  <si>
    <t xml:space="preserve">საშტეფსელო როზეტი დამიწების კონტაქტით,  2P+E-16A, IP65                                           </t>
  </si>
  <si>
    <t>სამფაზა საშტეფსელო როზეტი დამიწების კონტაქტით,  4P+E-16A, IP65</t>
  </si>
  <si>
    <t>150kVA დიზელ გენერატორი გარსაცმში, რეზერვის ავტომატური ჩართვის კარადით კომპლექტში, დაბალი ხმაურის დონით, საწვავის ავზით მინ. 6 სთ. ავტონომიურ მუშაობაზე გათვლილი 80% დატვირთვაზე</t>
  </si>
  <si>
    <t>ლითონის მოთუთიებული საკაბელო არხი 100x60</t>
  </si>
  <si>
    <t>ლითონის საკაბელო არხის ჭერის სამაგრი კრონშტეინი</t>
  </si>
  <si>
    <t>ლითონის მოთუთიებული საკაბელო არხი 200x60</t>
  </si>
  <si>
    <t>სანათი Muuto E27 MU 05167 Blue 12W</t>
  </si>
  <si>
    <t>სანათი Leds C4  Cherry  13W</t>
  </si>
  <si>
    <t>კედლის სანათი / ბრა 15W</t>
  </si>
  <si>
    <t>LED  სანათი  1200 მმ 36W</t>
  </si>
  <si>
    <t>სანათი AlphaLED 70 Series IMP Soft Round  -5W  IP65</t>
  </si>
  <si>
    <t>LED  სანათი  ამსტრონგი 600*600 მმ 36W</t>
  </si>
  <si>
    <t>LED  სანათი   60*600 მმ 16W-IP67</t>
  </si>
  <si>
    <t>LEDs C4 RECESSED LIGHT 90-3928-14-M3  18W</t>
  </si>
  <si>
    <t xml:space="preserve">ჭერის ინფრაწითელი მოძრაობის დეტექტორი                                 </t>
  </si>
  <si>
    <t>საკლემო ბლოკი უხრახნო მიერთებით, 5x1,5-2,5მმ² კვეთზე (20A)</t>
  </si>
  <si>
    <r>
      <rPr>
        <sz val="11"/>
        <rFont val="AcadNusx"/>
      </rPr>
      <t xml:space="preserve">uwyveti denis wyaro 250v/1500va </t>
    </r>
    <r>
      <rPr>
        <sz val="11"/>
        <rFont val="Sylfaen"/>
        <family val="2"/>
        <charset val="204"/>
        <scheme val="minor"/>
      </rPr>
      <t>(UPS)IP 41</t>
    </r>
  </si>
  <si>
    <t>8-609-1</t>
  </si>
  <si>
    <t>gare sanaTebis montaJi</t>
  </si>
  <si>
    <t>კომპლ.</t>
  </si>
  <si>
    <t>სანათის ავარიული განათების აკუმლატორი ორ საათიანი უზრუნველყოფით220AC-24VDV- 80VA</t>
  </si>
  <si>
    <t>LED  სანათი ლამპიონი  230V- 2X 50 W IP67</t>
  </si>
  <si>
    <t>LED  სანათი პროჟექტორი  230V- 150 W IP67</t>
  </si>
  <si>
    <t>100 g/m SenobaSi Semsvleli (4*95), 150g/m gare ganateba (3*4)</t>
  </si>
  <si>
    <t xml:space="preserve">gruntis transportireba 30km-ze   </t>
  </si>
  <si>
    <t>mexdacva</t>
  </si>
  <si>
    <t>СНиП
IV-6-82
8-472-4</t>
  </si>
  <si>
    <t xml:space="preserve">horizontaluri damiwebis konturis mowyoba </t>
  </si>
  <si>
    <r>
      <t xml:space="preserve">spilenZIs glinula </t>
    </r>
    <r>
      <rPr>
        <sz val="11"/>
        <rFont val="Sylfaen"/>
        <family val="2"/>
        <charset val="204"/>
        <scheme val="minor"/>
      </rPr>
      <t>Ø</t>
    </r>
    <r>
      <rPr>
        <sz val="11"/>
        <rFont val="AcadNusx"/>
      </rPr>
      <t>8mm</t>
    </r>
  </si>
  <si>
    <t>გამტარის სამაგრი ბრტყელი ზედაპირისთვის, გლინულას ორმაგი სამაგრით</t>
  </si>
  <si>
    <t>Z ტიპის გლინულას სამაგრი (უჟანგავი)</t>
  </si>
  <si>
    <t>ღეროს და ზოლოვანას შემაერთებელი დეტალი</t>
  </si>
  <si>
    <t>ზოლოვანას ჯვარედინული შემაერთებელი დეტალი</t>
  </si>
  <si>
    <t>СНиП
IV-6-82
8-471-3</t>
  </si>
  <si>
    <r>
      <t xml:space="preserve">damiwebis moTuTiebuli glinula </t>
    </r>
    <r>
      <rPr>
        <sz val="11"/>
        <rFont val="Sylfaen"/>
        <family val="2"/>
        <charset val="204"/>
        <scheme val="minor"/>
      </rPr>
      <t>d-16  1,5m</t>
    </r>
  </si>
  <si>
    <r>
      <t xml:space="preserve">damiwebis moTuTiebuli kuTxovana </t>
    </r>
    <r>
      <rPr>
        <sz val="11"/>
        <rFont val="Sylfaen"/>
        <family val="2"/>
        <charset val="204"/>
        <scheme val="minor"/>
      </rPr>
      <t>63X63X6  L=2,5m</t>
    </r>
  </si>
  <si>
    <t>СНиП
IV-6-82
8-471-2</t>
  </si>
  <si>
    <t>moTuTiebuli mavTuliØd-8mm</t>
  </si>
  <si>
    <t>СНиП
IV-6-82
8-472-10</t>
  </si>
  <si>
    <t>СНиП
IV-6-82
8-472-3</t>
  </si>
  <si>
    <t>დამიწების ღერო Ø5/8, l=1,5მ</t>
  </si>
  <si>
    <t>დამიწების ღეროს Ø5/8 ხრახნიანი გადასაბმელი</t>
  </si>
  <si>
    <t xml:space="preserve">kompl </t>
  </si>
  <si>
    <t>აქტიური მეხამრიდი ESE Air Terminal Rp=60m, ΔT= 60 μs</t>
  </si>
  <si>
    <t>მეხამრიდის საყრდენი ანძა h=3მ, უჟანგავი ფოლადი</t>
  </si>
  <si>
    <t>მეხამრიდის საყრდენი ანძის ძირი ბრტყელი ზედაპირისთვის</t>
  </si>
  <si>
    <t>მეხამრიდის ანძაზე სამაგრი ადაპტერი</t>
  </si>
  <si>
    <t>aqtiuri mexamridis montaji</t>
  </si>
  <si>
    <t>მეხის აღრიცხვის მრიცხველი</t>
  </si>
  <si>
    <t>დამხმარე სამონტაჟო მასალების ნაკრები</t>
  </si>
  <si>
    <t>დამიწების კონტურის წინაღობის საკონტროლო გაზომვა</t>
  </si>
  <si>
    <t>დამიწების შემაერთებელი ტერმინალი</t>
  </si>
  <si>
    <t>სატესტო კლემა</t>
  </si>
  <si>
    <t>სამისამართო სახანძრო სიგნალიზაციის საკონტროლო პანელი 2 მარყუჟის დაერთების საშუალებით</t>
  </si>
  <si>
    <t>სახანძრო სიგნალიზაციის კაბელი JE-H(ST)H FE180/E90 1x2x1,5</t>
  </si>
  <si>
    <t>სახანძრო სიგნალიზაციის კაბელი JE-H(ST)H FE180/E90 2x2x0,8</t>
  </si>
  <si>
    <t>PVC სამონტაჟო მილი  Ø 16 LSZH</t>
  </si>
  <si>
    <t>Ø 16 PVC სამონტაჟო მილის ფიტინგები და სამაგრები</t>
  </si>
  <si>
    <t>სამისამართო 1 I/O მოდული</t>
  </si>
  <si>
    <t>სამისამართო 4 I/O მოდული</t>
  </si>
  <si>
    <t>სახანძრო პანელის სტაბილიზირებული კვების ბლოკი, დამტენით</t>
  </si>
  <si>
    <t>stabilizirebuli kvebis blokis montaJi (damteniT)</t>
  </si>
  <si>
    <r>
      <t>saavario gasasvlelis
Suq -maCvenebeli (akumlatoriT)</t>
    </r>
    <r>
      <rPr>
        <b/>
        <sz val="11"/>
        <color theme="1"/>
        <rFont val="Sylfaen"/>
        <family val="2"/>
        <charset val="204"/>
        <scheme val="minor"/>
      </rPr>
      <t xml:space="preserve"> EXIT</t>
    </r>
  </si>
  <si>
    <t>შ/მ PoE ვიდეო კამერა
2MP, 1/2.8” CMOS image sensor, low illuminance, high image definition;
H.265&amp;H.264; 2 MP 30fps@1080P(1920×1080);
WDR, 3D DNR, HLC, BLC, digital watermarking;
2.7mm ~13.5mm lens; Max. IR LEDs Length 60m</t>
  </si>
  <si>
    <t>Bullet ტიპის PoE ვიდეო კამერა
1/2.9” 4Megapixel progressive scan STARVIS™ CMOS;
H.265&amp;H.264 dual-stream encoding; 20fps@6M(3072×2048),25/30fps@4M(2688×1520);
Day/Night(ICR), 3DNR, AWB, AGC, BLC
2.7mm ~13.5mm motorized lens; Max. IR LEDs Length 50m, IP67, IK10</t>
  </si>
  <si>
    <t>8 არხიანი ციფრული ჩამწერი ინტეგრირებული PoE კომუტატორით , 
200 Mbps bandwidth, up to 12M recording resolution; H.264/.H265/Smart H.264+/Smart H.265+/MJPEG, 1 VGA/1 HDMI/1TV, 2RJ45 (1000M), 1 Audio in/1 Audio out, 2 USB, 2 SATA III Ports, Up to 8 TB capacity for each HDD , Alarm Input -16 Channel , Alarm Output -4 Channel (პარამეტრები დაზუსტდეს დამკვეთთან !)</t>
  </si>
  <si>
    <t xml:space="preserve">ვიდეოჩამწერთან თავსებადი მყარი დისკი 8TB </t>
  </si>
  <si>
    <t>ვიდეო კამერის სამონტაჟო კოლოფი IP65 კამერის კოლოფზე დამაგრების შესაძლებლობით</t>
  </si>
  <si>
    <t>კაბელი Cat.5e FTP LSZH</t>
  </si>
  <si>
    <t>სამონტაჟო მილი  Ø 16 LSZH</t>
  </si>
  <si>
    <t>სამონტაჟო მილის ფიტინგები და სამაგრები</t>
  </si>
  <si>
    <t>კაბელი Cat.6a U/FTP, სპილენძის 100% შემცველობით LSZH</t>
  </si>
  <si>
    <t>PVC გოფრირებული მილი Ø 16, LSZH</t>
  </si>
  <si>
    <t>კომპიუტერული ქსელის როზეტი  1 x RJ45 Cat6. FTP</t>
  </si>
  <si>
    <t>უწყვეტი კვების წყარო rackmountable Smart UPS 500 VA</t>
  </si>
  <si>
    <t>Cat.6 - 24 x RJ45 FTP პატჩ-პანელი</t>
  </si>
  <si>
    <t>სამონტაჟო კოლოფი</t>
  </si>
  <si>
    <r>
      <t>internet mimReb gamanawilebeli karadis montaJi</t>
    </r>
    <r>
      <rPr>
        <b/>
        <sz val="11"/>
        <color theme="1"/>
        <rFont val="Sylfaen"/>
        <family val="2"/>
        <charset val="204"/>
        <scheme val="minor"/>
      </rPr>
      <t xml:space="preserve">  </t>
    </r>
  </si>
  <si>
    <t>19" საკომუნიკაციო კარადა 24U</t>
  </si>
  <si>
    <t>სახარჯი მასალები (კაბელის სამაგრი, ხამუთები, სკობები, RJ-45 კონექტორები, საკომუნიკაციო კოლოფები, საიზოლაციო ლენტა, შურუპები და ა.შ.)</t>
  </si>
  <si>
    <t>ODF-ი 2 პორტიანი, ორგანაიზერით</t>
  </si>
  <si>
    <t>დაშვების სისტემის კონტროლერი</t>
  </si>
  <si>
    <t>zedmeti gruntis transportireba 30km manZilze da gatana</t>
  </si>
  <si>
    <t>arsebul kanalizaciis qselSi SeWra (makompleqtebeli nawilebiT) d-150</t>
  </si>
  <si>
    <r>
      <t>anakrebi Wis rgolebi</t>
    </r>
    <r>
      <rPr>
        <sz val="11"/>
        <rFont val="Sylfaen"/>
        <family val="2"/>
        <charset val="204"/>
        <scheme val="minor"/>
      </rPr>
      <t xml:space="preserve">      Ø</t>
    </r>
    <r>
      <rPr>
        <sz val="11"/>
        <rFont val="AcadNusx"/>
      </rPr>
      <t>1500mm;</t>
    </r>
    <r>
      <rPr>
        <sz val="11"/>
        <rFont val="Sylfaen"/>
        <family val="2"/>
        <charset val="204"/>
        <scheme val="minor"/>
      </rPr>
      <t xml:space="preserve"> H</t>
    </r>
    <r>
      <rPr>
        <sz val="11"/>
        <rFont val="AcadNusx"/>
      </rPr>
      <t>=1.5m</t>
    </r>
  </si>
  <si>
    <t>Wis betonis Tavsaxuri liTonis xufiT</t>
  </si>
  <si>
    <t>სპილენძის დასაპარალელებელი სავარცხელა 1P 16მმ²</t>
  </si>
  <si>
    <r>
      <t xml:space="preserve">Zalovani faris montaJi </t>
    </r>
    <r>
      <rPr>
        <b/>
        <sz val="11"/>
        <rFont val="Sylfaen"/>
        <family val="2"/>
        <charset val="204"/>
        <scheme val="minor"/>
      </rPr>
      <t xml:space="preserve"> MDB   ELG1</t>
    </r>
  </si>
  <si>
    <r>
      <t xml:space="preserve">liTonis Zalovani gamanawilebeli fari  200X100X80    </t>
    </r>
    <r>
      <rPr>
        <sz val="11"/>
        <rFont val="Sylfaen"/>
        <family val="2"/>
        <charset val="204"/>
        <scheme val="minor"/>
      </rPr>
      <t>IP 67  IK 08</t>
    </r>
  </si>
  <si>
    <r>
      <t xml:space="preserve">avtomaturi amomrTveli          </t>
    </r>
    <r>
      <rPr>
        <sz val="11"/>
        <rFont val="Sylfaen"/>
        <family val="2"/>
        <charset val="204"/>
        <scheme val="minor"/>
      </rPr>
      <t>1p25a 6KA</t>
    </r>
  </si>
  <si>
    <r>
      <t xml:space="preserve">avtomaturi amomrTveli          </t>
    </r>
    <r>
      <rPr>
        <sz val="11"/>
        <rFont val="Sylfaen"/>
        <family val="2"/>
        <charset val="204"/>
        <scheme val="minor"/>
      </rPr>
      <t>1p 16a 6KA</t>
    </r>
  </si>
  <si>
    <r>
      <t xml:space="preserve">avtomaturi amomrTveli          </t>
    </r>
    <r>
      <rPr>
        <sz val="11"/>
        <rFont val="Sylfaen"/>
        <family val="2"/>
        <charset val="204"/>
        <scheme val="minor"/>
      </rPr>
      <t>1p 6a 6KA</t>
    </r>
  </si>
  <si>
    <r>
      <t>რელე</t>
    </r>
    <r>
      <rPr>
        <sz val="11"/>
        <rFont val="Sylfaen"/>
        <family val="2"/>
        <charset val="204"/>
        <scheme val="minor"/>
      </rPr>
      <t xml:space="preserve">  250v/5A</t>
    </r>
  </si>
  <si>
    <r>
      <t xml:space="preserve">ფოტორელე </t>
    </r>
    <r>
      <rPr>
        <sz val="11"/>
        <rFont val="Sylfaen"/>
        <family val="2"/>
        <charset val="204"/>
        <scheme val="minor"/>
      </rPr>
      <t>250V  5A</t>
    </r>
  </si>
  <si>
    <r>
      <t xml:space="preserve">liTonis gamanawilebeli kolofi </t>
    </r>
    <r>
      <rPr>
        <sz val="11"/>
        <rFont val="Sylfaen"/>
        <family val="2"/>
        <charset val="204"/>
        <scheme val="minor"/>
      </rPr>
      <t>IP 67   100X100X50</t>
    </r>
  </si>
  <si>
    <r>
      <t>pl</t>
    </r>
    <r>
      <rPr>
        <sz val="11"/>
        <rFont val="AcadNusx"/>
      </rPr>
      <t>. sarini</t>
    </r>
    <r>
      <rPr>
        <sz val="11"/>
        <color theme="1"/>
        <rFont val="AcadNusx"/>
      </rPr>
      <t xml:space="preserve">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</t>
    </r>
  </si>
  <si>
    <r>
      <t xml:space="preserve">pl. sarini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</t>
    </r>
  </si>
  <si>
    <r>
      <t xml:space="preserve">pl. muxli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</t>
    </r>
  </si>
  <si>
    <r>
      <t xml:space="preserve">pl. muxli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</si>
  <si>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d-50*50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</si>
  <si>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d-100*50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</si>
  <si>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d-100*100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</si>
  <si>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d-50*50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</si>
  <si>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d-100*50</t>
    </r>
  </si>
  <si>
    <r>
      <t xml:space="preserve">kompres. quro </t>
    </r>
    <r>
      <rPr>
        <sz val="11"/>
        <color theme="1"/>
        <rFont val="Sylfaen"/>
        <family val="2"/>
        <charset val="204"/>
        <scheme val="minor"/>
      </rPr>
      <t xml:space="preserve">PE  </t>
    </r>
    <r>
      <rPr>
        <sz val="11"/>
        <color theme="1"/>
        <rFont val="AcadNusx"/>
      </rPr>
      <t>S/x d-63*2</t>
    </r>
  </si>
  <si>
    <r>
      <t xml:space="preserve">pl muxli </t>
    </r>
    <r>
      <rPr>
        <sz val="11"/>
        <color theme="1"/>
        <rFont val="Sylfaen"/>
        <family val="2"/>
        <charset val="204"/>
        <scheme val="minor"/>
      </rPr>
      <t xml:space="preserve">PE  </t>
    </r>
    <r>
      <rPr>
        <sz val="11"/>
        <color theme="1"/>
        <rFont val="AcadNusx"/>
      </rPr>
      <t>S/x d-63</t>
    </r>
    <r>
      <rPr>
        <sz val="12"/>
        <color theme="1"/>
        <rFont val="AcadNusx"/>
        <family val="2"/>
        <charset val="1"/>
      </rPr>
      <t/>
    </r>
  </si>
  <si>
    <r>
      <t xml:space="preserve">pl muxli </t>
    </r>
    <r>
      <rPr>
        <sz val="11"/>
        <color theme="1"/>
        <rFont val="Sylfaen"/>
        <family val="2"/>
        <charset val="204"/>
        <scheme val="minor"/>
      </rPr>
      <t xml:space="preserve">PE  </t>
    </r>
    <r>
      <rPr>
        <sz val="11"/>
        <color theme="1"/>
        <rFont val="AcadNusx"/>
      </rPr>
      <t>S/x d-40</t>
    </r>
  </si>
  <si>
    <r>
      <t xml:space="preserve">pl ventili </t>
    </r>
    <r>
      <rPr>
        <sz val="11"/>
        <color theme="1"/>
        <rFont val="Sylfaen"/>
        <family val="2"/>
        <charset val="204"/>
        <scheme val="minor"/>
      </rPr>
      <t xml:space="preserve">PE  </t>
    </r>
    <r>
      <rPr>
        <sz val="11"/>
        <color theme="1"/>
        <rFont val="AcadNusx"/>
      </rPr>
      <t>S/x d-63</t>
    </r>
  </si>
  <si>
    <r>
      <t xml:space="preserve">pl ventili </t>
    </r>
    <r>
      <rPr>
        <sz val="11"/>
        <color theme="1"/>
        <rFont val="Sylfaen"/>
        <family val="2"/>
        <charset val="204"/>
        <scheme val="minor"/>
      </rPr>
      <t xml:space="preserve">PE  </t>
    </r>
    <r>
      <rPr>
        <sz val="11"/>
        <color theme="1"/>
        <rFont val="AcadNusx"/>
      </rPr>
      <t>S/x d-40</t>
    </r>
  </si>
  <si>
    <r>
      <t xml:space="preserve">foladis milyeli d-125 </t>
    </r>
    <r>
      <rPr>
        <sz val="11"/>
        <color theme="1"/>
        <rFont val="Sylfaen"/>
        <family val="2"/>
        <charset val="204"/>
        <scheme val="minor"/>
      </rPr>
      <t>L</t>
    </r>
    <r>
      <rPr>
        <sz val="11"/>
        <color theme="1"/>
        <rFont val="AcadNusx"/>
      </rPr>
      <t>=0,1m</t>
    </r>
  </si>
  <si>
    <r>
      <t xml:space="preserve">foladis ZuZuka </t>
    </r>
    <r>
      <rPr>
        <sz val="11"/>
        <color theme="1"/>
        <rFont val="Sylfaen"/>
        <family val="2"/>
        <charset val="204"/>
        <scheme val="minor"/>
      </rPr>
      <t>L</t>
    </r>
    <r>
      <rPr>
        <sz val="11"/>
        <color theme="1"/>
        <rFont val="AcadNusx"/>
      </rPr>
      <t>=0,1m</t>
    </r>
  </si>
  <si>
    <r>
      <t xml:space="preserve">pl. muxli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 xml:space="preserve">d-50 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</si>
  <si>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 xml:space="preserve">d-100*100 </t>
    </r>
  </si>
  <si>
    <r>
      <t xml:space="preserve">pirsaxocis saSrobi ked;lis                                                  </t>
    </r>
    <r>
      <rPr>
        <sz val="11"/>
        <color theme="1"/>
        <rFont val="Sylfaen"/>
        <family val="2"/>
        <charset val="204"/>
        <scheme val="minor"/>
      </rPr>
      <t>H</t>
    </r>
    <r>
      <rPr>
        <sz val="11"/>
        <color theme="1"/>
        <rFont val="AcadNusx"/>
      </rPr>
      <t xml:space="preserve">=1,4m, </t>
    </r>
    <r>
      <rPr>
        <sz val="11"/>
        <color theme="1"/>
        <rFont val="Sylfaen"/>
        <family val="2"/>
        <charset val="204"/>
        <scheme val="minor"/>
      </rPr>
      <t>L</t>
    </r>
    <r>
      <rPr>
        <sz val="11"/>
        <color theme="1"/>
        <rFont val="AcadNusx"/>
      </rPr>
      <t xml:space="preserve">=0,6m,   </t>
    </r>
    <r>
      <rPr>
        <sz val="11"/>
        <color theme="1"/>
        <rFont val="Sylfaen"/>
        <family val="2"/>
        <charset val="204"/>
        <scheme val="minor"/>
      </rPr>
      <t>kwT</t>
    </r>
    <r>
      <rPr>
        <sz val="11"/>
        <color theme="1"/>
        <rFont val="AcadNusx"/>
      </rPr>
      <t>=1,0</t>
    </r>
  </si>
  <si>
    <r>
      <t xml:space="preserve">samkapi  d-50 </t>
    </r>
    <r>
      <rPr>
        <sz val="11"/>
        <color theme="1"/>
        <rFont val="Sylfaen"/>
        <family val="2"/>
        <charset val="204"/>
        <scheme val="minor"/>
      </rPr>
      <t>PN 25</t>
    </r>
  </si>
  <si>
    <r>
      <t xml:space="preserve">samkapi  d-40 </t>
    </r>
    <r>
      <rPr>
        <sz val="11"/>
        <color theme="1"/>
        <rFont val="Sylfaen"/>
        <family val="2"/>
        <charset val="204"/>
        <scheme val="minor"/>
      </rPr>
      <t>PN 25</t>
    </r>
  </si>
  <si>
    <r>
      <t xml:space="preserve">samkapi  d-32 </t>
    </r>
    <r>
      <rPr>
        <sz val="11"/>
        <color theme="1"/>
        <rFont val="Sylfaen"/>
        <family val="2"/>
        <charset val="204"/>
        <scheme val="minor"/>
      </rPr>
      <t>PN 25</t>
    </r>
  </si>
  <si>
    <r>
      <t xml:space="preserve">samkapi  d-25 </t>
    </r>
    <r>
      <rPr>
        <sz val="11"/>
        <color theme="1"/>
        <rFont val="Sylfaen"/>
        <family val="2"/>
        <charset val="204"/>
        <scheme val="minor"/>
      </rPr>
      <t>PN 25</t>
    </r>
  </si>
  <si>
    <r>
      <t>მუხლი   d-50  90</t>
    </r>
    <r>
      <rPr>
        <vertAlign val="superscript"/>
        <sz val="11"/>
        <color theme="1"/>
        <rFont val="Sylfaen"/>
        <family val="2"/>
        <charset val="204"/>
        <scheme val="minor"/>
      </rPr>
      <t xml:space="preserve">0   </t>
    </r>
    <r>
      <rPr>
        <sz val="11"/>
        <color theme="1"/>
        <rFont val="Sylfaen"/>
        <family val="2"/>
        <charset val="204"/>
        <scheme val="minor"/>
      </rPr>
      <t>PN 25</t>
    </r>
  </si>
  <si>
    <r>
      <t>მუხლი   d-40  90</t>
    </r>
    <r>
      <rPr>
        <vertAlign val="superscript"/>
        <sz val="11"/>
        <color theme="1"/>
        <rFont val="Sylfaen"/>
        <family val="2"/>
        <charset val="204"/>
        <scheme val="minor"/>
      </rPr>
      <t xml:space="preserve">0   </t>
    </r>
    <r>
      <rPr>
        <sz val="11"/>
        <color theme="1"/>
        <rFont val="Sylfaen"/>
        <family val="2"/>
        <charset val="204"/>
        <scheme val="minor"/>
      </rPr>
      <t>PN 25</t>
    </r>
  </si>
  <si>
    <r>
      <t>მუხლი   d-32  90</t>
    </r>
    <r>
      <rPr>
        <vertAlign val="superscript"/>
        <sz val="11"/>
        <color theme="1"/>
        <rFont val="Sylfaen"/>
        <family val="2"/>
        <charset val="204"/>
        <scheme val="minor"/>
      </rPr>
      <t xml:space="preserve">0   </t>
    </r>
    <r>
      <rPr>
        <sz val="11"/>
        <color theme="1"/>
        <rFont val="Sylfaen"/>
        <family val="2"/>
        <charset val="204"/>
        <scheme val="minor"/>
      </rPr>
      <t>PN 25</t>
    </r>
  </si>
  <si>
    <r>
      <t>მუხლი   d-25  90</t>
    </r>
    <r>
      <rPr>
        <vertAlign val="superscript"/>
        <sz val="11"/>
        <color theme="1"/>
        <rFont val="Sylfaen"/>
        <family val="2"/>
        <charset val="204"/>
        <scheme val="minor"/>
      </rPr>
      <t xml:space="preserve">0   </t>
    </r>
    <r>
      <rPr>
        <sz val="11"/>
        <color theme="1"/>
        <rFont val="Sylfaen"/>
        <family val="2"/>
        <charset val="204"/>
        <scheme val="minor"/>
      </rPr>
      <t>PN 25</t>
    </r>
  </si>
  <si>
    <r>
      <t>მუხლი   d-20  90</t>
    </r>
    <r>
      <rPr>
        <vertAlign val="superscript"/>
        <sz val="11"/>
        <color theme="1"/>
        <rFont val="Sylfaen"/>
        <family val="2"/>
        <charset val="204"/>
        <scheme val="minor"/>
      </rPr>
      <t>0</t>
    </r>
    <r>
      <rPr>
        <sz val="11"/>
        <color theme="1"/>
        <rFont val="Sylfaen"/>
        <family val="2"/>
        <charset val="204"/>
        <scheme val="minor"/>
      </rPr>
      <t xml:space="preserve">  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</si>
  <si>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d-50X40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</si>
  <si>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d-50X32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</si>
  <si>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d-50X20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</si>
  <si>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d-40X32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</si>
  <si>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d-40X25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</si>
  <si>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d-40X20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</si>
  <si>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d-32X25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</si>
  <si>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d-32X20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</si>
  <si>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d-25X20 PN 25</t>
    </r>
  </si>
  <si>
    <r>
      <t>d-20 1/2" ქურო გ/ხ</t>
    </r>
    <r>
      <rPr>
        <sz val="11"/>
        <color theme="1"/>
        <rFont val="Sylfaen"/>
        <family val="2"/>
        <charset val="204"/>
        <scheme val="minor"/>
      </rPr>
      <t xml:space="preserve"> DIZAYN</t>
    </r>
  </si>
  <si>
    <r>
      <t xml:space="preserve">modinebiT gamwovi danadgari, rekuperatoriT-rek=65% </t>
    </r>
    <r>
      <rPr>
        <sz val="11"/>
        <color theme="1"/>
        <rFont val="Sylfaen"/>
        <family val="2"/>
        <charset val="204"/>
        <scheme val="minor"/>
      </rPr>
      <t>L</t>
    </r>
    <r>
      <rPr>
        <vertAlign val="subscript"/>
        <sz val="11"/>
        <color theme="1"/>
        <rFont val="AcadNusx"/>
      </rPr>
      <t>gaw</t>
    </r>
    <r>
      <rPr>
        <sz val="11"/>
        <color theme="1"/>
        <rFont val="AcadNusx"/>
      </rPr>
      <t>=</t>
    </r>
    <r>
      <rPr>
        <sz val="11"/>
        <color theme="1"/>
        <rFont val="Sylfaen"/>
        <family val="2"/>
        <charset val="204"/>
        <scheme val="minor"/>
      </rPr>
      <t>L</t>
    </r>
    <r>
      <rPr>
        <vertAlign val="subscript"/>
        <sz val="11"/>
        <color theme="1"/>
        <rFont val="AcadNusx"/>
      </rPr>
      <t>mod</t>
    </r>
    <r>
      <rPr>
        <sz val="11"/>
        <color theme="1"/>
        <rFont val="AcadNusx"/>
      </rPr>
      <t xml:space="preserve">=1500kbm/sT,  </t>
    </r>
    <r>
      <rPr>
        <sz val="11"/>
        <color theme="1"/>
        <rFont val="Sylfaen"/>
        <family val="2"/>
        <charset val="204"/>
        <scheme val="minor"/>
      </rPr>
      <t>H</t>
    </r>
    <r>
      <rPr>
        <vertAlign val="subscript"/>
        <sz val="11"/>
        <color theme="1"/>
        <rFont val="AcadNusx"/>
      </rPr>
      <t>g</t>
    </r>
    <r>
      <rPr>
        <sz val="11"/>
        <color theme="1"/>
        <rFont val="AcadNusx"/>
      </rPr>
      <t>=</t>
    </r>
    <r>
      <rPr>
        <sz val="11"/>
        <color theme="1"/>
        <rFont val="Sylfaen"/>
        <family val="2"/>
        <charset val="204"/>
        <scheme val="minor"/>
      </rPr>
      <t>H</t>
    </r>
    <r>
      <rPr>
        <vertAlign val="subscript"/>
        <sz val="11"/>
        <color theme="1"/>
        <rFont val="AcadNusx"/>
      </rPr>
      <t>m</t>
    </r>
    <r>
      <rPr>
        <sz val="11"/>
        <color theme="1"/>
        <rFont val="AcadNusx"/>
      </rPr>
      <t>=340pask.el. kaloriferiT  -</t>
    </r>
    <r>
      <rPr>
        <sz val="11"/>
        <color theme="1"/>
        <rFont val="Sylfaen"/>
        <family val="2"/>
        <charset val="204"/>
        <scheme val="minor"/>
      </rPr>
      <t>N</t>
    </r>
    <r>
      <rPr>
        <sz val="11"/>
        <color theme="1"/>
        <rFont val="AcadNusx"/>
      </rPr>
      <t xml:space="preserve">=10kvt(3f.) </t>
    </r>
    <r>
      <rPr>
        <sz val="11"/>
        <color theme="1"/>
        <rFont val="Sylfaen"/>
        <family val="2"/>
        <charset val="204"/>
        <scheme val="minor"/>
      </rPr>
      <t>N</t>
    </r>
    <r>
      <rPr>
        <vertAlign val="subscript"/>
        <sz val="11"/>
        <color theme="1"/>
        <rFont val="AcadNusx"/>
      </rPr>
      <t>vent</t>
    </r>
    <r>
      <rPr>
        <sz val="11"/>
        <color theme="1"/>
        <rFont val="AcadNusx"/>
      </rPr>
      <t>=0,5kvtX2c, avtomaturi marTis blokiT</t>
    </r>
  </si>
  <si>
    <r>
      <t xml:space="preserve">modinebiT gamwovi danadgari, rekuperatoriT-rek=65% </t>
    </r>
    <r>
      <rPr>
        <sz val="11"/>
        <color theme="1"/>
        <rFont val="Sylfaen"/>
        <family val="2"/>
        <charset val="204"/>
        <scheme val="minor"/>
      </rPr>
      <t>L</t>
    </r>
    <r>
      <rPr>
        <vertAlign val="subscript"/>
        <sz val="11"/>
        <color theme="1"/>
        <rFont val="AcadNusx"/>
      </rPr>
      <t>gaw</t>
    </r>
    <r>
      <rPr>
        <sz val="11"/>
        <color theme="1"/>
        <rFont val="AcadNusx"/>
      </rPr>
      <t>=</t>
    </r>
    <r>
      <rPr>
        <sz val="11"/>
        <color theme="1"/>
        <rFont val="Sylfaen"/>
        <family val="2"/>
        <charset val="204"/>
        <scheme val="minor"/>
      </rPr>
      <t>L</t>
    </r>
    <r>
      <rPr>
        <vertAlign val="subscript"/>
        <sz val="11"/>
        <color theme="1"/>
        <rFont val="AcadNusx"/>
      </rPr>
      <t>mod</t>
    </r>
    <r>
      <rPr>
        <sz val="11"/>
        <color theme="1"/>
        <rFont val="AcadNusx"/>
      </rPr>
      <t xml:space="preserve">=1000kbm/sT,  </t>
    </r>
    <r>
      <rPr>
        <sz val="11"/>
        <color theme="1"/>
        <rFont val="Sylfaen"/>
        <family val="2"/>
        <charset val="204"/>
        <scheme val="minor"/>
      </rPr>
      <t>H</t>
    </r>
    <r>
      <rPr>
        <vertAlign val="subscript"/>
        <sz val="11"/>
        <color theme="1"/>
        <rFont val="AcadNusx"/>
      </rPr>
      <t>g</t>
    </r>
    <r>
      <rPr>
        <sz val="11"/>
        <color theme="1"/>
        <rFont val="AcadNusx"/>
      </rPr>
      <t>=</t>
    </r>
    <r>
      <rPr>
        <sz val="11"/>
        <color theme="1"/>
        <rFont val="Sylfaen"/>
        <family val="2"/>
        <charset val="204"/>
        <scheme val="minor"/>
      </rPr>
      <t>H</t>
    </r>
    <r>
      <rPr>
        <vertAlign val="subscript"/>
        <sz val="11"/>
        <color theme="1"/>
        <rFont val="AcadNusx"/>
      </rPr>
      <t>m</t>
    </r>
    <r>
      <rPr>
        <sz val="11"/>
        <color theme="1"/>
        <rFont val="AcadNusx"/>
      </rPr>
      <t>=320pask.el. kaloriferiT  -</t>
    </r>
    <r>
      <rPr>
        <sz val="11"/>
        <color theme="1"/>
        <rFont val="Sylfaen"/>
        <family val="2"/>
        <charset val="204"/>
        <scheme val="minor"/>
      </rPr>
      <t>N</t>
    </r>
    <r>
      <rPr>
        <sz val="11"/>
        <color theme="1"/>
        <rFont val="AcadNusx"/>
      </rPr>
      <t xml:space="preserve">=7kvt(3f.) </t>
    </r>
    <r>
      <rPr>
        <sz val="11"/>
        <color theme="1"/>
        <rFont val="Sylfaen"/>
        <family val="2"/>
        <charset val="204"/>
        <scheme val="minor"/>
      </rPr>
      <t>N</t>
    </r>
    <r>
      <rPr>
        <vertAlign val="subscript"/>
        <sz val="11"/>
        <color theme="1"/>
        <rFont val="AcadNusx"/>
      </rPr>
      <t>vent</t>
    </r>
    <r>
      <rPr>
        <sz val="11"/>
        <color theme="1"/>
        <rFont val="AcadNusx"/>
      </rPr>
      <t>=0,3kvtX2c, avtomaturi marTis blokiT</t>
    </r>
  </si>
  <si>
    <r>
      <t xml:space="preserve">arxuli ventiliatori </t>
    </r>
    <r>
      <rPr>
        <sz val="11"/>
        <color theme="1"/>
        <rFont val="Sylfaen"/>
        <family val="2"/>
        <charset val="204"/>
        <scheme val="minor"/>
      </rPr>
      <t>L</t>
    </r>
    <r>
      <rPr>
        <sz val="11"/>
        <color theme="1"/>
        <rFont val="AcadNusx"/>
      </rPr>
      <t xml:space="preserve">=1000kbm/sT </t>
    </r>
    <r>
      <rPr>
        <sz val="11"/>
        <color theme="1"/>
        <rFont val="Sylfaen"/>
        <family val="2"/>
        <charset val="204"/>
        <scheme val="minor"/>
      </rPr>
      <t>H</t>
    </r>
    <r>
      <rPr>
        <sz val="11"/>
        <color theme="1"/>
        <rFont val="AcadNusx"/>
      </rPr>
      <t>=240p</t>
    </r>
  </si>
  <si>
    <r>
      <t xml:space="preserve">arxuli ventiliatori </t>
    </r>
    <r>
      <rPr>
        <sz val="11"/>
        <color theme="1"/>
        <rFont val="Sylfaen"/>
        <family val="2"/>
        <charset val="204"/>
        <scheme val="minor"/>
      </rPr>
      <t>L</t>
    </r>
    <r>
      <rPr>
        <sz val="11"/>
        <color theme="1"/>
        <rFont val="AcadNusx"/>
      </rPr>
      <t xml:space="preserve">=700kbm/sT </t>
    </r>
    <r>
      <rPr>
        <sz val="11"/>
        <color theme="1"/>
        <rFont val="Sylfaen"/>
        <family val="2"/>
        <charset val="204"/>
        <scheme val="minor"/>
      </rPr>
      <t>H</t>
    </r>
    <r>
      <rPr>
        <sz val="11"/>
        <color theme="1"/>
        <rFont val="AcadNusx"/>
      </rPr>
      <t>=180p</t>
    </r>
  </si>
  <si>
    <r>
      <t xml:space="preserve">arxuli ventiliatori </t>
    </r>
    <r>
      <rPr>
        <sz val="11"/>
        <color theme="1"/>
        <rFont val="Sylfaen"/>
        <family val="2"/>
        <charset val="204"/>
        <scheme val="minor"/>
      </rPr>
      <t>L</t>
    </r>
    <r>
      <rPr>
        <sz val="11"/>
        <color theme="1"/>
        <rFont val="AcadNusx"/>
      </rPr>
      <t xml:space="preserve">=300kbm/sT </t>
    </r>
    <r>
      <rPr>
        <sz val="11"/>
        <color theme="1"/>
        <rFont val="Sylfaen"/>
        <family val="2"/>
        <charset val="204"/>
        <scheme val="minor"/>
      </rPr>
      <t>H</t>
    </r>
    <r>
      <rPr>
        <sz val="11"/>
        <color theme="1"/>
        <rFont val="AcadNusx"/>
      </rPr>
      <t>=120p</t>
    </r>
  </si>
  <si>
    <r>
      <t xml:space="preserve">sayofacxovrebo daniSnulebis RerZuli ventiliatori </t>
    </r>
    <r>
      <rPr>
        <sz val="11"/>
        <color theme="1"/>
        <rFont val="Sylfaen"/>
        <family val="2"/>
        <charset val="204"/>
        <scheme val="minor"/>
      </rPr>
      <t>L</t>
    </r>
    <r>
      <rPr>
        <sz val="11"/>
        <color theme="1"/>
        <rFont val="AcadNusx"/>
      </rPr>
      <t xml:space="preserve">=100kbm/sT </t>
    </r>
    <r>
      <rPr>
        <sz val="11"/>
        <color theme="1"/>
        <rFont val="Sylfaen"/>
        <family val="2"/>
        <charset val="204"/>
        <scheme val="minor"/>
      </rPr>
      <t>d</t>
    </r>
    <r>
      <rPr>
        <sz val="11"/>
        <color theme="1"/>
        <rFont val="AcadNusx"/>
      </rPr>
      <t>=100</t>
    </r>
  </si>
  <si>
    <r>
      <t xml:space="preserve">gare cxaura </t>
    </r>
    <r>
      <rPr>
        <sz val="11"/>
        <color theme="1"/>
        <rFont val="Sylfaen"/>
        <family val="2"/>
        <charset val="204"/>
        <scheme val="minor"/>
      </rPr>
      <t>d</t>
    </r>
    <r>
      <rPr>
        <sz val="11"/>
        <color theme="1"/>
        <rFont val="AcadNusx"/>
      </rPr>
      <t>-120</t>
    </r>
  </si>
  <si>
    <r>
      <t xml:space="preserve">qolga gamwov milze </t>
    </r>
    <r>
      <rPr>
        <sz val="11"/>
        <color theme="1"/>
        <rFont val="Sylfaen"/>
        <family val="2"/>
        <charset val="204"/>
        <scheme val="minor"/>
      </rPr>
      <t>d</t>
    </r>
    <r>
      <rPr>
        <sz val="11"/>
        <color theme="1"/>
        <rFont val="AcadNusx"/>
      </rPr>
      <t>-100</t>
    </r>
  </si>
  <si>
    <r>
      <t xml:space="preserve">ucxouri warmoebis, bunebriv airze momuSave wyalgamTbobi qvabi, marTvis paneliT da sruli avtomatikiT, damcavi sarqveliT, 100kvt siTbos sasargeblo simZlavriT, </t>
    </r>
    <r>
      <rPr>
        <sz val="11"/>
        <color theme="1"/>
        <rFont val="Sylfaen"/>
        <family val="2"/>
        <charset val="204"/>
        <scheme val="minor"/>
      </rPr>
      <t>T-80</t>
    </r>
    <r>
      <rPr>
        <vertAlign val="superscript"/>
        <sz val="11"/>
        <color theme="1"/>
        <rFont val="Sylfaen"/>
        <family val="2"/>
        <charset val="204"/>
        <scheme val="minor"/>
      </rPr>
      <t>0</t>
    </r>
    <r>
      <rPr>
        <sz val="11"/>
        <color theme="1"/>
        <rFont val="Sylfaen"/>
        <family val="2"/>
        <charset val="204"/>
        <scheme val="minor"/>
      </rPr>
      <t>+60</t>
    </r>
    <r>
      <rPr>
        <vertAlign val="superscript"/>
        <sz val="11"/>
        <color theme="1"/>
        <rFont val="Sylfaen"/>
        <family val="2"/>
        <charset val="204"/>
        <scheme val="minor"/>
      </rPr>
      <t>0</t>
    </r>
    <r>
      <rPr>
        <sz val="11"/>
        <color theme="1"/>
        <rFont val="Sylfaen"/>
        <family val="2"/>
        <charset val="204"/>
        <scheme val="minor"/>
      </rPr>
      <t xml:space="preserve">C </t>
    </r>
    <r>
      <rPr>
        <sz val="11"/>
        <color theme="1"/>
        <rFont val="AcadNusx"/>
      </rPr>
      <t>temperaturuli reJimiT</t>
    </r>
  </si>
  <si>
    <r>
      <t>optikur boWkovani sadeni
12 wveri</t>
    </r>
    <r>
      <rPr>
        <sz val="11"/>
        <color theme="1"/>
        <rFont val="Sylfaen"/>
        <family val="2"/>
        <charset val="204"/>
        <scheme val="minor"/>
      </rPr>
      <t xml:space="preserve"> SL (single mode)</t>
    </r>
  </si>
  <si>
    <r>
      <t xml:space="preserve">damagrZelebeli </t>
    </r>
    <r>
      <rPr>
        <sz val="11"/>
        <color theme="1"/>
        <rFont val="Sylfaen"/>
        <family val="2"/>
        <charset val="204"/>
        <scheme val="minor"/>
      </rPr>
      <t>PDU-</t>
    </r>
    <r>
      <rPr>
        <sz val="11"/>
        <color theme="1"/>
        <rFont val="AcadNusx"/>
      </rPr>
      <t>8</t>
    </r>
  </si>
  <si>
    <r>
      <t xml:space="preserve">paCkordi </t>
    </r>
    <r>
      <rPr>
        <sz val="11"/>
        <color theme="1"/>
        <rFont val="Sylfaen"/>
        <family val="2"/>
        <charset val="204"/>
        <scheme val="minor"/>
      </rPr>
      <t>UTP Cot 5e   0,5m</t>
    </r>
  </si>
  <si>
    <r>
      <t xml:space="preserve">paCkordi </t>
    </r>
    <r>
      <rPr>
        <sz val="11"/>
        <color theme="1"/>
        <rFont val="Sylfaen"/>
        <family val="2"/>
        <charset val="204"/>
        <scheme val="minor"/>
      </rPr>
      <t>UTP Cot 5e   3,0m</t>
    </r>
  </si>
  <si>
    <t>dr</t>
  </si>
  <si>
    <t>1-80-8</t>
  </si>
  <si>
    <t xml:space="preserve">gruntis damuSaveba xeliT cokolis mosawyobad </t>
  </si>
  <si>
    <t xml:space="preserve">RorRis fenilis mowyoba </t>
  </si>
  <si>
    <t>monoliTuri rk.betonis kedelis mowyoba</t>
  </si>
  <si>
    <t xml:space="preserve">gatana 30 km-ze </t>
  </si>
  <si>
    <t>9-17-5</t>
  </si>
  <si>
    <t>liTonis dgarebis Caankereba rk.betonis cokolSi</t>
  </si>
  <si>
    <t>liTonis dgarebi --  kv mili 40*80*3</t>
  </si>
  <si>
    <t>liTonis ganivebi  --  kv mili 40*60*2</t>
  </si>
  <si>
    <t>akeri d-100 l=300</t>
  </si>
  <si>
    <t>sul liTonis konstruqcia</t>
  </si>
  <si>
    <t>foladis konstruqcia</t>
  </si>
  <si>
    <t>liTonis ganivebi  -- kv mili 40*60*2</t>
  </si>
  <si>
    <t>liTonis detalebis antikoroziuli SeRebva</t>
  </si>
  <si>
    <t xml:space="preserve">betopanis (fibrocementis) panelebis 2500*1220*10 montaJi liTonis karkasze </t>
  </si>
  <si>
    <t>liTonis dgari</t>
  </si>
  <si>
    <t>betopanis (fibrocementis) panelebis sisqiT 10mm</t>
  </si>
  <si>
    <t>betopaniT mowyobili kedlis zedapirebis moxatva  (SefrqveviT) grafiti</t>
  </si>
  <si>
    <t xml:space="preserve">SemoRobvis mowyoba betopanis (fibrocementis) panelebiT 2500*1220*10 </t>
  </si>
  <si>
    <t>moednis garSemo dekoratiuli liTonis SemoRobvis mowyoba</t>
  </si>
  <si>
    <r>
      <t xml:space="preserve">foladis furceli  </t>
    </r>
    <r>
      <rPr>
        <b/>
        <sz val="11"/>
        <color theme="1"/>
        <rFont val="Sylfaen"/>
        <family val="2"/>
        <charset val="204"/>
        <scheme val="minor"/>
      </rPr>
      <t>t</t>
    </r>
    <r>
      <rPr>
        <b/>
        <sz val="11"/>
        <color theme="1"/>
        <rFont val="AcadNusx"/>
      </rPr>
      <t>=10mm</t>
    </r>
  </si>
  <si>
    <r>
      <t xml:space="preserve">foladis furceli  </t>
    </r>
    <r>
      <rPr>
        <sz val="11"/>
        <color theme="1"/>
        <rFont val="Sylfaen"/>
        <family val="2"/>
        <charset val="204"/>
        <scheme val="minor"/>
      </rPr>
      <t>t</t>
    </r>
    <r>
      <rPr>
        <sz val="11"/>
        <color theme="1"/>
        <rFont val="AcadNusx"/>
      </rPr>
      <t>=10mm</t>
    </r>
  </si>
  <si>
    <t>zednadebi xarjebi                                                             (muSa mosamsaxureTa ZiriTadi xelfasidan)</t>
  </si>
  <si>
    <r>
      <rPr>
        <sz val="11"/>
        <rFont val="AcadNusx"/>
      </rPr>
      <t>gegmiuri dagroveba (inventaris, danadgarebisa da mowyobilobebis Rirebulebis gamoklebiT)</t>
    </r>
  </si>
  <si>
    <t>mosamzadebeli samuSaoebi</t>
  </si>
  <si>
    <t xml:space="preserve">teritoriis dasufTaveba </t>
  </si>
  <si>
    <t>1-22-16</t>
  </si>
  <si>
    <t>eqskavatori 0,5kbm</t>
  </si>
  <si>
    <t>lar</t>
  </si>
  <si>
    <t>Е20-1-255</t>
  </si>
  <si>
    <t>gruntis gatana 30 km</t>
  </si>
  <si>
    <t>narCenebis gatana avtoTviTmcleliT 30 km</t>
  </si>
  <si>
    <t>27-8-2</t>
  </si>
  <si>
    <t>46-30-1</t>
  </si>
  <si>
    <t xml:space="preserve">stadionis trasis gamyoli liTonis moajiris reabiliacia </t>
  </si>
  <si>
    <t>liTonis moajiris gasufTaveba, damuSaveba, SeRebva liTonis antikoroziuli saRebaviT</t>
  </si>
  <si>
    <t>traqtori 79kvt (108cx.Z)</t>
  </si>
  <si>
    <t>46-24-2</t>
  </si>
  <si>
    <t>baseinis mxares rk betonis kibeebisa da filis demontaJi</t>
  </si>
  <si>
    <t>saproeqto Senobidan trasis mxares arsebuli samSeneblo narCenebis damuSaveba da datvirTva eqskavatoriT avtoTviTmclelze gasatanad</t>
  </si>
  <si>
    <t>saproeqto teritoriaze baseinis Senobis mxares arsebuli samSeneblo narCenebis damuSaveba da datvirTva eqskavatoriT avtoTviTmclelze gasatanad</t>
  </si>
  <si>
    <t>saproeqto teritoriaze asfaltobetonis safaris demontaJi</t>
  </si>
  <si>
    <t>saproeqto teritoriaze Senobis sardafidan da arsebuli sarTulebidan  narCenebis gamotana, Segroveba,  avtoTviTmclelze dasatvirTavad</t>
  </si>
  <si>
    <t>tribunis terasebidan linikromis fenilis demontaJi</t>
  </si>
  <si>
    <t>46-28-1</t>
  </si>
  <si>
    <r>
      <t xml:space="preserve">liTonis SemoRobvis demontaJi </t>
    </r>
    <r>
      <rPr>
        <b/>
        <sz val="11"/>
        <color theme="1"/>
        <rFont val="Sylfaen"/>
        <family val="2"/>
        <charset val="204"/>
        <scheme val="minor"/>
      </rPr>
      <t>H</t>
    </r>
    <r>
      <rPr>
        <b/>
        <sz val="11"/>
        <color theme="1"/>
        <rFont val="AcadNusx"/>
      </rPr>
      <t xml:space="preserve">=1,5 m (dgari -- fol.mili d-57, fol.kuTxovanebSi #50*50 Casmuli liTonis bade) </t>
    </r>
    <r>
      <rPr>
        <sz val="11"/>
        <color theme="1"/>
        <rFont val="AcadNusx"/>
      </rPr>
      <t>(dasawyobeba damkveTis mier miTiTebul adgilze)</t>
    </r>
  </si>
  <si>
    <r>
      <t xml:space="preserve">saproeqto teritoriaze arsebuli dazianebuli  liTonis moajirebis demontaJi </t>
    </r>
    <r>
      <rPr>
        <sz val="11"/>
        <rFont val="AcadNusx"/>
      </rPr>
      <t>(dasawyobeba damkveTis mier miTiTebul adgilze)</t>
    </r>
  </si>
  <si>
    <t>liTonis SemoRobvis qveS betonis cokolisa da saZirkvlis demontaJi</t>
  </si>
  <si>
    <t>46-23-2</t>
  </si>
  <si>
    <t>demontajis samuSaoebis Semdgomi narCenebis Segroveba, gamotana, avtoTviTmclelze dasatvirTavad</t>
  </si>
  <si>
    <t xml:space="preserve">samSeneblo nagvis gatana 30 km-ze </t>
  </si>
  <si>
    <r>
      <t>eqskavatori 0.5 m</t>
    </r>
    <r>
      <rPr>
        <vertAlign val="superscript"/>
        <sz val="11"/>
        <rFont val="AcadNusx"/>
      </rPr>
      <t>3</t>
    </r>
  </si>
  <si>
    <t xml:space="preserve">1-79-3
</t>
  </si>
  <si>
    <t>teritoriis mosworeba planireba avtogreiderebiT arsebuli gruntis gadaadgilebiT</t>
  </si>
  <si>
    <t xml:space="preserve">samSeneblo sarekonstruqcio samuSaoebi                                                  </t>
  </si>
  <si>
    <t>arsebuli Senobis konstruqciuli gamagreba</t>
  </si>
  <si>
    <t>Senobis rekonstruqcia keTilmowyobis samuSaoebi</t>
  </si>
  <si>
    <t>1521</t>
  </si>
  <si>
    <r>
      <t xml:space="preserve">geoteqstili </t>
    </r>
    <r>
      <rPr>
        <sz val="11"/>
        <color theme="1"/>
        <rFont val="Sylfaen"/>
        <family val="2"/>
        <charset val="204"/>
        <scheme val="minor"/>
      </rPr>
      <t>Pc 500</t>
    </r>
    <r>
      <rPr>
        <sz val="11"/>
        <color theme="1"/>
        <rFont val="AcadNusx"/>
      </rPr>
      <t>kg</t>
    </r>
  </si>
  <si>
    <t>parapetis mowyoba Tunuqis feradi  furcliT</t>
  </si>
  <si>
    <t>Tunuqis feradi furceli 0,5mm</t>
  </si>
  <si>
    <t>Senobis Sida kedlebis mowyoba wvrili samSeneblo blokiT 39*19*15</t>
  </si>
  <si>
    <t>wvrili samSeneblo bloki 39X19X20</t>
  </si>
  <si>
    <t>Senobis gare kedlebis mowyoba wvrili samSeneblo blokiT 39*19*20</t>
  </si>
  <si>
    <t>wvrili samSeneblo bloki 39X19X15</t>
  </si>
  <si>
    <t>11-42-1 misadag</t>
  </si>
  <si>
    <t>15-55-10</t>
  </si>
  <si>
    <t>Weris lesva cementis xsnariT</t>
  </si>
  <si>
    <t>rk.betonis terasebis wiboebis damcavi kuTxovanebis montaJi</t>
  </si>
  <si>
    <t>kedlebis mopirkeTeba nestgamZle TabaSirmuyaos filiT</t>
  </si>
  <si>
    <t>sardafi, liftis Saxta, damxmare saTavso</t>
  </si>
  <si>
    <t>34-59-7
34-61-13
gamoy.</t>
  </si>
  <si>
    <t>plasrikati b-25, feradi</t>
  </si>
  <si>
    <r>
      <t xml:space="preserve">ВЗЕР     </t>
    </r>
    <r>
      <rPr>
        <b/>
        <sz val="10"/>
        <rFont val="Times New Roman"/>
        <family val="1"/>
      </rPr>
      <t>14-804,
15-163-2,
15-163-1</t>
    </r>
  </si>
  <si>
    <t>27-7-2</t>
  </si>
  <si>
    <t>Senobis Sida kibeebis liTonis moajireebis mowyoba</t>
  </si>
  <si>
    <t>qvabulis nawilis Seivso mimdebared moWrili gruntiT  125*(3*2)/2=375kbm</t>
  </si>
  <si>
    <t>snf</t>
  </si>
  <si>
    <t xml:space="preserve">gruntis Semotana qvabulis Sevseba  30km </t>
  </si>
  <si>
    <t>safuZvlis mowyoba fraqciuli RorRiT (0-40) mm.KsisqiT-20 sm. datkepniT</t>
  </si>
  <si>
    <t>teritoriis planireba greideriT</t>
  </si>
  <si>
    <t>1-118-5-6</t>
  </si>
  <si>
    <t>satkepni sagzao gluvi 10t</t>
  </si>
  <si>
    <t>Cayrili gruntis datkepna sagzao satkepniT</t>
  </si>
  <si>
    <t>6*</t>
  </si>
  <si>
    <t>34-61-1
gamoy.</t>
  </si>
  <si>
    <t>damt.3
34-67-3
gamoy.</t>
  </si>
  <si>
    <t>es normac SeiZleba</t>
  </si>
  <si>
    <t>tribunis mimdebare teritoriaze kibeebisa safexurebis, baqnebisa da kibis gverdiTi zedapirebis (kibe #1, #2, #3, #4) mopirkeTeba bazaltis filiT</t>
  </si>
  <si>
    <t>#3 kibis win arsebuli kedlis zedapiris lesva cementis xsnariT</t>
  </si>
  <si>
    <t>#3 kibis win arsebuli kedlis zedapiris mopirketeba bazaltis filiT</t>
  </si>
  <si>
    <t>cokolis  mopirketeba (parkingis mxridan) granitis filiT</t>
  </si>
  <si>
    <t>Senobis mxares (-3,0niSnulze) kedlis lesva cementis xsnariT</t>
  </si>
  <si>
    <t>xsnartumbo 3kbm/sT</t>
  </si>
  <si>
    <t>cementis xsnari  m-100</t>
  </si>
  <si>
    <t>sayrdeni kedlis betonis zedapirebis moxatva  (SefrqveviT) grafiti</t>
  </si>
  <si>
    <t>bunebrivi  bazaltis fila 30mm sisqis</t>
  </si>
  <si>
    <r>
      <t xml:space="preserve">kibe #1, #2, #3, #4 liTonis moajirebis mowyoba,  </t>
    </r>
    <r>
      <rPr>
        <sz val="11"/>
        <rFont val="AcadNusx"/>
      </rPr>
      <t>rk.betonis kedelze Caankereba (moc eskiozis mixedviT)</t>
    </r>
  </si>
  <si>
    <r>
      <t xml:space="preserve">armatura </t>
    </r>
    <r>
      <rPr>
        <sz val="11"/>
        <rFont val="Arial"/>
        <family val="2"/>
        <charset val="204"/>
      </rPr>
      <t xml:space="preserve">A-III   </t>
    </r>
  </si>
  <si>
    <r>
      <t xml:space="preserve">#3 kibis win arsebuli kedlis  liTonis moajirebis mowyoba, </t>
    </r>
    <r>
      <rPr>
        <sz val="11"/>
        <rFont val="AcadNusx"/>
      </rPr>
      <t>rk.betonis kedelze Caankereba (moc eskiozis mixedviT)</t>
    </r>
  </si>
  <si>
    <t>teritoriisa da parkingis asfaltobetonis safaris mowyoba</t>
  </si>
  <si>
    <r>
      <t xml:space="preserve">liTonis moajirebis mowyoba, </t>
    </r>
    <r>
      <rPr>
        <sz val="11"/>
        <rFont val="AcadNusx"/>
      </rPr>
      <t>rk.betonis kedelze Caankereba (moc eskiozis mixedviT)</t>
    </r>
  </si>
  <si>
    <t>tribunis keTilmowyoba</t>
  </si>
  <si>
    <r>
      <t xml:space="preserve">liTonis moajirebis mowyoba, tribunis </t>
    </r>
    <r>
      <rPr>
        <sz val="11"/>
        <rFont val="AcadNusx"/>
      </rPr>
      <t>rk.betonis filaze Caankereba (moc eskiozis mixedviT) (tribunis kibeebisa da zeda iarusis ganivi liT.moajiri)</t>
    </r>
  </si>
  <si>
    <t>tribunis mimdebare teritoriis betonis safari damuSaveba morkinva cveTamedegi feniT</t>
  </si>
  <si>
    <t>11-3-5-6</t>
  </si>
  <si>
    <t>es nomeric SeiZleba</t>
  </si>
  <si>
    <t>tribunis kibeebis (safexurebis, Sublebisa da gverdiTi zedapirebis mopirkeTeba bazaltis filiT</t>
  </si>
  <si>
    <t>wvrili sakedle bloki  39*19*20</t>
  </si>
  <si>
    <t>Senobis Sida kedlebis mowyoba wvrili samSeneblo blokiT 39*19*20</t>
  </si>
  <si>
    <t>dasavleTis tribunis reabilitacia</t>
  </si>
  <si>
    <t xml:space="preserve">demontaJis samuSaoebi </t>
  </si>
  <si>
    <t>6-9-6</t>
  </si>
  <si>
    <r>
      <t xml:space="preserve">Casayolebeli detalebis montaji </t>
    </r>
    <r>
      <rPr>
        <sz val="10"/>
        <color theme="1"/>
        <rFont val="AcadNusx"/>
      </rPr>
      <t>(betonis tanSi CasatovebiT)</t>
    </r>
  </si>
  <si>
    <t>liTonis konstruqcia:</t>
  </si>
  <si>
    <t>liTonis kuTxovana #100*63*6</t>
  </si>
  <si>
    <t>liTonis furceli sisqiT 6mm</t>
  </si>
  <si>
    <t>armatura Ф12АI</t>
  </si>
  <si>
    <t>liTonis kuTxovana #100*63*6   g/m</t>
  </si>
  <si>
    <t>liTonis furceli sisqiT 6mm kvm</t>
  </si>
  <si>
    <t>armatura Ф12АI   g/m</t>
  </si>
  <si>
    <t xml:space="preserve">reabilitaciisa da keTilmowyobis samuSaoebi </t>
  </si>
  <si>
    <t>fasadis detalebis mopirketeba alukabondis filiT (narinJisferi da Savi detalebi)</t>
  </si>
  <si>
    <t>100*3,5/1,18</t>
  </si>
  <si>
    <t>fundermaqsis interieris mosapirketebeli filovani sistema (konstruqcia, samontaJo elementebiT, fila)</t>
  </si>
  <si>
    <t>kolonebis zedapirebis mopirkeTeba vestibiulis mxridan fundermaqsis kompoziciuri paneliT</t>
  </si>
  <si>
    <t>kolonebis zedapirebis mopirkeTeba vestibiulis mxridan dekoratiuli lesviT ("miunxenis lesva")</t>
  </si>
  <si>
    <r>
      <t xml:space="preserve">tribunebidan  dazianebuli plastmasis skamebis demontaJi </t>
    </r>
    <r>
      <rPr>
        <sz val="11"/>
        <rFont val="AcadNusx"/>
      </rPr>
      <t>(Semdgomi gamoyenebisaTvis vargisi skamebis gadarCeva dasawyobeba damkveTis mier miTiTebul adgilze)</t>
    </r>
  </si>
  <si>
    <t>monoliTuri rk.betoni saZirkvlis filis mowyoba (f-1, f-2)</t>
  </si>
  <si>
    <t>monoliTuri r/b svetebis mowyoba            (s-1; s-2; s-2.1; s-2.2; s-3; s-4; s-5; s-6; s-7)</t>
  </si>
  <si>
    <t>arsebuli svetebis gaZliereba</t>
  </si>
  <si>
    <t>monoliTuri r/b  rigelebis mowyoba              (r-1; r-2; r-3; r-4 ... r-18)</t>
  </si>
  <si>
    <t>arsebuli monoliTuri r/b  rigelebis gaZliereba</t>
  </si>
  <si>
    <t>monoliTuri rk/betonis lenturi saZirkvlebis mowyoba  (ls-1; ls-2)</t>
  </si>
  <si>
    <t xml:space="preserve">fraqciuli qviSa RorRis safuZvlis mowyoba, mon.rk.betonis saZirkvlis filis qveS, datkepvniT </t>
  </si>
  <si>
    <t xml:space="preserve">fraqciuli qviSa RorRis safuZvlis mowyoba, mon.rk.betonis wertilovani saZirkvlis qveS, datkepvniT </t>
  </si>
  <si>
    <t>monoliTuri rk/betonis lenturi saZirkvlebis mowyoba</t>
  </si>
  <si>
    <t xml:space="preserve">fraqciuli qviSa RorRis safuZvlis mowyoba, mon.rk.betonis lenturi saZirkvlis qveS, datkepvniT </t>
  </si>
  <si>
    <t xml:space="preserve">fraqciuli qviSa RorRis safuZvlis mowyoba, mon.rk.betonis saZirkvlis koWis qveS, datkepvniT </t>
  </si>
  <si>
    <t>monoliTuri rk/betonis, sardafis sarTulis iatakis filis mowyoba (f-3)</t>
  </si>
  <si>
    <t>sardafis sarTulis mon.rk.betonis iatakis filis qveS gidroizolaciis fenilis mowyoba rulonuri masaliT</t>
  </si>
  <si>
    <t>monoliTuri rk.betonis winkaris filis mowyoba (f-6) -0,060 m niSnulze</t>
  </si>
  <si>
    <t>sardafis sarTulis mon.rk.betonis iatakis fila  (f-3) -3,060m niSnulze</t>
  </si>
  <si>
    <t>monoliTuri rkinabetonis fila
-0.060 m niSnulze (f-7*)</t>
  </si>
  <si>
    <t>monoliTuri rkinabetonis filis
dafarva 70 mm sisqis armirebuli safariT
-0.060 m niSnulze (f-7)</t>
  </si>
  <si>
    <t>monoliTuri rkinabetonis fila
+3.090 m niSnulze (f-8)</t>
  </si>
  <si>
    <t>monoliTuri rkinabetonis filis
dafarva 70 mm sisqis armirebuli safariT
+3.090 m niSnulze (f-9)</t>
  </si>
  <si>
    <t>monoliTuri rkinabetonis fila
+3.090 m niSnulze (f-10)</t>
  </si>
  <si>
    <t>monoliTuri rkinabetonis fila
+3.090 m niSnulze (f-11)</t>
  </si>
  <si>
    <t>monoliTuri rkinabetonis fila
+5.790 m niSnulze (f-13)</t>
  </si>
  <si>
    <t>monoliTuri rkinabetonis fila
+5.790 m niSnulze (f-14)</t>
  </si>
  <si>
    <t>monoliTuri rkinabetonis filis
dafarva 70 mm sisqis armirebuli safariT
+5.790 m niSnulze (f-12)</t>
  </si>
  <si>
    <t>studiis oTaxis monoliTuri
rkinabetonis daxurvis fila +6.150 m
niSnulze (f-15)</t>
  </si>
  <si>
    <t>dacvis oTaxis monoliTuri
rkinabetonis daxurvis fila +6.150 m
niSnulze (f-16)</t>
  </si>
  <si>
    <t>monoliTuri rkinabetonis ezos fila
-0.060 m niSnulze (f-4)</t>
  </si>
  <si>
    <t>21,1</t>
  </si>
  <si>
    <t>qviSa RorRis fenilis mowyoba  mon.rk.betonis ezos filis qveS, datkepvniT</t>
  </si>
  <si>
    <t>qviSa RorRis fenilis mowyoba sardafis saraTulis mon.rk.betonis iatakis filis qveS, datkepvniT</t>
  </si>
  <si>
    <t>monoliTuri rk/betonis, ezos filis mowyoba (f-4)</t>
  </si>
  <si>
    <t>21,2</t>
  </si>
  <si>
    <t>21,3</t>
  </si>
  <si>
    <t>22,1</t>
  </si>
  <si>
    <t>22,2</t>
  </si>
  <si>
    <t>22,3</t>
  </si>
  <si>
    <t>monoliTuri rkinabetonis ezos fila
-0.060 m niSnulze (f-5)</t>
  </si>
  <si>
    <t>monoliTuri rk/betonis, ezos filis mowyoba (f-5)</t>
  </si>
  <si>
    <t>monoliTuri rkinabetonis kibeebi (k-1;
k-2; k-3; k-4; k-5; k-6)</t>
  </si>
  <si>
    <t>monoliTuri rk.betonis kibeebis mowyoba</t>
  </si>
  <si>
    <t>23,1</t>
  </si>
  <si>
    <t>23,2</t>
  </si>
  <si>
    <t>23,3</t>
  </si>
  <si>
    <t>qviSa RorRis fenilis mowyoba  mon.rk.betonis kibeebis qveS, datkepvniT</t>
  </si>
  <si>
    <t xml:space="preserve">betonis mosamzadebeli fenilis mowyoba mon.rk.betonis kibeebis qveS </t>
  </si>
  <si>
    <t xml:space="preserve">betonis mosamzadebeli fenilis mowyoba ezos mon.rk.betonis filis qveS </t>
  </si>
  <si>
    <t xml:space="preserve">betonis mosamzadebeli fenilis mowyoba sardafis sarTulis mon.rk.betonis iatakis filis qveS </t>
  </si>
  <si>
    <t xml:space="preserve">betonis mosamzadebeli fenilis mowyoba saZirkvlis koWis qveS </t>
  </si>
  <si>
    <t xml:space="preserve">betonis mosamzadebeli fenilis mowyoba mon.rk.betonis lenturi saZirkvlis qveS </t>
  </si>
  <si>
    <t xml:space="preserve">betonis mosamzadebeli fenilis mowyoba mon.rk.betonis wertilovani saZirkvlis  qveS </t>
  </si>
  <si>
    <t xml:space="preserve">betonis mosamzadebeli fenilis mowyoba mon.rk.betonis saZirkvlis filis qveS </t>
  </si>
  <si>
    <t xml:space="preserve">monolituri rk.betonis liftis შaxta    (lS-1) mowyoba </t>
  </si>
  <si>
    <t>6-14-3</t>
  </si>
  <si>
    <t>monoliTuri rkinabetonis tribunis
kibeebis dazianebuli ubnebis SekeTeba
betoniT (tk-1)</t>
  </si>
  <si>
    <t>monoliTuri rkinabetonis tribunis
kibeebis dafarva 70 mm sisqis armirebuli
safariT (tk-1)</t>
  </si>
  <si>
    <t>monoliTuri rkinabetonis tribunis
filis dazianebuli ubnebis SekeTeba
betoniT (tr-1):</t>
  </si>
  <si>
    <t>monoliTuri rkinabetonis tribunis
filis dafarva 70 mm sisqis armirebuli
safariT (tr-1):</t>
  </si>
  <si>
    <t>monoliTuri rkinabetonis kedlebi
(rk-2; rk-3; rk-4)</t>
  </si>
  <si>
    <t>6-14-10</t>
  </si>
  <si>
    <t>samSeneblo qanCi</t>
  </si>
  <si>
    <t>6-15-11 misadag</t>
  </si>
  <si>
    <t>kv mili  200*100*5</t>
  </si>
  <si>
    <t>kv mili  80*80*5</t>
  </si>
  <si>
    <t>foladi furceli sisqiT 10mm</t>
  </si>
  <si>
    <r>
      <t xml:space="preserve">liTonis ankeri, </t>
    </r>
    <r>
      <rPr>
        <sz val="11"/>
        <rFont val="Sylfaen"/>
        <family val="2"/>
        <scheme val="minor"/>
      </rPr>
      <t>M</t>
    </r>
    <r>
      <rPr>
        <sz val="11"/>
        <rFont val="AcadNusx"/>
      </rPr>
      <t>20 sigrZiT 800 mm</t>
    </r>
  </si>
  <si>
    <t>liTonis grZiva, (lg-1) kv mili 80*50*4</t>
  </si>
  <si>
    <t xml:space="preserve">liTonis kavSirebi, lk-1,  kv mili 100*4 </t>
  </si>
  <si>
    <t>parkingis sayrdeni rk.betonis kedlis keTilmowyoba</t>
  </si>
  <si>
    <t>tribunis betonis zedapirebis damuSaveba mopirketeba poliuTerani 5 Sriani safariT</t>
  </si>
  <si>
    <t>fasadis kedlebis SeRebva fasadis maRalxarisxovani saRebaviT (naxazze miTiTebul ferebSi)</t>
  </si>
  <si>
    <t>sayrdeni kedlis betonis zedapirebis  mopirkeTeba dekoratiuli lesviT ("miunxenis lesva")</t>
  </si>
  <si>
    <t>dasavleTis tribunis monoliTuri rkinabetonis kibeebis dazianebuli ubnebis SekeTeba betoniT (tk-2)</t>
  </si>
  <si>
    <t>dasavleTis tribunis monoliTuri rkinabetonis kibeebis dafarva 70 mm sisqis armirebuli safariT (tk-2)</t>
  </si>
  <si>
    <t>dasavleTis tribunis monoliTuri rkinabetonis filis dazianebuli ubnebis
SekeTeba betoniT (tr-2)</t>
  </si>
  <si>
    <t>dasavleTis tribunis monoliTuri rkinabetonis filis dafarva 70 mm sisqis
armirebuli safariT (tr-2)</t>
  </si>
  <si>
    <t>tribunis rk.betonis monoliTuri filis CaWra demontaJi</t>
  </si>
  <si>
    <t>5,3</t>
  </si>
  <si>
    <t>5,4</t>
  </si>
  <si>
    <t>10,2</t>
  </si>
  <si>
    <t>11,1</t>
  </si>
  <si>
    <t>11,2</t>
  </si>
  <si>
    <t>12,1</t>
  </si>
  <si>
    <t>12,2</t>
  </si>
  <si>
    <t>12,3</t>
  </si>
  <si>
    <t>12,5</t>
  </si>
  <si>
    <t>12,6</t>
  </si>
  <si>
    <t>12,8</t>
  </si>
  <si>
    <t>12,9</t>
  </si>
  <si>
    <t>12,10</t>
  </si>
  <si>
    <t>12,11</t>
  </si>
  <si>
    <t>12,12</t>
  </si>
  <si>
    <t>12,13</t>
  </si>
  <si>
    <t>12,14</t>
  </si>
  <si>
    <t>14,2</t>
  </si>
  <si>
    <t>14,1</t>
  </si>
  <si>
    <t>12,15</t>
  </si>
  <si>
    <t>12,16</t>
  </si>
  <si>
    <t>14,3</t>
  </si>
  <si>
    <t>16,1</t>
  </si>
  <si>
    <t>16,2</t>
  </si>
  <si>
    <t>16,3</t>
  </si>
  <si>
    <t>monoliTuri rk.betonis tribunis filis reabilitacia</t>
  </si>
  <si>
    <t>17,1</t>
  </si>
  <si>
    <t>17,2</t>
  </si>
  <si>
    <t>17,3</t>
  </si>
  <si>
    <t>17,4</t>
  </si>
  <si>
    <t>17,5</t>
  </si>
  <si>
    <t>,,8_9" ,,b_g" RerZebSi monoliTuri rkinabetonis CaWrili CarCos,
CaWrili ubnebis moCarCoeba armaturis badeebiT</t>
  </si>
  <si>
    <t>20,1</t>
  </si>
  <si>
    <t>20,2</t>
  </si>
  <si>
    <t>21,4</t>
  </si>
  <si>
    <t>21,5</t>
  </si>
  <si>
    <t>21,6</t>
  </si>
  <si>
    <t>21,7</t>
  </si>
  <si>
    <t>22,4</t>
  </si>
  <si>
    <t>22,5</t>
  </si>
  <si>
    <t>22,6</t>
  </si>
  <si>
    <t>22,7</t>
  </si>
  <si>
    <t>23,4</t>
  </si>
  <si>
    <t>23,5</t>
  </si>
  <si>
    <t>23,6</t>
  </si>
  <si>
    <r>
      <t>fasadis kedlebis</t>
    </r>
    <r>
      <rPr>
        <b/>
        <sz val="11"/>
        <rFont val="Sylfaen"/>
        <family val="2"/>
        <charset val="204"/>
        <scheme val="minor"/>
      </rPr>
      <t xml:space="preserve"> XPS</t>
    </r>
    <r>
      <rPr>
        <b/>
        <sz val="11"/>
        <rFont val="AcadNusx"/>
      </rPr>
      <t>-is zedapirebis mopirkeTeba dekoratiuli lesviT ("miunxenis lesva")</t>
    </r>
  </si>
  <si>
    <t>saproeqto Senobis win gruntis moWra avtoTviTmclelze datvirTiT</t>
  </si>
  <si>
    <t>388*2</t>
  </si>
  <si>
    <t>III kategoriis gruntis damuSaveba qvabulisaTvis eqskavatoriT 0.5-m3  (parkingis kedlis ukan CayriT)</t>
  </si>
  <si>
    <t>qvabulis mowyoba monoliTuri rk.betonis saZirkvlis filis mosawyobad</t>
  </si>
  <si>
    <t>stadionis gverdiTi saTvalTvalo koSkebis mowyoba                                 (nageboba #1 2c, nageboba #2 1c)</t>
  </si>
  <si>
    <t>RorRis fenilis mowyoba, saZirkvlis filis qveS</t>
  </si>
  <si>
    <t>betoni b.10</t>
  </si>
  <si>
    <t>betoni m-10</t>
  </si>
  <si>
    <t>monoliTuri rk.betoni saZirkvlis filis mowyoba (f-1*, f-2*)</t>
  </si>
  <si>
    <t>#1 da #2 nagebobebis liTonis karkasis mowyoba</t>
  </si>
  <si>
    <t>liT kv mili 100*100*3</t>
  </si>
  <si>
    <t>liT marTkuTxa mili 40*30*2</t>
  </si>
  <si>
    <t>liTonis furceli 10mm sisqis (marTkuTxa) 300*300  --  8c+4c</t>
  </si>
  <si>
    <t>liTonis furceli 6mm sisqis, samkuTxa, katetebiT  100*100  --  32c+16c</t>
  </si>
  <si>
    <t>liTonis ankeri, M16 sigrZiT 300 mm</t>
  </si>
  <si>
    <t>liTonis karkasi</t>
  </si>
  <si>
    <t>liTonis kibe</t>
  </si>
  <si>
    <t>liT kv mili 30*30*2</t>
  </si>
  <si>
    <t>liTonis furceli 6mm sisqis, samkuTxa, katetebiT  100*100  --  8c+4c</t>
  </si>
  <si>
    <t>liTonis furceli 6mm sisqis, samkuTxa, katetebis zomiT  109*910  --  2c+1c</t>
  </si>
  <si>
    <t>liTonis furceli marTkuTxa trapeciis formis, fuZeebis zomiT  100*217, ferdi 154mm, simaRle 100mm,  sisqiT 6 mm, 2c+1c</t>
  </si>
  <si>
    <t>liTonis furceli 10mm sisqis (marTkuTxa) 360*300  --  4c+2c</t>
  </si>
  <si>
    <t>WanWiki uxeSi normaluri da momatebuli simtkicis</t>
  </si>
  <si>
    <t>saxuravisa da kedlebis karkasis Semosva feradi proffenilis furcliT 0,7mm sisiqis</t>
  </si>
  <si>
    <t>proffenili 0,7mm (nacrisferi, Jangisferi)</t>
  </si>
  <si>
    <t>gadaxurvis mowyoba feradi metalokramitis TunuqiT</t>
  </si>
  <si>
    <t>metalokramiti 0,5mm (nacrisferi, Jangisferi)</t>
  </si>
  <si>
    <t>Sida kedlebis mopirkeTeba nestgamZle TabaSirmuyaos filiT</t>
  </si>
  <si>
    <t>gruntis damuSaveba xeliT (parkingis kedlis ukan CayriT)</t>
  </si>
  <si>
    <t xml:space="preserve">rk.betonis wyalsarinis mowyoba </t>
  </si>
  <si>
    <t>studiisa da dacvis oTaxis Tavze +3,15</t>
  </si>
  <si>
    <t>Sida kedlebis damuSaveba da SeRebva emulsiuri saRebaviT</t>
  </si>
  <si>
    <t>Sida kibeebis liTonis moajireebis mowyoba</t>
  </si>
  <si>
    <t>sayrdeni kedlis hidroizolacia bitumis emulsiiT</t>
  </si>
  <si>
    <t>18,1</t>
  </si>
  <si>
    <t>18,2</t>
  </si>
  <si>
    <t>liTonis karebis blokebis SeRebva antikoroziuli saRebaviT</t>
  </si>
  <si>
    <t>filis damuSaveba betonis zedapirze wasasmeli drekadi izolaciiT  sisqiT 3mm</t>
  </si>
  <si>
    <t xml:space="preserve">tribunis mimdebare teritoriis mopirkeTeba </t>
  </si>
  <si>
    <t>kuTxovana #40*3</t>
  </si>
  <si>
    <t>kuTxovana #30*3</t>
  </si>
  <si>
    <t>sul danaxarjebi                              (IV-V-VI-VII Tavebi)</t>
  </si>
  <si>
    <t>zednadebi xarjebi                                     (muSa mosamsaxureTa ZiriTadi xelfasidan)</t>
  </si>
  <si>
    <t>zednadebi xarjebi                                           (muSa mosamsaxureTa ZiriTadi xelfasidan)</t>
  </si>
  <si>
    <t>zednadebi xarjebi                                            (muSa mosamsaxureTa ZiriTadi xelfasidan)</t>
  </si>
  <si>
    <t>zednadebi xarjebi                                                    (muSa mosamsaxureTa ZiriTadi xelfasidan)</t>
  </si>
  <si>
    <t xml:space="preserve">    </t>
  </si>
  <si>
    <t>gegmiuri dagroveba                                         (danadgarebis Rirebulebis gareSe)</t>
  </si>
  <si>
    <r>
      <t xml:space="preserve">ucxouri warmoebis, Cqarosnul moculobiTi wyalgamacxelebeli   (erTi xveuliT) V=800l tevadobis </t>
    </r>
    <r>
      <rPr>
        <sz val="11"/>
        <rFont val="Sylfaen"/>
        <family val="2"/>
        <charset val="204"/>
        <scheme val="minor"/>
      </rPr>
      <t>d</t>
    </r>
    <r>
      <rPr>
        <sz val="11"/>
        <rFont val="AcadNusx"/>
      </rPr>
      <t xml:space="preserve">=9500 </t>
    </r>
    <r>
      <rPr>
        <sz val="11"/>
        <rFont val="Sylfaen"/>
        <family val="2"/>
        <charset val="204"/>
        <scheme val="minor"/>
      </rPr>
      <t>H</t>
    </r>
    <r>
      <rPr>
        <sz val="11"/>
        <rFont val="AcadNusx"/>
      </rPr>
      <t>=2100</t>
    </r>
  </si>
  <si>
    <t>Sromis danaxarji 1,37</t>
  </si>
  <si>
    <t>Sromis danaxarjebi 1,87</t>
  </si>
  <si>
    <t>Sromis danaxarji 3,78</t>
  </si>
  <si>
    <t>Sromis danaxarjebi 26,4</t>
  </si>
  <si>
    <t>Sromis danaxarjebi 17,1</t>
  </si>
  <si>
    <t>kmb</t>
  </si>
  <si>
    <t>Sromis danaxarji 8,4</t>
  </si>
  <si>
    <t>Sromis danaxarji 15,8</t>
  </si>
  <si>
    <t>SromiTi resursebi  17+22=39</t>
  </si>
  <si>
    <t>Sromis danaxarji  8,4</t>
  </si>
  <si>
    <t>Sromis danaxarji 13,2</t>
  </si>
  <si>
    <t>Sromis danaxarji 19,5</t>
  </si>
  <si>
    <t>Sromis danaxarjebi 0,15</t>
  </si>
  <si>
    <t>Sromis danaxarji 7,04</t>
  </si>
  <si>
    <t>Sromis danaxarji 13,5</t>
  </si>
  <si>
    <t>Sromis danaxarjebi 18,3</t>
  </si>
  <si>
    <t>avtoamwe krani 40tn</t>
  </si>
  <si>
    <t>0521</t>
  </si>
  <si>
    <t>0522</t>
  </si>
  <si>
    <t>eleqtrodi  3,0</t>
  </si>
  <si>
    <t>Sromis danaxarjebi 0,68</t>
  </si>
  <si>
    <t>Sromis danaxarjebi 42,9</t>
  </si>
  <si>
    <t>Sromis danaxarjebi 0,286</t>
  </si>
  <si>
    <t>Sromis danaxarjebi 1,,51</t>
  </si>
  <si>
    <t>Sromis danaxarjebi 0,74</t>
  </si>
  <si>
    <t>Sromis danaxarjebi  0,83</t>
  </si>
  <si>
    <t>Sromis danaxarjebi (14,3+0,07*25)/100=0,1605</t>
  </si>
  <si>
    <t>rkinabetonis gadaxurvis filaze cementis xsnaris moWimvis mowyoba saS.40mm sisiqiT (gamaTanabrebeli fenili)</t>
  </si>
  <si>
    <t>Sromis danaxarjebi  0,16</t>
  </si>
  <si>
    <t>Sromis danaxarjebi   0,2517</t>
  </si>
  <si>
    <t>Sromis danaxarjebi 0,497</t>
  </si>
  <si>
    <t>orTqlizolaciis fenilis mowyoba 1 fena</t>
  </si>
  <si>
    <t>orTqlsaizolacio membrana</t>
  </si>
  <si>
    <r>
      <rPr>
        <sz val="11"/>
        <rFont val="Sylfaen"/>
        <family val="2"/>
        <charset val="204"/>
        <scheme val="minor"/>
      </rPr>
      <t>technonicol-uniflex</t>
    </r>
    <r>
      <rPr>
        <sz val="11"/>
        <rFont val="AcadNusx"/>
      </rPr>
      <t xml:space="preserve"> priala zedapiriT, ТПП qveda fena  (1 Sre)</t>
    </r>
  </si>
  <si>
    <t>Sromis danaxarjebi  3,36/კბმ</t>
  </si>
  <si>
    <t>Sromis danaxarjebi  0,543</t>
  </si>
  <si>
    <t>Sromis danaxarjebi  7,65</t>
  </si>
  <si>
    <t>0470-</t>
  </si>
  <si>
    <t>Sromis danaxarjebi  2,72</t>
  </si>
  <si>
    <t>Sromis danaxarjebi  0,914</t>
  </si>
  <si>
    <t>Sromis danaxarjebi  1,11</t>
  </si>
  <si>
    <t>Sromis danaxarji  0,49</t>
  </si>
  <si>
    <t>Sromis danaxarji 1,01</t>
  </si>
  <si>
    <t>Sromis danaxarji 1,06</t>
  </si>
  <si>
    <t>Sromis danaxarjebi  0,188+0,0034*2=0,1948</t>
  </si>
  <si>
    <t>Sromis danaxarjebi 1,08</t>
  </si>
  <si>
    <t>'77777'!AV157</t>
  </si>
  <si>
    <t>Sromis danaxarjebi 0,71</t>
  </si>
  <si>
    <r>
      <t>laminirebuli iatakis fari (maRali xarisxis)</t>
    </r>
    <r>
      <rPr>
        <sz val="11"/>
        <color theme="1"/>
        <rFont val="Sylfaen"/>
        <family val="2"/>
        <charset val="204"/>
        <scheme val="minor"/>
      </rPr>
      <t xml:space="preserve">  AC 5/33</t>
    </r>
    <r>
      <rPr>
        <sz val="11"/>
        <color theme="1"/>
        <rFont val="AcadNusx"/>
      </rPr>
      <t>+</t>
    </r>
  </si>
  <si>
    <t>xelovnuri granitis filebi 8-10sm</t>
  </si>
  <si>
    <t>Sromis danaxarjebi 0,269</t>
  </si>
  <si>
    <t>Sromis danaxarjebi 0,535</t>
  </si>
  <si>
    <t>Sromis danaxarjebi  0,658</t>
  </si>
  <si>
    <t>Sromis danaxarjebi  2,19</t>
  </si>
  <si>
    <t>Sromis danaxarjebi 0,379</t>
  </si>
  <si>
    <t>15-53-10</t>
  </si>
  <si>
    <t>Sromis danaxarjebi 2,48</t>
  </si>
  <si>
    <t>safasade dekoratiuli baTqaSi</t>
  </si>
  <si>
    <t>fasadze inventaruli xaraCos mowyoba, daSla, gadaadgileba</t>
  </si>
  <si>
    <t>Sromis danaxarji 0,459</t>
  </si>
  <si>
    <t>bede fasadis samRebro</t>
  </si>
  <si>
    <t>Sromis danaxarji 0,49</t>
  </si>
  <si>
    <t>Sromis danaxarji 0,93</t>
  </si>
  <si>
    <t>granitis fila  25-30mm sisqis</t>
  </si>
  <si>
    <t>damt.3
34-59-1                       34-61-1
gamoy.</t>
  </si>
  <si>
    <t>Sromis danaxarjebi 1,55+0,829</t>
  </si>
  <si>
    <t>15-53-2</t>
  </si>
  <si>
    <t>Sromis danaxarjebi 2,44</t>
  </si>
  <si>
    <t>damt.3
34-59-1                              34-61-4
gamoy.</t>
  </si>
  <si>
    <t>Sromis danaxarjebi 1,55+0,859</t>
  </si>
  <si>
    <t>Sromis danaxarjebi  1,58</t>
  </si>
  <si>
    <r>
      <t xml:space="preserve">betoni </t>
    </r>
    <r>
      <rPr>
        <sz val="11"/>
        <rFont val="Arial"/>
        <family val="2"/>
        <charset val="204"/>
      </rPr>
      <t>B10</t>
    </r>
  </si>
  <si>
    <t>armirebuli liTonis bade  АIII b.150</t>
  </si>
  <si>
    <t>Sromis danaxarjebi 0,93</t>
  </si>
  <si>
    <t>Sromis danaxarJi 0,2517</t>
  </si>
  <si>
    <t>Sromis danaxarjebi 1,58</t>
  </si>
  <si>
    <r>
      <t xml:space="preserve">betoni </t>
    </r>
    <r>
      <rPr>
        <sz val="11"/>
        <rFont val="Arial"/>
        <family val="2"/>
        <charset val="204"/>
      </rPr>
      <t xml:space="preserve">B10 </t>
    </r>
  </si>
  <si>
    <t>SromiTi danaxarji 3,36/კბმ</t>
  </si>
  <si>
    <t>SromiTi danaxarji 8,54</t>
  </si>
  <si>
    <t>SromiTi danaxarji 23,8</t>
  </si>
  <si>
    <t>Sromis danaxarjebi 0,87</t>
  </si>
  <si>
    <t>antipirenis xsnari</t>
  </si>
  <si>
    <t>1kbm/(0,1*0,1)*(0,1+0,1)*2=40kvm*0,35=14kg</t>
  </si>
  <si>
    <t>Sromis danaxarjebi 0,0303</t>
  </si>
  <si>
    <t>Sromis danaxarjebi 0,0692</t>
  </si>
  <si>
    <t>Sromis danaxarjebi 0,429</t>
  </si>
  <si>
    <t>Sromis danaxarjebi 2,7</t>
  </si>
  <si>
    <t>Sromis danaxarjebi 2,72</t>
  </si>
  <si>
    <t>Sromis danaxarjebi 0,594</t>
  </si>
  <si>
    <t>Sromis danaxarjebi 1,11</t>
  </si>
  <si>
    <t>Sromis danaxarjebi  1,08</t>
  </si>
  <si>
    <t>Sromis danaxarji 0,3</t>
  </si>
  <si>
    <t xml:space="preserve">wyal-emulsiis saRebavi fasadis </t>
  </si>
  <si>
    <t xml:space="preserve">fasadis dekoratiuli lesviT damuSavebuli zedapirebis maRalxarisxovani SeRebva safasade saRebaviT </t>
  </si>
  <si>
    <t xml:space="preserve">kolonebis dekoratiuli lesviT damuSavebuli zedapirebis maRalxarisxovani SeRebva safasade saRebaviT </t>
  </si>
  <si>
    <t>Sromis danaxarji 2,61+0,985=3,595</t>
  </si>
  <si>
    <t>Sromis danaxarji  0,93</t>
  </si>
  <si>
    <t>Sromis danaxarji 0,658</t>
  </si>
  <si>
    <t>Sromis danaxarjebi 2,9</t>
  </si>
  <si>
    <t>Sromis danaxarjebi 34,9</t>
  </si>
  <si>
    <t>34-59-1
34-61-3
gamoy.</t>
  </si>
  <si>
    <t>Sromis danaxarji 1,55+0,829=2,379</t>
  </si>
  <si>
    <t>Sromis danaxarjebi 0,132</t>
  </si>
  <si>
    <t>SromiTi resursebi 0,74</t>
  </si>
  <si>
    <t>Sromis danaxarjebi 17,2/c</t>
  </si>
  <si>
    <t>Sromis danaxarjebi  0,68</t>
  </si>
  <si>
    <t>rulonuri gazoni</t>
  </si>
  <si>
    <t>Sromis danaxarjebi 0,383</t>
  </si>
  <si>
    <t>Seminuli kabiniT</t>
  </si>
  <si>
    <t>5000*3,5/1,18</t>
  </si>
  <si>
    <t>20000*3,5/1,18</t>
  </si>
  <si>
    <t>50000*3,0/1,18</t>
  </si>
  <si>
    <t>eteva 558=(19*6*2+18*7*2+13*6)</t>
  </si>
  <si>
    <t>sul pirdapiri danaxarjebi I Tavi</t>
  </si>
  <si>
    <t>sul pirdapiri danaxarjebi II Tavi</t>
  </si>
  <si>
    <t>sul pirdapiri danaxarjebi III Tavi</t>
  </si>
  <si>
    <t>sul III Tavi</t>
  </si>
  <si>
    <t>sul pirdapiri danaxarjebi IV Tavi</t>
  </si>
  <si>
    <t>sul IV Tavi</t>
  </si>
  <si>
    <t>sul I da II Tavebi</t>
  </si>
  <si>
    <t>sul III da IV Tavebi</t>
  </si>
  <si>
    <t>sul xarjTaRricxva                       #2</t>
  </si>
  <si>
    <t>sul xarjTaRricxva  #3                            (I-II-III-IV-V-VI-VII Tavebi)</t>
  </si>
  <si>
    <t>sul xarjTaRricxva  #4                           (Tavi #4-1, #4-2, #4-3, #4-4, #4-5, #4-6)</t>
  </si>
  <si>
    <t>sul xarjTaRricxva #5                                                           (#5-1.  #5-2,  #5-3)</t>
  </si>
  <si>
    <t>sul pirdapiri danaxarjebi                             (I-II-III Tavebi)</t>
  </si>
  <si>
    <t>sul pirdapiri danaxarjebi                                                  (IV-V-VI-VII Tavebi)</t>
  </si>
  <si>
    <t>15-5-8</t>
  </si>
  <si>
    <t>gare kedlebis Selesva</t>
  </si>
  <si>
    <r>
      <t xml:space="preserve">fasadis mopirkeTeba </t>
    </r>
    <r>
      <rPr>
        <b/>
        <sz val="11"/>
        <rFont val="Sylfaen"/>
        <family val="2"/>
        <charset val="204"/>
        <scheme val="minor"/>
      </rPr>
      <t>XPS</t>
    </r>
    <r>
      <rPr>
        <b/>
        <sz val="11"/>
        <rFont val="AcadNusx"/>
      </rPr>
      <t xml:space="preserve">-is safasade kompozituri paneliT </t>
    </r>
  </si>
  <si>
    <t xml:space="preserve"> დამიწების მოწყობა</t>
  </si>
  <si>
    <t>Senobis sakomunikacio -- kompiuteruli da internet gayvanilobis  qselis montaJi</t>
  </si>
  <si>
    <r>
      <t xml:space="preserve">ფასონური ნაწილების მონტაჟი milebis Rirebulebis </t>
    </r>
    <r>
      <rPr>
        <b/>
        <sz val="11"/>
        <color rgb="FFFF0000"/>
        <rFont val="AcadNusx"/>
      </rPr>
      <t>30%</t>
    </r>
  </si>
  <si>
    <r>
      <t xml:space="preserve">fitingebis მონტაჟი milebis Rirebulebis </t>
    </r>
    <r>
      <rPr>
        <b/>
        <sz val="11"/>
        <color rgb="FFFF0000"/>
        <rFont val="AcadNusx"/>
      </rPr>
      <t>20%</t>
    </r>
    <r>
      <rPr>
        <b/>
        <sz val="11"/>
        <color theme="1"/>
        <rFont val="AcadNusx"/>
      </rPr>
      <t xml:space="preserve"> (quroebi, muxlebi, samkapi, gadamyvani, S/x, g/x fitingebi, haergamsvebi, damcleli ventilebi (milebis Rirebulebis </t>
    </r>
    <r>
      <rPr>
        <b/>
        <sz val="11"/>
        <color rgb="FFFF0000"/>
        <rFont val="AcadNusx"/>
      </rPr>
      <t>20%</t>
    </r>
    <r>
      <rPr>
        <b/>
        <sz val="11"/>
        <color theme="1"/>
        <rFont val="AcadNusx"/>
      </rPr>
      <t>)</t>
    </r>
  </si>
  <si>
    <r>
      <t xml:space="preserve">მ.შ. </t>
    </r>
    <r>
      <rPr>
        <b/>
        <sz val="11"/>
        <color rgb="FF0070C0"/>
        <rFont val="Sylfaen"/>
        <family val="1"/>
        <charset val="204"/>
      </rPr>
      <t>N1 ტიპი</t>
    </r>
    <r>
      <rPr>
        <b/>
        <sz val="11"/>
        <rFont val="Sylfaen"/>
        <family val="1"/>
        <charset val="204"/>
      </rPr>
      <t xml:space="preserve"> . სტადიონის სკამი (ძირითადი მაყურებლისთვის) (იხ.პროექტი)</t>
    </r>
  </si>
  <si>
    <r>
      <t xml:space="preserve">მ.შ. </t>
    </r>
    <r>
      <rPr>
        <b/>
        <sz val="11"/>
        <color rgb="FF0070C0"/>
        <rFont val="Sylfaen"/>
        <family val="1"/>
        <charset val="204"/>
      </rPr>
      <t>N2 ტიპი</t>
    </r>
    <r>
      <rPr>
        <b/>
        <sz val="11"/>
        <rFont val="Sylfaen"/>
        <family val="1"/>
        <charset val="204"/>
      </rPr>
      <t xml:space="preserve"> . სტადიონის სკამი (VIP მაყურებლისთვის) (იხ.პროექტი)</t>
    </r>
  </si>
  <si>
    <r>
      <t xml:space="preserve">მ.შ. </t>
    </r>
    <r>
      <rPr>
        <b/>
        <sz val="11"/>
        <color rgb="FF0070C0"/>
        <rFont val="Sylfaen"/>
        <family val="1"/>
        <charset val="204"/>
      </rPr>
      <t>N3 ტიპი</t>
    </r>
    <r>
      <rPr>
        <b/>
        <sz val="11"/>
        <rFont val="Sylfaen"/>
        <family val="1"/>
        <charset val="204"/>
      </rPr>
      <t xml:space="preserve"> . სტადიონის სკამი (სკამი მედია/კომენტატორებისთვის) (იხ.პროექტი)</t>
    </r>
  </si>
  <si>
    <r>
      <t xml:space="preserve">tribunis skamebis mowyoba montaji </t>
    </r>
    <r>
      <rPr>
        <b/>
        <sz val="11"/>
        <color rgb="FFFF0000"/>
        <rFont val="AcadNusx"/>
      </rPr>
      <t xml:space="preserve">2000კომპლ </t>
    </r>
    <r>
      <rPr>
        <b/>
        <sz val="11"/>
        <rFont val="AcadNusx"/>
      </rPr>
      <t xml:space="preserve">-- </t>
    </r>
    <r>
      <rPr>
        <b/>
        <sz val="11"/>
        <color rgb="FF0070C0"/>
        <rFont val="AcadNusx"/>
      </rPr>
      <t xml:space="preserve">ტრიბუნის სკამი — საერთაშორისო სტანდარტების, გარე მონტაჯის, პოლიმერული, მაღალი ხარისხის, ანტივანდალური, ულტარიისფერი სხივების მიმართ მდგრადი, ძნელად აალებადი  </t>
    </r>
    <r>
      <rPr>
        <b/>
        <sz val="11"/>
        <color rgb="FFFF0000"/>
        <rFont val="AcadNusx"/>
      </rPr>
      <t>(სკამის ფერი შეთანხმდეს დამკვეთთან)</t>
    </r>
  </si>
  <si>
    <t>lifti SSm pirTa gadaadgilebisaTvis 1 gaCereba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</si>
</sst>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₾_-;\-* #,##0.00\ _₾_-;_-* &quot;-&quot;??\ _₾_-;_-@_-"/>
    <numFmt numFmtId="164" formatCode="_-* #,##0.00\ _L_a_r_i_-;\-* #,##0.00\ _L_a_r_i_-;_-* &quot;-&quot;??\ _L_a_r_i_-;_-@_-"/>
    <numFmt numFmtId="165" formatCode="_-* #,##0.00_-;\-* #,##0.00_-;_-* &quot;-&quot;??_-;_-@_-"/>
    <numFmt numFmtId="166" formatCode="0.0"/>
    <numFmt numFmtId="167" formatCode="0.000"/>
    <numFmt numFmtId="168" formatCode="_(* #,##0.00_);_(* \(#,##0.00\);_(* &quot;-&quot;??_);_(@_)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147"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2"/>
      <color theme="1"/>
      <name val="Sylfaen"/>
      <family val="2"/>
      <charset val="204"/>
      <scheme val="minor"/>
    </font>
    <font>
      <sz val="10"/>
      <color theme="1"/>
      <name val="AcadNusx"/>
    </font>
    <font>
      <sz val="10"/>
      <name val="AcadNusx"/>
    </font>
    <font>
      <b/>
      <sz val="11"/>
      <color theme="1"/>
      <name val="AcadMtavr"/>
    </font>
    <font>
      <sz val="11"/>
      <color theme="1"/>
      <name val="Sylfaen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Sylfaen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0"/>
      <name val="Sylfaen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Sylfaen"/>
      <family val="2"/>
      <charset val="204"/>
      <scheme val="minor"/>
    </font>
    <font>
      <sz val="10"/>
      <color theme="1"/>
      <name val="Sylfaen"/>
      <family val="2"/>
      <charset val="204"/>
      <scheme val="minor"/>
    </font>
    <font>
      <b/>
      <sz val="11"/>
      <name val="AcadNusx"/>
    </font>
    <font>
      <sz val="10"/>
      <name val="Sylfaen"/>
      <family val="1"/>
      <charset val="204"/>
    </font>
    <font>
      <sz val="11"/>
      <color theme="1"/>
      <name val="Sylfaen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Sylfaen"/>
      <family val="2"/>
      <scheme val="minor"/>
    </font>
    <font>
      <sz val="11"/>
      <color rgb="FF9C0006"/>
      <name val="Sylfaen"/>
      <family val="2"/>
      <charset val="204"/>
      <scheme val="minor"/>
    </font>
    <font>
      <b/>
      <sz val="10"/>
      <name val="AcadNusx"/>
    </font>
    <font>
      <sz val="11"/>
      <name val="Calibri"/>
      <family val="2"/>
      <charset val="204"/>
    </font>
    <font>
      <b/>
      <sz val="11"/>
      <name val="Sylfaen"/>
      <family val="2"/>
      <scheme val="minor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11"/>
      <name val="Calibri"/>
      <family val="2"/>
      <charset val="204"/>
    </font>
    <font>
      <sz val="10"/>
      <color rgb="FF000000"/>
      <name val="AcadNusx"/>
    </font>
    <font>
      <b/>
      <sz val="11"/>
      <color rgb="FF000000"/>
      <name val="AcadNusx"/>
    </font>
    <font>
      <sz val="10"/>
      <color rgb="FFFF0000"/>
      <name val="AcadNusx"/>
    </font>
    <font>
      <sz val="11"/>
      <color rgb="FF000000"/>
      <name val="AcadNusx"/>
    </font>
    <font>
      <sz val="10"/>
      <name val="Sylfaen"/>
      <family val="2"/>
      <charset val="204"/>
      <scheme val="minor"/>
    </font>
    <font>
      <b/>
      <sz val="10"/>
      <name val="Arial"/>
      <family val="2"/>
    </font>
    <font>
      <b/>
      <sz val="11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b/>
      <sz val="11"/>
      <name val="Sylfaen"/>
      <family val="2"/>
      <charset val="204"/>
      <scheme val="minor"/>
    </font>
    <font>
      <b/>
      <sz val="10"/>
      <name val="Times New Roman"/>
      <family val="1"/>
    </font>
    <font>
      <sz val="11"/>
      <name val="Arial"/>
      <family val="2"/>
      <charset val="204"/>
    </font>
    <font>
      <sz val="11"/>
      <color rgb="FFFF0000"/>
      <name val="AcadNusx"/>
    </font>
    <font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cadNusx"/>
    </font>
    <font>
      <sz val="11"/>
      <color rgb="FFFF0000"/>
      <name val="Times New Roman"/>
      <family val="1"/>
      <charset val="204"/>
    </font>
    <font>
      <sz val="11"/>
      <name val="Sylfaen"/>
      <family val="2"/>
      <scheme val="minor"/>
    </font>
    <font>
      <vertAlign val="superscript"/>
      <sz val="11"/>
      <name val="AcadNusx"/>
    </font>
    <font>
      <sz val="11"/>
      <name val="Calibri"/>
      <family val="2"/>
    </font>
    <font>
      <vertAlign val="superscript"/>
      <sz val="11"/>
      <color theme="1"/>
      <name val="AcadNusx"/>
    </font>
    <font>
      <vertAlign val="superscript"/>
      <sz val="11"/>
      <color theme="1"/>
      <name val="Sylfaen"/>
      <family val="2"/>
      <charset val="204"/>
      <scheme val="minor"/>
    </font>
    <font>
      <b/>
      <sz val="10"/>
      <name val="Calibri"/>
      <family val="2"/>
      <charset val="204"/>
    </font>
    <font>
      <b/>
      <vertAlign val="subscript"/>
      <sz val="11"/>
      <name val="AcadNusx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cadNusx"/>
      <family val="2"/>
      <charset val="1"/>
    </font>
    <font>
      <b/>
      <sz val="10"/>
      <color rgb="FF000000"/>
      <name val="AcadNusx"/>
    </font>
    <font>
      <i/>
      <sz val="10"/>
      <name val="AcadNusx"/>
    </font>
    <font>
      <sz val="12"/>
      <color rgb="FFFF0000"/>
      <name val="Sylfaen"/>
      <family val="2"/>
      <charset val="204"/>
      <scheme val="minor"/>
    </font>
    <font>
      <sz val="11"/>
      <color theme="1"/>
      <name val="Sylfaen"/>
      <family val="1"/>
      <charset val="204"/>
      <scheme val="major"/>
    </font>
    <font>
      <sz val="11"/>
      <name val="Sylfaen"/>
      <family val="1"/>
      <charset val="204"/>
    </font>
    <font>
      <b/>
      <sz val="10"/>
      <color theme="0"/>
      <name val="AcadNusx"/>
    </font>
    <font>
      <b/>
      <sz val="10"/>
      <color rgb="FFFF0000"/>
      <name val="Sylfaen"/>
      <family val="2"/>
      <scheme val="minor"/>
    </font>
    <font>
      <b/>
      <sz val="10"/>
      <color theme="1"/>
      <name val="Sylfaen"/>
      <family val="2"/>
      <charset val="204"/>
      <scheme val="minor"/>
    </font>
    <font>
      <b/>
      <sz val="10"/>
      <name val="Arial"/>
      <family val="2"/>
      <charset val="204"/>
    </font>
    <font>
      <sz val="10"/>
      <name val="Calibri"/>
      <family val="2"/>
    </font>
    <font>
      <b/>
      <sz val="10"/>
      <name val="AcadMtavr"/>
    </font>
    <font>
      <b/>
      <sz val="11"/>
      <name val="AcadMtavr"/>
    </font>
    <font>
      <sz val="11"/>
      <name val="AcadMtavr"/>
    </font>
    <font>
      <sz val="10"/>
      <name val="AcadMtavr"/>
    </font>
    <font>
      <b/>
      <sz val="10"/>
      <color theme="1"/>
      <name val="Times New Roman"/>
      <family val="1"/>
    </font>
    <font>
      <sz val="10"/>
      <color rgb="FFFF0000"/>
      <name val="AcadMtavr"/>
    </font>
    <font>
      <sz val="11"/>
      <color theme="1"/>
      <name val="AcadMtavr"/>
    </font>
    <font>
      <sz val="10"/>
      <color theme="1"/>
      <name val="AcadMtavr"/>
    </font>
    <font>
      <sz val="11"/>
      <color rgb="FFFF0000"/>
      <name val="Sylfaen"/>
      <family val="2"/>
      <charset val="204"/>
      <scheme val="minor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Cambria"/>
      <family val="1"/>
      <charset val="204"/>
    </font>
    <font>
      <sz val="10"/>
      <name val="Sylfaen"/>
      <family val="2"/>
      <scheme val="minor"/>
    </font>
    <font>
      <sz val="10"/>
      <name val="Acad Nusx Geo"/>
      <family val="2"/>
    </font>
    <font>
      <sz val="11"/>
      <color rgb="FFFF0000"/>
      <name val="Academiuri Nuskhuri"/>
    </font>
    <font>
      <b/>
      <sz val="10"/>
      <color theme="1"/>
      <name val="Times New Roman"/>
      <family val="1"/>
      <charset val="204"/>
    </font>
    <font>
      <sz val="11"/>
      <color rgb="FFFF0000"/>
      <name val="Sylfaen"/>
      <family val="2"/>
      <scheme val="minor"/>
    </font>
    <font>
      <sz val="11"/>
      <color theme="0"/>
      <name val="AcadNusx"/>
    </font>
    <font>
      <b/>
      <sz val="11"/>
      <name val="AcadNusx"/>
      <family val="2"/>
      <charset val="204"/>
    </font>
    <font>
      <sz val="11"/>
      <name val="AcadNusx"/>
      <family val="2"/>
      <charset val="204"/>
    </font>
    <font>
      <vertAlign val="subscript"/>
      <sz val="11"/>
      <color theme="1"/>
      <name val="AcadNusx"/>
    </font>
    <font>
      <b/>
      <sz val="10"/>
      <name val="Sylfaen"/>
      <family val="1"/>
      <charset val="204"/>
    </font>
    <font>
      <sz val="11"/>
      <name val="Times New Roman"/>
      <family val="1"/>
    </font>
    <font>
      <sz val="11"/>
      <name val="Sylfaen"/>
      <family val="1"/>
    </font>
    <font>
      <sz val="10"/>
      <name val="Sylfaen"/>
      <family val="1"/>
    </font>
    <font>
      <b/>
      <i/>
      <sz val="10"/>
      <name val="AcadNusx"/>
    </font>
    <font>
      <sz val="10"/>
      <color theme="1"/>
      <name val="Times New Roman"/>
      <family val="1"/>
    </font>
    <font>
      <b/>
      <i/>
      <sz val="11"/>
      <color theme="1"/>
      <name val="AcadNusx"/>
    </font>
    <font>
      <sz val="10"/>
      <color rgb="FFFF0000"/>
      <name val="Sylfaen"/>
      <family val="2"/>
      <charset val="204"/>
      <scheme val="minor"/>
    </font>
    <font>
      <sz val="11"/>
      <color theme="0"/>
      <name val="Sylfaen"/>
      <family val="2"/>
      <charset val="204"/>
      <scheme val="minor"/>
    </font>
    <font>
      <i/>
      <sz val="10"/>
      <color theme="1"/>
      <name val="AcadNusx"/>
    </font>
    <font>
      <b/>
      <sz val="12"/>
      <color rgb="FF0070C0"/>
      <name val="AcadNusx"/>
    </font>
    <font>
      <b/>
      <sz val="10"/>
      <name val="Sylfaen"/>
      <family val="2"/>
      <scheme val="minor"/>
    </font>
    <font>
      <b/>
      <sz val="11"/>
      <color rgb="FF0070C0"/>
      <name val="AcadNusx"/>
    </font>
    <font>
      <b/>
      <sz val="11"/>
      <name val="Sylfaen"/>
      <family val="1"/>
      <charset val="204"/>
    </font>
    <font>
      <b/>
      <sz val="11"/>
      <color rgb="FF0070C0"/>
      <name val="Sylfae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249977111117893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13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7" fillId="0" borderId="0"/>
    <xf numFmtId="0" fontId="19" fillId="0" borderId="0"/>
    <xf numFmtId="0" fontId="20" fillId="0" borderId="0"/>
    <xf numFmtId="0" fontId="25" fillId="0" borderId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4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4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46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4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6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4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46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4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6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4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7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8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49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0" fontId="31" fillId="30" borderId="12" applyNumberFormat="0" applyAlignment="0" applyProtection="0"/>
    <xf numFmtId="168" fontId="2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62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5" fillId="0" borderId="0" applyFont="0" applyFill="0" applyBorder="0" applyAlignment="0" applyProtection="0"/>
    <xf numFmtId="166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2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53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4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37" fillId="16" borderId="11" applyNumberFormat="0" applyAlignment="0" applyProtection="0"/>
    <xf numFmtId="0" fontId="56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57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40" fillId="0" borderId="0"/>
    <xf numFmtId="0" fontId="25" fillId="0" borderId="0"/>
    <xf numFmtId="0" fontId="64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25" fillId="0" borderId="0"/>
    <xf numFmtId="0" fontId="17" fillId="0" borderId="0"/>
    <xf numFmtId="0" fontId="65" fillId="0" borderId="0"/>
    <xf numFmtId="0" fontId="17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7" fillId="0" borderId="0"/>
    <xf numFmtId="0" fontId="63" fillId="0" borderId="0"/>
    <xf numFmtId="0" fontId="17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17" fillId="32" borderId="17" applyNumberFormat="0" applyFont="0" applyAlignment="0" applyProtection="0"/>
    <xf numFmtId="0" fontId="58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0" fontId="41" fillId="29" borderId="18" applyNumberFormat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2" fillId="0" borderId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6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0" fontId="25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1" fillId="0" borderId="0"/>
    <xf numFmtId="0" fontId="25" fillId="0" borderId="0"/>
    <xf numFmtId="0" fontId="17" fillId="0" borderId="0"/>
    <xf numFmtId="0" fontId="17" fillId="0" borderId="0"/>
    <xf numFmtId="0" fontId="63" fillId="0" borderId="0"/>
    <xf numFmtId="0" fontId="2" fillId="0" borderId="0"/>
    <xf numFmtId="0" fontId="2" fillId="0" borderId="0"/>
    <xf numFmtId="0" fontId="17" fillId="0" borderId="0"/>
    <xf numFmtId="0" fontId="67" fillId="10" borderId="0" applyNumberFormat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3" fillId="0" borderId="0"/>
    <xf numFmtId="9" fontId="10" fillId="0" borderId="0" applyFont="0" applyFill="0" applyBorder="0" applyAlignment="0" applyProtection="0"/>
  </cellStyleXfs>
  <cellXfs count="1578">
    <xf numFmtId="0" fontId="0" fillId="0" borderId="0" xfId="0"/>
    <xf numFmtId="0" fontId="3" fillId="4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8" fillId="9" borderId="3" xfId="0" applyNumberFormat="1" applyFont="1" applyFill="1" applyBorder="1" applyAlignment="1">
      <alignment horizontal="center" vertical="center" wrapText="1"/>
    </xf>
    <xf numFmtId="0" fontId="8" fillId="0" borderId="1" xfId="648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8" fillId="0" borderId="1" xfId="2" quotePrefix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4" fillId="0" borderId="6" xfId="0" applyNumberFormat="1" applyFont="1" applyBorder="1" applyAlignment="1">
      <alignment horizontal="center" vertical="center" wrapText="1"/>
    </xf>
    <xf numFmtId="49" fontId="74" fillId="0" borderId="7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68" fillId="0" borderId="1" xfId="2" quotePrefix="1" applyNumberFormat="1" applyFont="1" applyFill="1" applyBorder="1" applyAlignment="1" applyProtection="1">
      <alignment horizontal="center" vertical="center" wrapText="1"/>
    </xf>
    <xf numFmtId="49" fontId="68" fillId="9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8" fillId="0" borderId="1" xfId="2" quotePrefix="1" applyNumberFormat="1" applyFont="1" applyFill="1" applyBorder="1" applyAlignment="1" applyProtection="1">
      <alignment vertical="top" wrapText="1"/>
    </xf>
    <xf numFmtId="49" fontId="8" fillId="9" borderId="3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9" borderId="3" xfId="0" applyNumberFormat="1" applyFont="1" applyFill="1" applyBorder="1" applyAlignment="1">
      <alignment vertical="center" wrapText="1"/>
    </xf>
    <xf numFmtId="49" fontId="77" fillId="0" borderId="6" xfId="0" applyNumberFormat="1" applyFont="1" applyBorder="1" applyAlignment="1">
      <alignment horizontal="center" vertical="center" wrapText="1"/>
    </xf>
    <xf numFmtId="49" fontId="77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7" fillId="0" borderId="1" xfId="0" applyNumberFormat="1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12" fillId="9" borderId="1" xfId="0" applyNumberFormat="1" applyFont="1" applyFill="1" applyBorder="1" applyAlignment="1">
      <alignment horizontal="center" vertical="center" wrapText="1"/>
    </xf>
    <xf numFmtId="0" fontId="8" fillId="9" borderId="1" xfId="635" applyNumberFormat="1" applyFont="1" applyFill="1" applyBorder="1" applyAlignment="1">
      <alignment horizontal="center" vertical="center" wrapText="1"/>
    </xf>
    <xf numFmtId="0" fontId="68" fillId="9" borderId="1" xfId="635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9" borderId="1" xfId="684" applyNumberFormat="1" applyFont="1" applyFill="1" applyBorder="1" applyAlignment="1">
      <alignment horizontal="center" vertical="center" wrapText="1"/>
    </xf>
    <xf numFmtId="49" fontId="8" fillId="9" borderId="3" xfId="684" applyNumberFormat="1" applyFont="1" applyFill="1" applyBorder="1" applyAlignment="1">
      <alignment horizontal="center" vertical="center" wrapText="1"/>
    </xf>
    <xf numFmtId="49" fontId="78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/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68" fillId="0" borderId="1" xfId="3" applyNumberFormat="1" applyFont="1" applyFill="1" applyBorder="1" applyAlignment="1">
      <alignment horizontal="center" vertical="center" wrapText="1"/>
    </xf>
    <xf numFmtId="49" fontId="68" fillId="9" borderId="1" xfId="635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86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0" fontId="12" fillId="9" borderId="3" xfId="0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2" fontId="12" fillId="0" borderId="2" xfId="3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77" fillId="0" borderId="6" xfId="0" applyNumberFormat="1" applyFont="1" applyBorder="1" applyAlignment="1">
      <alignment horizontal="center" vertical="center" wrapText="1"/>
    </xf>
    <xf numFmtId="2" fontId="77" fillId="0" borderId="7" xfId="0" applyNumberFormat="1" applyFont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8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2" fontId="23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648" applyNumberFormat="1" applyFont="1" applyFill="1" applyBorder="1" applyAlignment="1">
      <alignment horizontal="center" vertical="center" wrapText="1"/>
    </xf>
    <xf numFmtId="0" fontId="23" fillId="0" borderId="1" xfId="648" applyNumberFormat="1" applyFont="1" applyFill="1" applyBorder="1" applyAlignment="1">
      <alignment horizontal="center" vertical="center" wrapText="1"/>
    </xf>
    <xf numFmtId="0" fontId="8" fillId="0" borderId="1" xfId="880" applyNumberFormat="1" applyFont="1" applyFill="1" applyBorder="1" applyAlignment="1">
      <alignment horizontal="center" vertical="center" wrapText="1"/>
    </xf>
    <xf numFmtId="0" fontId="12" fillId="0" borderId="1" xfId="880" applyNumberFormat="1" applyFont="1" applyFill="1" applyBorder="1" applyAlignment="1">
      <alignment horizontal="center" vertical="center" wrapText="1"/>
    </xf>
    <xf numFmtId="0" fontId="12" fillId="0" borderId="1" xfId="904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68" fillId="0" borderId="1" xfId="635" applyNumberFormat="1" applyFont="1" applyFill="1" applyBorder="1" applyAlignment="1">
      <alignment horizontal="center" vertical="center" wrapText="1"/>
    </xf>
    <xf numFmtId="0" fontId="12" fillId="0" borderId="1" xfId="635" applyNumberFormat="1" applyFont="1" applyFill="1" applyBorder="1" applyAlignment="1">
      <alignment horizontal="center" vertical="center" wrapText="1"/>
    </xf>
    <xf numFmtId="0" fontId="23" fillId="0" borderId="1" xfId="635" applyNumberFormat="1" applyFont="1" applyFill="1" applyBorder="1" applyAlignment="1">
      <alignment horizontal="center" vertical="center" wrapText="1"/>
    </xf>
    <xf numFmtId="0" fontId="8" fillId="0" borderId="1" xfId="635" applyNumberFormat="1" applyFont="1" applyFill="1" applyBorder="1" applyAlignment="1">
      <alignment horizontal="center" vertical="center" wrapText="1"/>
    </xf>
    <xf numFmtId="0" fontId="83" fillId="0" borderId="1" xfId="0" applyNumberFormat="1" applyFont="1" applyFill="1" applyBorder="1" applyAlignment="1">
      <alignment horizontal="center" vertical="center" wrapText="1"/>
    </xf>
    <xf numFmtId="0" fontId="23" fillId="0" borderId="1" xfId="4" applyNumberFormat="1" applyFont="1" applyFill="1" applyBorder="1" applyAlignment="1">
      <alignment horizontal="center" vertical="center" wrapText="1"/>
    </xf>
    <xf numFmtId="2" fontId="23" fillId="0" borderId="1" xfId="635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34" borderId="1" xfId="0" applyNumberFormat="1" applyFont="1" applyFill="1" applyBorder="1" applyAlignment="1">
      <alignment vertical="center" wrapText="1"/>
    </xf>
    <xf numFmtId="49" fontId="23" fillId="0" borderId="1" xfId="3" applyNumberFormat="1" applyFont="1" applyFill="1" applyBorder="1" applyAlignment="1">
      <alignment vertical="center" wrapText="1"/>
    </xf>
    <xf numFmtId="49" fontId="12" fillId="0" borderId="1" xfId="3" applyNumberFormat="1" applyFont="1" applyFill="1" applyBorder="1" applyAlignment="1">
      <alignment vertical="center" wrapText="1"/>
    </xf>
    <xf numFmtId="49" fontId="12" fillId="9" borderId="1" xfId="0" applyNumberFormat="1" applyFont="1" applyFill="1" applyBorder="1" applyAlignment="1">
      <alignment vertical="center" wrapText="1"/>
    </xf>
    <xf numFmtId="49" fontId="86" fillId="9" borderId="3" xfId="0" applyNumberFormat="1" applyFont="1" applyFill="1" applyBorder="1" applyAlignment="1">
      <alignment vertical="center" wrapText="1"/>
    </xf>
    <xf numFmtId="49" fontId="23" fillId="9" borderId="1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vertical="center" wrapText="1"/>
    </xf>
    <xf numFmtId="49" fontId="23" fillId="0" borderId="2" xfId="0" applyNumberFormat="1" applyFont="1" applyFill="1" applyBorder="1" applyAlignment="1" applyProtection="1">
      <alignment vertical="center" wrapText="1"/>
    </xf>
    <xf numFmtId="49" fontId="12" fillId="0" borderId="1" xfId="0" applyNumberFormat="1" applyFont="1" applyFill="1" applyBorder="1" applyAlignment="1" applyProtection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vertical="center" wrapText="1"/>
    </xf>
    <xf numFmtId="49" fontId="23" fillId="0" borderId="3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8" fillId="34" borderId="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2" fontId="86" fillId="0" borderId="1" xfId="3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2" fillId="34" borderId="1" xfId="0" applyNumberFormat="1" applyFont="1" applyFill="1" applyBorder="1" applyAlignment="1">
      <alignment horizontal="left" vertical="center" wrapText="1"/>
    </xf>
    <xf numFmtId="49" fontId="12" fillId="0" borderId="1" xfId="2" applyNumberFormat="1" applyFont="1" applyFill="1" applyBorder="1" applyAlignment="1" applyProtection="1">
      <alignment horizontal="left" vertical="center" wrapText="1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23" fillId="8" borderId="1" xfId="0" applyNumberFormat="1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horizontal="left" vertical="center" wrapText="1"/>
    </xf>
    <xf numFmtId="49" fontId="23" fillId="34" borderId="1" xfId="0" applyNumberFormat="1" applyFont="1" applyFill="1" applyBorder="1" applyAlignment="1">
      <alignment horizontal="left" vertical="center" wrapText="1"/>
    </xf>
    <xf numFmtId="49" fontId="86" fillId="0" borderId="1" xfId="3" applyNumberFormat="1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left" vertical="center" wrapText="1"/>
    </xf>
    <xf numFmtId="49" fontId="86" fillId="9" borderId="3" xfId="0" applyNumberFormat="1" applyFont="1" applyFill="1" applyBorder="1" applyAlignment="1">
      <alignment horizontal="left" vertical="center" wrapText="1"/>
    </xf>
    <xf numFmtId="49" fontId="12" fillId="9" borderId="3" xfId="0" applyNumberFormat="1" applyFont="1" applyFill="1" applyBorder="1" applyAlignment="1">
      <alignment horizontal="left" vertical="center" wrapText="1"/>
    </xf>
    <xf numFmtId="49" fontId="23" fillId="8" borderId="1" xfId="3" applyNumberFormat="1" applyFont="1" applyFill="1" applyBorder="1" applyAlignment="1">
      <alignment horizontal="left" vertical="center" wrapText="1"/>
    </xf>
    <xf numFmtId="49" fontId="23" fillId="8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77" fillId="0" borderId="1" xfId="0" applyNumberFormat="1" applyFont="1" applyBorder="1" applyAlignment="1">
      <alignment horizontal="left" vertical="center" wrapText="1"/>
    </xf>
    <xf numFmtId="49" fontId="12" fillId="34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Font="1"/>
    <xf numFmtId="49" fontId="23" fillId="8" borderId="1" xfId="0" applyNumberFormat="1" applyFont="1" applyFill="1" applyBorder="1" applyAlignment="1">
      <alignment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49" fontId="8" fillId="0" borderId="1" xfId="648" applyNumberFormat="1" applyFont="1" applyBorder="1" applyAlignment="1">
      <alignment horizontal="center" vertical="center" wrapText="1"/>
    </xf>
    <xf numFmtId="2" fontId="12" fillId="0" borderId="1" xfId="648" applyNumberFormat="1" applyFont="1" applyFill="1" applyBorder="1" applyAlignment="1">
      <alignment horizontal="center" vertical="center" wrapText="1"/>
    </xf>
    <xf numFmtId="49" fontId="23" fillId="3" borderId="1" xfId="1" applyNumberFormat="1" applyFont="1" applyFill="1" applyBorder="1" applyAlignment="1">
      <alignment horizontal="center" vertical="center" wrapText="1"/>
    </xf>
    <xf numFmtId="49" fontId="68" fillId="0" borderId="1" xfId="1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8" fillId="0" borderId="1" xfId="909" applyNumberFormat="1" applyFont="1" applyFill="1" applyBorder="1" applyAlignment="1">
      <alignment horizontal="center" vertical="center" wrapText="1"/>
    </xf>
    <xf numFmtId="49" fontId="8" fillId="0" borderId="1" xfId="635" applyNumberFormat="1" applyFont="1" applyFill="1" applyBorder="1" applyAlignment="1">
      <alignment horizontal="center" vertical="center" wrapText="1"/>
    </xf>
    <xf numFmtId="49" fontId="68" fillId="0" borderId="1" xfId="656" applyNumberFormat="1" applyFont="1" applyFill="1" applyBorder="1" applyAlignment="1">
      <alignment horizontal="center" vertical="center" wrapText="1"/>
    </xf>
    <xf numFmtId="49" fontId="68" fillId="0" borderId="6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center" vertical="center" wrapText="1"/>
    </xf>
    <xf numFmtId="49" fontId="68" fillId="0" borderId="3" xfId="1" applyNumberFormat="1" applyFont="1" applyFill="1" applyBorder="1" applyAlignment="1">
      <alignment horizontal="center" vertical="center" wrapText="1"/>
    </xf>
    <xf numFmtId="49" fontId="68" fillId="0" borderId="1" xfId="1" applyNumberFormat="1" applyFont="1" applyFill="1" applyBorder="1" applyAlignment="1">
      <alignment horizontal="center" vertical="center"/>
    </xf>
    <xf numFmtId="0" fontId="68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49" fontId="24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49" fontId="12" fillId="9" borderId="1" xfId="635" applyNumberFormat="1" applyFont="1" applyFill="1" applyBorder="1" applyAlignment="1">
      <alignment horizontal="center" vertical="center" wrapText="1"/>
    </xf>
    <xf numFmtId="49" fontId="12" fillId="9" borderId="1" xfId="1" applyNumberFormat="1" applyFont="1" applyFill="1" applyBorder="1" applyAlignment="1">
      <alignment horizontal="center" vertical="center" wrapText="1"/>
    </xf>
    <xf numFmtId="49" fontId="8" fillId="9" borderId="1" xfId="1" applyNumberFormat="1" applyFont="1" applyFill="1" applyBorder="1" applyAlignment="1">
      <alignment horizontal="center" vertical="center" wrapText="1"/>
    </xf>
    <xf numFmtId="0" fontId="8" fillId="9" borderId="1" xfId="1" applyNumberFormat="1" applyFont="1" applyFill="1" applyBorder="1" applyAlignment="1">
      <alignment horizontal="center" vertical="center" wrapText="1"/>
    </xf>
    <xf numFmtId="2" fontId="12" fillId="9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12" fillId="0" borderId="1" xfId="905" applyNumberFormat="1" applyFont="1" applyBorder="1" applyAlignment="1">
      <alignment horizontal="center" vertical="center" wrapText="1"/>
    </xf>
    <xf numFmtId="2" fontId="12" fillId="0" borderId="1" xfId="906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9" borderId="3" xfId="0" applyNumberFormat="1" applyFont="1" applyFill="1" applyBorder="1" applyAlignment="1">
      <alignment horizontal="center" vertical="center" wrapText="1"/>
    </xf>
    <xf numFmtId="0" fontId="22" fillId="0" borderId="0" xfId="0" applyNumberFormat="1" applyFont="1"/>
    <xf numFmtId="0" fontId="74" fillId="0" borderId="7" xfId="0" applyNumberFormat="1" applyFont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9" fontId="12" fillId="9" borderId="1" xfId="635" applyNumberFormat="1" applyFont="1" applyFill="1" applyBorder="1" applyAlignment="1">
      <alignment horizontal="left" vertical="center" wrapText="1"/>
    </xf>
    <xf numFmtId="0" fontId="8" fillId="9" borderId="3" xfId="635" applyNumberFormat="1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vertical="top" wrapText="1"/>
    </xf>
    <xf numFmtId="49" fontId="86" fillId="0" borderId="1" xfId="0" applyNumberFormat="1" applyFont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2" fontId="13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wrapText="1"/>
    </xf>
    <xf numFmtId="0" fontId="6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78" fillId="0" borderId="4" xfId="0" applyNumberFormat="1" applyFont="1" applyFill="1" applyBorder="1" applyAlignment="1">
      <alignment horizontal="center" vertical="center" wrapText="1"/>
    </xf>
    <xf numFmtId="49" fontId="68" fillId="7" borderId="1" xfId="4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horizontal="center" vertical="center" wrapText="1"/>
    </xf>
    <xf numFmtId="49" fontId="68" fillId="7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49" fontId="8" fillId="9" borderId="1" xfId="683" applyNumberFormat="1" applyFont="1" applyFill="1" applyBorder="1" applyAlignment="1">
      <alignment horizontal="center" vertical="center" wrapText="1"/>
    </xf>
    <xf numFmtId="49" fontId="68" fillId="9" borderId="1" xfId="683" applyNumberFormat="1" applyFont="1" applyFill="1" applyBorder="1" applyAlignment="1">
      <alignment horizontal="center" vertical="center" wrapText="1"/>
    </xf>
    <xf numFmtId="49" fontId="79" fillId="9" borderId="1" xfId="0" applyNumberFormat="1" applyFont="1" applyFill="1" applyBorder="1" applyAlignment="1">
      <alignment horizontal="center" vertical="center" wrapText="1"/>
    </xf>
    <xf numFmtId="0" fontId="68" fillId="0" borderId="1" xfId="4" applyNumberFormat="1" applyFont="1" applyFill="1" applyBorder="1" applyAlignment="1">
      <alignment horizontal="center" vertical="center" wrapText="1"/>
    </xf>
    <xf numFmtId="0" fontId="23" fillId="7" borderId="1" xfId="0" applyNumberFormat="1" applyFont="1" applyFill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82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9" fontId="8" fillId="9" borderId="1" xfId="908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wrapText="1"/>
    </xf>
    <xf numFmtId="49" fontId="12" fillId="0" borderId="1" xfId="5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49" fontId="12" fillId="9" borderId="1" xfId="635" applyNumberFormat="1" applyFont="1" applyFill="1" applyBorder="1" applyAlignment="1">
      <alignment vertical="center" wrapText="1"/>
    </xf>
    <xf numFmtId="2" fontId="12" fillId="0" borderId="3" xfId="5" applyNumberFormat="1" applyFont="1" applyFill="1" applyBorder="1" applyAlignment="1">
      <alignment horizontal="center" vertical="center" wrapText="1"/>
    </xf>
    <xf numFmtId="49" fontId="68" fillId="9" borderId="3" xfId="0" applyNumberFormat="1" applyFont="1" applyFill="1" applyBorder="1" applyAlignment="1">
      <alignment horizontal="center" vertical="center" wrapText="1"/>
    </xf>
    <xf numFmtId="49" fontId="12" fillId="9" borderId="1" xfId="783" applyNumberFormat="1" applyFont="1" applyFill="1" applyBorder="1" applyAlignment="1">
      <alignment horizontal="left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49" fontId="68" fillId="0" borderId="1" xfId="4" applyNumberFormat="1" applyFont="1" applyFill="1" applyBorder="1" applyAlignment="1">
      <alignment horizontal="center" vertical="center" wrapText="1"/>
    </xf>
    <xf numFmtId="49" fontId="68" fillId="0" borderId="1" xfId="635" applyNumberFormat="1" applyFont="1" applyFill="1" applyBorder="1" applyAlignment="1">
      <alignment horizontal="center" vertical="center" wrapText="1"/>
    </xf>
    <xf numFmtId="49" fontId="11" fillId="0" borderId="1" xfId="635" applyNumberFormat="1" applyFont="1" applyFill="1" applyBorder="1" applyAlignment="1">
      <alignment horizontal="center" vertical="center" wrapText="1"/>
    </xf>
    <xf numFmtId="49" fontId="12" fillId="0" borderId="1" xfId="635" applyNumberFormat="1" applyFont="1" applyFill="1" applyBorder="1" applyAlignment="1">
      <alignment vertical="center" wrapText="1"/>
    </xf>
    <xf numFmtId="0" fontId="12" fillId="0" borderId="3" xfId="635" applyNumberFormat="1" applyFont="1" applyFill="1" applyBorder="1" applyAlignment="1">
      <alignment horizontal="center" vertical="center" wrapText="1"/>
    </xf>
    <xf numFmtId="49" fontId="12" fillId="0" borderId="1" xfId="635" applyNumberFormat="1" applyFont="1" applyFill="1" applyBorder="1" applyAlignment="1">
      <alignment horizontal="left" vertical="center" wrapText="1"/>
    </xf>
    <xf numFmtId="49" fontId="68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15" fillId="0" borderId="0" xfId="0" applyNumberFormat="1" applyFont="1" applyFill="1"/>
    <xf numFmtId="49" fontId="78" fillId="0" borderId="0" xfId="0" applyNumberFormat="1" applyFont="1" applyFill="1"/>
    <xf numFmtId="49" fontId="23" fillId="9" borderId="1" xfId="0" applyNumberFormat="1" applyFont="1" applyFill="1" applyBorder="1" applyAlignment="1">
      <alignment horizontal="left" vertical="center" wrapText="1"/>
    </xf>
    <xf numFmtId="0" fontId="23" fillId="9" borderId="1" xfId="0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23" fillId="0" borderId="1" xfId="2" applyNumberFormat="1" applyFont="1" applyFill="1" applyBorder="1" applyAlignment="1" applyProtection="1">
      <alignment horizontal="left" vertical="center" wrapText="1"/>
    </xf>
    <xf numFmtId="49" fontId="23" fillId="0" borderId="1" xfId="1" applyNumberFormat="1" applyFont="1" applyFill="1" applyBorder="1" applyAlignment="1">
      <alignment horizontal="left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49" fontId="23" fillId="0" borderId="3" xfId="1" applyNumberFormat="1" applyFont="1" applyFill="1" applyBorder="1" applyAlignment="1">
      <alignment horizontal="left" vertical="center" wrapText="1"/>
    </xf>
    <xf numFmtId="49" fontId="23" fillId="0" borderId="1" xfId="4" applyNumberFormat="1" applyFont="1" applyFill="1" applyBorder="1" applyAlignment="1">
      <alignment horizontal="left" vertical="center" wrapText="1"/>
    </xf>
    <xf numFmtId="49" fontId="23" fillId="9" borderId="1" xfId="635" applyNumberFormat="1" applyFont="1" applyFill="1" applyBorder="1" applyAlignment="1">
      <alignment horizontal="left" vertical="center" wrapText="1"/>
    </xf>
    <xf numFmtId="49" fontId="23" fillId="9" borderId="1" xfId="907" applyNumberFormat="1" applyFont="1" applyFill="1" applyBorder="1" applyAlignment="1">
      <alignment horizontal="left" vertical="center" wrapText="1"/>
    </xf>
    <xf numFmtId="49" fontId="23" fillId="9" borderId="1" xfId="683" applyNumberFormat="1" applyFont="1" applyFill="1" applyBorder="1" applyAlignment="1">
      <alignment horizontal="left" vertical="center" wrapText="1"/>
    </xf>
    <xf numFmtId="49" fontId="23" fillId="0" borderId="2" xfId="2" applyNumberFormat="1" applyFont="1" applyFill="1" applyBorder="1" applyAlignment="1" applyProtection="1">
      <alignment horizontal="left" vertical="center" wrapText="1"/>
    </xf>
    <xf numFmtId="49" fontId="23" fillId="9" borderId="1" xfId="783" applyNumberFormat="1" applyFont="1" applyFill="1" applyBorder="1" applyAlignment="1">
      <alignment horizontal="left" vertical="center" wrapText="1"/>
    </xf>
    <xf numFmtId="49" fontId="14" fillId="8" borderId="1" xfId="0" applyNumberFormat="1" applyFont="1" applyFill="1" applyBorder="1" applyAlignment="1">
      <alignment horizontal="left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2" fontId="12" fillId="0" borderId="3" xfId="648" applyNumberFormat="1" applyFont="1" applyFill="1" applyBorder="1" applyAlignment="1">
      <alignment horizontal="center" vertical="center" wrapText="1"/>
    </xf>
    <xf numFmtId="2" fontId="12" fillId="0" borderId="3" xfId="798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8" fillId="0" borderId="5" xfId="3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0" borderId="3" xfId="1" applyNumberFormat="1" applyFont="1" applyFill="1" applyBorder="1" applyAlignment="1">
      <alignment horizontal="center" vertical="center" wrapText="1"/>
    </xf>
    <xf numFmtId="2" fontId="12" fillId="0" borderId="1" xfId="506" applyNumberFormat="1" applyFont="1" applyFill="1" applyBorder="1" applyAlignment="1">
      <alignment horizontal="center" vertical="center" wrapText="1"/>
    </xf>
    <xf numFmtId="2" fontId="12" fillId="0" borderId="1" xfId="635" applyNumberFormat="1" applyFont="1" applyFill="1" applyBorder="1" applyAlignment="1">
      <alignment horizontal="center" vertical="center" wrapText="1"/>
    </xf>
    <xf numFmtId="2" fontId="12" fillId="0" borderId="1" xfId="684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2" fontId="23" fillId="0" borderId="1" xfId="683" applyNumberFormat="1" applyFont="1" applyFill="1" applyBorder="1" applyAlignment="1">
      <alignment horizontal="center" vertical="center" wrapText="1"/>
    </xf>
    <xf numFmtId="49" fontId="23" fillId="0" borderId="1" xfId="635" applyNumberFormat="1" applyFont="1" applyFill="1" applyBorder="1" applyAlignment="1">
      <alignment horizontal="left" vertical="center" wrapText="1"/>
    </xf>
    <xf numFmtId="0" fontId="8" fillId="0" borderId="3" xfId="635" applyNumberFormat="1" applyFont="1" applyFill="1" applyBorder="1" applyAlignment="1">
      <alignment horizontal="center" vertical="center" wrapText="1"/>
    </xf>
    <xf numFmtId="2" fontId="12" fillId="0" borderId="1" xfId="908" applyNumberFormat="1" applyFont="1" applyFill="1" applyBorder="1" applyAlignment="1">
      <alignment horizontal="center" vertical="center" wrapText="1"/>
    </xf>
    <xf numFmtId="0" fontId="12" fillId="0" borderId="20" xfId="908" applyNumberFormat="1" applyFont="1" applyFill="1" applyBorder="1" applyAlignment="1">
      <alignment horizontal="center" vertical="center" wrapText="1"/>
    </xf>
    <xf numFmtId="0" fontId="12" fillId="0" borderId="5" xfId="908" applyNumberFormat="1" applyFont="1" applyFill="1" applyBorder="1" applyAlignment="1">
      <alignment horizontal="center" vertical="center" wrapText="1"/>
    </xf>
    <xf numFmtId="0" fontId="12" fillId="0" borderId="1" xfId="908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9" fontId="23" fillId="36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16" fillId="5" borderId="1" xfId="0" applyNumberFormat="1" applyFont="1" applyFill="1" applyBorder="1" applyAlignment="1">
      <alignment horizontal="center" vertical="top" wrapText="1"/>
    </xf>
    <xf numFmtId="49" fontId="68" fillId="7" borderId="3" xfId="4" applyNumberFormat="1" applyFont="1" applyFill="1" applyBorder="1" applyAlignment="1">
      <alignment horizontal="center" vertical="top" wrapText="1"/>
    </xf>
    <xf numFmtId="49" fontId="7" fillId="7" borderId="1" xfId="0" applyNumberFormat="1" applyFont="1" applyFill="1" applyBorder="1" applyAlignment="1">
      <alignment horizontal="center" vertical="top" wrapText="1"/>
    </xf>
    <xf numFmtId="49" fontId="68" fillId="0" borderId="3" xfId="4" applyNumberFormat="1" applyFont="1" applyFill="1" applyBorder="1" applyAlignment="1">
      <alignment horizontal="center" vertical="top" wrapText="1"/>
    </xf>
    <xf numFmtId="49" fontId="16" fillId="7" borderId="1" xfId="0" applyNumberFormat="1" applyFont="1" applyFill="1" applyBorder="1" applyAlignment="1">
      <alignment horizontal="center" vertical="top" wrapText="1"/>
    </xf>
    <xf numFmtId="49" fontId="16" fillId="4" borderId="1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2" fontId="86" fillId="0" borderId="3" xfId="3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12" fillId="0" borderId="1" xfId="798" applyNumberFormat="1" applyFont="1" applyFill="1" applyBorder="1" applyAlignment="1">
      <alignment horizontal="center" vertical="center" wrapText="1"/>
    </xf>
    <xf numFmtId="2" fontId="12" fillId="0" borderId="3" xfId="798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2" fontId="13" fillId="36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right" vertical="center" wrapText="1"/>
    </xf>
    <xf numFmtId="2" fontId="12" fillId="0" borderId="1" xfId="797" applyNumberFormat="1" applyFont="1" applyFill="1" applyBorder="1" applyAlignment="1">
      <alignment horizontal="center" vertical="center" wrapText="1"/>
    </xf>
    <xf numFmtId="0" fontId="12" fillId="0" borderId="1" xfId="684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49" fontId="8" fillId="9" borderId="2" xfId="908" applyNumberFormat="1" applyFont="1" applyFill="1" applyBorder="1" applyAlignment="1">
      <alignment horizontal="center" vertical="center" wrapText="1"/>
    </xf>
    <xf numFmtId="2" fontId="12" fillId="0" borderId="3" xfId="3" applyNumberFormat="1" applyFont="1" applyFill="1" applyBorder="1" applyAlignment="1">
      <alignment horizontal="center" vertical="center" wrapText="1"/>
    </xf>
    <xf numFmtId="0" fontId="23" fillId="36" borderId="3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86" fillId="0" borderId="3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2" fontId="77" fillId="0" borderId="6" xfId="0" applyNumberFormat="1" applyFont="1" applyFill="1" applyBorder="1" applyAlignment="1">
      <alignment horizontal="center" vertical="center" wrapText="1"/>
    </xf>
    <xf numFmtId="0" fontId="12" fillId="0" borderId="3" xfId="684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9" fontId="14" fillId="36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Border="1" applyAlignment="1">
      <alignment horizontal="center" vertical="top" wrapText="1"/>
    </xf>
    <xf numFmtId="49" fontId="101" fillId="0" borderId="6" xfId="0" applyNumberFormat="1" applyFont="1" applyBorder="1" applyAlignment="1">
      <alignment horizontal="center" vertical="center" wrapText="1"/>
    </xf>
    <xf numFmtId="0" fontId="74" fillId="0" borderId="6" xfId="0" applyNumberFormat="1" applyFont="1" applyBorder="1" applyAlignment="1">
      <alignment horizontal="center" vertical="center" wrapText="1"/>
    </xf>
    <xf numFmtId="0" fontId="75" fillId="36" borderId="6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Border="1" applyAlignment="1">
      <alignment horizontal="center" vertical="top" wrapText="1"/>
    </xf>
    <xf numFmtId="49" fontId="101" fillId="0" borderId="7" xfId="0" applyNumberFormat="1" applyFont="1" applyBorder="1" applyAlignment="1">
      <alignment horizontal="center" vertical="center" wrapText="1"/>
    </xf>
    <xf numFmtId="0" fontId="75" fillId="0" borderId="7" xfId="0" applyNumberFormat="1" applyFont="1" applyFill="1" applyBorder="1" applyAlignment="1">
      <alignment horizontal="center" vertical="center" wrapText="1"/>
    </xf>
    <xf numFmtId="0" fontId="75" fillId="36" borderId="7" xfId="0" applyNumberFormat="1" applyFont="1" applyFill="1" applyBorder="1" applyAlignment="1">
      <alignment horizontal="center" vertical="center" wrapText="1"/>
    </xf>
    <xf numFmtId="49" fontId="101" fillId="7" borderId="7" xfId="0" applyNumberFormat="1" applyFont="1" applyFill="1" applyBorder="1" applyAlignment="1">
      <alignment horizontal="center" vertical="center" wrapText="1"/>
    </xf>
    <xf numFmtId="49" fontId="74" fillId="7" borderId="7" xfId="0" applyNumberFormat="1" applyFont="1" applyFill="1" applyBorder="1" applyAlignment="1">
      <alignment horizontal="center" vertical="center" wrapText="1"/>
    </xf>
    <xf numFmtId="0" fontId="74" fillId="7" borderId="7" xfId="0" applyNumberFormat="1" applyFont="1" applyFill="1" applyBorder="1" applyAlignment="1">
      <alignment horizontal="center" vertical="center" wrapText="1"/>
    </xf>
    <xf numFmtId="0" fontId="75" fillId="7" borderId="7" xfId="0" applyNumberFormat="1" applyFont="1" applyFill="1" applyBorder="1" applyAlignment="1">
      <alignment horizontal="center" vertical="center" wrapText="1"/>
    </xf>
    <xf numFmtId="2" fontId="77" fillId="7" borderId="7" xfId="0" applyNumberFormat="1" applyFont="1" applyFill="1" applyBorder="1" applyAlignment="1">
      <alignment horizontal="center" vertical="center" wrapText="1"/>
    </xf>
    <xf numFmtId="2" fontId="75" fillId="37" borderId="7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top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6" fillId="6" borderId="5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3" xfId="1" applyNumberFormat="1" applyFont="1" applyFill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0" fontId="12" fillId="35" borderId="1" xfId="0" applyNumberFormat="1" applyFont="1" applyFill="1" applyBorder="1" applyAlignment="1">
      <alignment horizontal="center" vertical="center" wrapText="1"/>
    </xf>
    <xf numFmtId="2" fontId="23" fillId="36" borderId="1" xfId="0" applyNumberFormat="1" applyFont="1" applyFill="1" applyBorder="1" applyAlignment="1">
      <alignment horizontal="center" vertical="center" wrapText="1"/>
    </xf>
    <xf numFmtId="0" fontId="23" fillId="36" borderId="1" xfId="0" applyNumberFormat="1" applyFont="1" applyFill="1" applyBorder="1" applyAlignment="1">
      <alignment horizontal="center" vertical="center" wrapText="1"/>
    </xf>
    <xf numFmtId="49" fontId="8" fillId="9" borderId="3" xfId="908" applyNumberFormat="1" applyFont="1" applyFill="1" applyBorder="1" applyAlignment="1">
      <alignment horizontal="center" vertical="center" wrapText="1"/>
    </xf>
    <xf numFmtId="0" fontId="23" fillId="0" borderId="9" xfId="908" applyNumberFormat="1" applyFont="1" applyFill="1" applyBorder="1" applyAlignment="1">
      <alignment horizontal="center" vertical="center" wrapText="1"/>
    </xf>
    <xf numFmtId="49" fontId="82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49" fontId="8" fillId="0" borderId="1" xfId="0" applyNumberFormat="1" applyFont="1" applyFill="1" applyBorder="1" applyAlignment="1">
      <alignment horizontal="left" vertical="center" wrapText="1"/>
    </xf>
    <xf numFmtId="2" fontId="12" fillId="0" borderId="2" xfId="908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 wrapText="1"/>
    </xf>
    <xf numFmtId="2" fontId="13" fillId="0" borderId="24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vertical="center" wrapText="1"/>
    </xf>
    <xf numFmtId="49" fontId="23" fillId="0" borderId="1" xfId="4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49" fontId="23" fillId="9" borderId="1" xfId="683" applyNumberFormat="1" applyFont="1" applyFill="1" applyBorder="1" applyAlignment="1">
      <alignment vertical="center" wrapText="1"/>
    </xf>
    <xf numFmtId="49" fontId="12" fillId="0" borderId="1" xfId="5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 applyProtection="1">
      <alignment vertical="center" wrapText="1"/>
    </xf>
    <xf numFmtId="0" fontId="6" fillId="0" borderId="0" xfId="0" applyFont="1" applyAlignment="1">
      <alignment horizontal="right" vertical="center" wrapText="1"/>
    </xf>
    <xf numFmtId="49" fontId="102" fillId="0" borderId="3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2" fontId="103" fillId="0" borderId="0" xfId="0" applyNumberFormat="1" applyFont="1" applyAlignment="1">
      <alignment horizontal="right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49" fontId="12" fillId="0" borderId="1" xfId="635" applyNumberFormat="1" applyFont="1" applyFill="1" applyBorder="1" applyAlignment="1">
      <alignment horizontal="center" vertical="center" wrapText="1"/>
    </xf>
    <xf numFmtId="0" fontId="76" fillId="0" borderId="1" xfId="0" applyNumberFormat="1" applyFont="1" applyFill="1" applyBorder="1" applyAlignment="1">
      <alignment horizontal="center" vertical="center" wrapText="1"/>
    </xf>
    <xf numFmtId="9" fontId="23" fillId="36" borderId="6" xfId="0" applyNumberFormat="1" applyFont="1" applyFill="1" applyBorder="1" applyAlignment="1">
      <alignment horizontal="center" vertical="center" wrapText="1"/>
    </xf>
    <xf numFmtId="2" fontId="86" fillId="0" borderId="1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Alignment="1">
      <alignment horizontal="center" vertical="center" wrapText="1"/>
    </xf>
    <xf numFmtId="49" fontId="68" fillId="0" borderId="6" xfId="0" applyNumberFormat="1" applyFont="1" applyFill="1" applyBorder="1" applyAlignment="1">
      <alignment horizontal="center" vertical="center" wrapText="1"/>
    </xf>
    <xf numFmtId="0" fontId="68" fillId="7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68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49" fontId="8" fillId="0" borderId="1" xfId="648" applyNumberFormat="1" applyFont="1" applyFill="1" applyBorder="1" applyAlignment="1">
      <alignment horizontal="center" vertical="center" wrapText="1"/>
    </xf>
    <xf numFmtId="49" fontId="12" fillId="0" borderId="1" xfId="648" applyNumberFormat="1" applyFont="1" applyFill="1" applyBorder="1" applyAlignment="1">
      <alignment horizontal="left" vertical="center" wrapText="1"/>
    </xf>
    <xf numFmtId="0" fontId="12" fillId="0" borderId="1" xfId="648" applyNumberFormat="1" applyFont="1" applyFill="1" applyBorder="1" applyAlignment="1">
      <alignment horizontal="center" vertical="center" wrapText="1"/>
    </xf>
    <xf numFmtId="49" fontId="105" fillId="0" borderId="1" xfId="648" applyNumberFormat="1" applyFont="1" applyFill="1" applyBorder="1" applyAlignment="1">
      <alignment horizontal="left" vertical="center" wrapText="1"/>
    </xf>
    <xf numFmtId="49" fontId="8" fillId="0" borderId="1" xfId="905" applyNumberFormat="1" applyFont="1" applyFill="1" applyBorder="1" applyAlignment="1">
      <alignment horizontal="center" vertical="center" wrapText="1"/>
    </xf>
    <xf numFmtId="0" fontId="8" fillId="0" borderId="1" xfId="904" applyNumberFormat="1" applyFont="1" applyFill="1" applyBorder="1" applyAlignment="1">
      <alignment horizontal="center" vertical="center" wrapText="1"/>
    </xf>
    <xf numFmtId="0" fontId="106" fillId="0" borderId="1" xfId="4" applyNumberFormat="1" applyFont="1" applyFill="1" applyBorder="1" applyAlignment="1">
      <alignment horizontal="center" vertical="center" wrapText="1"/>
    </xf>
    <xf numFmtId="49" fontId="74" fillId="0" borderId="3" xfId="0" applyNumberFormat="1" applyFont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2" fontId="12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85" fillId="9" borderId="1" xfId="0" applyNumberFormat="1" applyFont="1" applyFill="1" applyBorder="1" applyAlignment="1">
      <alignment vertical="center" wrapText="1"/>
    </xf>
    <xf numFmtId="49" fontId="80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vertical="top" wrapText="1"/>
    </xf>
    <xf numFmtId="49" fontId="23" fillId="9" borderId="24" xfId="908" applyNumberFormat="1" applyFont="1" applyFill="1" applyBorder="1" applyAlignment="1">
      <alignment vertical="center" wrapText="1"/>
    </xf>
    <xf numFmtId="49" fontId="23" fillId="9" borderId="1" xfId="908" applyNumberFormat="1" applyFont="1" applyFill="1" applyBorder="1" applyAlignment="1">
      <alignment vertical="center" wrapText="1"/>
    </xf>
    <xf numFmtId="49" fontId="12" fillId="9" borderId="1" xfId="908" applyNumberFormat="1" applyFont="1" applyFill="1" applyBorder="1" applyAlignment="1">
      <alignment horizontal="left" vertical="center" wrapText="1"/>
    </xf>
    <xf numFmtId="49" fontId="81" fillId="0" borderId="1" xfId="0" applyNumberFormat="1" applyFont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107" fillId="0" borderId="1" xfId="0" applyNumberFormat="1" applyFont="1" applyBorder="1" applyAlignment="1">
      <alignment horizontal="center" vertical="top" wrapText="1"/>
    </xf>
    <xf numFmtId="49" fontId="68" fillId="0" borderId="2" xfId="0" applyNumberFormat="1" applyFont="1" applyBorder="1" applyAlignment="1">
      <alignment horizontal="center" vertical="top" wrapText="1"/>
    </xf>
    <xf numFmtId="49" fontId="68" fillId="9" borderId="1" xfId="908" applyNumberFormat="1" applyFont="1" applyFill="1" applyBorder="1" applyAlignment="1">
      <alignment horizontal="center" vertical="top" wrapText="1"/>
    </xf>
    <xf numFmtId="49" fontId="68" fillId="0" borderId="3" xfId="0" applyNumberFormat="1" applyFont="1" applyBorder="1" applyAlignment="1">
      <alignment horizontal="center" vertical="top" wrapText="1"/>
    </xf>
    <xf numFmtId="49" fontId="68" fillId="9" borderId="1" xfId="0" applyNumberFormat="1" applyFont="1" applyFill="1" applyBorder="1" applyAlignment="1">
      <alignment horizontal="center" vertical="top" wrapText="1"/>
    </xf>
    <xf numFmtId="49" fontId="109" fillId="9" borderId="1" xfId="0" applyNumberFormat="1" applyFont="1" applyFill="1" applyBorder="1" applyAlignment="1">
      <alignment horizontal="center" vertical="top" wrapText="1"/>
    </xf>
    <xf numFmtId="49" fontId="68" fillId="9" borderId="3" xfId="0" applyNumberFormat="1" applyFont="1" applyFill="1" applyBorder="1" applyAlignment="1">
      <alignment horizontal="center" vertical="top" wrapText="1"/>
    </xf>
    <xf numFmtId="49" fontId="109" fillId="9" borderId="3" xfId="0" applyNumberFormat="1" applyFont="1" applyFill="1" applyBorder="1" applyAlignment="1">
      <alignment horizontal="center" vertical="top" wrapText="1"/>
    </xf>
    <xf numFmtId="49" fontId="68" fillId="0" borderId="1" xfId="0" applyNumberFormat="1" applyFont="1" applyBorder="1" applyAlignment="1">
      <alignment horizontal="center" vertical="top" wrapText="1"/>
    </xf>
    <xf numFmtId="49" fontId="68" fillId="0" borderId="1" xfId="4" applyNumberFormat="1" applyFont="1" applyFill="1" applyBorder="1" applyAlignment="1">
      <alignment horizontal="center" vertical="top" wrapText="1"/>
    </xf>
    <xf numFmtId="49" fontId="79" fillId="0" borderId="1" xfId="635" applyNumberFormat="1" applyFont="1" applyFill="1" applyBorder="1" applyAlignment="1">
      <alignment horizontal="center" vertical="top" wrapText="1"/>
    </xf>
    <xf numFmtId="49" fontId="68" fillId="9" borderId="1" xfId="683" applyNumberFormat="1" applyFont="1" applyFill="1" applyBorder="1" applyAlignment="1">
      <alignment horizontal="center" vertical="top" wrapText="1"/>
    </xf>
    <xf numFmtId="49" fontId="108" fillId="0" borderId="1" xfId="0" applyNumberFormat="1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center" vertical="top"/>
    </xf>
    <xf numFmtId="2" fontId="12" fillId="0" borderId="2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Border="1" applyAlignment="1">
      <alignment horizontal="center" vertical="center" wrapText="1"/>
    </xf>
    <xf numFmtId="9" fontId="75" fillId="36" borderId="6" xfId="0" applyNumberFormat="1" applyFont="1" applyFill="1" applyBorder="1" applyAlignment="1">
      <alignment horizontal="center" vertical="center" wrapText="1"/>
    </xf>
    <xf numFmtId="49" fontId="74" fillId="7" borderId="3" xfId="0" applyNumberFormat="1" applyFont="1" applyFill="1" applyBorder="1" applyAlignment="1">
      <alignment horizontal="center" vertical="center" wrapText="1"/>
    </xf>
    <xf numFmtId="49" fontId="14" fillId="7" borderId="6" xfId="0" applyNumberFormat="1" applyFont="1" applyFill="1" applyBorder="1" applyAlignment="1">
      <alignment horizontal="center" vertical="center" wrapText="1"/>
    </xf>
    <xf numFmtId="2" fontId="75" fillId="38" borderId="7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right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2" fontId="14" fillId="36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vertical="center" wrapText="1"/>
    </xf>
    <xf numFmtId="2" fontId="113" fillId="0" borderId="1" xfId="905" applyNumberFormat="1" applyFont="1" applyFill="1" applyBorder="1" applyAlignment="1">
      <alignment horizontal="center" vertical="center" wrapText="1"/>
    </xf>
    <xf numFmtId="2" fontId="113" fillId="0" borderId="1" xfId="0" applyNumberFormat="1" applyFont="1" applyFill="1" applyBorder="1" applyAlignment="1">
      <alignment horizontal="center" vertical="center" wrapText="1"/>
    </xf>
    <xf numFmtId="2" fontId="113" fillId="0" borderId="1" xfId="90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1" fillId="0" borderId="1" xfId="0" applyNumberFormat="1" applyFont="1" applyFill="1" applyBorder="1" applyAlignment="1">
      <alignment horizontal="center" vertical="center" wrapText="1"/>
    </xf>
    <xf numFmtId="0" fontId="112" fillId="0" borderId="1" xfId="0" applyNumberFormat="1" applyFont="1" applyFill="1" applyBorder="1" applyAlignment="1">
      <alignment horizontal="center" vertical="center" wrapText="1"/>
    </xf>
    <xf numFmtId="2" fontId="112" fillId="0" borderId="1" xfId="0" applyNumberFormat="1" applyFont="1" applyFill="1" applyBorder="1" applyAlignment="1">
      <alignment horizontal="center" vertical="center" wrapText="1"/>
    </xf>
    <xf numFmtId="49" fontId="12" fillId="0" borderId="1" xfId="909" applyNumberFormat="1" applyFont="1" applyFill="1" applyBorder="1" applyAlignment="1">
      <alignment horizontal="left" vertical="center" wrapText="1"/>
    </xf>
    <xf numFmtId="49" fontId="8" fillId="0" borderId="1" xfId="656" applyNumberFormat="1" applyFont="1" applyFill="1" applyBorder="1" applyAlignment="1">
      <alignment horizontal="center" vertical="center" wrapText="1"/>
    </xf>
    <xf numFmtId="0" fontId="114" fillId="0" borderId="1" xfId="656" applyNumberFormat="1" applyFont="1" applyFill="1" applyBorder="1" applyAlignment="1">
      <alignment horizontal="center" vertical="center" wrapText="1"/>
    </xf>
    <xf numFmtId="0" fontId="113" fillId="0" borderId="1" xfId="656" applyNumberFormat="1" applyFont="1" applyFill="1" applyBorder="1" applyAlignment="1">
      <alignment horizontal="center" vertical="center" wrapText="1"/>
    </xf>
    <xf numFmtId="49" fontId="115" fillId="0" borderId="0" xfId="0" applyNumberFormat="1" applyFont="1" applyFill="1" applyAlignment="1">
      <alignment horizontal="center" vertical="center" wrapText="1"/>
    </xf>
    <xf numFmtId="49" fontId="23" fillId="0" borderId="1" xfId="2" applyNumberFormat="1" applyFont="1" applyFill="1" applyBorder="1" applyAlignment="1" applyProtection="1">
      <alignment vertical="center" wrapText="1"/>
    </xf>
    <xf numFmtId="0" fontId="114" fillId="0" borderId="1" xfId="2" applyNumberFormat="1" applyFont="1" applyFill="1" applyBorder="1" applyAlignment="1" applyProtection="1">
      <alignment horizontal="center" vertical="center" wrapText="1"/>
    </xf>
    <xf numFmtId="0" fontId="112" fillId="0" borderId="1" xfId="1" applyNumberFormat="1" applyFont="1" applyFill="1" applyBorder="1" applyAlignment="1" applyProtection="1">
      <alignment horizontal="center" vertical="center" wrapText="1"/>
    </xf>
    <xf numFmtId="2" fontId="113" fillId="0" borderId="1" xfId="1" applyNumberFormat="1" applyFont="1" applyFill="1" applyBorder="1" applyAlignment="1" applyProtection="1">
      <alignment horizontal="center" vertical="center" wrapText="1"/>
    </xf>
    <xf numFmtId="49" fontId="12" fillId="0" borderId="1" xfId="2" applyNumberFormat="1" applyFont="1" applyFill="1" applyBorder="1" applyAlignment="1" applyProtection="1">
      <alignment vertical="center" wrapText="1"/>
    </xf>
    <xf numFmtId="0" fontId="113" fillId="0" borderId="1" xfId="1" applyNumberFormat="1" applyFont="1" applyFill="1" applyBorder="1" applyAlignment="1" applyProtection="1">
      <alignment horizontal="center" vertical="center" wrapText="1"/>
    </xf>
    <xf numFmtId="49" fontId="23" fillId="0" borderId="1" xfId="909" applyNumberFormat="1" applyFont="1" applyFill="1" applyBorder="1" applyAlignment="1">
      <alignment horizontal="left" vertical="center" wrapText="1"/>
    </xf>
    <xf numFmtId="0" fontId="114" fillId="0" borderId="1" xfId="0" applyNumberFormat="1" applyFont="1" applyFill="1" applyBorder="1" applyAlignment="1">
      <alignment horizontal="center" vertical="center" wrapText="1"/>
    </xf>
    <xf numFmtId="0" fontId="114" fillId="0" borderId="1" xfId="3" applyNumberFormat="1" applyFont="1" applyFill="1" applyBorder="1" applyAlignment="1">
      <alignment horizontal="center" vertical="center" wrapText="1"/>
    </xf>
    <xf numFmtId="0" fontId="113" fillId="0" borderId="1" xfId="3" applyNumberFormat="1" applyFont="1" applyFill="1" applyBorder="1" applyAlignment="1">
      <alignment horizontal="center" vertical="center" wrapText="1"/>
    </xf>
    <xf numFmtId="0" fontId="111" fillId="0" borderId="1" xfId="3" applyNumberFormat="1" applyFont="1" applyFill="1" applyBorder="1" applyAlignment="1">
      <alignment horizontal="center" vertical="center" wrapText="1"/>
    </xf>
    <xf numFmtId="0" fontId="112" fillId="0" borderId="1" xfId="3" applyNumberFormat="1" applyFont="1" applyFill="1" applyBorder="1" applyAlignment="1">
      <alignment horizontal="center" vertical="center" wrapText="1"/>
    </xf>
    <xf numFmtId="0" fontId="11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117" fillId="0" borderId="1" xfId="0" applyNumberFormat="1" applyFont="1" applyBorder="1" applyAlignment="1">
      <alignment horizontal="center" vertical="center" wrapText="1"/>
    </xf>
    <xf numFmtId="2" fontId="117" fillId="0" borderId="1" xfId="0" applyNumberFormat="1" applyFont="1" applyFill="1" applyBorder="1" applyAlignment="1">
      <alignment horizontal="center" vertical="center" wrapText="1"/>
    </xf>
    <xf numFmtId="0" fontId="118" fillId="0" borderId="1" xfId="0" applyNumberFormat="1" applyFont="1" applyBorder="1" applyAlignment="1">
      <alignment horizontal="center" vertical="center" wrapText="1"/>
    </xf>
    <xf numFmtId="0" fontId="117" fillId="0" borderId="1" xfId="0" applyNumberFormat="1" applyFont="1" applyFill="1" applyBorder="1" applyAlignment="1">
      <alignment horizontal="center" vertical="center" wrapText="1"/>
    </xf>
    <xf numFmtId="0" fontId="118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23" fillId="0" borderId="3" xfId="635" applyNumberFormat="1" applyFont="1" applyFill="1" applyBorder="1" applyAlignment="1">
      <alignment horizontal="left" vertical="center" wrapText="1"/>
    </xf>
    <xf numFmtId="49" fontId="8" fillId="0" borderId="3" xfId="635" applyNumberFormat="1" applyFont="1" applyFill="1" applyBorder="1" applyAlignment="1">
      <alignment horizontal="center" vertical="center" wrapText="1"/>
    </xf>
    <xf numFmtId="0" fontId="114" fillId="0" borderId="3" xfId="635" applyNumberFormat="1" applyFont="1" applyFill="1" applyBorder="1" applyAlignment="1">
      <alignment horizontal="center" vertical="center" wrapText="1"/>
    </xf>
    <xf numFmtId="0" fontId="112" fillId="0" borderId="3" xfId="635" applyNumberFormat="1" applyFont="1" applyFill="1" applyBorder="1" applyAlignment="1">
      <alignment horizontal="center" vertical="center" wrapText="1"/>
    </xf>
    <xf numFmtId="2" fontId="113" fillId="0" borderId="3" xfId="0" applyNumberFormat="1" applyFont="1" applyFill="1" applyBorder="1" applyAlignment="1">
      <alignment horizontal="center" vertical="center" wrapText="1"/>
    </xf>
    <xf numFmtId="49" fontId="12" fillId="0" borderId="3" xfId="635" applyNumberFormat="1" applyFont="1" applyFill="1" applyBorder="1" applyAlignment="1">
      <alignment horizontal="left" vertical="center" wrapText="1"/>
    </xf>
    <xf numFmtId="49" fontId="8" fillId="0" borderId="1" xfId="684" applyNumberFormat="1" applyFont="1" applyFill="1" applyBorder="1" applyAlignment="1">
      <alignment horizontal="center" vertical="center" wrapText="1"/>
    </xf>
    <xf numFmtId="0" fontId="114" fillId="0" borderId="3" xfId="0" applyNumberFormat="1" applyFont="1" applyFill="1" applyBorder="1" applyAlignment="1">
      <alignment horizontal="center" vertical="center" wrapText="1"/>
    </xf>
    <xf numFmtId="0" fontId="113" fillId="0" borderId="1" xfId="684" applyNumberFormat="1" applyFont="1" applyFill="1" applyBorder="1" applyAlignment="1">
      <alignment horizontal="center" vertical="center" wrapText="1"/>
    </xf>
    <xf numFmtId="0" fontId="113" fillId="0" borderId="3" xfId="635" applyNumberFormat="1" applyFont="1" applyFill="1" applyBorder="1" applyAlignment="1">
      <alignment horizontal="center" vertical="center" wrapText="1"/>
    </xf>
    <xf numFmtId="0" fontId="112" fillId="0" borderId="1" xfId="635" applyNumberFormat="1" applyFont="1" applyFill="1" applyBorder="1" applyAlignment="1">
      <alignment horizontal="center" vertical="center" wrapText="1"/>
    </xf>
    <xf numFmtId="0" fontId="113" fillId="0" borderId="1" xfId="635" applyNumberFormat="1" applyFont="1" applyFill="1" applyBorder="1" applyAlignment="1">
      <alignment horizontal="center" vertical="center" wrapText="1"/>
    </xf>
    <xf numFmtId="0" fontId="114" fillId="0" borderId="1" xfId="635" applyNumberFormat="1" applyFont="1" applyFill="1" applyBorder="1" applyAlignment="1">
      <alignment horizontal="center" vertical="center" wrapText="1"/>
    </xf>
    <xf numFmtId="0" fontId="113" fillId="0" borderId="3" xfId="0" applyNumberFormat="1" applyFont="1" applyFill="1" applyBorder="1" applyAlignment="1">
      <alignment horizontal="center" vertical="center" wrapText="1"/>
    </xf>
    <xf numFmtId="49" fontId="68" fillId="8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14" fillId="9" borderId="3" xfId="0" applyNumberFormat="1" applyFont="1" applyFill="1" applyBorder="1" applyAlignment="1">
      <alignment horizontal="center" vertical="center" wrapText="1"/>
    </xf>
    <xf numFmtId="0" fontId="1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79" fillId="0" borderId="1" xfId="635" applyNumberFormat="1" applyFont="1" applyFill="1" applyBorder="1" applyAlignment="1">
      <alignment horizontal="center" vertical="center" wrapText="1"/>
    </xf>
    <xf numFmtId="2" fontId="113" fillId="0" borderId="3" xfId="1" applyNumberFormat="1" applyFont="1" applyFill="1" applyBorder="1" applyAlignment="1">
      <alignment horizontal="center" vertical="center" wrapText="1"/>
    </xf>
    <xf numFmtId="49" fontId="115" fillId="0" borderId="0" xfId="0" applyNumberFormat="1" applyFont="1" applyFill="1" applyAlignment="1">
      <alignment horizontal="center" vertical="center"/>
    </xf>
    <xf numFmtId="0" fontId="113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top" wrapText="1"/>
    </xf>
    <xf numFmtId="2" fontId="113" fillId="0" borderId="1" xfId="1" applyNumberFormat="1" applyFont="1" applyFill="1" applyBorder="1" applyAlignment="1">
      <alignment horizontal="center" vertical="center" wrapText="1"/>
    </xf>
    <xf numFmtId="2" fontId="113" fillId="6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top" wrapText="1"/>
    </xf>
    <xf numFmtId="0" fontId="111" fillId="7" borderId="1" xfId="0" applyNumberFormat="1" applyFont="1" applyFill="1" applyBorder="1" applyAlignment="1">
      <alignment horizontal="center" vertical="center" wrapText="1"/>
    </xf>
    <xf numFmtId="0" fontId="112" fillId="7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121" fillId="0" borderId="1" xfId="0" applyNumberFormat="1" applyFont="1" applyFill="1" applyBorder="1" applyAlignment="1">
      <alignment horizontal="center" vertical="center"/>
    </xf>
    <xf numFmtId="49" fontId="6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656" applyNumberFormat="1" applyFont="1" applyFill="1" applyBorder="1" applyAlignment="1">
      <alignment horizontal="center" vertical="center" wrapText="1"/>
    </xf>
    <xf numFmtId="2" fontId="12" fillId="0" borderId="1" xfId="905" applyNumberFormat="1" applyFont="1" applyFill="1" applyBorder="1" applyAlignment="1">
      <alignment horizontal="center" vertical="center" wrapText="1"/>
    </xf>
    <xf numFmtId="2" fontId="12" fillId="0" borderId="1" xfId="906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49" fontId="68" fillId="8" borderId="3" xfId="0" applyNumberFormat="1" applyFont="1" applyFill="1" applyBorder="1" applyAlignment="1">
      <alignment horizontal="center" vertical="top" wrapText="1"/>
    </xf>
    <xf numFmtId="49" fontId="8" fillId="8" borderId="3" xfId="0" applyNumberFormat="1" applyFont="1" applyFill="1" applyBorder="1" applyAlignment="1">
      <alignment horizontal="center" vertical="center" wrapText="1"/>
    </xf>
    <xf numFmtId="49" fontId="23" fillId="8" borderId="3" xfId="0" applyNumberFormat="1" applyFont="1" applyFill="1" applyBorder="1" applyAlignment="1">
      <alignment horizontal="center" vertical="center" wrapText="1"/>
    </xf>
    <xf numFmtId="0" fontId="68" fillId="8" borderId="3" xfId="0" applyNumberFormat="1" applyFont="1" applyFill="1" applyBorder="1" applyAlignment="1">
      <alignment horizontal="center" vertical="center" wrapText="1"/>
    </xf>
    <xf numFmtId="49" fontId="68" fillId="0" borderId="1" xfId="0" quotePrefix="1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2" fillId="0" borderId="1" xfId="683" applyNumberFormat="1" applyFont="1" applyFill="1" applyBorder="1" applyAlignment="1">
      <alignment horizontal="left" vertical="center" wrapText="1"/>
    </xf>
    <xf numFmtId="49" fontId="8" fillId="0" borderId="1" xfId="683" applyNumberFormat="1" applyFont="1" applyFill="1" applyBorder="1" applyAlignment="1">
      <alignment horizontal="center" vertical="center" wrapText="1"/>
    </xf>
    <xf numFmtId="49" fontId="68" fillId="0" borderId="1" xfId="679" applyNumberFormat="1" applyFont="1" applyFill="1" applyBorder="1" applyAlignment="1">
      <alignment horizontal="center" vertical="center" wrapText="1"/>
    </xf>
    <xf numFmtId="49" fontId="23" fillId="0" borderId="1" xfId="679" applyNumberFormat="1" applyFont="1" applyFill="1" applyBorder="1" applyAlignment="1">
      <alignment horizontal="left" vertical="center" wrapText="1"/>
    </xf>
    <xf numFmtId="49" fontId="8" fillId="0" borderId="1" xfId="679" applyNumberFormat="1" applyFont="1" applyFill="1" applyBorder="1" applyAlignment="1">
      <alignment horizontal="center" vertical="center" wrapText="1"/>
    </xf>
    <xf numFmtId="0" fontId="8" fillId="0" borderId="1" xfId="679" applyNumberFormat="1" applyFont="1" applyFill="1" applyBorder="1" applyAlignment="1">
      <alignment horizontal="center" vertical="center" wrapText="1"/>
    </xf>
    <xf numFmtId="2" fontId="12" fillId="0" borderId="1" xfId="679" applyNumberFormat="1" applyFont="1" applyFill="1" applyBorder="1" applyAlignment="1">
      <alignment horizontal="center" vertical="center" wrapText="1"/>
    </xf>
    <xf numFmtId="49" fontId="8" fillId="0" borderId="1" xfId="632" applyNumberFormat="1" applyFont="1" applyFill="1" applyBorder="1" applyAlignment="1">
      <alignment horizontal="center" vertical="center" wrapText="1"/>
    </xf>
    <xf numFmtId="49" fontId="12" fillId="0" borderId="1" xfId="679" applyNumberFormat="1" applyFont="1" applyFill="1" applyBorder="1" applyAlignment="1">
      <alignment horizontal="left" vertical="center" wrapText="1"/>
    </xf>
    <xf numFmtId="0" fontId="12" fillId="0" borderId="1" xfId="679" applyNumberFormat="1" applyFont="1" applyFill="1" applyBorder="1" applyAlignment="1">
      <alignment horizontal="center" vertical="center" wrapText="1"/>
    </xf>
    <xf numFmtId="2" fontId="12" fillId="0" borderId="1" xfId="632" applyNumberFormat="1" applyFont="1" applyFill="1" applyBorder="1" applyAlignment="1">
      <alignment horizontal="center" vertical="center" wrapText="1"/>
    </xf>
    <xf numFmtId="49" fontId="8" fillId="0" borderId="2" xfId="679" applyNumberFormat="1" applyFont="1" applyFill="1" applyBorder="1" applyAlignment="1">
      <alignment horizontal="center" vertical="center" wrapText="1"/>
    </xf>
    <xf numFmtId="49" fontId="12" fillId="0" borderId="2" xfId="679" applyNumberFormat="1" applyFont="1" applyFill="1" applyBorder="1" applyAlignment="1">
      <alignment horizontal="left" vertical="center" wrapText="1"/>
    </xf>
    <xf numFmtId="0" fontId="8" fillId="0" borderId="2" xfId="679" applyNumberFormat="1" applyFont="1" applyFill="1" applyBorder="1" applyAlignment="1">
      <alignment horizontal="center" vertical="center" wrapText="1"/>
    </xf>
    <xf numFmtId="0" fontId="12" fillId="0" borderId="2" xfId="679" applyNumberFormat="1" applyFont="1" applyFill="1" applyBorder="1" applyAlignment="1">
      <alignment horizontal="center" vertical="center" wrapText="1"/>
    </xf>
    <xf numFmtId="49" fontId="23" fillId="0" borderId="1" xfId="632" applyNumberFormat="1" applyFont="1" applyFill="1" applyBorder="1" applyAlignment="1">
      <alignment horizontal="left" vertical="center" wrapText="1"/>
    </xf>
    <xf numFmtId="49" fontId="68" fillId="0" borderId="1" xfId="632" applyNumberFormat="1" applyFont="1" applyFill="1" applyBorder="1" applyAlignment="1">
      <alignment horizontal="center" vertical="center" wrapText="1"/>
    </xf>
    <xf numFmtId="0" fontId="8" fillId="0" borderId="1" xfId="632" applyNumberFormat="1" applyFont="1" applyFill="1" applyBorder="1" applyAlignment="1">
      <alignment horizontal="center" vertical="center" wrapText="1"/>
    </xf>
    <xf numFmtId="49" fontId="12" fillId="0" borderId="1" xfId="632" applyNumberFormat="1" applyFont="1" applyFill="1" applyBorder="1" applyAlignment="1">
      <alignment horizontal="left" vertical="center" wrapText="1"/>
    </xf>
    <xf numFmtId="0" fontId="12" fillId="0" borderId="1" xfId="632" applyNumberFormat="1" applyFont="1" applyFill="1" applyBorder="1" applyAlignment="1">
      <alignment horizontal="center" vertical="center" wrapText="1"/>
    </xf>
    <xf numFmtId="0" fontId="8" fillId="0" borderId="1" xfId="632" applyNumberFormat="1" applyFont="1" applyBorder="1" applyAlignment="1">
      <alignment horizontal="center" vertical="center" wrapText="1"/>
    </xf>
    <xf numFmtId="2" fontId="86" fillId="0" borderId="0" xfId="0" applyNumberFormat="1" applyFont="1" applyFill="1" applyAlignment="1">
      <alignment horizontal="right" vertical="center" wrapText="1"/>
    </xf>
    <xf numFmtId="0" fontId="8" fillId="0" borderId="3" xfId="632" applyNumberFormat="1" applyFont="1" applyFill="1" applyBorder="1" applyAlignment="1">
      <alignment horizontal="center" vertical="center" wrapText="1"/>
    </xf>
    <xf numFmtId="0" fontId="23" fillId="0" borderId="3" xfId="632" applyNumberFormat="1" applyFont="1" applyFill="1" applyBorder="1" applyAlignment="1">
      <alignment horizontal="center" vertical="center" wrapText="1"/>
    </xf>
    <xf numFmtId="49" fontId="68" fillId="0" borderId="1" xfId="632" applyNumberFormat="1" applyFont="1" applyFill="1" applyBorder="1" applyAlignment="1">
      <alignment vertical="center" wrapText="1"/>
    </xf>
    <xf numFmtId="49" fontId="12" fillId="0" borderId="1" xfId="632" applyNumberFormat="1" applyFont="1" applyFill="1" applyBorder="1" applyAlignment="1">
      <alignment vertical="center" wrapText="1"/>
    </xf>
    <xf numFmtId="0" fontId="12" fillId="0" borderId="3" xfId="632" applyNumberFormat="1" applyFont="1" applyFill="1" applyBorder="1" applyAlignment="1">
      <alignment horizontal="center" vertical="center" wrapText="1"/>
    </xf>
    <xf numFmtId="2" fontId="12" fillId="0" borderId="2" xfId="635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2" fillId="0" borderId="1" xfId="87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8" fillId="0" borderId="1" xfId="0" applyNumberFormat="1" applyFont="1" applyFill="1" applyBorder="1" applyAlignment="1" applyProtection="1">
      <alignment horizontal="center" vertical="center" wrapText="1"/>
    </xf>
    <xf numFmtId="0" fontId="68" fillId="0" borderId="2" xfId="0" applyNumberFormat="1" applyFont="1" applyFill="1" applyBorder="1" applyAlignment="1">
      <alignment horizontal="center" vertical="center" wrapText="1"/>
    </xf>
    <xf numFmtId="49" fontId="68" fillId="0" borderId="1" xfId="909" applyNumberFormat="1" applyFont="1" applyFill="1" applyBorder="1" applyAlignment="1">
      <alignment horizontal="center" vertical="center" wrapText="1"/>
    </xf>
    <xf numFmtId="0" fontId="12" fillId="0" borderId="1" xfId="909" applyNumberFormat="1" applyFont="1" applyFill="1" applyBorder="1" applyAlignment="1">
      <alignment horizontal="center" vertical="center" wrapText="1"/>
    </xf>
    <xf numFmtId="0" fontId="23" fillId="0" borderId="1" xfId="909" applyNumberFormat="1" applyFont="1" applyFill="1" applyBorder="1" applyAlignment="1">
      <alignment horizontal="center" vertical="center" wrapText="1"/>
    </xf>
    <xf numFmtId="49" fontId="8" fillId="0" borderId="2" xfId="875" applyNumberFormat="1" applyFont="1" applyFill="1" applyBorder="1" applyAlignment="1">
      <alignment horizontal="center" vertical="center" wrapText="1"/>
    </xf>
    <xf numFmtId="49" fontId="12" fillId="0" borderId="2" xfId="875" applyNumberFormat="1" applyFont="1" applyFill="1" applyBorder="1" applyAlignment="1">
      <alignment horizontal="left" vertical="center" wrapText="1"/>
    </xf>
    <xf numFmtId="49" fontId="8" fillId="0" borderId="6" xfId="875" applyNumberFormat="1" applyFont="1" applyFill="1" applyBorder="1" applyAlignment="1">
      <alignment horizontal="center" vertical="center" wrapText="1"/>
    </xf>
    <xf numFmtId="49" fontId="8" fillId="7" borderId="4" xfId="875" applyNumberFormat="1" applyFont="1" applyFill="1" applyBorder="1" applyAlignment="1">
      <alignment horizontal="center" vertical="center" wrapText="1"/>
    </xf>
    <xf numFmtId="49" fontId="8" fillId="7" borderId="1" xfId="875" applyNumberFormat="1" applyFont="1" applyFill="1" applyBorder="1" applyAlignment="1">
      <alignment horizontal="center" vertical="center" wrapText="1"/>
    </xf>
    <xf numFmtId="49" fontId="23" fillId="7" borderId="1" xfId="909" applyNumberFormat="1" applyFont="1" applyFill="1" applyBorder="1" applyAlignment="1">
      <alignment horizontal="left" vertical="center" wrapText="1"/>
    </xf>
    <xf numFmtId="0" fontId="12" fillId="7" borderId="1" xfId="875" applyNumberFormat="1" applyFont="1" applyFill="1" applyBorder="1" applyAlignment="1">
      <alignment horizontal="center" vertical="center" wrapText="1"/>
    </xf>
    <xf numFmtId="49" fontId="23" fillId="7" borderId="1" xfId="635" applyNumberFormat="1" applyFont="1" applyFill="1" applyBorder="1" applyAlignment="1">
      <alignment horizontal="center" vertical="center" wrapText="1"/>
    </xf>
    <xf numFmtId="0" fontId="23" fillId="7" borderId="3" xfId="635" applyNumberFormat="1" applyFont="1" applyFill="1" applyBorder="1" applyAlignment="1">
      <alignment horizontal="center" vertical="center" wrapText="1"/>
    </xf>
    <xf numFmtId="49" fontId="101" fillId="0" borderId="7" xfId="0" applyNumberFormat="1" applyFont="1" applyFill="1" applyBorder="1" applyAlignment="1">
      <alignment horizontal="center" vertical="center" wrapText="1"/>
    </xf>
    <xf numFmtId="49" fontId="74" fillId="0" borderId="7" xfId="0" applyNumberFormat="1" applyFont="1" applyFill="1" applyBorder="1" applyAlignment="1">
      <alignment horizontal="center" vertical="center" wrapText="1"/>
    </xf>
    <xf numFmtId="0" fontId="74" fillId="0" borderId="7" xfId="0" applyNumberFormat="1" applyFont="1" applyFill="1" applyBorder="1" applyAlignment="1">
      <alignment horizontal="center" vertical="center" wrapText="1"/>
    </xf>
    <xf numFmtId="2" fontId="77" fillId="0" borderId="7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33" borderId="1" xfId="0" applyNumberFormat="1" applyFont="1" applyFill="1" applyBorder="1" applyAlignment="1">
      <alignment horizontal="center" vertical="center" wrapText="1"/>
    </xf>
    <xf numFmtId="9" fontId="75" fillId="36" borderId="7" xfId="0" applyNumberFormat="1" applyFont="1" applyFill="1" applyBorder="1" applyAlignment="1">
      <alignment horizontal="center" vertical="center" wrapText="1"/>
    </xf>
    <xf numFmtId="49" fontId="68" fillId="6" borderId="3" xfId="0" applyNumberFormat="1" applyFont="1" applyFill="1" applyBorder="1" applyAlignment="1">
      <alignment horizontal="center" vertical="center" wrapText="1"/>
    </xf>
    <xf numFmtId="49" fontId="68" fillId="6" borderId="1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68" fillId="6" borderId="5" xfId="0" applyNumberFormat="1" applyFont="1" applyFill="1" applyBorder="1" applyAlignment="1">
      <alignment horizontal="center" vertical="center" wrapText="1"/>
    </xf>
    <xf numFmtId="0" fontId="68" fillId="6" borderId="1" xfId="0" applyNumberFormat="1" applyFont="1" applyFill="1" applyBorder="1" applyAlignment="1">
      <alignment horizontal="center" vertical="center" wrapText="1"/>
    </xf>
    <xf numFmtId="49" fontId="12" fillId="9" borderId="1" xfId="684" applyNumberFormat="1" applyFont="1" applyFill="1" applyBorder="1" applyAlignment="1">
      <alignment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23" fillId="0" borderId="3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Fill="1" applyBorder="1" applyAlignment="1" applyProtection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23" fillId="8" borderId="2" xfId="3" applyNumberFormat="1" applyFont="1" applyFill="1" applyBorder="1" applyAlignment="1">
      <alignment horizontal="left" vertical="center" wrapText="1"/>
    </xf>
    <xf numFmtId="49" fontId="23" fillId="8" borderId="1" xfId="0" applyNumberFormat="1" applyFont="1" applyFill="1" applyBorder="1" applyAlignment="1" applyProtection="1">
      <alignment horizontal="left" vertical="center" wrapText="1"/>
    </xf>
    <xf numFmtId="49" fontId="8" fillId="34" borderId="6" xfId="0" applyNumberFormat="1" applyFont="1" applyFill="1" applyBorder="1" applyAlignment="1">
      <alignment horizontal="center" vertical="center" wrapText="1"/>
    </xf>
    <xf numFmtId="49" fontId="68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86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vertical="center" wrapText="1"/>
    </xf>
    <xf numFmtId="49" fontId="86" fillId="0" borderId="1" xfId="3" applyNumberFormat="1" applyFont="1" applyBorder="1" applyAlignment="1">
      <alignment vertical="center" wrapText="1"/>
    </xf>
    <xf numFmtId="0" fontId="0" fillId="0" borderId="0" xfId="0" applyFont="1" applyFill="1" applyAlignment="1">
      <alignment wrapText="1"/>
    </xf>
    <xf numFmtId="49" fontId="8" fillId="9" borderId="1" xfId="798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wrapText="1"/>
    </xf>
    <xf numFmtId="49" fontId="12" fillId="0" borderId="1" xfId="3" applyNumberFormat="1" applyFont="1" applyFill="1" applyBorder="1" applyAlignment="1">
      <alignment vertical="top" wrapText="1"/>
    </xf>
    <xf numFmtId="49" fontId="8" fillId="35" borderId="1" xfId="3" applyNumberFormat="1" applyFont="1" applyFill="1" applyBorder="1" applyAlignment="1">
      <alignment horizontal="center" vertical="center" wrapText="1"/>
    </xf>
    <xf numFmtId="0" fontId="12" fillId="35" borderId="1" xfId="3" applyNumberFormat="1" applyFont="1" applyFill="1" applyBorder="1" applyAlignment="1">
      <alignment horizontal="center" vertical="center" wrapText="1"/>
    </xf>
    <xf numFmtId="49" fontId="12" fillId="35" borderId="1" xfId="3" applyNumberFormat="1" applyFont="1" applyFill="1" applyBorder="1" applyAlignment="1">
      <alignment horizontal="left" vertical="center" wrapText="1"/>
    </xf>
    <xf numFmtId="49" fontId="12" fillId="35" borderId="2" xfId="3" applyNumberFormat="1" applyFont="1" applyFill="1" applyBorder="1" applyAlignment="1">
      <alignment horizontal="left" vertical="center" wrapText="1"/>
    </xf>
    <xf numFmtId="49" fontId="8" fillId="35" borderId="1" xfId="0" applyNumberFormat="1" applyFont="1" applyFill="1" applyBorder="1" applyAlignment="1">
      <alignment horizontal="center" vertical="center" wrapText="1"/>
    </xf>
    <xf numFmtId="49" fontId="12" fillId="35" borderId="3" xfId="3" applyNumberFormat="1" applyFont="1" applyFill="1" applyBorder="1" applyAlignment="1">
      <alignment horizontal="left" vertical="center" wrapText="1"/>
    </xf>
    <xf numFmtId="49" fontId="12" fillId="35" borderId="2" xfId="3" applyNumberFormat="1" applyFont="1" applyFill="1" applyBorder="1" applyAlignment="1">
      <alignment vertical="top" wrapText="1"/>
    </xf>
    <xf numFmtId="49" fontId="12" fillId="35" borderId="3" xfId="3" applyNumberFormat="1" applyFont="1" applyFill="1" applyBorder="1" applyAlignment="1">
      <alignment vertical="top" wrapText="1"/>
    </xf>
    <xf numFmtId="49" fontId="14" fillId="35" borderId="3" xfId="0" applyNumberFormat="1" applyFont="1" applyFill="1" applyBorder="1" applyAlignment="1">
      <alignment horizontal="left" vertical="center" wrapText="1"/>
    </xf>
    <xf numFmtId="49" fontId="16" fillId="35" borderId="3" xfId="0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121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121" fillId="0" borderId="2" xfId="0" quotePrefix="1" applyNumberFormat="1" applyFont="1" applyBorder="1" applyAlignment="1">
      <alignment horizontal="center" vertical="center" wrapText="1"/>
    </xf>
    <xf numFmtId="2" fontId="13" fillId="39" borderId="1" xfId="0" applyNumberFormat="1" applyFont="1" applyFill="1" applyBorder="1" applyAlignment="1">
      <alignment horizontal="center" vertical="center" wrapText="1"/>
    </xf>
    <xf numFmtId="49" fontId="8" fillId="0" borderId="1" xfId="715" applyNumberFormat="1" applyFont="1" applyBorder="1" applyAlignment="1">
      <alignment horizontal="center" vertical="center" wrapText="1"/>
    </xf>
    <xf numFmtId="2" fontId="86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68" fillId="0" borderId="8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49" fontId="23" fillId="0" borderId="1" xfId="3" applyNumberFormat="1" applyFont="1" applyBorder="1" applyAlignment="1">
      <alignment vertical="center" wrapText="1"/>
    </xf>
    <xf numFmtId="2" fontId="12" fillId="0" borderId="2" xfId="3" applyNumberFormat="1" applyFont="1" applyBorder="1" applyAlignment="1">
      <alignment horizontal="center" vertical="center" wrapText="1"/>
    </xf>
    <xf numFmtId="49" fontId="68" fillId="0" borderId="1" xfId="2" quotePrefix="1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68" fillId="0" borderId="1" xfId="0" quotePrefix="1" applyNumberFormat="1" applyFont="1" applyBorder="1" applyAlignment="1">
      <alignment horizontal="center" vertical="center" wrapText="1"/>
    </xf>
    <xf numFmtId="49" fontId="68" fillId="0" borderId="3" xfId="635" applyNumberFormat="1" applyFont="1" applyBorder="1" applyAlignment="1">
      <alignment horizontal="center" vertical="center" wrapText="1"/>
    </xf>
    <xf numFmtId="49" fontId="12" fillId="0" borderId="3" xfId="635" applyNumberFormat="1" applyFont="1" applyBorder="1" applyAlignment="1">
      <alignment horizontal="left" vertical="center" wrapText="1"/>
    </xf>
    <xf numFmtId="49" fontId="8" fillId="0" borderId="1" xfId="684" applyNumberFormat="1" applyFont="1" applyBorder="1" applyAlignment="1">
      <alignment horizontal="center" vertical="center" wrapText="1"/>
    </xf>
    <xf numFmtId="49" fontId="68" fillId="0" borderId="1" xfId="635" applyNumberFormat="1" applyFont="1" applyBorder="1" applyAlignment="1">
      <alignment horizontal="center" vertical="center" wrapText="1"/>
    </xf>
    <xf numFmtId="49" fontId="12" fillId="0" borderId="1" xfId="635" applyNumberFormat="1" applyFont="1" applyBorder="1" applyAlignment="1">
      <alignment horizontal="left" vertical="center" wrapText="1"/>
    </xf>
    <xf numFmtId="49" fontId="8" fillId="0" borderId="1" xfId="635" applyNumberFormat="1" applyFont="1" applyBorder="1" applyAlignment="1">
      <alignment horizontal="center" vertical="center" wrapText="1"/>
    </xf>
    <xf numFmtId="49" fontId="8" fillId="0" borderId="3" xfId="635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1" xfId="3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vertical="center" wrapText="1"/>
    </xf>
    <xf numFmtId="49" fontId="126" fillId="0" borderId="1" xfId="0" applyNumberFormat="1" applyFont="1" applyBorder="1" applyAlignment="1">
      <alignment horizontal="center" vertical="center" wrapText="1"/>
    </xf>
    <xf numFmtId="2" fontId="12" fillId="0" borderId="1" xfId="797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8" fillId="0" borderId="2" xfId="3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0" fontId="23" fillId="0" borderId="1" xfId="3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86" fillId="0" borderId="3" xfId="0" applyNumberFormat="1" applyFont="1" applyBorder="1" applyAlignment="1">
      <alignment horizontal="center" vertical="center" wrapText="1"/>
    </xf>
    <xf numFmtId="0" fontId="12" fillId="0" borderId="2" xfId="3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86" fillId="0" borderId="5" xfId="0" applyNumberFormat="1" applyFont="1" applyBorder="1" applyAlignment="1">
      <alignment horizontal="center" vertical="center" wrapText="1"/>
    </xf>
    <xf numFmtId="0" fontId="12" fillId="0" borderId="1" xfId="684" applyNumberFormat="1" applyFont="1" applyBorder="1" applyAlignment="1">
      <alignment horizontal="center" vertical="center" wrapText="1"/>
    </xf>
    <xf numFmtId="0" fontId="12" fillId="0" borderId="3" xfId="635" applyNumberFormat="1" applyFont="1" applyBorder="1" applyAlignment="1">
      <alignment horizontal="center" vertical="center" wrapText="1"/>
    </xf>
    <xf numFmtId="0" fontId="12" fillId="0" borderId="1" xfId="635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13" fillId="0" borderId="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vertical="center" wrapText="1"/>
    </xf>
    <xf numFmtId="0" fontId="12" fillId="0" borderId="8" xfId="3" applyNumberFormat="1" applyFont="1" applyFill="1" applyBorder="1" applyAlignment="1">
      <alignment horizontal="center" vertical="center" wrapText="1"/>
    </xf>
    <xf numFmtId="0" fontId="23" fillId="35" borderId="3" xfId="0" applyNumberFormat="1" applyFont="1" applyFill="1" applyBorder="1" applyAlignment="1">
      <alignment horizontal="center" vertical="center" wrapText="1"/>
    </xf>
    <xf numFmtId="0" fontId="128" fillId="0" borderId="1" xfId="0" applyNumberFormat="1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34" borderId="7" xfId="0" applyNumberFormat="1" applyFont="1" applyFill="1" applyBorder="1" applyAlignment="1">
      <alignment horizontal="center" vertical="center" wrapText="1"/>
    </xf>
    <xf numFmtId="0" fontId="12" fillId="9" borderId="1" xfId="684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77" fillId="0" borderId="6" xfId="0" applyNumberFormat="1" applyFont="1" applyBorder="1" applyAlignment="1">
      <alignment horizontal="center" vertical="center" wrapText="1"/>
    </xf>
    <xf numFmtId="0" fontId="77" fillId="0" borderId="7" xfId="0" applyNumberFormat="1" applyFont="1" applyBorder="1" applyAlignment="1">
      <alignment horizontal="center" vertical="center" wrapText="1"/>
    </xf>
    <xf numFmtId="49" fontId="123" fillId="0" borderId="3" xfId="0" applyNumberFormat="1" applyFont="1" applyFill="1" applyBorder="1" applyAlignment="1">
      <alignment horizontal="center" vertical="top" wrapText="1"/>
    </xf>
    <xf numFmtId="49" fontId="120" fillId="0" borderId="2" xfId="0" applyNumberFormat="1" applyFont="1" applyFill="1" applyBorder="1" applyAlignment="1">
      <alignment horizontal="center" vertical="top" wrapText="1"/>
    </xf>
    <xf numFmtId="49" fontId="8" fillId="0" borderId="3" xfId="3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49" fontId="10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68" fillId="0" borderId="3" xfId="0" applyNumberFormat="1" applyFont="1" applyBorder="1" applyAlignment="1">
      <alignment horizontal="center" vertical="center" wrapText="1"/>
    </xf>
    <xf numFmtId="49" fontId="12" fillId="0" borderId="1" xfId="684" applyNumberFormat="1" applyFont="1" applyBorder="1" applyAlignment="1">
      <alignment horizontal="left" vertical="center" wrapText="1"/>
    </xf>
    <xf numFmtId="49" fontId="8" fillId="0" borderId="3" xfId="684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3" xfId="684" applyNumberFormat="1" applyFont="1" applyBorder="1" applyAlignment="1">
      <alignment horizontal="left" vertical="center" wrapText="1"/>
    </xf>
    <xf numFmtId="49" fontId="23" fillId="3" borderId="1" xfId="798" applyNumberFormat="1" applyFont="1" applyFill="1" applyBorder="1" applyAlignment="1">
      <alignment horizontal="center" vertical="center" wrapText="1"/>
    </xf>
    <xf numFmtId="49" fontId="68" fillId="0" borderId="1" xfId="909" applyNumberFormat="1" applyFont="1" applyBorder="1" applyAlignment="1">
      <alignment horizontal="center" vertical="center" wrapText="1"/>
    </xf>
    <xf numFmtId="49" fontId="23" fillId="0" borderId="1" xfId="909" applyNumberFormat="1" applyFont="1" applyBorder="1" applyAlignment="1">
      <alignment horizontal="left" vertical="center" wrapText="1"/>
    </xf>
    <xf numFmtId="0" fontId="12" fillId="0" borderId="1" xfId="909" applyNumberFormat="1" applyFont="1" applyBorder="1" applyAlignment="1">
      <alignment horizontal="center" vertical="center" wrapText="1"/>
    </xf>
    <xf numFmtId="0" fontId="23" fillId="0" borderId="1" xfId="909" applyNumberFormat="1" applyFont="1" applyBorder="1" applyAlignment="1">
      <alignment horizontal="center" vertical="center" wrapText="1"/>
    </xf>
    <xf numFmtId="49" fontId="8" fillId="0" borderId="1" xfId="909" applyNumberFormat="1" applyFont="1" applyBorder="1" applyAlignment="1">
      <alignment horizontal="center" vertical="center" wrapText="1"/>
    </xf>
    <xf numFmtId="49" fontId="12" fillId="0" borderId="1" xfId="909" applyNumberFormat="1" applyFont="1" applyBorder="1" applyAlignment="1">
      <alignment horizontal="left" vertical="center" wrapText="1"/>
    </xf>
    <xf numFmtId="49" fontId="68" fillId="0" borderId="1" xfId="737" applyNumberFormat="1" applyFont="1" applyBorder="1" applyAlignment="1">
      <alignment horizontal="center" vertical="center" wrapText="1"/>
    </xf>
    <xf numFmtId="49" fontId="23" fillId="0" borderId="1" xfId="737" applyNumberFormat="1" applyFont="1" applyBorder="1" applyAlignment="1">
      <alignment horizontal="left" vertical="center" wrapText="1"/>
    </xf>
    <xf numFmtId="0" fontId="12" fillId="0" borderId="1" xfId="737" applyNumberFormat="1" applyFont="1" applyBorder="1" applyAlignment="1">
      <alignment horizontal="center" vertical="center" wrapText="1"/>
    </xf>
    <xf numFmtId="0" fontId="23" fillId="0" borderId="1" xfId="737" applyNumberFormat="1" applyFont="1" applyBorder="1" applyAlignment="1">
      <alignment horizontal="center" vertical="center" wrapText="1"/>
    </xf>
    <xf numFmtId="49" fontId="8" fillId="0" borderId="1" xfId="737" applyNumberFormat="1" applyFont="1" applyBorder="1" applyAlignment="1">
      <alignment horizontal="center" vertical="center" wrapText="1"/>
    </xf>
    <xf numFmtId="49" fontId="12" fillId="0" borderId="1" xfId="737" applyNumberFormat="1" applyFont="1" applyBorder="1" applyAlignment="1">
      <alignment horizontal="left" vertical="center" wrapText="1"/>
    </xf>
    <xf numFmtId="49" fontId="129" fillId="0" borderId="1" xfId="683" applyNumberFormat="1" applyFont="1" applyBorder="1" applyAlignment="1">
      <alignment horizontal="left" vertical="center" wrapText="1"/>
    </xf>
    <xf numFmtId="49" fontId="130" fillId="0" borderId="1" xfId="683" applyNumberFormat="1" applyFont="1" applyBorder="1" applyAlignment="1">
      <alignment horizontal="left" vertical="center" wrapText="1"/>
    </xf>
    <xf numFmtId="49" fontId="23" fillId="0" borderId="1" xfId="635" applyNumberFormat="1" applyFont="1" applyBorder="1" applyAlignment="1">
      <alignment horizontal="left" vertical="center" wrapText="1"/>
    </xf>
    <xf numFmtId="0" fontId="23" fillId="0" borderId="1" xfId="635" applyNumberFormat="1" applyFont="1" applyBorder="1" applyAlignment="1">
      <alignment horizontal="center" vertical="center" wrapText="1"/>
    </xf>
    <xf numFmtId="49" fontId="8" fillId="0" borderId="1" xfId="910" applyNumberFormat="1" applyFont="1" applyBorder="1" applyAlignment="1">
      <alignment horizontal="center" vertical="center" wrapText="1"/>
    </xf>
    <xf numFmtId="49" fontId="12" fillId="0" borderId="1" xfId="910" applyNumberFormat="1" applyFont="1" applyBorder="1" applyAlignment="1">
      <alignment horizontal="left" vertical="center" wrapText="1"/>
    </xf>
    <xf numFmtId="49" fontId="68" fillId="0" borderId="1" xfId="910" applyNumberFormat="1" applyFont="1" applyBorder="1" applyAlignment="1">
      <alignment horizontal="center" vertical="center" wrapText="1"/>
    </xf>
    <xf numFmtId="0" fontId="12" fillId="0" borderId="1" xfId="910" applyNumberFormat="1" applyFont="1" applyBorder="1" applyAlignment="1">
      <alignment horizontal="center" vertical="center" wrapText="1"/>
    </xf>
    <xf numFmtId="49" fontId="68" fillId="0" borderId="1" xfId="875" applyNumberFormat="1" applyFont="1" applyBorder="1" applyAlignment="1">
      <alignment horizontal="center" vertical="center" wrapText="1"/>
    </xf>
    <xf numFmtId="49" fontId="23" fillId="0" borderId="1" xfId="875" applyNumberFormat="1" applyFont="1" applyBorder="1" applyAlignment="1">
      <alignment horizontal="left" vertical="center" wrapText="1"/>
    </xf>
    <xf numFmtId="0" fontId="12" fillId="0" borderId="1" xfId="875" applyNumberFormat="1" applyFont="1" applyBorder="1" applyAlignment="1">
      <alignment horizontal="center" vertical="center" wrapText="1"/>
    </xf>
    <xf numFmtId="0" fontId="23" fillId="0" borderId="1" xfId="875" applyNumberFormat="1" applyFont="1" applyBorder="1" applyAlignment="1">
      <alignment horizontal="center" vertical="center" wrapText="1"/>
    </xf>
    <xf numFmtId="49" fontId="8" fillId="0" borderId="1" xfId="875" applyNumberFormat="1" applyFont="1" applyBorder="1" applyAlignment="1">
      <alignment horizontal="center" vertical="center" wrapText="1"/>
    </xf>
    <xf numFmtId="49" fontId="12" fillId="0" borderId="2" xfId="875" applyNumberFormat="1" applyFont="1" applyBorder="1" applyAlignment="1">
      <alignment horizontal="left" vertical="center" wrapText="1"/>
    </xf>
    <xf numFmtId="49" fontId="8" fillId="0" borderId="4" xfId="875" applyNumberFormat="1" applyFont="1" applyBorder="1" applyAlignment="1">
      <alignment horizontal="center" vertical="center" wrapText="1"/>
    </xf>
    <xf numFmtId="49" fontId="23" fillId="8" borderId="1" xfId="909" applyNumberFormat="1" applyFont="1" applyFill="1" applyBorder="1" applyAlignment="1">
      <alignment horizontal="left" vertical="center" wrapText="1"/>
    </xf>
    <xf numFmtId="49" fontId="121" fillId="0" borderId="1" xfId="0" applyNumberFormat="1" applyFont="1" applyBorder="1" applyAlignment="1">
      <alignment horizontal="center" vertical="center" wrapText="1"/>
    </xf>
    <xf numFmtId="49" fontId="8" fillId="0" borderId="6" xfId="875" applyNumberFormat="1" applyFont="1" applyBorder="1" applyAlignment="1">
      <alignment horizontal="center" vertical="center" wrapText="1"/>
    </xf>
    <xf numFmtId="49" fontId="68" fillId="8" borderId="1" xfId="648" applyNumberFormat="1" applyFont="1" applyFill="1" applyBorder="1" applyAlignment="1">
      <alignment horizontal="center" vertical="center" wrapText="1"/>
    </xf>
    <xf numFmtId="2" fontId="23" fillId="8" borderId="1" xfId="905" applyNumberFormat="1" applyFont="1" applyFill="1" applyBorder="1" applyAlignment="1">
      <alignment horizontal="center" vertical="center" wrapText="1"/>
    </xf>
    <xf numFmtId="2" fontId="23" fillId="8" borderId="1" xfId="0" applyNumberFormat="1" applyFont="1" applyFill="1" applyBorder="1" applyAlignment="1">
      <alignment horizontal="center" vertical="center" wrapText="1"/>
    </xf>
    <xf numFmtId="2" fontId="23" fillId="8" borderId="1" xfId="906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68" fillId="0" borderId="6" xfId="0" applyNumberFormat="1" applyFont="1" applyBorder="1" applyAlignment="1">
      <alignment horizontal="center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right" vertical="center" wrapText="1"/>
    </xf>
    <xf numFmtId="49" fontId="23" fillId="3" borderId="2" xfId="798" applyNumberFormat="1" applyFont="1" applyFill="1" applyBorder="1" applyAlignment="1">
      <alignment horizontal="center" vertical="center" wrapText="1"/>
    </xf>
    <xf numFmtId="2" fontId="12" fillId="0" borderId="2" xfId="906" applyNumberFormat="1" applyFont="1" applyBorder="1" applyAlignment="1">
      <alignment horizontal="center" vertical="center" wrapText="1"/>
    </xf>
    <xf numFmtId="49" fontId="68" fillId="0" borderId="1" xfId="911" applyNumberFormat="1" applyFont="1" applyBorder="1" applyAlignment="1">
      <alignment horizontal="center" vertical="center" wrapText="1"/>
    </xf>
    <xf numFmtId="49" fontId="12" fillId="0" borderId="1" xfId="875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23" fillId="0" borderId="1" xfId="648" applyNumberFormat="1" applyFont="1" applyBorder="1" applyAlignment="1">
      <alignment horizontal="left" vertical="center" wrapText="1"/>
    </xf>
    <xf numFmtId="0" fontId="86" fillId="0" borderId="1" xfId="0" applyNumberFormat="1" applyFont="1" applyBorder="1" applyAlignment="1">
      <alignment horizontal="center" vertical="center" wrapText="1"/>
    </xf>
    <xf numFmtId="2" fontId="86" fillId="0" borderId="1" xfId="0" applyNumberFormat="1" applyFont="1" applyBorder="1" applyAlignment="1">
      <alignment horizontal="center" vertical="center" wrapText="1"/>
    </xf>
    <xf numFmtId="2" fontId="86" fillId="0" borderId="1" xfId="905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wrapText="1"/>
    </xf>
    <xf numFmtId="49" fontId="8" fillId="0" borderId="1" xfId="1" applyNumberFormat="1" applyFont="1" applyFill="1" applyBorder="1" applyAlignment="1">
      <alignment vertical="center" wrapText="1"/>
    </xf>
    <xf numFmtId="2" fontId="119" fillId="0" borderId="0" xfId="0" applyNumberFormat="1" applyFont="1" applyAlignment="1">
      <alignment horizontal="right" wrapText="1"/>
    </xf>
    <xf numFmtId="49" fontId="83" fillId="8" borderId="1" xfId="0" applyNumberFormat="1" applyFont="1" applyFill="1" applyBorder="1" applyAlignment="1">
      <alignment horizontal="center" vertical="center" wrapText="1"/>
    </xf>
    <xf numFmtId="49" fontId="8" fillId="0" borderId="1" xfId="798" applyNumberFormat="1" applyFont="1" applyFill="1" applyBorder="1" applyAlignment="1">
      <alignment horizontal="center" vertical="center" wrapText="1"/>
    </xf>
    <xf numFmtId="49" fontId="68" fillId="0" borderId="1" xfId="798" applyNumberFormat="1" applyFont="1" applyFill="1" applyBorder="1" applyAlignment="1">
      <alignment horizontal="center" vertical="center" wrapText="1"/>
    </xf>
    <xf numFmtId="0" fontId="12" fillId="0" borderId="1" xfId="798" applyNumberFormat="1" applyFont="1" applyFill="1" applyBorder="1" applyAlignment="1">
      <alignment horizontal="center" vertical="center" wrapText="1"/>
    </xf>
    <xf numFmtId="49" fontId="8" fillId="0" borderId="2" xfId="798" applyNumberFormat="1" applyFont="1" applyFill="1" applyBorder="1" applyAlignment="1">
      <alignment horizontal="center" vertical="center" wrapText="1"/>
    </xf>
    <xf numFmtId="49" fontId="68" fillId="0" borderId="2" xfId="798" applyNumberFormat="1" applyFont="1" applyFill="1" applyBorder="1" applyAlignment="1">
      <alignment horizontal="center" vertical="center" wrapText="1"/>
    </xf>
    <xf numFmtId="0" fontId="12" fillId="0" borderId="2" xfId="798" applyNumberFormat="1" applyFont="1" applyFill="1" applyBorder="1" applyAlignment="1">
      <alignment horizontal="center" vertical="center" wrapText="1"/>
    </xf>
    <xf numFmtId="49" fontId="16" fillId="40" borderId="1" xfId="0" applyNumberFormat="1" applyFont="1" applyFill="1" applyBorder="1" applyAlignment="1">
      <alignment horizontal="center" vertical="center" wrapText="1"/>
    </xf>
    <xf numFmtId="49" fontId="14" fillId="40" borderId="1" xfId="0" applyNumberFormat="1" applyFont="1" applyFill="1" applyBorder="1" applyAlignment="1">
      <alignment horizontal="center" vertical="center" wrapText="1"/>
    </xf>
    <xf numFmtId="0" fontId="16" fillId="40" borderId="1" xfId="0" applyNumberFormat="1" applyFont="1" applyFill="1" applyBorder="1" applyAlignment="1">
      <alignment horizontal="center" vertical="center" wrapText="1"/>
    </xf>
    <xf numFmtId="0" fontId="23" fillId="40" borderId="1" xfId="0" applyNumberFormat="1" applyFont="1" applyFill="1" applyBorder="1" applyAlignment="1">
      <alignment horizontal="center" vertical="center" wrapText="1"/>
    </xf>
    <xf numFmtId="49" fontId="23" fillId="0" borderId="1" xfId="648" applyNumberFormat="1" applyFont="1" applyBorder="1" applyAlignment="1">
      <alignment vertical="center" wrapText="1"/>
    </xf>
    <xf numFmtId="49" fontId="68" fillId="0" borderId="0" xfId="0" applyNumberFormat="1" applyFont="1" applyBorder="1" applyAlignment="1">
      <alignment horizontal="center" wrapText="1"/>
    </xf>
    <xf numFmtId="49" fontId="23" fillId="9" borderId="1" xfId="635" applyNumberFormat="1" applyFont="1" applyFill="1" applyBorder="1" applyAlignment="1">
      <alignment vertical="center" wrapText="1"/>
    </xf>
    <xf numFmtId="49" fontId="23" fillId="9" borderId="1" xfId="907" applyNumberFormat="1" applyFont="1" applyFill="1" applyBorder="1" applyAlignment="1">
      <alignment vertical="center" wrapText="1"/>
    </xf>
    <xf numFmtId="49" fontId="23" fillId="0" borderId="1" xfId="635" applyNumberFormat="1" applyFont="1" applyFill="1" applyBorder="1" applyAlignment="1">
      <alignment vertical="center" wrapText="1"/>
    </xf>
    <xf numFmtId="49" fontId="23" fillId="0" borderId="1" xfId="907" applyNumberFormat="1" applyFont="1" applyFill="1" applyBorder="1" applyAlignment="1">
      <alignment vertical="center" wrapText="1"/>
    </xf>
    <xf numFmtId="49" fontId="23" fillId="0" borderId="2" xfId="2" applyNumberFormat="1" applyFont="1" applyFill="1" applyBorder="1" applyAlignment="1" applyProtection="1">
      <alignment vertical="center" wrapText="1"/>
    </xf>
    <xf numFmtId="49" fontId="2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12" fillId="0" borderId="1" xfId="635" applyNumberFormat="1" applyFont="1" applyBorder="1" applyAlignment="1">
      <alignment horizontal="center" vertical="center" wrapText="1"/>
    </xf>
    <xf numFmtId="2" fontId="12" fillId="0" borderId="1" xfId="798" applyNumberFormat="1" applyFont="1" applyBorder="1" applyAlignment="1">
      <alignment horizontal="center" vertical="center" wrapText="1"/>
    </xf>
    <xf numFmtId="49" fontId="23" fillId="0" borderId="2" xfId="635" applyNumberFormat="1" applyFont="1" applyFill="1" applyBorder="1" applyAlignment="1">
      <alignment vertical="center" wrapText="1"/>
    </xf>
    <xf numFmtId="49" fontId="23" fillId="0" borderId="3" xfId="635" applyNumberFormat="1" applyFont="1" applyFill="1" applyBorder="1" applyAlignment="1">
      <alignment vertical="center" wrapText="1"/>
    </xf>
    <xf numFmtId="2" fontId="12" fillId="0" borderId="1" xfId="632" applyNumberFormat="1" applyFont="1" applyBorder="1" applyAlignment="1">
      <alignment horizontal="center" vertical="center" wrapText="1"/>
    </xf>
    <xf numFmtId="49" fontId="24" fillId="0" borderId="3" xfId="1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/>
    </xf>
    <xf numFmtId="49" fontId="23" fillId="0" borderId="1" xfId="648" applyNumberFormat="1" applyFont="1" applyFill="1" applyBorder="1" applyAlignment="1">
      <alignment vertical="center" wrapText="1"/>
    </xf>
    <xf numFmtId="49" fontId="12" fillId="0" borderId="1" xfId="648" applyNumberFormat="1" applyFont="1" applyFill="1" applyBorder="1" applyAlignment="1">
      <alignment vertical="center" wrapText="1"/>
    </xf>
    <xf numFmtId="49" fontId="8" fillId="0" borderId="1" xfId="880" applyNumberFormat="1" applyFont="1" applyFill="1" applyBorder="1" applyAlignment="1">
      <alignment horizontal="center" vertical="center" wrapText="1"/>
    </xf>
    <xf numFmtId="2" fontId="12" fillId="0" borderId="1" xfId="880" applyNumberFormat="1" applyFont="1" applyFill="1" applyBorder="1" applyAlignment="1">
      <alignment horizontal="center" vertical="center" wrapText="1"/>
    </xf>
    <xf numFmtId="2" fontId="12" fillId="0" borderId="1" xfId="796" applyNumberFormat="1" applyFont="1" applyFill="1" applyBorder="1" applyAlignment="1">
      <alignment horizontal="center" vertical="center" wrapText="1"/>
    </xf>
    <xf numFmtId="49" fontId="12" fillId="0" borderId="1" xfId="875" applyNumberFormat="1" applyFont="1" applyFill="1" applyBorder="1" applyAlignment="1">
      <alignment horizontal="left" vertical="center" wrapText="1"/>
    </xf>
    <xf numFmtId="49" fontId="8" fillId="0" borderId="1" xfId="875" applyNumberFormat="1" applyFont="1" applyFill="1" applyBorder="1" applyAlignment="1">
      <alignment horizontal="center" vertical="center" wrapText="1"/>
    </xf>
    <xf numFmtId="49" fontId="8" fillId="9" borderId="1" xfId="635" applyNumberFormat="1" applyFont="1" applyFill="1" applyBorder="1" applyAlignment="1">
      <alignment horizontal="center"/>
    </xf>
    <xf numFmtId="49" fontId="12" fillId="9" borderId="1" xfId="635" applyNumberFormat="1" applyFont="1" applyFill="1" applyBorder="1" applyAlignment="1">
      <alignment horizontal="left" wrapText="1"/>
    </xf>
    <xf numFmtId="0" fontId="8" fillId="9" borderId="1" xfId="635" applyNumberFormat="1" applyFont="1" applyFill="1" applyBorder="1" applyAlignment="1">
      <alignment horizontal="center"/>
    </xf>
    <xf numFmtId="0" fontId="12" fillId="0" borderId="1" xfId="635" applyNumberFormat="1" applyFont="1" applyFill="1" applyBorder="1" applyAlignment="1">
      <alignment horizontal="center"/>
    </xf>
    <xf numFmtId="2" fontId="12" fillId="0" borderId="1" xfId="635" applyNumberFormat="1" applyFont="1" applyFill="1" applyBorder="1" applyAlignment="1">
      <alignment horizontal="center"/>
    </xf>
    <xf numFmtId="49" fontId="8" fillId="9" borderId="1" xfId="635" applyNumberFormat="1" applyFont="1" applyFill="1" applyBorder="1" applyAlignment="1">
      <alignment horizontal="center" vertical="center"/>
    </xf>
    <xf numFmtId="0" fontId="8" fillId="9" borderId="1" xfId="635" applyNumberFormat="1" applyFont="1" applyFill="1" applyBorder="1" applyAlignment="1">
      <alignment horizontal="center" vertical="center"/>
    </xf>
    <xf numFmtId="0" fontId="12" fillId="0" borderId="1" xfId="635" applyNumberFormat="1" applyFont="1" applyFill="1" applyBorder="1" applyAlignment="1">
      <alignment horizontal="center" vertical="center"/>
    </xf>
    <xf numFmtId="2" fontId="12" fillId="0" borderId="1" xfId="635" applyNumberFormat="1" applyFont="1" applyFill="1" applyBorder="1" applyAlignment="1">
      <alignment horizontal="center" vertical="center"/>
    </xf>
    <xf numFmtId="49" fontId="8" fillId="9" borderId="1" xfId="635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 wrapText="1"/>
    </xf>
    <xf numFmtId="0" fontId="23" fillId="35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68" fillId="36" borderId="1" xfId="0" applyNumberFormat="1" applyFont="1" applyFill="1" applyBorder="1" applyAlignment="1">
      <alignment horizontal="center" vertical="center" wrapText="1"/>
    </xf>
    <xf numFmtId="0" fontId="23" fillId="6" borderId="1" xfId="4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49" fontId="8" fillId="6" borderId="1" xfId="4" applyNumberFormat="1" applyFont="1" applyFill="1" applyBorder="1" applyAlignment="1">
      <alignment horizontal="center" vertical="center" wrapText="1"/>
    </xf>
    <xf numFmtId="49" fontId="23" fillId="6" borderId="1" xfId="4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left" vertical="center" wrapText="1"/>
    </xf>
    <xf numFmtId="49" fontId="78" fillId="6" borderId="4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top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8" fillId="0" borderId="1" xfId="635" applyNumberFormat="1" applyFont="1" applyFill="1" applyBorder="1" applyAlignment="1">
      <alignment horizontal="center" vertical="top" wrapText="1"/>
    </xf>
    <xf numFmtId="49" fontId="23" fillId="36" borderId="1" xfId="1" applyNumberFormat="1" applyFont="1" applyFill="1" applyBorder="1" applyAlignment="1">
      <alignment horizontal="center" vertical="center" wrapText="1"/>
    </xf>
    <xf numFmtId="0" fontId="68" fillId="8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9" fontId="23" fillId="36" borderId="3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/>
    <xf numFmtId="49" fontId="12" fillId="0" borderId="1" xfId="648" applyNumberFormat="1" applyFont="1" applyBorder="1" applyAlignment="1">
      <alignment horizontal="left" vertical="center" wrapText="1"/>
    </xf>
    <xf numFmtId="49" fontId="8" fillId="0" borderId="1" xfId="905" applyNumberFormat="1" applyFont="1" applyBorder="1" applyAlignment="1">
      <alignment horizontal="center" vertical="center" wrapText="1"/>
    </xf>
    <xf numFmtId="0" fontId="8" fillId="0" borderId="1" xfId="904" applyNumberFormat="1" applyFont="1" applyBorder="1" applyAlignment="1">
      <alignment horizontal="center" vertical="center" wrapText="1"/>
    </xf>
    <xf numFmtId="49" fontId="68" fillId="0" borderId="1" xfId="0" applyNumberFormat="1" applyFont="1" applyBorder="1" applyAlignment="1">
      <alignment horizontal="center" vertical="center"/>
    </xf>
    <xf numFmtId="0" fontId="68" fillId="0" borderId="1" xfId="0" applyNumberFormat="1" applyFont="1" applyBorder="1" applyAlignment="1">
      <alignment horizontal="center" vertical="center"/>
    </xf>
    <xf numFmtId="0" fontId="8" fillId="9" borderId="3" xfId="0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 applyProtection="1">
      <alignment horizontal="center" vertical="center" wrapText="1"/>
    </xf>
    <xf numFmtId="0" fontId="12" fillId="0" borderId="1" xfId="484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2" fillId="0" borderId="3" xfId="484" applyNumberFormat="1" applyFont="1" applyFill="1" applyBorder="1" applyAlignment="1" applyProtection="1">
      <alignment horizontal="center" vertical="center"/>
    </xf>
    <xf numFmtId="49" fontId="8" fillId="8" borderId="1" xfId="875" applyNumberFormat="1" applyFont="1" applyFill="1" applyBorder="1" applyAlignment="1">
      <alignment horizontal="center" vertical="center" wrapText="1"/>
    </xf>
    <xf numFmtId="49" fontId="68" fillId="0" borderId="2" xfId="1" applyNumberFormat="1" applyFont="1" applyFill="1" applyBorder="1" applyAlignment="1">
      <alignment horizontal="center" vertical="center" wrapText="1"/>
    </xf>
    <xf numFmtId="49" fontId="8" fillId="9" borderId="3" xfId="635" applyNumberFormat="1" applyFont="1" applyFill="1" applyBorder="1" applyAlignment="1">
      <alignment horizontal="center"/>
    </xf>
    <xf numFmtId="0" fontId="12" fillId="0" borderId="3" xfId="635" applyNumberFormat="1" applyFont="1" applyFill="1" applyBorder="1" applyAlignment="1">
      <alignment horizontal="center"/>
    </xf>
    <xf numFmtId="49" fontId="23" fillId="0" borderId="1" xfId="1" applyNumberFormat="1" applyFont="1" applyFill="1" applyBorder="1" applyAlignment="1">
      <alignment vertical="center" wrapText="1"/>
    </xf>
    <xf numFmtId="49" fontId="68" fillId="0" borderId="1" xfId="1" applyNumberFormat="1" applyFont="1" applyFill="1" applyBorder="1" applyAlignment="1" applyProtection="1">
      <alignment horizontal="center" vertical="center" wrapText="1"/>
    </xf>
    <xf numFmtId="0" fontId="68" fillId="0" borderId="1" xfId="1" applyNumberFormat="1" applyFont="1" applyFill="1" applyBorder="1" applyAlignment="1" applyProtection="1">
      <alignment horizontal="center" vertical="center" wrapText="1"/>
    </xf>
    <xf numFmtId="49" fontId="132" fillId="0" borderId="1" xfId="1" applyNumberFormat="1" applyFont="1" applyFill="1" applyBorder="1" applyAlignment="1">
      <alignment horizontal="center" vertical="center" wrapText="1"/>
    </xf>
    <xf numFmtId="0" fontId="68" fillId="9" borderId="1" xfId="635" applyNumberFormat="1" applyFont="1" applyFill="1" applyBorder="1" applyAlignment="1">
      <alignment horizontal="center"/>
    </xf>
    <xf numFmtId="0" fontId="23" fillId="0" borderId="3" xfId="635" applyNumberFormat="1" applyFont="1" applyFill="1" applyBorder="1" applyAlignment="1">
      <alignment horizontal="center"/>
    </xf>
    <xf numFmtId="49" fontId="68" fillId="9" borderId="3" xfId="635" applyNumberFormat="1" applyFont="1" applyFill="1" applyBorder="1" applyAlignment="1">
      <alignment horizontal="center"/>
    </xf>
    <xf numFmtId="49" fontId="68" fillId="9" borderId="1" xfId="635" applyNumberFormat="1" applyFont="1" applyFill="1" applyBorder="1" applyAlignment="1">
      <alignment horizontal="center"/>
    </xf>
    <xf numFmtId="0" fontId="23" fillId="0" borderId="1" xfId="635" applyNumberFormat="1" applyFont="1" applyFill="1" applyBorder="1" applyAlignment="1">
      <alignment horizontal="center"/>
    </xf>
    <xf numFmtId="49" fontId="68" fillId="6" borderId="1" xfId="0" applyNumberFormat="1" applyFont="1" applyFill="1" applyBorder="1" applyAlignment="1">
      <alignment vertical="center" wrapText="1"/>
    </xf>
    <xf numFmtId="49" fontId="8" fillId="6" borderId="4" xfId="0" applyNumberFormat="1" applyFont="1" applyFill="1" applyBorder="1" applyAlignment="1">
      <alignment vertical="center" wrapText="1"/>
    </xf>
    <xf numFmtId="49" fontId="8" fillId="6" borderId="3" xfId="0" applyNumberFormat="1" applyFont="1" applyFill="1" applyBorder="1" applyAlignment="1">
      <alignment vertical="center" wrapText="1"/>
    </xf>
    <xf numFmtId="49" fontId="68" fillId="0" borderId="1" xfId="648" applyNumberFormat="1" applyFont="1" applyFill="1" applyBorder="1" applyAlignment="1">
      <alignment horizontal="center" vertical="center" wrapText="1"/>
    </xf>
    <xf numFmtId="0" fontId="68" fillId="0" borderId="1" xfId="648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2" fontId="12" fillId="0" borderId="2" xfId="905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49" fontId="8" fillId="0" borderId="2" xfId="875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8" fillId="0" borderId="2" xfId="4" applyNumberFormat="1" applyFont="1" applyFill="1" applyBorder="1" applyAlignment="1">
      <alignment horizontal="center" vertical="top" wrapText="1"/>
    </xf>
    <xf numFmtId="49" fontId="8" fillId="0" borderId="3" xfId="4" applyNumberFormat="1" applyFont="1" applyFill="1" applyBorder="1" applyAlignment="1">
      <alignment horizontal="center" vertical="top" wrapText="1"/>
    </xf>
    <xf numFmtId="49" fontId="8" fillId="9" borderId="4" xfId="635" applyNumberFormat="1" applyFont="1" applyFill="1" applyBorder="1" applyAlignment="1">
      <alignment horizontal="center" vertical="top" wrapText="1"/>
    </xf>
    <xf numFmtId="49" fontId="8" fillId="9" borderId="1" xfId="635" applyNumberFormat="1" applyFont="1" applyFill="1" applyBorder="1" applyAlignment="1">
      <alignment horizontal="center" vertical="top" wrapText="1"/>
    </xf>
    <xf numFmtId="49" fontId="8" fillId="0" borderId="4" xfId="635" applyNumberFormat="1" applyFont="1" applyFill="1" applyBorder="1" applyAlignment="1">
      <alignment horizontal="center" vertical="top" wrapText="1"/>
    </xf>
    <xf numFmtId="49" fontId="8" fillId="6" borderId="3" xfId="4" applyNumberFormat="1" applyFont="1" applyFill="1" applyBorder="1" applyAlignment="1">
      <alignment horizontal="center" vertical="top" wrapText="1"/>
    </xf>
    <xf numFmtId="49" fontId="68" fillId="9" borderId="3" xfId="908" applyNumberFormat="1" applyFont="1" applyFill="1" applyBorder="1" applyAlignment="1">
      <alignment horizontal="center" vertical="top" wrapText="1"/>
    </xf>
    <xf numFmtId="49" fontId="81" fillId="0" borderId="2" xfId="0" applyNumberFormat="1" applyFont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6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68" fillId="0" borderId="3" xfId="635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123" fillId="0" borderId="1" xfId="0" applyNumberFormat="1" applyFont="1" applyBorder="1" applyAlignment="1">
      <alignment horizontal="center" vertical="center" wrapText="1"/>
    </xf>
    <xf numFmtId="0" fontId="8" fillId="9" borderId="1" xfId="0" applyNumberFormat="1" applyFont="1" applyFill="1" applyBorder="1" applyAlignment="1" applyProtection="1">
      <alignment horizontal="center" vertical="center" wrapText="1"/>
    </xf>
    <xf numFmtId="0" fontId="8" fillId="9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vertical="top" wrapText="1"/>
    </xf>
    <xf numFmtId="49" fontId="68" fillId="0" borderId="3" xfId="0" applyNumberFormat="1" applyFont="1" applyFill="1" applyBorder="1" applyAlignment="1">
      <alignment vertical="top" wrapText="1"/>
    </xf>
    <xf numFmtId="49" fontId="22" fillId="0" borderId="1" xfId="0" applyNumberFormat="1" applyFont="1" applyBorder="1" applyAlignment="1">
      <alignment wrapText="1"/>
    </xf>
    <xf numFmtId="49" fontId="70" fillId="8" borderId="1" xfId="0" applyNumberFormat="1" applyFont="1" applyFill="1" applyBorder="1" applyAlignment="1">
      <alignment horizontal="left" vertical="center" wrapText="1"/>
    </xf>
    <xf numFmtId="49" fontId="133" fillId="0" borderId="1" xfId="0" applyNumberFormat="1" applyFont="1" applyBorder="1" applyAlignment="1">
      <alignment vertical="center" wrapText="1"/>
    </xf>
    <xf numFmtId="49" fontId="134" fillId="0" borderId="1" xfId="0" applyNumberFormat="1" applyFont="1" applyBorder="1" applyAlignment="1">
      <alignment horizontal="left" vertical="center" wrapText="1"/>
    </xf>
    <xf numFmtId="49" fontId="134" fillId="0" borderId="1" xfId="0" applyNumberFormat="1" applyFont="1" applyBorder="1" applyAlignment="1">
      <alignment vertical="center" wrapText="1"/>
    </xf>
    <xf numFmtId="49" fontId="91" fillId="0" borderId="1" xfId="0" applyNumberFormat="1" applyFont="1" applyBorder="1" applyAlignment="1">
      <alignment vertical="center" wrapText="1"/>
    </xf>
    <xf numFmtId="49" fontId="91" fillId="9" borderId="1" xfId="0" applyNumberFormat="1" applyFont="1" applyFill="1" applyBorder="1" applyAlignment="1">
      <alignment vertical="center" wrapText="1"/>
    </xf>
    <xf numFmtId="49" fontId="70" fillId="8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Border="1" applyAlignment="1">
      <alignment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68" fillId="0" borderId="1" xfId="0" applyNumberFormat="1" applyFont="1" applyBorder="1" applyAlignment="1">
      <alignment horizontal="center" vertical="center" wrapText="1"/>
    </xf>
    <xf numFmtId="0" fontId="68" fillId="0" borderId="2" xfId="0" applyNumberFormat="1" applyFont="1" applyBorder="1" applyAlignment="1">
      <alignment horizontal="center" vertical="center" wrapText="1"/>
    </xf>
    <xf numFmtId="0" fontId="8" fillId="0" borderId="1" xfId="909" applyNumberFormat="1" applyFont="1" applyBorder="1" applyAlignment="1">
      <alignment horizontal="center" vertical="center" wrapText="1"/>
    </xf>
    <xf numFmtId="0" fontId="8" fillId="0" borderId="1" xfId="875" applyNumberFormat="1" applyFont="1" applyBorder="1" applyAlignment="1">
      <alignment horizontal="center" vertical="center" wrapText="1"/>
    </xf>
    <xf numFmtId="49" fontId="135" fillId="0" borderId="1" xfId="0" applyNumberFormat="1" applyFont="1" applyBorder="1" applyAlignment="1">
      <alignment horizontal="center" vertical="center" wrapText="1"/>
    </xf>
    <xf numFmtId="0" fontId="8" fillId="0" borderId="1" xfId="875" applyNumberFormat="1" applyFont="1" applyFill="1" applyBorder="1" applyAlignment="1">
      <alignment horizontal="center" vertical="center" wrapText="1"/>
    </xf>
    <xf numFmtId="0" fontId="8" fillId="0" borderId="1" xfId="798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737" applyNumberFormat="1" applyFont="1" applyBorder="1" applyAlignment="1">
      <alignment horizontal="center" vertical="center" wrapText="1"/>
    </xf>
    <xf numFmtId="0" fontId="68" fillId="0" borderId="1" xfId="635" applyNumberFormat="1" applyFont="1" applyBorder="1" applyAlignment="1">
      <alignment horizontal="center" vertical="center" wrapText="1"/>
    </xf>
    <xf numFmtId="0" fontId="8" fillId="0" borderId="1" xfId="635" applyNumberFormat="1" applyFont="1" applyBorder="1" applyAlignment="1">
      <alignment horizontal="center" vertical="center" wrapText="1"/>
    </xf>
    <xf numFmtId="0" fontId="8" fillId="0" borderId="1" xfId="910" applyNumberFormat="1" applyFont="1" applyBorder="1" applyAlignment="1">
      <alignment horizontal="center" vertical="center" wrapText="1"/>
    </xf>
    <xf numFmtId="0" fontId="68" fillId="8" borderId="1" xfId="648" applyNumberFormat="1" applyFont="1" applyFill="1" applyBorder="1" applyAlignment="1">
      <alignment horizontal="center" vertical="center" wrapText="1"/>
    </xf>
    <xf numFmtId="0" fontId="68" fillId="0" borderId="6" xfId="0" applyNumberFormat="1" applyFont="1" applyBorder="1" applyAlignment="1">
      <alignment horizontal="center" vertical="center" wrapText="1"/>
    </xf>
    <xf numFmtId="0" fontId="8" fillId="0" borderId="2" xfId="798" applyNumberFormat="1" applyFont="1" applyFill="1" applyBorder="1" applyAlignment="1">
      <alignment horizontal="center" vertical="center" wrapText="1"/>
    </xf>
    <xf numFmtId="0" fontId="76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vertical="center" wrapText="1"/>
    </xf>
    <xf numFmtId="0" fontId="12" fillId="0" borderId="1" xfId="479" applyNumberFormat="1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23" fillId="5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68" fillId="9" borderId="1" xfId="0" applyNumberFormat="1" applyFont="1" applyFill="1" applyBorder="1" applyAlignment="1">
      <alignment horizontal="center" vertical="center" wrapText="1"/>
    </xf>
    <xf numFmtId="0" fontId="68" fillId="9" borderId="1" xfId="683" applyNumberFormat="1" applyFont="1" applyFill="1" applyBorder="1" applyAlignment="1">
      <alignment horizontal="center" vertical="center" wrapText="1"/>
    </xf>
    <xf numFmtId="0" fontId="68" fillId="5" borderId="3" xfId="0" applyNumberFormat="1" applyFont="1" applyFill="1" applyBorder="1" applyAlignment="1">
      <alignment horizontal="center" vertical="center" wrapText="1"/>
    </xf>
    <xf numFmtId="0" fontId="68" fillId="5" borderId="1" xfId="0" applyNumberFormat="1" applyFont="1" applyFill="1" applyBorder="1" applyAlignment="1">
      <alignment horizontal="center" vertical="center" wrapText="1"/>
    </xf>
    <xf numFmtId="0" fontId="68" fillId="6" borderId="1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2" fontId="12" fillId="6" borderId="4" xfId="0" applyNumberFormat="1" applyFont="1" applyFill="1" applyBorder="1" applyAlignment="1">
      <alignment horizontal="center" vertical="center" wrapText="1"/>
    </xf>
    <xf numFmtId="0" fontId="23" fillId="6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9" fillId="0" borderId="0" xfId="0" applyNumberFormat="1" applyFont="1" applyAlignment="1">
      <alignment horizontal="right" vertical="center" wrapText="1"/>
    </xf>
    <xf numFmtId="2" fontId="119" fillId="0" borderId="0" xfId="0" applyNumberFormat="1" applyFont="1"/>
    <xf numFmtId="49" fontId="68" fillId="9" borderId="1" xfId="693" applyNumberFormat="1" applyFont="1" applyFill="1" applyBorder="1" applyAlignment="1">
      <alignment horizontal="center" vertical="center"/>
    </xf>
    <xf numFmtId="49" fontId="68" fillId="9" borderId="1" xfId="0" applyNumberFormat="1" applyFont="1" applyFill="1" applyBorder="1" applyAlignment="1">
      <alignment horizontal="center" vertical="center"/>
    </xf>
    <xf numFmtId="0" fontId="23" fillId="36" borderId="6" xfId="0" applyNumberFormat="1" applyFont="1" applyFill="1" applyBorder="1" applyAlignment="1">
      <alignment horizontal="center" vertical="center" wrapText="1"/>
    </xf>
    <xf numFmtId="0" fontId="8" fillId="9" borderId="1" xfId="693" applyNumberFormat="1" applyFont="1" applyFill="1" applyBorder="1" applyAlignment="1">
      <alignment horizontal="center" vertical="center"/>
    </xf>
    <xf numFmtId="0" fontId="68" fillId="9" borderId="1" xfId="693" applyNumberFormat="1" applyFont="1" applyFill="1" applyBorder="1" applyAlignment="1">
      <alignment horizontal="center" vertical="center"/>
    </xf>
    <xf numFmtId="0" fontId="68" fillId="9" borderId="1" xfId="0" applyNumberFormat="1" applyFont="1" applyFill="1" applyBorder="1" applyAlignment="1">
      <alignment horizontal="center" vertical="center"/>
    </xf>
    <xf numFmtId="49" fontId="108" fillId="0" borderId="0" xfId="0" applyNumberFormat="1" applyFont="1" applyAlignment="1">
      <alignment horizontal="center" vertical="top"/>
    </xf>
    <xf numFmtId="49" fontId="68" fillId="0" borderId="0" xfId="0" applyNumberFormat="1" applyFont="1" applyFill="1" applyAlignment="1">
      <alignment vertical="center" wrapText="1"/>
    </xf>
    <xf numFmtId="0" fontId="68" fillId="0" borderId="1" xfId="908" applyNumberFormat="1" applyFont="1" applyFill="1" applyBorder="1" applyAlignment="1">
      <alignment horizontal="center" vertical="center" wrapText="1"/>
    </xf>
    <xf numFmtId="0" fontId="8" fillId="9" borderId="1" xfId="908" applyNumberFormat="1" applyFont="1" applyFill="1" applyBorder="1" applyAlignment="1">
      <alignment horizontal="center" vertical="center" wrapText="1"/>
    </xf>
    <xf numFmtId="0" fontId="8" fillId="9" borderId="3" xfId="908" applyNumberFormat="1" applyFont="1" applyFill="1" applyBorder="1" applyAlignment="1">
      <alignment horizontal="center" vertical="center" wrapText="1"/>
    </xf>
    <xf numFmtId="0" fontId="68" fillId="9" borderId="1" xfId="783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Alignment="1">
      <alignment vertical="center" wrapText="1"/>
    </xf>
    <xf numFmtId="49" fontId="83" fillId="0" borderId="1" xfId="0" applyNumberFormat="1" applyFont="1" applyBorder="1" applyAlignment="1">
      <alignment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136" fillId="0" borderId="1" xfId="0" applyNumberFormat="1" applyFont="1" applyFill="1" applyBorder="1" applyAlignment="1">
      <alignment horizontal="center" vertical="center" wrapText="1"/>
    </xf>
    <xf numFmtId="2" fontId="23" fillId="7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0" fontId="23" fillId="0" borderId="1" xfId="693" applyNumberFormat="1" applyFont="1" applyFill="1" applyBorder="1" applyAlignment="1">
      <alignment horizontal="center" vertical="center"/>
    </xf>
    <xf numFmtId="0" fontId="23" fillId="0" borderId="1" xfId="783" applyNumberFormat="1" applyFont="1" applyFill="1" applyBorder="1" applyAlignment="1">
      <alignment horizontal="center" vertical="center" wrapText="1"/>
    </xf>
    <xf numFmtId="2" fontId="23" fillId="36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0" fillId="6" borderId="0" xfId="0" applyNumberFormat="1" applyFont="1" applyFill="1" applyAlignment="1">
      <alignment horizontal="center" vertical="center" wrapText="1"/>
    </xf>
    <xf numFmtId="0" fontId="0" fillId="6" borderId="0" xfId="0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top" wrapText="1"/>
    </xf>
    <xf numFmtId="49" fontId="110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68" fillId="0" borderId="3" xfId="635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8" fillId="0" borderId="1" xfId="656" applyNumberFormat="1" applyFont="1" applyFill="1" applyBorder="1" applyAlignment="1">
      <alignment horizontal="center" vertical="center" wrapText="1"/>
    </xf>
    <xf numFmtId="0" fontId="23" fillId="0" borderId="1" xfId="656" applyNumberFormat="1" applyFont="1" applyFill="1" applyBorder="1" applyAlignment="1">
      <alignment horizontal="center" vertical="center" wrapText="1"/>
    </xf>
    <xf numFmtId="49" fontId="16" fillId="35" borderId="1" xfId="0" applyNumberFormat="1" applyFont="1" applyFill="1" applyBorder="1" applyAlignment="1">
      <alignment horizontal="center" vertical="center" wrapText="1"/>
    </xf>
    <xf numFmtId="49" fontId="68" fillId="36" borderId="1" xfId="0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2" fontId="12" fillId="0" borderId="1" xfId="635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89" fillId="0" borderId="3" xfId="632" applyNumberFormat="1" applyFont="1" applyFill="1" applyBorder="1" applyAlignment="1">
      <alignment horizontal="center" vertical="center" wrapText="1"/>
    </xf>
    <xf numFmtId="49" fontId="68" fillId="8" borderId="1" xfId="875" applyNumberFormat="1" applyFont="1" applyFill="1" applyBorder="1" applyAlignment="1">
      <alignment horizontal="center" vertical="center" wrapText="1"/>
    </xf>
    <xf numFmtId="0" fontId="68" fillId="8" borderId="1" xfId="875" applyNumberFormat="1" applyFont="1" applyFill="1" applyBorder="1" applyAlignment="1">
      <alignment horizontal="center" vertical="center" wrapText="1"/>
    </xf>
    <xf numFmtId="0" fontId="23" fillId="8" borderId="1" xfId="875" applyNumberFormat="1" applyFont="1" applyFill="1" applyBorder="1" applyAlignment="1">
      <alignment horizontal="center" vertical="center" wrapText="1"/>
    </xf>
    <xf numFmtId="49" fontId="23" fillId="36" borderId="1" xfId="0" applyNumberFormat="1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7" borderId="1" xfId="635" applyNumberFormat="1" applyFont="1" applyFill="1" applyBorder="1" applyAlignment="1">
      <alignment horizontal="center" vertical="center" wrapText="1"/>
    </xf>
    <xf numFmtId="49" fontId="13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4" fillId="35" borderId="2" xfId="0" applyNumberFormat="1" applyFont="1" applyFill="1" applyBorder="1" applyAlignment="1">
      <alignment vertical="center" wrapText="1"/>
    </xf>
    <xf numFmtId="49" fontId="14" fillId="35" borderId="3" xfId="0" applyNumberFormat="1" applyFont="1" applyFill="1" applyBorder="1" applyAlignment="1">
      <alignment vertical="center" wrapText="1"/>
    </xf>
    <xf numFmtId="49" fontId="23" fillId="35" borderId="2" xfId="0" applyNumberFormat="1" applyFont="1" applyFill="1" applyBorder="1" applyAlignment="1">
      <alignment vertical="center" wrapText="1"/>
    </xf>
    <xf numFmtId="49" fontId="23" fillId="35" borderId="3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16" fillId="35" borderId="5" xfId="0" applyNumberFormat="1" applyFont="1" applyFill="1" applyBorder="1" applyAlignment="1">
      <alignment horizontal="center" vertical="center" wrapText="1"/>
    </xf>
    <xf numFmtId="0" fontId="68" fillId="35" borderId="5" xfId="0" applyNumberFormat="1" applyFont="1" applyFill="1" applyBorder="1" applyAlignment="1">
      <alignment horizontal="center" vertical="center" wrapText="1"/>
    </xf>
    <xf numFmtId="0" fontId="8" fillId="36" borderId="1" xfId="0" applyNumberFormat="1" applyFont="1" applyFill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8" fillId="7" borderId="3" xfId="635" applyNumberFormat="1" applyFont="1" applyFill="1" applyBorder="1" applyAlignment="1">
      <alignment horizontal="center" vertical="center" wrapText="1"/>
    </xf>
    <xf numFmtId="0" fontId="8" fillId="7" borderId="1" xfId="875" applyNumberFormat="1" applyFont="1" applyFill="1" applyBorder="1" applyAlignment="1">
      <alignment horizontal="center" vertical="center" wrapText="1"/>
    </xf>
    <xf numFmtId="0" fontId="8" fillId="0" borderId="1" xfId="909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68" fillId="0" borderId="0" xfId="880" applyNumberFormat="1" applyFont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top" wrapText="1"/>
    </xf>
    <xf numFmtId="49" fontId="16" fillId="41" borderId="8" xfId="0" applyNumberFormat="1" applyFont="1" applyFill="1" applyBorder="1" applyAlignment="1">
      <alignment horizontal="center" vertical="top" wrapText="1"/>
    </xf>
    <xf numFmtId="49" fontId="16" fillId="41" borderId="1" xfId="0" applyNumberFormat="1" applyFont="1" applyFill="1" applyBorder="1" applyAlignment="1">
      <alignment horizontal="center" vertical="center" wrapText="1"/>
    </xf>
    <xf numFmtId="49" fontId="14" fillId="41" borderId="1" xfId="0" applyNumberFormat="1" applyFont="1" applyFill="1" applyBorder="1" applyAlignment="1">
      <alignment horizontal="center" vertical="center" wrapText="1"/>
    </xf>
    <xf numFmtId="0" fontId="14" fillId="41" borderId="1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121" fillId="0" borderId="1" xfId="0" applyNumberFormat="1" applyFont="1" applyFill="1" applyBorder="1" applyAlignment="1">
      <alignment horizontal="center" vertical="center" wrapText="1"/>
    </xf>
    <xf numFmtId="49" fontId="68" fillId="0" borderId="1" xfId="2" applyNumberFormat="1" applyFont="1" applyFill="1" applyBorder="1" applyAlignment="1" applyProtection="1">
      <alignment horizontal="center" vertical="center" wrapText="1"/>
    </xf>
    <xf numFmtId="0" fontId="68" fillId="0" borderId="1" xfId="2" applyNumberFormat="1" applyFont="1" applyFill="1" applyBorder="1" applyAlignment="1" applyProtection="1">
      <alignment horizontal="center" vertical="center" wrapText="1"/>
    </xf>
    <xf numFmtId="49" fontId="108" fillId="0" borderId="1" xfId="0" applyNumberFormat="1" applyFont="1" applyBorder="1" applyAlignment="1">
      <alignment horizontal="center" vertical="center" wrapText="1"/>
    </xf>
    <xf numFmtId="0" fontId="108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110" fillId="0" borderId="1" xfId="0" applyNumberFormat="1" applyFont="1" applyFill="1" applyBorder="1" applyAlignment="1">
      <alignment horizontal="center" vertical="top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8" fillId="0" borderId="1" xfId="2" quotePrefix="1" applyNumberFormat="1" applyFont="1" applyFill="1" applyBorder="1" applyAlignment="1" applyProtection="1">
      <alignment vertical="top" wrapText="1"/>
    </xf>
    <xf numFmtId="0" fontId="23" fillId="0" borderId="1" xfId="0" applyNumberFormat="1" applyFont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8" fillId="0" borderId="3" xfId="3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8" fillId="0" borderId="3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68" fillId="0" borderId="3" xfId="635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8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12" fillId="0" borderId="1" xfId="656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9" fontId="23" fillId="0" borderId="1" xfId="656" applyNumberFormat="1" applyFont="1" applyBorder="1" applyAlignment="1">
      <alignment horizontal="center" vertical="center" wrapText="1"/>
    </xf>
    <xf numFmtId="0" fontId="23" fillId="41" borderId="1" xfId="3" applyNumberFormat="1" applyFont="1" applyFill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vertical="center" wrapText="1"/>
    </xf>
    <xf numFmtId="49" fontId="23" fillId="41" borderId="1" xfId="0" applyNumberFormat="1" applyFont="1" applyFill="1" applyBorder="1" applyAlignment="1" applyProtection="1">
      <alignment horizontal="center" vertical="center" wrapText="1"/>
    </xf>
    <xf numFmtId="49" fontId="23" fillId="41" borderId="1" xfId="3" applyNumberFormat="1" applyFont="1" applyFill="1" applyBorder="1" applyAlignment="1">
      <alignment horizontal="center" vertical="center" wrapText="1"/>
    </xf>
    <xf numFmtId="49" fontId="8" fillId="41" borderId="1" xfId="3" applyNumberFormat="1" applyFont="1" applyFill="1" applyBorder="1" applyAlignment="1">
      <alignment horizontal="center" vertical="top" wrapText="1"/>
    </xf>
    <xf numFmtId="49" fontId="68" fillId="41" borderId="1" xfId="3" applyNumberFormat="1" applyFont="1" applyFill="1" applyBorder="1" applyAlignment="1">
      <alignment horizontal="center" vertical="center" wrapText="1"/>
    </xf>
    <xf numFmtId="49" fontId="8" fillId="41" borderId="1" xfId="3" applyNumberFormat="1" applyFont="1" applyFill="1" applyBorder="1" applyAlignment="1">
      <alignment horizontal="center" vertical="center" wrapText="1"/>
    </xf>
    <xf numFmtId="0" fontId="12" fillId="41" borderId="1" xfId="3" applyNumberFormat="1" applyFont="1" applyFill="1" applyBorder="1" applyAlignment="1">
      <alignment horizontal="center" vertical="center" wrapText="1"/>
    </xf>
    <xf numFmtId="0" fontId="86" fillId="41" borderId="1" xfId="3" applyNumberFormat="1" applyFont="1" applyFill="1" applyBorder="1" applyAlignment="1">
      <alignment horizontal="center" vertical="center" wrapText="1"/>
    </xf>
    <xf numFmtId="49" fontId="68" fillId="41" borderId="3" xfId="3" applyNumberFormat="1" applyFont="1" applyFill="1" applyBorder="1" applyAlignment="1">
      <alignment horizontal="center" vertical="top" wrapText="1"/>
    </xf>
    <xf numFmtId="49" fontId="23" fillId="8" borderId="1" xfId="3" applyNumberFormat="1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68" fillId="0" borderId="7" xfId="0" applyNumberFormat="1" applyFont="1" applyFill="1" applyBorder="1" applyAlignment="1">
      <alignment vertical="center" wrapText="1"/>
    </xf>
    <xf numFmtId="0" fontId="68" fillId="35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102" fillId="0" borderId="3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8" fillId="35" borderId="3" xfId="0" applyNumberFormat="1" applyFont="1" applyFill="1" applyBorder="1" applyAlignment="1">
      <alignment vertical="center" wrapText="1"/>
    </xf>
    <xf numFmtId="0" fontId="8" fillId="35" borderId="1" xfId="0" applyNumberFormat="1" applyFont="1" applyFill="1" applyBorder="1" applyAlignment="1">
      <alignment horizontal="center" vertical="center" wrapText="1"/>
    </xf>
    <xf numFmtId="49" fontId="68" fillId="35" borderId="3" xfId="0" applyNumberFormat="1" applyFont="1" applyFill="1" applyBorder="1" applyAlignment="1">
      <alignment vertical="center" wrapText="1"/>
    </xf>
    <xf numFmtId="49" fontId="68" fillId="35" borderId="1" xfId="0" applyNumberFormat="1" applyFont="1" applyFill="1" applyBorder="1" applyAlignment="1">
      <alignment horizontal="center" vertical="center" wrapText="1"/>
    </xf>
    <xf numFmtId="49" fontId="68" fillId="0" borderId="3" xfId="3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68" fillId="0" borderId="2" xfId="0" applyNumberFormat="1" applyFont="1" applyFill="1" applyBorder="1" applyAlignment="1">
      <alignment horizontal="center" vertical="top" wrapText="1"/>
    </xf>
    <xf numFmtId="49" fontId="68" fillId="0" borderId="4" xfId="0" applyNumberFormat="1" applyFont="1" applyFill="1" applyBorder="1" applyAlignment="1">
      <alignment horizontal="center" vertical="top" wrapText="1"/>
    </xf>
    <xf numFmtId="0" fontId="23" fillId="0" borderId="1" xfId="2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110" fillId="0" borderId="1" xfId="0" applyNumberFormat="1" applyFont="1" applyFill="1" applyBorder="1" applyAlignment="1">
      <alignment horizontal="center" vertical="top" wrapText="1"/>
    </xf>
    <xf numFmtId="49" fontId="123" fillId="0" borderId="4" xfId="0" applyNumberFormat="1" applyFont="1" applyFill="1" applyBorder="1" applyAlignment="1">
      <alignment horizontal="center" vertical="top" wrapText="1"/>
    </xf>
    <xf numFmtId="49" fontId="123" fillId="0" borderId="3" xfId="0" applyNumberFormat="1" applyFont="1" applyFill="1" applyBorder="1" applyAlignment="1">
      <alignment horizontal="center" vertical="top" wrapText="1"/>
    </xf>
    <xf numFmtId="49" fontId="8" fillId="0" borderId="4" xfId="3" applyNumberFormat="1" applyFont="1" applyFill="1" applyBorder="1" applyAlignment="1">
      <alignment horizontal="center" vertical="top" wrapText="1"/>
    </xf>
    <xf numFmtId="49" fontId="8" fillId="0" borderId="3" xfId="3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120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8" fillId="0" borderId="3" xfId="3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3" xfId="635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top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138" fillId="0" borderId="1" xfId="0" applyNumberFormat="1" applyFont="1" applyBorder="1" applyAlignment="1">
      <alignment horizontal="left" vertical="center" wrapText="1"/>
    </xf>
    <xf numFmtId="49" fontId="138" fillId="35" borderId="2" xfId="0" applyNumberFormat="1" applyFont="1" applyFill="1" applyBorder="1" applyAlignment="1">
      <alignment horizontal="left" vertical="center" wrapText="1"/>
    </xf>
    <xf numFmtId="49" fontId="13" fillId="35" borderId="2" xfId="0" applyNumberFormat="1" applyFont="1" applyFill="1" applyBorder="1" applyAlignment="1">
      <alignment vertical="center" wrapText="1"/>
    </xf>
    <xf numFmtId="49" fontId="7" fillId="35" borderId="1" xfId="0" applyNumberFormat="1" applyFont="1" applyFill="1" applyBorder="1" applyAlignment="1">
      <alignment horizontal="center" vertical="center" wrapText="1"/>
    </xf>
    <xf numFmtId="49" fontId="13" fillId="35" borderId="3" xfId="0" applyNumberFormat="1" applyFont="1" applyFill="1" applyBorder="1" applyAlignment="1">
      <alignment vertical="center" wrapText="1"/>
    </xf>
    <xf numFmtId="49" fontId="138" fillId="35" borderId="1" xfId="0" applyNumberFormat="1" applyFont="1" applyFill="1" applyBorder="1" applyAlignment="1">
      <alignment horizontal="left" vertical="center" wrapText="1"/>
    </xf>
    <xf numFmtId="49" fontId="13" fillId="35" borderId="1" xfId="0" applyNumberFormat="1" applyFont="1" applyFill="1" applyBorder="1" applyAlignment="1">
      <alignment horizontal="left" vertical="center" wrapText="1"/>
    </xf>
    <xf numFmtId="49" fontId="14" fillId="35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wrapText="1"/>
    </xf>
    <xf numFmtId="49" fontId="8" fillId="0" borderId="2" xfId="1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27" fillId="0" borderId="1" xfId="0" applyNumberFormat="1" applyFont="1" applyBorder="1" applyAlignment="1">
      <alignment vertical="center" wrapText="1"/>
    </xf>
    <xf numFmtId="0" fontId="140" fillId="0" borderId="0" xfId="0" applyNumberFormat="1" applyFont="1" applyFill="1" applyAlignment="1">
      <alignment horizontal="center" vertical="center" wrapText="1"/>
    </xf>
    <xf numFmtId="2" fontId="140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30" fillId="0" borderId="1" xfId="0" applyNumberFormat="1" applyFont="1" applyBorder="1" applyAlignment="1">
      <alignment horizontal="left" vertical="center" wrapText="1"/>
    </xf>
    <xf numFmtId="49" fontId="12" fillId="0" borderId="3" xfId="2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Alignment="1">
      <alignment horizontal="left"/>
    </xf>
    <xf numFmtId="49" fontId="16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78" fillId="0" borderId="1" xfId="3" applyNumberFormat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 wrapText="1"/>
    </xf>
    <xf numFmtId="0" fontId="78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Alignment="1">
      <alignment horizontal="right" vertical="center" wrapText="1"/>
    </xf>
    <xf numFmtId="4" fontId="7" fillId="0" borderId="0" xfId="0" applyNumberFormat="1" applyFont="1" applyFill="1" applyAlignment="1">
      <alignment horizontal="right" vertical="center" wrapText="1"/>
    </xf>
    <xf numFmtId="4" fontId="0" fillId="0" borderId="0" xfId="0" applyNumberFormat="1" applyFont="1" applyFill="1" applyAlignment="1">
      <alignment horizontal="right" wrapText="1"/>
    </xf>
    <xf numFmtId="4" fontId="22" fillId="0" borderId="0" xfId="0" applyNumberFormat="1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6" fillId="0" borderId="1" xfId="3" applyNumberFormat="1" applyFont="1" applyFill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139" fillId="0" borderId="0" xfId="0" applyNumberFormat="1" applyFont="1" applyAlignment="1">
      <alignment horizontal="right" vertical="center" wrapText="1"/>
    </xf>
    <xf numFmtId="4" fontId="13" fillId="39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4" fontId="13" fillId="36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horizontal="right" vertical="center" wrapText="1"/>
    </xf>
    <xf numFmtId="4" fontId="15" fillId="0" borderId="0" xfId="0" applyNumberFormat="1" applyFont="1" applyFill="1" applyAlignment="1">
      <alignment horizontal="right" vertical="center" wrapText="1"/>
    </xf>
    <xf numFmtId="4" fontId="78" fillId="0" borderId="0" xfId="0" applyNumberFormat="1" applyFont="1" applyFill="1" applyAlignment="1">
      <alignment horizontal="right" vertical="center" wrapText="1"/>
    </xf>
    <xf numFmtId="4" fontId="11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Alignment="1">
      <alignment horizontal="right" wrapText="1"/>
    </xf>
    <xf numFmtId="4" fontId="23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22" fillId="0" borderId="0" xfId="0" applyNumberFormat="1" applyFont="1" applyAlignment="1">
      <alignment horizontal="right"/>
    </xf>
    <xf numFmtId="4" fontId="12" fillId="2" borderId="1" xfId="0" applyNumberFormat="1" applyFont="1" applyFill="1" applyBorder="1" applyAlignment="1">
      <alignment horizontal="right" vertical="center" wrapText="1"/>
    </xf>
    <xf numFmtId="4" fontId="76" fillId="0" borderId="0" xfId="0" applyNumberFormat="1" applyFont="1" applyFill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77" fillId="0" borderId="6" xfId="0" applyNumberFormat="1" applyFont="1" applyBorder="1" applyAlignment="1">
      <alignment horizontal="right" vertical="center" wrapText="1"/>
    </xf>
    <xf numFmtId="4" fontId="77" fillId="0" borderId="7" xfId="0" applyNumberFormat="1" applyFont="1" applyBorder="1" applyAlignment="1">
      <alignment horizontal="right" vertical="center" wrapText="1"/>
    </xf>
    <xf numFmtId="2" fontId="75" fillId="0" borderId="7" xfId="0" applyNumberFormat="1" applyFont="1" applyFill="1" applyBorder="1" applyAlignment="1">
      <alignment horizontal="center" vertical="center" wrapText="1"/>
    </xf>
    <xf numFmtId="0" fontId="68" fillId="0" borderId="3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8" fillId="0" borderId="1" xfId="684" applyNumberFormat="1" applyFont="1" applyBorder="1" applyAlignment="1">
      <alignment horizontal="center" vertical="center" wrapText="1"/>
    </xf>
    <xf numFmtId="0" fontId="12" fillId="0" borderId="3" xfId="684" applyNumberFormat="1" applyFont="1" applyBorder="1" applyAlignment="1">
      <alignment horizontal="center" vertical="center" wrapText="1"/>
    </xf>
    <xf numFmtId="0" fontId="8" fillId="0" borderId="3" xfId="684" applyNumberFormat="1" applyFont="1" applyBorder="1" applyAlignment="1">
      <alignment horizontal="center" vertical="center" wrapText="1"/>
    </xf>
    <xf numFmtId="0" fontId="12" fillId="0" borderId="1" xfId="656" applyNumberFormat="1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77" fillId="0" borderId="6" xfId="0" applyNumberFormat="1" applyFont="1" applyBorder="1" applyAlignment="1">
      <alignment horizontal="center" vertical="center" wrapText="1"/>
    </xf>
    <xf numFmtId="4" fontId="77" fillId="0" borderId="7" xfId="0" applyNumberFormat="1" applyFont="1" applyBorder="1" applyAlignment="1">
      <alignment horizontal="center" vertical="center" wrapText="1"/>
    </xf>
    <xf numFmtId="4" fontId="89" fillId="0" borderId="0" xfId="0" applyNumberFormat="1" applyFont="1" applyAlignment="1">
      <alignment horizontal="right" vertical="center" wrapText="1"/>
    </xf>
    <xf numFmtId="49" fontId="141" fillId="0" borderId="1" xfId="0" applyNumberFormat="1" applyFont="1" applyBorder="1" applyAlignment="1">
      <alignment horizontal="center" vertical="center" wrapText="1"/>
    </xf>
    <xf numFmtId="4" fontId="15" fillId="6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wrapText="1"/>
    </xf>
    <xf numFmtId="4" fontId="12" fillId="0" borderId="0" xfId="0" applyNumberFormat="1" applyFont="1" applyFill="1" applyAlignment="1">
      <alignment horizontal="center" vertical="center" wrapText="1"/>
    </xf>
    <xf numFmtId="4" fontId="86" fillId="0" borderId="0" xfId="0" applyNumberFormat="1" applyFont="1" applyFill="1" applyAlignment="1">
      <alignment horizontal="center" wrapText="1"/>
    </xf>
    <xf numFmtId="4" fontId="89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right" vertical="center" wrapText="1"/>
    </xf>
    <xf numFmtId="4" fontId="86" fillId="0" borderId="0" xfId="0" applyNumberFormat="1" applyFont="1" applyFill="1" applyAlignment="1">
      <alignment horizontal="right" vertical="center" wrapText="1"/>
    </xf>
    <xf numFmtId="4" fontId="0" fillId="0" borderId="0" xfId="0" applyNumberFormat="1" applyFill="1" applyAlignment="1">
      <alignment horizontal="right" vertical="center" wrapText="1"/>
    </xf>
    <xf numFmtId="4" fontId="22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" fontId="13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4" fontId="22" fillId="0" borderId="0" xfId="0" applyNumberFormat="1" applyFont="1" applyAlignment="1">
      <alignment horizontal="center" vertical="center" wrapText="1"/>
    </xf>
    <xf numFmtId="4" fontId="119" fillId="0" borderId="0" xfId="0" applyNumberFormat="1" applyFont="1" applyAlignment="1">
      <alignment horizontal="right" vertical="center" wrapText="1"/>
    </xf>
    <xf numFmtId="4" fontId="117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4" fontId="13" fillId="0" borderId="21" xfId="0" applyNumberFormat="1" applyFont="1" applyFill="1" applyBorder="1" applyAlignment="1">
      <alignment horizontal="right" vertical="center" wrapText="1"/>
    </xf>
    <xf numFmtId="4" fontId="113" fillId="0" borderId="3" xfId="0" applyNumberFormat="1" applyFont="1" applyFill="1" applyBorder="1" applyAlignment="1">
      <alignment horizontal="right" vertical="center" wrapText="1"/>
    </xf>
    <xf numFmtId="4" fontId="12" fillId="0" borderId="1" xfId="635" applyNumberFormat="1" applyFont="1" applyFill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6" borderId="0" xfId="0" applyNumberFormat="1" applyFont="1" applyFill="1" applyAlignment="1">
      <alignment horizontal="center" vertical="center" wrapText="1"/>
    </xf>
    <xf numFmtId="4" fontId="142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wrapText="1"/>
    </xf>
    <xf numFmtId="4" fontId="4" fillId="0" borderId="1" xfId="0" quotePrefix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horizontal="center" vertical="center" wrapText="1"/>
    </xf>
    <xf numFmtId="0" fontId="12" fillId="8" borderId="3" xfId="0" applyNumberFormat="1" applyFont="1" applyFill="1" applyBorder="1" applyAlignment="1">
      <alignment horizontal="center" vertical="center" wrapText="1"/>
    </xf>
    <xf numFmtId="2" fontId="13" fillId="8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49" fontId="7" fillId="42" borderId="1" xfId="0" applyNumberFormat="1" applyFont="1" applyFill="1" applyBorder="1" applyAlignment="1">
      <alignment horizontal="center" vertical="top" wrapText="1"/>
    </xf>
    <xf numFmtId="49" fontId="7" fillId="42" borderId="1" xfId="0" applyNumberFormat="1" applyFont="1" applyFill="1" applyBorder="1" applyAlignment="1">
      <alignment horizontal="center" vertical="center" wrapText="1"/>
    </xf>
    <xf numFmtId="49" fontId="14" fillId="42" borderId="1" xfId="0" applyNumberFormat="1" applyFont="1" applyFill="1" applyBorder="1" applyAlignment="1">
      <alignment horizontal="center" vertical="center" wrapText="1"/>
    </xf>
    <xf numFmtId="0" fontId="8" fillId="42" borderId="1" xfId="0" applyNumberFormat="1" applyFont="1" applyFill="1" applyBorder="1" applyAlignment="1">
      <alignment horizontal="center" vertical="center" wrapText="1"/>
    </xf>
    <xf numFmtId="0" fontId="12" fillId="42" borderId="1" xfId="0" applyNumberFormat="1" applyFont="1" applyFill="1" applyBorder="1" applyAlignment="1">
      <alignment horizontal="center" vertical="center" wrapText="1"/>
    </xf>
    <xf numFmtId="2" fontId="12" fillId="42" borderId="1" xfId="0" applyNumberFormat="1" applyFont="1" applyFill="1" applyBorder="1" applyAlignment="1">
      <alignment horizontal="center" vertical="center" wrapText="1"/>
    </xf>
    <xf numFmtId="2" fontId="13" fillId="42" borderId="1" xfId="0" applyNumberFormat="1" applyFont="1" applyFill="1" applyBorder="1" applyAlignment="1">
      <alignment horizontal="center" vertical="center" wrapText="1"/>
    </xf>
    <xf numFmtId="4" fontId="75" fillId="4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0" fontId="23" fillId="7" borderId="1" xfId="1" applyNumberFormat="1" applyFont="1" applyFill="1" applyBorder="1" applyAlignment="1">
      <alignment horizontal="center" vertical="center" wrapText="1"/>
    </xf>
    <xf numFmtId="4" fontId="23" fillId="7" borderId="1" xfId="0" applyNumberFormat="1" applyFont="1" applyFill="1" applyBorder="1" applyAlignment="1">
      <alignment horizontal="center" vertical="center" wrapText="1"/>
    </xf>
    <xf numFmtId="4" fontId="23" fillId="7" borderId="1" xfId="0" applyNumberFormat="1" applyFont="1" applyFill="1" applyBorder="1" applyAlignment="1">
      <alignment horizontal="right" vertical="center" wrapText="1"/>
    </xf>
    <xf numFmtId="4" fontId="75" fillId="43" borderId="1" xfId="0" applyNumberFormat="1" applyFont="1" applyFill="1" applyBorder="1" applyAlignment="1">
      <alignment horizontal="right" vertical="center" wrapText="1"/>
    </xf>
    <xf numFmtId="49" fontId="8" fillId="42" borderId="1" xfId="0" applyNumberFormat="1" applyFont="1" applyFill="1" applyBorder="1" applyAlignment="1">
      <alignment horizontal="center" vertical="top" wrapText="1"/>
    </xf>
    <xf numFmtId="49" fontId="8" fillId="42" borderId="1" xfId="0" applyNumberFormat="1" applyFont="1" applyFill="1" applyBorder="1" applyAlignment="1">
      <alignment horizontal="center" vertical="center" wrapText="1"/>
    </xf>
    <xf numFmtId="49" fontId="68" fillId="42" borderId="1" xfId="0" applyNumberFormat="1" applyFont="1" applyFill="1" applyBorder="1" applyAlignment="1">
      <alignment horizontal="center" vertical="center" wrapText="1"/>
    </xf>
    <xf numFmtId="0" fontId="68" fillId="42" borderId="1" xfId="0" applyNumberFormat="1" applyFont="1" applyFill="1" applyBorder="1" applyAlignment="1">
      <alignment horizontal="center" vertical="center" wrapText="1"/>
    </xf>
    <xf numFmtId="0" fontId="23" fillId="42" borderId="1" xfId="1" applyNumberFormat="1" applyFont="1" applyFill="1" applyBorder="1" applyAlignment="1">
      <alignment horizontal="center" vertical="center" wrapText="1"/>
    </xf>
    <xf numFmtId="4" fontId="23" fillId="42" borderId="1" xfId="0" applyNumberFormat="1" applyFont="1" applyFill="1" applyBorder="1" applyAlignment="1">
      <alignment horizontal="center" vertical="center" wrapText="1"/>
    </xf>
    <xf numFmtId="0" fontId="23" fillId="42" borderId="1" xfId="0" applyNumberFormat="1" applyFont="1" applyFill="1" applyBorder="1" applyAlignment="1">
      <alignment horizontal="center" vertical="center" wrapText="1"/>
    </xf>
    <xf numFmtId="4" fontId="75" fillId="43" borderId="7" xfId="0" applyNumberFormat="1" applyFont="1" applyFill="1" applyBorder="1" applyAlignment="1">
      <alignment horizontal="right" vertical="center" wrapText="1"/>
    </xf>
    <xf numFmtId="49" fontId="16" fillId="42" borderId="3" xfId="0" applyNumberFormat="1" applyFont="1" applyFill="1" applyBorder="1" applyAlignment="1">
      <alignment horizontal="center" vertical="center" wrapText="1"/>
    </xf>
    <xf numFmtId="0" fontId="68" fillId="42" borderId="3" xfId="0" applyNumberFormat="1" applyFont="1" applyFill="1" applyBorder="1" applyAlignment="1">
      <alignment horizontal="center" vertical="center" wrapText="1"/>
    </xf>
    <xf numFmtId="0" fontId="23" fillId="42" borderId="3" xfId="0" applyNumberFormat="1" applyFont="1" applyFill="1" applyBorder="1" applyAlignment="1">
      <alignment horizontal="center" vertical="center" wrapText="1"/>
    </xf>
    <xf numFmtId="2" fontId="14" fillId="42" borderId="3" xfId="0" applyNumberFormat="1" applyFont="1" applyFill="1" applyBorder="1" applyAlignment="1">
      <alignment horizontal="center" vertical="center" wrapText="1"/>
    </xf>
    <xf numFmtId="2" fontId="75" fillId="44" borderId="7" xfId="0" applyNumberFormat="1" applyFont="1" applyFill="1" applyBorder="1" applyAlignment="1">
      <alignment horizontal="center" vertical="center" wrapText="1"/>
    </xf>
    <xf numFmtId="49" fontId="23" fillId="42" borderId="1" xfId="0" applyNumberFormat="1" applyFont="1" applyFill="1" applyBorder="1" applyAlignment="1">
      <alignment horizontal="center" vertical="center" wrapText="1"/>
    </xf>
    <xf numFmtId="2" fontId="23" fillId="42" borderId="1" xfId="0" applyNumberFormat="1" applyFont="1" applyFill="1" applyBorder="1" applyAlignment="1">
      <alignment horizontal="center" vertical="center" wrapText="1"/>
    </xf>
    <xf numFmtId="2" fontId="23" fillId="42" borderId="1" xfId="0" applyNumberFormat="1" applyFont="1" applyFill="1" applyBorder="1" applyAlignment="1">
      <alignment horizontal="center" vertical="center"/>
    </xf>
    <xf numFmtId="49" fontId="68" fillId="8" borderId="1" xfId="0" applyNumberFormat="1" applyFont="1" applyFill="1" applyBorder="1" applyAlignment="1">
      <alignment horizontal="center" vertical="top" wrapText="1"/>
    </xf>
    <xf numFmtId="9" fontId="14" fillId="36" borderId="6" xfId="912" applyFont="1" applyFill="1" applyBorder="1" applyAlignment="1">
      <alignment horizontal="center" vertical="center" wrapText="1"/>
    </xf>
    <xf numFmtId="9" fontId="75" fillId="36" borderId="6" xfId="912" applyFont="1" applyFill="1" applyBorder="1" applyAlignment="1">
      <alignment horizontal="center" vertical="center" wrapText="1"/>
    </xf>
    <xf numFmtId="9" fontId="75" fillId="36" borderId="7" xfId="912" applyFont="1" applyFill="1" applyBorder="1" applyAlignment="1">
      <alignment horizontal="center" vertical="center" wrapText="1"/>
    </xf>
    <xf numFmtId="9" fontId="23" fillId="36" borderId="1" xfId="912" applyFont="1" applyFill="1" applyBorder="1" applyAlignment="1">
      <alignment horizontal="center" vertical="center" wrapText="1"/>
    </xf>
    <xf numFmtId="49" fontId="81" fillId="9" borderId="2" xfId="0" applyNumberFormat="1" applyFont="1" applyFill="1" applyBorder="1" applyAlignment="1">
      <alignment horizontal="center" vertical="top" wrapText="1"/>
    </xf>
    <xf numFmtId="49" fontId="81" fillId="9" borderId="1" xfId="0" applyNumberFormat="1" applyFont="1" applyFill="1" applyBorder="1" applyAlignment="1">
      <alignment horizontal="center" vertical="top" wrapText="1"/>
    </xf>
    <xf numFmtId="49" fontId="14" fillId="9" borderId="1" xfId="0" applyNumberFormat="1" applyFont="1" applyFill="1" applyBorder="1" applyAlignment="1">
      <alignment horizontal="left" vertical="center" wrapText="1"/>
    </xf>
    <xf numFmtId="49" fontId="16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0" fontId="0" fillId="9" borderId="0" xfId="0" applyFont="1" applyFill="1"/>
    <xf numFmtId="49" fontId="143" fillId="9" borderId="1" xfId="0" applyNumberFormat="1" applyFont="1" applyFill="1" applyBorder="1" applyAlignment="1">
      <alignment horizontal="center" vertical="top" wrapText="1"/>
    </xf>
    <xf numFmtId="0" fontId="15" fillId="9" borderId="0" xfId="0" applyFont="1" applyFill="1"/>
    <xf numFmtId="9" fontId="23" fillId="36" borderId="6" xfId="912" applyFont="1" applyFill="1" applyBorder="1" applyAlignment="1">
      <alignment horizontal="center" vertical="center" wrapText="1"/>
    </xf>
    <xf numFmtId="2" fontId="86" fillId="9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top" wrapText="1"/>
    </xf>
    <xf numFmtId="49" fontId="8" fillId="0" borderId="4" xfId="3" applyNumberFormat="1" applyFont="1" applyFill="1" applyBorder="1" applyAlignment="1">
      <alignment horizontal="center" vertical="top" wrapText="1"/>
    </xf>
    <xf numFmtId="49" fontId="8" fillId="0" borderId="1" xfId="3" applyNumberFormat="1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right" vertical="top" wrapText="1"/>
    </xf>
    <xf numFmtId="49" fontId="7" fillId="0" borderId="4" xfId="0" applyNumberFormat="1" applyFont="1" applyBorder="1" applyAlignment="1">
      <alignment horizontal="right" vertical="top" wrapText="1"/>
    </xf>
    <xf numFmtId="49" fontId="7" fillId="0" borderId="3" xfId="0" applyNumberFormat="1" applyFont="1" applyBorder="1" applyAlignment="1">
      <alignment horizontal="right" vertical="top" wrapText="1"/>
    </xf>
    <xf numFmtId="49" fontId="8" fillId="0" borderId="3" xfId="3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2" xfId="3" applyNumberFormat="1" applyFont="1" applyBorder="1" applyAlignment="1">
      <alignment horizontal="center" vertical="center" wrapText="1"/>
    </xf>
    <xf numFmtId="49" fontId="8" fillId="0" borderId="4" xfId="3" applyNumberFormat="1" applyFont="1" applyBorder="1" applyAlignment="1">
      <alignment horizontal="center" vertical="center" wrapText="1"/>
    </xf>
    <xf numFmtId="49" fontId="8" fillId="0" borderId="3" xfId="3" applyNumberFormat="1" applyFont="1" applyBorder="1" applyAlignment="1">
      <alignment horizontal="center" vertical="center" wrapText="1"/>
    </xf>
    <xf numFmtId="49" fontId="96" fillId="0" borderId="1" xfId="0" applyNumberFormat="1" applyFont="1" applyFill="1" applyBorder="1" applyAlignment="1">
      <alignment horizontal="center" vertical="top" wrapText="1"/>
    </xf>
    <xf numFmtId="49" fontId="120" fillId="0" borderId="1" xfId="0" applyNumberFormat="1" applyFont="1" applyFill="1" applyBorder="1" applyAlignment="1">
      <alignment horizontal="center" vertical="top" wrapText="1"/>
    </xf>
    <xf numFmtId="49" fontId="123" fillId="0" borderId="2" xfId="0" applyNumberFormat="1" applyFont="1" applyFill="1" applyBorder="1" applyAlignment="1">
      <alignment horizontal="center" vertical="top" wrapText="1"/>
    </xf>
    <xf numFmtId="49" fontId="123" fillId="0" borderId="4" xfId="0" applyNumberFormat="1" applyFont="1" applyFill="1" applyBorder="1" applyAlignment="1">
      <alignment horizontal="center" vertical="top" wrapText="1"/>
    </xf>
    <xf numFmtId="49" fontId="123" fillId="0" borderId="3" xfId="0" applyNumberFormat="1" applyFont="1" applyFill="1" applyBorder="1" applyAlignment="1">
      <alignment horizontal="center" vertical="top" wrapText="1"/>
    </xf>
    <xf numFmtId="49" fontId="120" fillId="0" borderId="2" xfId="0" applyNumberFormat="1" applyFont="1" applyFill="1" applyBorder="1" applyAlignment="1">
      <alignment horizontal="center" vertical="top" wrapText="1"/>
    </xf>
    <xf numFmtId="49" fontId="120" fillId="0" borderId="4" xfId="0" applyNumberFormat="1" applyFont="1" applyFill="1" applyBorder="1" applyAlignment="1">
      <alignment horizontal="center" vertical="top" wrapText="1"/>
    </xf>
    <xf numFmtId="49" fontId="120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110" fillId="0" borderId="1" xfId="0" applyNumberFormat="1" applyFont="1" applyFill="1" applyBorder="1" applyAlignment="1">
      <alignment horizontal="center" vertical="top" wrapText="1"/>
    </xf>
    <xf numFmtId="49" fontId="8" fillId="9" borderId="2" xfId="0" applyNumberFormat="1" applyFont="1" applyFill="1" applyBorder="1" applyAlignment="1">
      <alignment horizontal="center" vertical="top" wrapText="1"/>
    </xf>
    <xf numFmtId="49" fontId="8" fillId="9" borderId="4" xfId="0" applyNumberFormat="1" applyFont="1" applyFill="1" applyBorder="1" applyAlignment="1">
      <alignment horizontal="center" vertical="top" wrapText="1"/>
    </xf>
    <xf numFmtId="49" fontId="8" fillId="9" borderId="3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123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top" wrapText="1"/>
    </xf>
    <xf numFmtId="49" fontId="8" fillId="0" borderId="3" xfId="3" applyNumberFormat="1" applyFont="1" applyBorder="1" applyAlignment="1">
      <alignment horizontal="center" vertical="top" wrapText="1"/>
    </xf>
    <xf numFmtId="49" fontId="123" fillId="0" borderId="2" xfId="0" applyNumberFormat="1" applyFont="1" applyBorder="1" applyAlignment="1">
      <alignment horizontal="center" vertical="top" wrapText="1"/>
    </xf>
    <xf numFmtId="49" fontId="123" fillId="0" borderId="4" xfId="0" applyNumberFormat="1" applyFont="1" applyBorder="1" applyAlignment="1">
      <alignment horizontal="center" vertical="top" wrapText="1"/>
    </xf>
    <xf numFmtId="49" fontId="123" fillId="0" borderId="3" xfId="0" applyNumberFormat="1" applyFont="1" applyBorder="1" applyAlignment="1">
      <alignment horizontal="center" vertical="top" wrapText="1"/>
    </xf>
    <xf numFmtId="49" fontId="123" fillId="0" borderId="1" xfId="0" applyNumberFormat="1" applyFont="1" applyBorder="1" applyAlignment="1">
      <alignment horizontal="center" vertical="top" wrapText="1"/>
    </xf>
    <xf numFmtId="49" fontId="8" fillId="0" borderId="4" xfId="3" applyNumberFormat="1" applyFont="1" applyBorder="1" applyAlignment="1">
      <alignment horizontal="center" vertical="top" wrapText="1"/>
    </xf>
    <xf numFmtId="49" fontId="124" fillId="0" borderId="2" xfId="0" applyNumberFormat="1" applyFont="1" applyBorder="1" applyAlignment="1">
      <alignment horizontal="center" vertical="top" wrapText="1"/>
    </xf>
    <xf numFmtId="49" fontId="124" fillId="0" borderId="4" xfId="0" applyNumberFormat="1" applyFont="1" applyBorder="1" applyAlignment="1">
      <alignment horizontal="center" vertical="top" wrapText="1"/>
    </xf>
    <xf numFmtId="49" fontId="8" fillId="0" borderId="1" xfId="3" applyNumberFormat="1" applyFont="1" applyBorder="1" applyAlignment="1">
      <alignment horizontal="center" vertical="top" wrapText="1"/>
    </xf>
    <xf numFmtId="0" fontId="14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68" fillId="0" borderId="2" xfId="3" applyNumberFormat="1" applyFont="1" applyFill="1" applyBorder="1" applyAlignment="1">
      <alignment horizontal="center" vertical="top" wrapText="1"/>
    </xf>
    <xf numFmtId="49" fontId="68" fillId="0" borderId="4" xfId="3" applyNumberFormat="1" applyFont="1" applyFill="1" applyBorder="1" applyAlignment="1">
      <alignment horizontal="center" vertical="top" wrapText="1"/>
    </xf>
    <xf numFmtId="49" fontId="68" fillId="0" borderId="3" xfId="3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2" xfId="909" applyNumberFormat="1" applyFont="1" applyBorder="1" applyAlignment="1">
      <alignment horizontal="center" vertical="center" wrapText="1"/>
    </xf>
    <xf numFmtId="49" fontId="8" fillId="0" borderId="4" xfId="909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12" fillId="0" borderId="2" xfId="905" applyNumberFormat="1" applyFont="1" applyBorder="1" applyAlignment="1">
      <alignment horizontal="center" vertical="center" wrapText="1"/>
    </xf>
    <xf numFmtId="2" fontId="12" fillId="0" borderId="4" xfId="905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wrapText="1"/>
    </xf>
    <xf numFmtId="49" fontId="22" fillId="0" borderId="4" xfId="0" applyNumberFormat="1" applyFont="1" applyBorder="1" applyAlignment="1">
      <alignment horizontal="center" wrapText="1"/>
    </xf>
    <xf numFmtId="49" fontId="22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9" fontId="8" fillId="0" borderId="3" xfId="909" applyNumberFormat="1" applyFont="1" applyBorder="1" applyAlignment="1">
      <alignment horizontal="center" vertical="center" wrapText="1"/>
    </xf>
    <xf numFmtId="49" fontId="8" fillId="0" borderId="2" xfId="635" applyNumberFormat="1" applyFont="1" applyBorder="1" applyAlignment="1">
      <alignment horizontal="center" vertical="center" wrapText="1"/>
    </xf>
    <xf numFmtId="49" fontId="8" fillId="0" borderId="4" xfId="635" applyNumberFormat="1" applyFont="1" applyBorder="1" applyAlignment="1">
      <alignment horizontal="center" vertical="center" wrapText="1"/>
    </xf>
    <xf numFmtId="49" fontId="8" fillId="0" borderId="3" xfId="635" applyNumberFormat="1" applyFont="1" applyBorder="1" applyAlignment="1">
      <alignment horizontal="center" vertical="center" wrapText="1"/>
    </xf>
    <xf numFmtId="49" fontId="8" fillId="0" borderId="2" xfId="875" applyNumberFormat="1" applyFont="1" applyBorder="1" applyAlignment="1">
      <alignment horizontal="center" vertical="center" wrapText="1"/>
    </xf>
    <xf numFmtId="49" fontId="8" fillId="0" borderId="3" xfId="875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2" xfId="737" applyNumberFormat="1" applyFont="1" applyBorder="1" applyAlignment="1">
      <alignment horizontal="center" vertical="center" wrapText="1"/>
    </xf>
    <xf numFmtId="49" fontId="8" fillId="0" borderId="4" xfId="737" applyNumberFormat="1" applyFont="1" applyBorder="1" applyAlignment="1">
      <alignment horizontal="center" vertical="center" wrapText="1"/>
    </xf>
    <xf numFmtId="49" fontId="8" fillId="0" borderId="3" xfId="737" applyNumberFormat="1" applyFont="1" applyBorder="1" applyAlignment="1">
      <alignment horizontal="center" vertical="center" wrapText="1"/>
    </xf>
    <xf numFmtId="49" fontId="8" fillId="9" borderId="2" xfId="635" applyNumberFormat="1" applyFont="1" applyFill="1" applyBorder="1" applyAlignment="1">
      <alignment horizontal="center" vertical="top" wrapText="1"/>
    </xf>
    <xf numFmtId="49" fontId="8" fillId="9" borderId="4" xfId="635" applyNumberFormat="1" applyFont="1" applyFill="1" applyBorder="1" applyAlignment="1">
      <alignment horizontal="center" vertical="top" wrapText="1"/>
    </xf>
    <xf numFmtId="49" fontId="8" fillId="9" borderId="3" xfId="635" applyNumberFormat="1" applyFont="1" applyFill="1" applyBorder="1" applyAlignment="1">
      <alignment horizontal="center" vertical="top" wrapText="1"/>
    </xf>
    <xf numFmtId="49" fontId="8" fillId="9" borderId="1" xfId="635" applyNumberFormat="1" applyFont="1" applyFill="1" applyBorder="1" applyAlignment="1">
      <alignment horizontal="center" vertical="top" wrapText="1"/>
    </xf>
    <xf numFmtId="49" fontId="8" fillId="0" borderId="2" xfId="635" applyNumberFormat="1" applyFont="1" applyFill="1" applyBorder="1" applyAlignment="1">
      <alignment horizontal="center" vertical="top" wrapText="1"/>
    </xf>
    <xf numFmtId="49" fontId="8" fillId="0" borderId="3" xfId="635" applyNumberFormat="1" applyFont="1" applyFill="1" applyBorder="1" applyAlignment="1">
      <alignment horizontal="center" vertical="top" wrapText="1"/>
    </xf>
    <xf numFmtId="49" fontId="8" fillId="0" borderId="2" xfId="4" applyNumberFormat="1" applyFont="1" applyFill="1" applyBorder="1" applyAlignment="1">
      <alignment horizontal="center" vertical="top" wrapText="1"/>
    </xf>
    <xf numFmtId="49" fontId="8" fillId="0" borderId="4" xfId="4" applyNumberFormat="1" applyFont="1" applyFill="1" applyBorder="1" applyAlignment="1">
      <alignment horizontal="center" vertical="top" wrapText="1"/>
    </xf>
    <xf numFmtId="49" fontId="8" fillId="0" borderId="3" xfId="4" applyNumberFormat="1" applyFont="1" applyFill="1" applyBorder="1" applyAlignment="1">
      <alignment horizontal="center" vertical="top" wrapText="1"/>
    </xf>
    <xf numFmtId="49" fontId="8" fillId="6" borderId="2" xfId="4" applyNumberFormat="1" applyFont="1" applyFill="1" applyBorder="1" applyAlignment="1">
      <alignment horizontal="center" vertical="top" wrapText="1"/>
    </xf>
    <xf numFmtId="49" fontId="8" fillId="6" borderId="4" xfId="4" applyNumberFormat="1" applyFont="1" applyFill="1" applyBorder="1" applyAlignment="1">
      <alignment horizontal="center" vertical="top" wrapText="1"/>
    </xf>
    <xf numFmtId="49" fontId="8" fillId="6" borderId="3" xfId="4" applyNumberFormat="1" applyFont="1" applyFill="1" applyBorder="1" applyAlignment="1">
      <alignment horizontal="center" vertical="top" wrapText="1"/>
    </xf>
    <xf numFmtId="49" fontId="8" fillId="6" borderId="2" xfId="0" applyNumberFormat="1" applyFont="1" applyFill="1" applyBorder="1" applyAlignment="1">
      <alignment horizontal="center" vertical="top" wrapText="1"/>
    </xf>
    <xf numFmtId="49" fontId="8" fillId="6" borderId="4" xfId="0" applyNumberFormat="1" applyFont="1" applyFill="1" applyBorder="1" applyAlignment="1">
      <alignment horizontal="center" vertical="top" wrapText="1"/>
    </xf>
    <xf numFmtId="49" fontId="8" fillId="6" borderId="3" xfId="0" applyNumberFormat="1" applyFont="1" applyFill="1" applyBorder="1" applyAlignment="1">
      <alignment horizontal="center" vertical="top" wrapText="1"/>
    </xf>
    <xf numFmtId="49" fontId="81" fillId="6" borderId="2" xfId="0" applyNumberFormat="1" applyFont="1" applyFill="1" applyBorder="1" applyAlignment="1">
      <alignment horizontal="center" vertical="top" wrapText="1"/>
    </xf>
    <xf numFmtId="49" fontId="81" fillId="6" borderId="4" xfId="0" applyNumberFormat="1" applyFont="1" applyFill="1" applyBorder="1" applyAlignment="1">
      <alignment horizontal="center" vertical="top" wrapText="1"/>
    </xf>
    <xf numFmtId="49" fontId="81" fillId="6" borderId="3" xfId="0" applyNumberFormat="1" applyFont="1" applyFill="1" applyBorder="1" applyAlignment="1">
      <alignment horizontal="center" vertical="top" wrapText="1"/>
    </xf>
    <xf numFmtId="49" fontId="8" fillId="0" borderId="4" xfId="635" applyNumberFormat="1" applyFont="1" applyFill="1" applyBorder="1" applyAlignment="1">
      <alignment horizontal="center" vertical="top" wrapText="1"/>
    </xf>
    <xf numFmtId="49" fontId="8" fillId="9" borderId="2" xfId="683" applyNumberFormat="1" applyFont="1" applyFill="1" applyBorder="1" applyAlignment="1">
      <alignment horizontal="center" vertical="top" wrapText="1"/>
    </xf>
    <xf numFmtId="49" fontId="8" fillId="9" borderId="4" xfId="683" applyNumberFormat="1" applyFont="1" applyFill="1" applyBorder="1" applyAlignment="1">
      <alignment horizontal="center" vertical="top" wrapText="1"/>
    </xf>
    <xf numFmtId="49" fontId="8" fillId="9" borderId="3" xfId="683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96" fillId="0" borderId="2" xfId="0" applyNumberFormat="1" applyFont="1" applyFill="1" applyBorder="1" applyAlignment="1">
      <alignment horizontal="center" vertical="top" wrapText="1"/>
    </xf>
    <xf numFmtId="49" fontId="96" fillId="0" borderId="4" xfId="0" applyNumberFormat="1" applyFont="1" applyFill="1" applyBorder="1" applyAlignment="1">
      <alignment horizontal="center" vertical="top" wrapText="1"/>
    </xf>
    <xf numFmtId="49" fontId="96" fillId="0" borderId="3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1" fillId="0" borderId="2" xfId="0" applyNumberFormat="1" applyFont="1" applyBorder="1" applyAlignment="1">
      <alignment horizontal="center" vertical="top" wrapText="1"/>
    </xf>
    <xf numFmtId="49" fontId="81" fillId="0" borderId="4" xfId="0" applyNumberFormat="1" applyFont="1" applyBorder="1" applyAlignment="1">
      <alignment horizontal="center" vertical="top" wrapText="1"/>
    </xf>
    <xf numFmtId="49" fontId="81" fillId="0" borderId="3" xfId="0" applyNumberFormat="1" applyFont="1" applyBorder="1" applyAlignment="1">
      <alignment horizontal="center" vertical="top" wrapText="1"/>
    </xf>
    <xf numFmtId="49" fontId="82" fillId="0" borderId="2" xfId="0" applyNumberFormat="1" applyFont="1" applyBorder="1" applyAlignment="1">
      <alignment horizontal="center" vertical="top" wrapText="1"/>
    </xf>
    <xf numFmtId="49" fontId="82" fillId="0" borderId="4" xfId="0" applyNumberFormat="1" applyFont="1" applyBorder="1" applyAlignment="1">
      <alignment horizontal="center" vertical="top" wrapText="1"/>
    </xf>
    <xf numFmtId="49" fontId="82" fillId="0" borderId="3" xfId="0" applyNumberFormat="1" applyFont="1" applyBorder="1" applyAlignment="1">
      <alignment horizontal="center" vertical="top" wrapText="1"/>
    </xf>
    <xf numFmtId="49" fontId="68" fillId="9" borderId="2" xfId="908" applyNumberFormat="1" applyFont="1" applyFill="1" applyBorder="1" applyAlignment="1">
      <alignment horizontal="center" vertical="top" wrapText="1"/>
    </xf>
    <xf numFmtId="49" fontId="68" fillId="9" borderId="4" xfId="908" applyNumberFormat="1" applyFont="1" applyFill="1" applyBorder="1" applyAlignment="1">
      <alignment horizontal="center" vertical="top" wrapText="1"/>
    </xf>
    <xf numFmtId="49" fontId="68" fillId="9" borderId="3" xfId="908" applyNumberFormat="1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68" fillId="0" borderId="2" xfId="0" applyNumberFormat="1" applyFont="1" applyFill="1" applyBorder="1" applyAlignment="1">
      <alignment horizontal="center" vertical="center" wrapText="1"/>
    </xf>
    <xf numFmtId="49" fontId="68" fillId="0" borderId="4" xfId="0" applyNumberFormat="1" applyFont="1" applyFill="1" applyBorder="1" applyAlignment="1">
      <alignment horizontal="center" vertical="center" wrapText="1"/>
    </xf>
    <xf numFmtId="49" fontId="6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10" fillId="0" borderId="2" xfId="0" applyNumberFormat="1" applyFont="1" applyFill="1" applyBorder="1" applyAlignment="1">
      <alignment horizontal="center" vertical="center" wrapText="1"/>
    </xf>
    <xf numFmtId="49" fontId="110" fillId="0" borderId="3" xfId="0" applyNumberFormat="1" applyFont="1" applyFill="1" applyBorder="1" applyAlignment="1">
      <alignment horizontal="center" vertical="center" wrapText="1"/>
    </xf>
    <xf numFmtId="49" fontId="110" fillId="0" borderId="4" xfId="0" applyNumberFormat="1" applyFont="1" applyFill="1" applyBorder="1" applyAlignment="1">
      <alignment horizontal="center" vertical="center" wrapText="1"/>
    </xf>
    <xf numFmtId="49" fontId="68" fillId="0" borderId="2" xfId="0" applyNumberFormat="1" applyFont="1" applyFill="1" applyBorder="1" applyAlignment="1">
      <alignment horizontal="center" vertical="top" wrapText="1"/>
    </xf>
    <xf numFmtId="49" fontId="68" fillId="0" borderId="4" xfId="0" applyNumberFormat="1" applyFont="1" applyFill="1" applyBorder="1" applyAlignment="1">
      <alignment horizontal="center" vertical="top" wrapText="1"/>
    </xf>
    <xf numFmtId="49" fontId="68" fillId="0" borderId="3" xfId="0" applyNumberFormat="1" applyFont="1" applyFill="1" applyBorder="1" applyAlignment="1">
      <alignment horizontal="center" vertical="top" wrapText="1"/>
    </xf>
    <xf numFmtId="49" fontId="110" fillId="0" borderId="2" xfId="0" applyNumberFormat="1" applyFont="1" applyFill="1" applyBorder="1" applyAlignment="1">
      <alignment horizontal="center" vertical="top" wrapText="1"/>
    </xf>
    <xf numFmtId="49" fontId="110" fillId="0" borderId="4" xfId="0" applyNumberFormat="1" applyFont="1" applyFill="1" applyBorder="1" applyAlignment="1">
      <alignment horizontal="center" vertical="top" wrapText="1"/>
    </xf>
    <xf numFmtId="49" fontId="110" fillId="0" borderId="3" xfId="0" applyNumberFormat="1" applyFont="1" applyFill="1" applyBorder="1" applyAlignment="1">
      <alignment horizontal="center" vertical="top" wrapText="1"/>
    </xf>
    <xf numFmtId="49" fontId="120" fillId="0" borderId="1" xfId="1" applyNumberFormat="1" applyFont="1" applyFill="1" applyBorder="1" applyAlignment="1">
      <alignment horizontal="center" vertical="center" wrapText="1"/>
    </xf>
    <xf numFmtId="49" fontId="8" fillId="0" borderId="2" xfId="632" applyNumberFormat="1" applyFont="1" applyFill="1" applyBorder="1" applyAlignment="1">
      <alignment horizontal="center" vertical="top" wrapText="1"/>
    </xf>
    <xf numFmtId="49" fontId="8" fillId="0" borderId="4" xfId="632" applyNumberFormat="1" applyFont="1" applyFill="1" applyBorder="1" applyAlignment="1">
      <alignment horizontal="center" vertical="top" wrapText="1"/>
    </xf>
    <xf numFmtId="49" fontId="8" fillId="0" borderId="3" xfId="632" applyNumberFormat="1" applyFont="1" applyFill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49" fontId="123" fillId="0" borderId="2" xfId="1" applyNumberFormat="1" applyFont="1" applyFill="1" applyBorder="1" applyAlignment="1">
      <alignment horizontal="center" vertical="center" wrapText="1"/>
    </xf>
    <xf numFmtId="49" fontId="123" fillId="0" borderId="4" xfId="1" applyNumberFormat="1" applyFont="1" applyFill="1" applyBorder="1" applyAlignment="1">
      <alignment horizontal="center" vertical="center" wrapText="1"/>
    </xf>
    <xf numFmtId="49" fontId="123" fillId="0" borderId="3" xfId="1" applyNumberFormat="1" applyFont="1" applyFill="1" applyBorder="1" applyAlignment="1">
      <alignment horizontal="center" vertical="center" wrapText="1"/>
    </xf>
    <xf numFmtId="49" fontId="8" fillId="0" borderId="2" xfId="679" applyNumberFormat="1" applyFont="1" applyFill="1" applyBorder="1" applyAlignment="1">
      <alignment horizontal="center" vertical="top" wrapText="1"/>
    </xf>
    <xf numFmtId="49" fontId="8" fillId="0" borderId="4" xfId="679" applyNumberFormat="1" applyFont="1" applyFill="1" applyBorder="1" applyAlignment="1">
      <alignment horizontal="center" vertical="top" wrapText="1"/>
    </xf>
    <xf numFmtId="49" fontId="8" fillId="0" borderId="3" xfId="679" applyNumberFormat="1" applyFont="1" applyFill="1" applyBorder="1" applyAlignment="1">
      <alignment horizontal="center" vertical="top" wrapText="1"/>
    </xf>
    <xf numFmtId="49" fontId="68" fillId="0" borderId="2" xfId="635" applyNumberFormat="1" applyFont="1" applyFill="1" applyBorder="1" applyAlignment="1">
      <alignment horizontal="center" vertical="center" wrapText="1"/>
    </xf>
    <xf numFmtId="49" fontId="68" fillId="0" borderId="3" xfId="635" applyNumberFormat="1" applyFont="1" applyFill="1" applyBorder="1" applyAlignment="1">
      <alignment horizontal="center" vertical="center" wrapText="1"/>
    </xf>
    <xf numFmtId="49" fontId="8" fillId="0" borderId="2" xfId="909" applyNumberFormat="1" applyFont="1" applyFill="1" applyBorder="1" applyAlignment="1">
      <alignment horizontal="center" vertical="center" wrapText="1"/>
    </xf>
    <xf numFmtId="49" fontId="8" fillId="0" borderId="4" xfId="909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145" fillId="0" borderId="1" xfId="0" applyNumberFormat="1" applyFont="1" applyBorder="1" applyAlignment="1">
      <alignment horizontal="left" vertical="center" wrapText="1"/>
    </xf>
  </cellXfs>
  <cellStyles count="913">
    <cellStyle name="20% - Accent1" xfId="7" xr:uid="{00000000-0005-0000-0000-000000000000}"/>
    <cellStyle name="20% - Accent1 2" xfId="8" xr:uid="{00000000-0005-0000-0000-000001000000}"/>
    <cellStyle name="20% - Accent1 2 2" xfId="9" xr:uid="{00000000-0005-0000-0000-000002000000}"/>
    <cellStyle name="20% - Accent1 2 2 2" xfId="10" xr:uid="{00000000-0005-0000-0000-000003000000}"/>
    <cellStyle name="20% - Accent1 2 3" xfId="11" xr:uid="{00000000-0005-0000-0000-000004000000}"/>
    <cellStyle name="20% - Accent1 2 3 2" xfId="12" xr:uid="{00000000-0005-0000-0000-000005000000}"/>
    <cellStyle name="20% - Accent1 2 4" xfId="13" xr:uid="{00000000-0005-0000-0000-000006000000}"/>
    <cellStyle name="20% - Accent1 2 4 2" xfId="14" xr:uid="{00000000-0005-0000-0000-000007000000}"/>
    <cellStyle name="20% - Accent1 2 5" xfId="15" xr:uid="{00000000-0005-0000-0000-000008000000}"/>
    <cellStyle name="20% - Accent1 2 5 2" xfId="16" xr:uid="{00000000-0005-0000-0000-000009000000}"/>
    <cellStyle name="20% - Accent1 2 6" xfId="17" xr:uid="{00000000-0005-0000-0000-00000A000000}"/>
    <cellStyle name="20% - Accent1 3" xfId="18" xr:uid="{00000000-0005-0000-0000-00000B000000}"/>
    <cellStyle name="20% - Accent1 3 2" xfId="19" xr:uid="{00000000-0005-0000-0000-00000C000000}"/>
    <cellStyle name="20% - Accent1 4" xfId="20" xr:uid="{00000000-0005-0000-0000-00000D000000}"/>
    <cellStyle name="20% - Accent1 4 2" xfId="21" xr:uid="{00000000-0005-0000-0000-00000E000000}"/>
    <cellStyle name="20% - Accent1 4 2 2" xfId="22" xr:uid="{00000000-0005-0000-0000-00000F000000}"/>
    <cellStyle name="20% - Accent1 4 3" xfId="23" xr:uid="{00000000-0005-0000-0000-000010000000}"/>
    <cellStyle name="20% - Accent1 5" xfId="24" xr:uid="{00000000-0005-0000-0000-000011000000}"/>
    <cellStyle name="20% - Accent1 5 2" xfId="25" xr:uid="{00000000-0005-0000-0000-000012000000}"/>
    <cellStyle name="20% - Accent1 6" xfId="26" xr:uid="{00000000-0005-0000-0000-000013000000}"/>
    <cellStyle name="20% - Accent1 6 2" xfId="27" xr:uid="{00000000-0005-0000-0000-000014000000}"/>
    <cellStyle name="20% - Accent1 7" xfId="28" xr:uid="{00000000-0005-0000-0000-000015000000}"/>
    <cellStyle name="20% - Accent1 7 2" xfId="29" xr:uid="{00000000-0005-0000-0000-000016000000}"/>
    <cellStyle name="20% - Accent1_Q.W. ADMINISTRACIULI SENOBA" xfId="30" xr:uid="{00000000-0005-0000-0000-000017000000}"/>
    <cellStyle name="20% - Accent2" xfId="31" xr:uid="{00000000-0005-0000-0000-000018000000}"/>
    <cellStyle name="20% - Accent2 2" xfId="32" xr:uid="{00000000-0005-0000-0000-000019000000}"/>
    <cellStyle name="20% - Accent2 2 2" xfId="33" xr:uid="{00000000-0005-0000-0000-00001A000000}"/>
    <cellStyle name="20% - Accent2 2 2 2" xfId="34" xr:uid="{00000000-0005-0000-0000-00001B000000}"/>
    <cellStyle name="20% - Accent2 2 3" xfId="35" xr:uid="{00000000-0005-0000-0000-00001C000000}"/>
    <cellStyle name="20% - Accent2 2 3 2" xfId="36" xr:uid="{00000000-0005-0000-0000-00001D000000}"/>
    <cellStyle name="20% - Accent2 2 4" xfId="37" xr:uid="{00000000-0005-0000-0000-00001E000000}"/>
    <cellStyle name="20% - Accent2 2 4 2" xfId="38" xr:uid="{00000000-0005-0000-0000-00001F000000}"/>
    <cellStyle name="20% - Accent2 2 5" xfId="39" xr:uid="{00000000-0005-0000-0000-000020000000}"/>
    <cellStyle name="20% - Accent2 2 5 2" xfId="40" xr:uid="{00000000-0005-0000-0000-000021000000}"/>
    <cellStyle name="20% - Accent2 2 6" xfId="41" xr:uid="{00000000-0005-0000-0000-000022000000}"/>
    <cellStyle name="20% - Accent2 3" xfId="42" xr:uid="{00000000-0005-0000-0000-000023000000}"/>
    <cellStyle name="20% - Accent2 3 2" xfId="43" xr:uid="{00000000-0005-0000-0000-000024000000}"/>
    <cellStyle name="20% - Accent2 4" xfId="44" xr:uid="{00000000-0005-0000-0000-000025000000}"/>
    <cellStyle name="20% - Accent2 4 2" xfId="45" xr:uid="{00000000-0005-0000-0000-000026000000}"/>
    <cellStyle name="20% - Accent2 4 2 2" xfId="46" xr:uid="{00000000-0005-0000-0000-000027000000}"/>
    <cellStyle name="20% - Accent2 4 3" xfId="47" xr:uid="{00000000-0005-0000-0000-000028000000}"/>
    <cellStyle name="20% - Accent2 5" xfId="48" xr:uid="{00000000-0005-0000-0000-000029000000}"/>
    <cellStyle name="20% - Accent2 5 2" xfId="49" xr:uid="{00000000-0005-0000-0000-00002A000000}"/>
    <cellStyle name="20% - Accent2 6" xfId="50" xr:uid="{00000000-0005-0000-0000-00002B000000}"/>
    <cellStyle name="20% - Accent2 6 2" xfId="51" xr:uid="{00000000-0005-0000-0000-00002C000000}"/>
    <cellStyle name="20% - Accent2 7" xfId="52" xr:uid="{00000000-0005-0000-0000-00002D000000}"/>
    <cellStyle name="20% - Accent2 7 2" xfId="53" xr:uid="{00000000-0005-0000-0000-00002E000000}"/>
    <cellStyle name="20% - Accent2_Q.W. ADMINISTRACIULI SENOBA" xfId="54" xr:uid="{00000000-0005-0000-0000-00002F000000}"/>
    <cellStyle name="20% - Accent3" xfId="55" xr:uid="{00000000-0005-0000-0000-000030000000}"/>
    <cellStyle name="20% - Accent3 2" xfId="56" xr:uid="{00000000-0005-0000-0000-000031000000}"/>
    <cellStyle name="20% - Accent3 2 2" xfId="57" xr:uid="{00000000-0005-0000-0000-000032000000}"/>
    <cellStyle name="20% - Accent3 2 2 2" xfId="58" xr:uid="{00000000-0005-0000-0000-000033000000}"/>
    <cellStyle name="20% - Accent3 2 3" xfId="59" xr:uid="{00000000-0005-0000-0000-000034000000}"/>
    <cellStyle name="20% - Accent3 2 3 2" xfId="60" xr:uid="{00000000-0005-0000-0000-000035000000}"/>
    <cellStyle name="20% - Accent3 2 4" xfId="61" xr:uid="{00000000-0005-0000-0000-000036000000}"/>
    <cellStyle name="20% - Accent3 2 4 2" xfId="62" xr:uid="{00000000-0005-0000-0000-000037000000}"/>
    <cellStyle name="20% - Accent3 2 5" xfId="63" xr:uid="{00000000-0005-0000-0000-000038000000}"/>
    <cellStyle name="20% - Accent3 2 5 2" xfId="64" xr:uid="{00000000-0005-0000-0000-000039000000}"/>
    <cellStyle name="20% - Accent3 2 6" xfId="65" xr:uid="{00000000-0005-0000-0000-00003A000000}"/>
    <cellStyle name="20% - Accent3 3" xfId="66" xr:uid="{00000000-0005-0000-0000-00003B000000}"/>
    <cellStyle name="20% - Accent3 3 2" xfId="67" xr:uid="{00000000-0005-0000-0000-00003C000000}"/>
    <cellStyle name="20% - Accent3 4" xfId="68" xr:uid="{00000000-0005-0000-0000-00003D000000}"/>
    <cellStyle name="20% - Accent3 4 2" xfId="69" xr:uid="{00000000-0005-0000-0000-00003E000000}"/>
    <cellStyle name="20% - Accent3 4 2 2" xfId="70" xr:uid="{00000000-0005-0000-0000-00003F000000}"/>
    <cellStyle name="20% - Accent3 4 3" xfId="71" xr:uid="{00000000-0005-0000-0000-000040000000}"/>
    <cellStyle name="20% - Accent3 5" xfId="72" xr:uid="{00000000-0005-0000-0000-000041000000}"/>
    <cellStyle name="20% - Accent3 5 2" xfId="73" xr:uid="{00000000-0005-0000-0000-000042000000}"/>
    <cellStyle name="20% - Accent3 6" xfId="74" xr:uid="{00000000-0005-0000-0000-000043000000}"/>
    <cellStyle name="20% - Accent3 6 2" xfId="75" xr:uid="{00000000-0005-0000-0000-000044000000}"/>
    <cellStyle name="20% - Accent3 7" xfId="76" xr:uid="{00000000-0005-0000-0000-000045000000}"/>
    <cellStyle name="20% - Accent3 7 2" xfId="77" xr:uid="{00000000-0005-0000-0000-000046000000}"/>
    <cellStyle name="20% - Accent3_Q.W. ADMINISTRACIULI SENOBA" xfId="78" xr:uid="{00000000-0005-0000-0000-000047000000}"/>
    <cellStyle name="20% - Accent4" xfId="79" xr:uid="{00000000-0005-0000-0000-000048000000}"/>
    <cellStyle name="20% - Accent4 2" xfId="80" xr:uid="{00000000-0005-0000-0000-000049000000}"/>
    <cellStyle name="20% - Accent4 2 2" xfId="81" xr:uid="{00000000-0005-0000-0000-00004A000000}"/>
    <cellStyle name="20% - Accent4 2 2 2" xfId="82" xr:uid="{00000000-0005-0000-0000-00004B000000}"/>
    <cellStyle name="20% - Accent4 2 3" xfId="83" xr:uid="{00000000-0005-0000-0000-00004C000000}"/>
    <cellStyle name="20% - Accent4 2 3 2" xfId="84" xr:uid="{00000000-0005-0000-0000-00004D000000}"/>
    <cellStyle name="20% - Accent4 2 4" xfId="85" xr:uid="{00000000-0005-0000-0000-00004E000000}"/>
    <cellStyle name="20% - Accent4 2 4 2" xfId="86" xr:uid="{00000000-0005-0000-0000-00004F000000}"/>
    <cellStyle name="20% - Accent4 2 5" xfId="87" xr:uid="{00000000-0005-0000-0000-000050000000}"/>
    <cellStyle name="20% - Accent4 2 5 2" xfId="88" xr:uid="{00000000-0005-0000-0000-000051000000}"/>
    <cellStyle name="20% - Accent4 2 6" xfId="89" xr:uid="{00000000-0005-0000-0000-000052000000}"/>
    <cellStyle name="20% - Accent4 3" xfId="90" xr:uid="{00000000-0005-0000-0000-000053000000}"/>
    <cellStyle name="20% - Accent4 3 2" xfId="91" xr:uid="{00000000-0005-0000-0000-000054000000}"/>
    <cellStyle name="20% - Accent4 4" xfId="92" xr:uid="{00000000-0005-0000-0000-000055000000}"/>
    <cellStyle name="20% - Accent4 4 2" xfId="93" xr:uid="{00000000-0005-0000-0000-000056000000}"/>
    <cellStyle name="20% - Accent4 4 2 2" xfId="94" xr:uid="{00000000-0005-0000-0000-000057000000}"/>
    <cellStyle name="20% - Accent4 4 3" xfId="95" xr:uid="{00000000-0005-0000-0000-000058000000}"/>
    <cellStyle name="20% - Accent4 5" xfId="96" xr:uid="{00000000-0005-0000-0000-000059000000}"/>
    <cellStyle name="20% - Accent4 5 2" xfId="97" xr:uid="{00000000-0005-0000-0000-00005A000000}"/>
    <cellStyle name="20% - Accent4 6" xfId="98" xr:uid="{00000000-0005-0000-0000-00005B000000}"/>
    <cellStyle name="20% - Accent4 6 2" xfId="99" xr:uid="{00000000-0005-0000-0000-00005C000000}"/>
    <cellStyle name="20% - Accent4 7" xfId="100" xr:uid="{00000000-0005-0000-0000-00005D000000}"/>
    <cellStyle name="20% - Accent4 7 2" xfId="101" xr:uid="{00000000-0005-0000-0000-00005E000000}"/>
    <cellStyle name="20% - Accent4_Q.W. ADMINISTRACIULI SENOBA" xfId="102" xr:uid="{00000000-0005-0000-0000-00005F000000}"/>
    <cellStyle name="20% - Accent5" xfId="103" xr:uid="{00000000-0005-0000-0000-000060000000}"/>
    <cellStyle name="20% - Accent5 2" xfId="104" xr:uid="{00000000-0005-0000-0000-000061000000}"/>
    <cellStyle name="20% - Accent5 2 2" xfId="105" xr:uid="{00000000-0005-0000-0000-000062000000}"/>
    <cellStyle name="20% - Accent5 2 2 2" xfId="106" xr:uid="{00000000-0005-0000-0000-000063000000}"/>
    <cellStyle name="20% - Accent5 2 3" xfId="107" xr:uid="{00000000-0005-0000-0000-000064000000}"/>
    <cellStyle name="20% - Accent5 2 3 2" xfId="108" xr:uid="{00000000-0005-0000-0000-000065000000}"/>
    <cellStyle name="20% - Accent5 2 4" xfId="109" xr:uid="{00000000-0005-0000-0000-000066000000}"/>
    <cellStyle name="20% - Accent5 2 4 2" xfId="110" xr:uid="{00000000-0005-0000-0000-000067000000}"/>
    <cellStyle name="20% - Accent5 2 5" xfId="111" xr:uid="{00000000-0005-0000-0000-000068000000}"/>
    <cellStyle name="20% - Accent5 2 5 2" xfId="112" xr:uid="{00000000-0005-0000-0000-000069000000}"/>
    <cellStyle name="20% - Accent5 2 6" xfId="113" xr:uid="{00000000-0005-0000-0000-00006A000000}"/>
    <cellStyle name="20% - Accent5 3" xfId="114" xr:uid="{00000000-0005-0000-0000-00006B000000}"/>
    <cellStyle name="20% - Accent5 3 2" xfId="115" xr:uid="{00000000-0005-0000-0000-00006C000000}"/>
    <cellStyle name="20% - Accent5 4" xfId="116" xr:uid="{00000000-0005-0000-0000-00006D000000}"/>
    <cellStyle name="20% - Accent5 4 2" xfId="117" xr:uid="{00000000-0005-0000-0000-00006E000000}"/>
    <cellStyle name="20% - Accent5 4 2 2" xfId="118" xr:uid="{00000000-0005-0000-0000-00006F000000}"/>
    <cellStyle name="20% - Accent5 4 3" xfId="119" xr:uid="{00000000-0005-0000-0000-000070000000}"/>
    <cellStyle name="20% - Accent5 5" xfId="120" xr:uid="{00000000-0005-0000-0000-000071000000}"/>
    <cellStyle name="20% - Accent5 5 2" xfId="121" xr:uid="{00000000-0005-0000-0000-000072000000}"/>
    <cellStyle name="20% - Accent5 6" xfId="122" xr:uid="{00000000-0005-0000-0000-000073000000}"/>
    <cellStyle name="20% - Accent5 6 2" xfId="123" xr:uid="{00000000-0005-0000-0000-000074000000}"/>
    <cellStyle name="20% - Accent5 7" xfId="124" xr:uid="{00000000-0005-0000-0000-000075000000}"/>
    <cellStyle name="20% - Accent5 7 2" xfId="125" xr:uid="{00000000-0005-0000-0000-000076000000}"/>
    <cellStyle name="20% - Accent5_Q.W. ADMINISTRACIULI SENOBA" xfId="126" xr:uid="{00000000-0005-0000-0000-000077000000}"/>
    <cellStyle name="20% - Accent6" xfId="127" xr:uid="{00000000-0005-0000-0000-000078000000}"/>
    <cellStyle name="20% - Accent6 2" xfId="128" xr:uid="{00000000-0005-0000-0000-000079000000}"/>
    <cellStyle name="20% - Accent6 2 2" xfId="129" xr:uid="{00000000-0005-0000-0000-00007A000000}"/>
    <cellStyle name="20% - Accent6 2 2 2" xfId="130" xr:uid="{00000000-0005-0000-0000-00007B000000}"/>
    <cellStyle name="20% - Accent6 2 3" xfId="131" xr:uid="{00000000-0005-0000-0000-00007C000000}"/>
    <cellStyle name="20% - Accent6 2 3 2" xfId="132" xr:uid="{00000000-0005-0000-0000-00007D000000}"/>
    <cellStyle name="20% - Accent6 2 4" xfId="133" xr:uid="{00000000-0005-0000-0000-00007E000000}"/>
    <cellStyle name="20% - Accent6 2 4 2" xfId="134" xr:uid="{00000000-0005-0000-0000-00007F000000}"/>
    <cellStyle name="20% - Accent6 2 5" xfId="135" xr:uid="{00000000-0005-0000-0000-000080000000}"/>
    <cellStyle name="20% - Accent6 2 5 2" xfId="136" xr:uid="{00000000-0005-0000-0000-000081000000}"/>
    <cellStyle name="20% - Accent6 2 6" xfId="137" xr:uid="{00000000-0005-0000-0000-000082000000}"/>
    <cellStyle name="20% - Accent6 3" xfId="138" xr:uid="{00000000-0005-0000-0000-000083000000}"/>
    <cellStyle name="20% - Accent6 3 2" xfId="139" xr:uid="{00000000-0005-0000-0000-000084000000}"/>
    <cellStyle name="20% - Accent6 4" xfId="140" xr:uid="{00000000-0005-0000-0000-000085000000}"/>
    <cellStyle name="20% - Accent6 4 2" xfId="141" xr:uid="{00000000-0005-0000-0000-000086000000}"/>
    <cellStyle name="20% - Accent6 4 2 2" xfId="142" xr:uid="{00000000-0005-0000-0000-000087000000}"/>
    <cellStyle name="20% - Accent6 4 3" xfId="143" xr:uid="{00000000-0005-0000-0000-000088000000}"/>
    <cellStyle name="20% - Accent6 5" xfId="144" xr:uid="{00000000-0005-0000-0000-000089000000}"/>
    <cellStyle name="20% - Accent6 5 2" xfId="145" xr:uid="{00000000-0005-0000-0000-00008A000000}"/>
    <cellStyle name="20% - Accent6 6" xfId="146" xr:uid="{00000000-0005-0000-0000-00008B000000}"/>
    <cellStyle name="20% - Accent6 6 2" xfId="147" xr:uid="{00000000-0005-0000-0000-00008C000000}"/>
    <cellStyle name="20% - Accent6 7" xfId="148" xr:uid="{00000000-0005-0000-0000-00008D000000}"/>
    <cellStyle name="20% - Accent6 7 2" xfId="149" xr:uid="{00000000-0005-0000-0000-00008E000000}"/>
    <cellStyle name="20% - Accent6_Q.W. ADMINISTRACIULI SENOBA" xfId="150" xr:uid="{00000000-0005-0000-0000-00008F000000}"/>
    <cellStyle name="40% - Accent1" xfId="151" xr:uid="{00000000-0005-0000-0000-000090000000}"/>
    <cellStyle name="40% - Accent1 2" xfId="152" xr:uid="{00000000-0005-0000-0000-000091000000}"/>
    <cellStyle name="40% - Accent1 2 2" xfId="153" xr:uid="{00000000-0005-0000-0000-000092000000}"/>
    <cellStyle name="40% - Accent1 2 2 2" xfId="154" xr:uid="{00000000-0005-0000-0000-000093000000}"/>
    <cellStyle name="40% - Accent1 2 3" xfId="155" xr:uid="{00000000-0005-0000-0000-000094000000}"/>
    <cellStyle name="40% - Accent1 2 3 2" xfId="156" xr:uid="{00000000-0005-0000-0000-000095000000}"/>
    <cellStyle name="40% - Accent1 2 4" xfId="157" xr:uid="{00000000-0005-0000-0000-000096000000}"/>
    <cellStyle name="40% - Accent1 2 4 2" xfId="158" xr:uid="{00000000-0005-0000-0000-000097000000}"/>
    <cellStyle name="40% - Accent1 2 5" xfId="159" xr:uid="{00000000-0005-0000-0000-000098000000}"/>
    <cellStyle name="40% - Accent1 2 5 2" xfId="160" xr:uid="{00000000-0005-0000-0000-000099000000}"/>
    <cellStyle name="40% - Accent1 2 6" xfId="161" xr:uid="{00000000-0005-0000-0000-00009A000000}"/>
    <cellStyle name="40% - Accent1 3" xfId="162" xr:uid="{00000000-0005-0000-0000-00009B000000}"/>
    <cellStyle name="40% - Accent1 3 2" xfId="163" xr:uid="{00000000-0005-0000-0000-00009C000000}"/>
    <cellStyle name="40% - Accent1 4" xfId="164" xr:uid="{00000000-0005-0000-0000-00009D000000}"/>
    <cellStyle name="40% - Accent1 4 2" xfId="165" xr:uid="{00000000-0005-0000-0000-00009E000000}"/>
    <cellStyle name="40% - Accent1 4 2 2" xfId="166" xr:uid="{00000000-0005-0000-0000-00009F000000}"/>
    <cellStyle name="40% - Accent1 4 3" xfId="167" xr:uid="{00000000-0005-0000-0000-0000A0000000}"/>
    <cellStyle name="40% - Accent1 5" xfId="168" xr:uid="{00000000-0005-0000-0000-0000A1000000}"/>
    <cellStyle name="40% - Accent1 5 2" xfId="169" xr:uid="{00000000-0005-0000-0000-0000A2000000}"/>
    <cellStyle name="40% - Accent1 6" xfId="170" xr:uid="{00000000-0005-0000-0000-0000A3000000}"/>
    <cellStyle name="40% - Accent1 6 2" xfId="171" xr:uid="{00000000-0005-0000-0000-0000A4000000}"/>
    <cellStyle name="40% - Accent1 7" xfId="172" xr:uid="{00000000-0005-0000-0000-0000A5000000}"/>
    <cellStyle name="40% - Accent1 7 2" xfId="173" xr:uid="{00000000-0005-0000-0000-0000A6000000}"/>
    <cellStyle name="40% - Accent1_Q.W. ADMINISTRACIULI SENOBA" xfId="174" xr:uid="{00000000-0005-0000-0000-0000A7000000}"/>
    <cellStyle name="40% - Accent2" xfId="175" xr:uid="{00000000-0005-0000-0000-0000A8000000}"/>
    <cellStyle name="40% - Accent2 2" xfId="176" xr:uid="{00000000-0005-0000-0000-0000A9000000}"/>
    <cellStyle name="40% - Accent2 2 2" xfId="177" xr:uid="{00000000-0005-0000-0000-0000AA000000}"/>
    <cellStyle name="40% - Accent2 2 2 2" xfId="178" xr:uid="{00000000-0005-0000-0000-0000AB000000}"/>
    <cellStyle name="40% - Accent2 2 3" xfId="179" xr:uid="{00000000-0005-0000-0000-0000AC000000}"/>
    <cellStyle name="40% - Accent2 2 3 2" xfId="180" xr:uid="{00000000-0005-0000-0000-0000AD000000}"/>
    <cellStyle name="40% - Accent2 2 4" xfId="181" xr:uid="{00000000-0005-0000-0000-0000AE000000}"/>
    <cellStyle name="40% - Accent2 2 4 2" xfId="182" xr:uid="{00000000-0005-0000-0000-0000AF000000}"/>
    <cellStyle name="40% - Accent2 2 5" xfId="183" xr:uid="{00000000-0005-0000-0000-0000B0000000}"/>
    <cellStyle name="40% - Accent2 2 5 2" xfId="184" xr:uid="{00000000-0005-0000-0000-0000B1000000}"/>
    <cellStyle name="40% - Accent2 2 6" xfId="185" xr:uid="{00000000-0005-0000-0000-0000B2000000}"/>
    <cellStyle name="40% - Accent2 3" xfId="186" xr:uid="{00000000-0005-0000-0000-0000B3000000}"/>
    <cellStyle name="40% - Accent2 3 2" xfId="187" xr:uid="{00000000-0005-0000-0000-0000B4000000}"/>
    <cellStyle name="40% - Accent2 4" xfId="188" xr:uid="{00000000-0005-0000-0000-0000B5000000}"/>
    <cellStyle name="40% - Accent2 4 2" xfId="189" xr:uid="{00000000-0005-0000-0000-0000B6000000}"/>
    <cellStyle name="40% - Accent2 4 2 2" xfId="190" xr:uid="{00000000-0005-0000-0000-0000B7000000}"/>
    <cellStyle name="40% - Accent2 4 3" xfId="191" xr:uid="{00000000-0005-0000-0000-0000B8000000}"/>
    <cellStyle name="40% - Accent2 5" xfId="192" xr:uid="{00000000-0005-0000-0000-0000B9000000}"/>
    <cellStyle name="40% - Accent2 5 2" xfId="193" xr:uid="{00000000-0005-0000-0000-0000BA000000}"/>
    <cellStyle name="40% - Accent2 6" xfId="194" xr:uid="{00000000-0005-0000-0000-0000BB000000}"/>
    <cellStyle name="40% - Accent2 6 2" xfId="195" xr:uid="{00000000-0005-0000-0000-0000BC000000}"/>
    <cellStyle name="40% - Accent2 7" xfId="196" xr:uid="{00000000-0005-0000-0000-0000BD000000}"/>
    <cellStyle name="40% - Accent2 7 2" xfId="197" xr:uid="{00000000-0005-0000-0000-0000BE000000}"/>
    <cellStyle name="40% - Accent2_Q.W. ADMINISTRACIULI SENOBA" xfId="198" xr:uid="{00000000-0005-0000-0000-0000BF000000}"/>
    <cellStyle name="40% - Accent3" xfId="199" xr:uid="{00000000-0005-0000-0000-0000C0000000}"/>
    <cellStyle name="40% - Accent3 2" xfId="200" xr:uid="{00000000-0005-0000-0000-0000C1000000}"/>
    <cellStyle name="40% - Accent3 2 2" xfId="201" xr:uid="{00000000-0005-0000-0000-0000C2000000}"/>
    <cellStyle name="40% - Accent3 2 2 2" xfId="202" xr:uid="{00000000-0005-0000-0000-0000C3000000}"/>
    <cellStyle name="40% - Accent3 2 3" xfId="203" xr:uid="{00000000-0005-0000-0000-0000C4000000}"/>
    <cellStyle name="40% - Accent3 2 3 2" xfId="204" xr:uid="{00000000-0005-0000-0000-0000C5000000}"/>
    <cellStyle name="40% - Accent3 2 4" xfId="205" xr:uid="{00000000-0005-0000-0000-0000C6000000}"/>
    <cellStyle name="40% - Accent3 2 4 2" xfId="206" xr:uid="{00000000-0005-0000-0000-0000C7000000}"/>
    <cellStyle name="40% - Accent3 2 5" xfId="207" xr:uid="{00000000-0005-0000-0000-0000C8000000}"/>
    <cellStyle name="40% - Accent3 2 5 2" xfId="208" xr:uid="{00000000-0005-0000-0000-0000C9000000}"/>
    <cellStyle name="40% - Accent3 2 6" xfId="209" xr:uid="{00000000-0005-0000-0000-0000CA000000}"/>
    <cellStyle name="40% - Accent3 3" xfId="210" xr:uid="{00000000-0005-0000-0000-0000CB000000}"/>
    <cellStyle name="40% - Accent3 3 2" xfId="211" xr:uid="{00000000-0005-0000-0000-0000CC000000}"/>
    <cellStyle name="40% - Accent3 4" xfId="212" xr:uid="{00000000-0005-0000-0000-0000CD000000}"/>
    <cellStyle name="40% - Accent3 4 2" xfId="213" xr:uid="{00000000-0005-0000-0000-0000CE000000}"/>
    <cellStyle name="40% - Accent3 4 2 2" xfId="214" xr:uid="{00000000-0005-0000-0000-0000CF000000}"/>
    <cellStyle name="40% - Accent3 4 3" xfId="215" xr:uid="{00000000-0005-0000-0000-0000D0000000}"/>
    <cellStyle name="40% - Accent3 5" xfId="216" xr:uid="{00000000-0005-0000-0000-0000D1000000}"/>
    <cellStyle name="40% - Accent3 5 2" xfId="217" xr:uid="{00000000-0005-0000-0000-0000D2000000}"/>
    <cellStyle name="40% - Accent3 6" xfId="218" xr:uid="{00000000-0005-0000-0000-0000D3000000}"/>
    <cellStyle name="40% - Accent3 6 2" xfId="219" xr:uid="{00000000-0005-0000-0000-0000D4000000}"/>
    <cellStyle name="40% - Accent3 7" xfId="220" xr:uid="{00000000-0005-0000-0000-0000D5000000}"/>
    <cellStyle name="40% - Accent3 7 2" xfId="221" xr:uid="{00000000-0005-0000-0000-0000D6000000}"/>
    <cellStyle name="40% - Accent3_Q.W. ADMINISTRACIULI SENOBA" xfId="222" xr:uid="{00000000-0005-0000-0000-0000D7000000}"/>
    <cellStyle name="40% - Accent4" xfId="223" xr:uid="{00000000-0005-0000-0000-0000D8000000}"/>
    <cellStyle name="40% - Accent4 2" xfId="224" xr:uid="{00000000-0005-0000-0000-0000D9000000}"/>
    <cellStyle name="40% - Accent4 2 2" xfId="225" xr:uid="{00000000-0005-0000-0000-0000DA000000}"/>
    <cellStyle name="40% - Accent4 2 2 2" xfId="226" xr:uid="{00000000-0005-0000-0000-0000DB000000}"/>
    <cellStyle name="40% - Accent4 2 3" xfId="227" xr:uid="{00000000-0005-0000-0000-0000DC000000}"/>
    <cellStyle name="40% - Accent4 2 3 2" xfId="228" xr:uid="{00000000-0005-0000-0000-0000DD000000}"/>
    <cellStyle name="40% - Accent4 2 4" xfId="229" xr:uid="{00000000-0005-0000-0000-0000DE000000}"/>
    <cellStyle name="40% - Accent4 2 4 2" xfId="230" xr:uid="{00000000-0005-0000-0000-0000DF000000}"/>
    <cellStyle name="40% - Accent4 2 5" xfId="231" xr:uid="{00000000-0005-0000-0000-0000E0000000}"/>
    <cellStyle name="40% - Accent4 2 5 2" xfId="232" xr:uid="{00000000-0005-0000-0000-0000E1000000}"/>
    <cellStyle name="40% - Accent4 2 6" xfId="233" xr:uid="{00000000-0005-0000-0000-0000E2000000}"/>
    <cellStyle name="40% - Accent4 3" xfId="234" xr:uid="{00000000-0005-0000-0000-0000E3000000}"/>
    <cellStyle name="40% - Accent4 3 2" xfId="235" xr:uid="{00000000-0005-0000-0000-0000E4000000}"/>
    <cellStyle name="40% - Accent4 4" xfId="236" xr:uid="{00000000-0005-0000-0000-0000E5000000}"/>
    <cellStyle name="40% - Accent4 4 2" xfId="237" xr:uid="{00000000-0005-0000-0000-0000E6000000}"/>
    <cellStyle name="40% - Accent4 4 2 2" xfId="238" xr:uid="{00000000-0005-0000-0000-0000E7000000}"/>
    <cellStyle name="40% - Accent4 4 3" xfId="239" xr:uid="{00000000-0005-0000-0000-0000E8000000}"/>
    <cellStyle name="40% - Accent4 5" xfId="240" xr:uid="{00000000-0005-0000-0000-0000E9000000}"/>
    <cellStyle name="40% - Accent4 5 2" xfId="241" xr:uid="{00000000-0005-0000-0000-0000EA000000}"/>
    <cellStyle name="40% - Accent4 6" xfId="242" xr:uid="{00000000-0005-0000-0000-0000EB000000}"/>
    <cellStyle name="40% - Accent4 6 2" xfId="243" xr:uid="{00000000-0005-0000-0000-0000EC000000}"/>
    <cellStyle name="40% - Accent4 7" xfId="244" xr:uid="{00000000-0005-0000-0000-0000ED000000}"/>
    <cellStyle name="40% - Accent4 7 2" xfId="245" xr:uid="{00000000-0005-0000-0000-0000EE000000}"/>
    <cellStyle name="40% - Accent4_Q.W. ADMINISTRACIULI SENOBA" xfId="246" xr:uid="{00000000-0005-0000-0000-0000EF000000}"/>
    <cellStyle name="40% - Accent5" xfId="247" xr:uid="{00000000-0005-0000-0000-0000F0000000}"/>
    <cellStyle name="40% - Accent5 2" xfId="248" xr:uid="{00000000-0005-0000-0000-0000F1000000}"/>
    <cellStyle name="40% - Accent5 2 2" xfId="249" xr:uid="{00000000-0005-0000-0000-0000F2000000}"/>
    <cellStyle name="40% - Accent5 2 2 2" xfId="250" xr:uid="{00000000-0005-0000-0000-0000F3000000}"/>
    <cellStyle name="40% - Accent5 2 3" xfId="251" xr:uid="{00000000-0005-0000-0000-0000F4000000}"/>
    <cellStyle name="40% - Accent5 2 3 2" xfId="252" xr:uid="{00000000-0005-0000-0000-0000F5000000}"/>
    <cellStyle name="40% - Accent5 2 4" xfId="253" xr:uid="{00000000-0005-0000-0000-0000F6000000}"/>
    <cellStyle name="40% - Accent5 2 4 2" xfId="254" xr:uid="{00000000-0005-0000-0000-0000F7000000}"/>
    <cellStyle name="40% - Accent5 2 5" xfId="255" xr:uid="{00000000-0005-0000-0000-0000F8000000}"/>
    <cellStyle name="40% - Accent5 2 5 2" xfId="256" xr:uid="{00000000-0005-0000-0000-0000F9000000}"/>
    <cellStyle name="40% - Accent5 2 6" xfId="257" xr:uid="{00000000-0005-0000-0000-0000FA000000}"/>
    <cellStyle name="40% - Accent5 3" xfId="258" xr:uid="{00000000-0005-0000-0000-0000FB000000}"/>
    <cellStyle name="40% - Accent5 3 2" xfId="259" xr:uid="{00000000-0005-0000-0000-0000FC000000}"/>
    <cellStyle name="40% - Accent5 4" xfId="260" xr:uid="{00000000-0005-0000-0000-0000FD000000}"/>
    <cellStyle name="40% - Accent5 4 2" xfId="261" xr:uid="{00000000-0005-0000-0000-0000FE000000}"/>
    <cellStyle name="40% - Accent5 4 2 2" xfId="262" xr:uid="{00000000-0005-0000-0000-0000FF000000}"/>
    <cellStyle name="40% - Accent5 4 3" xfId="263" xr:uid="{00000000-0005-0000-0000-000000010000}"/>
    <cellStyle name="40% - Accent5 5" xfId="264" xr:uid="{00000000-0005-0000-0000-000001010000}"/>
    <cellStyle name="40% - Accent5 5 2" xfId="265" xr:uid="{00000000-0005-0000-0000-000002010000}"/>
    <cellStyle name="40% - Accent5 6" xfId="266" xr:uid="{00000000-0005-0000-0000-000003010000}"/>
    <cellStyle name="40% - Accent5 6 2" xfId="267" xr:uid="{00000000-0005-0000-0000-000004010000}"/>
    <cellStyle name="40% - Accent5 7" xfId="268" xr:uid="{00000000-0005-0000-0000-000005010000}"/>
    <cellStyle name="40% - Accent5 7 2" xfId="269" xr:uid="{00000000-0005-0000-0000-000006010000}"/>
    <cellStyle name="40% - Accent5_Q.W. ADMINISTRACIULI SENOBA" xfId="270" xr:uid="{00000000-0005-0000-0000-000007010000}"/>
    <cellStyle name="40% - Accent6" xfId="271" xr:uid="{00000000-0005-0000-0000-000008010000}"/>
    <cellStyle name="40% - Accent6 2" xfId="272" xr:uid="{00000000-0005-0000-0000-000009010000}"/>
    <cellStyle name="40% - Accent6 2 2" xfId="273" xr:uid="{00000000-0005-0000-0000-00000A010000}"/>
    <cellStyle name="40% - Accent6 2 2 2" xfId="274" xr:uid="{00000000-0005-0000-0000-00000B010000}"/>
    <cellStyle name="40% - Accent6 2 3" xfId="275" xr:uid="{00000000-0005-0000-0000-00000C010000}"/>
    <cellStyle name="40% - Accent6 2 3 2" xfId="276" xr:uid="{00000000-0005-0000-0000-00000D010000}"/>
    <cellStyle name="40% - Accent6 2 4" xfId="277" xr:uid="{00000000-0005-0000-0000-00000E010000}"/>
    <cellStyle name="40% - Accent6 2 4 2" xfId="278" xr:uid="{00000000-0005-0000-0000-00000F010000}"/>
    <cellStyle name="40% - Accent6 2 5" xfId="279" xr:uid="{00000000-0005-0000-0000-000010010000}"/>
    <cellStyle name="40% - Accent6 2 5 2" xfId="280" xr:uid="{00000000-0005-0000-0000-000011010000}"/>
    <cellStyle name="40% - Accent6 2 6" xfId="281" xr:uid="{00000000-0005-0000-0000-000012010000}"/>
    <cellStyle name="40% - Accent6 3" xfId="282" xr:uid="{00000000-0005-0000-0000-000013010000}"/>
    <cellStyle name="40% - Accent6 3 2" xfId="283" xr:uid="{00000000-0005-0000-0000-000014010000}"/>
    <cellStyle name="40% - Accent6 4" xfId="284" xr:uid="{00000000-0005-0000-0000-000015010000}"/>
    <cellStyle name="40% - Accent6 4 2" xfId="285" xr:uid="{00000000-0005-0000-0000-000016010000}"/>
    <cellStyle name="40% - Accent6 4 2 2" xfId="286" xr:uid="{00000000-0005-0000-0000-000017010000}"/>
    <cellStyle name="40% - Accent6 4 3" xfId="287" xr:uid="{00000000-0005-0000-0000-000018010000}"/>
    <cellStyle name="40% - Accent6 5" xfId="288" xr:uid="{00000000-0005-0000-0000-000019010000}"/>
    <cellStyle name="40% - Accent6 5 2" xfId="289" xr:uid="{00000000-0005-0000-0000-00001A010000}"/>
    <cellStyle name="40% - Accent6 6" xfId="290" xr:uid="{00000000-0005-0000-0000-00001B010000}"/>
    <cellStyle name="40% - Accent6 6 2" xfId="291" xr:uid="{00000000-0005-0000-0000-00001C010000}"/>
    <cellStyle name="40% - Accent6 7" xfId="292" xr:uid="{00000000-0005-0000-0000-00001D010000}"/>
    <cellStyle name="40% - Accent6 7 2" xfId="293" xr:uid="{00000000-0005-0000-0000-00001E010000}"/>
    <cellStyle name="40% - Accent6_Q.W. ADMINISTRACIULI SENOBA" xfId="294" xr:uid="{00000000-0005-0000-0000-00001F010000}"/>
    <cellStyle name="60% - Accent1" xfId="295" xr:uid="{00000000-0005-0000-0000-000020010000}"/>
    <cellStyle name="60% - Accent1 2" xfId="296" xr:uid="{00000000-0005-0000-0000-000021010000}"/>
    <cellStyle name="60% - Accent1 2 2" xfId="297" xr:uid="{00000000-0005-0000-0000-000022010000}"/>
    <cellStyle name="60% - Accent1 2 3" xfId="298" xr:uid="{00000000-0005-0000-0000-000023010000}"/>
    <cellStyle name="60% - Accent1 2 4" xfId="299" xr:uid="{00000000-0005-0000-0000-000024010000}"/>
    <cellStyle name="60% - Accent1 2 5" xfId="300" xr:uid="{00000000-0005-0000-0000-000025010000}"/>
    <cellStyle name="60% - Accent1 3" xfId="301" xr:uid="{00000000-0005-0000-0000-000026010000}"/>
    <cellStyle name="60% - Accent1 4" xfId="302" xr:uid="{00000000-0005-0000-0000-000027010000}"/>
    <cellStyle name="60% - Accent1 4 2" xfId="303" xr:uid="{00000000-0005-0000-0000-000028010000}"/>
    <cellStyle name="60% - Accent1 5" xfId="304" xr:uid="{00000000-0005-0000-0000-000029010000}"/>
    <cellStyle name="60% - Accent1 6" xfId="305" xr:uid="{00000000-0005-0000-0000-00002A010000}"/>
    <cellStyle name="60% - Accent1 7" xfId="306" xr:uid="{00000000-0005-0000-0000-00002B010000}"/>
    <cellStyle name="60% - Accent2" xfId="307" xr:uid="{00000000-0005-0000-0000-00002C010000}"/>
    <cellStyle name="60% - Accent2 2" xfId="308" xr:uid="{00000000-0005-0000-0000-00002D010000}"/>
    <cellStyle name="60% - Accent2 2 2" xfId="309" xr:uid="{00000000-0005-0000-0000-00002E010000}"/>
    <cellStyle name="60% - Accent2 2 3" xfId="310" xr:uid="{00000000-0005-0000-0000-00002F010000}"/>
    <cellStyle name="60% - Accent2 2 4" xfId="311" xr:uid="{00000000-0005-0000-0000-000030010000}"/>
    <cellStyle name="60% - Accent2 2 5" xfId="312" xr:uid="{00000000-0005-0000-0000-000031010000}"/>
    <cellStyle name="60% - Accent2 3" xfId="313" xr:uid="{00000000-0005-0000-0000-000032010000}"/>
    <cellStyle name="60% - Accent2 4" xfId="314" xr:uid="{00000000-0005-0000-0000-000033010000}"/>
    <cellStyle name="60% - Accent2 4 2" xfId="315" xr:uid="{00000000-0005-0000-0000-000034010000}"/>
    <cellStyle name="60% - Accent2 5" xfId="316" xr:uid="{00000000-0005-0000-0000-000035010000}"/>
    <cellStyle name="60% - Accent2 6" xfId="317" xr:uid="{00000000-0005-0000-0000-000036010000}"/>
    <cellStyle name="60% - Accent2 7" xfId="318" xr:uid="{00000000-0005-0000-0000-000037010000}"/>
    <cellStyle name="60% - Accent3" xfId="319" xr:uid="{00000000-0005-0000-0000-000038010000}"/>
    <cellStyle name="60% - Accent3 2" xfId="320" xr:uid="{00000000-0005-0000-0000-000039010000}"/>
    <cellStyle name="60% - Accent3 2 2" xfId="321" xr:uid="{00000000-0005-0000-0000-00003A010000}"/>
    <cellStyle name="60% - Accent3 2 3" xfId="322" xr:uid="{00000000-0005-0000-0000-00003B010000}"/>
    <cellStyle name="60% - Accent3 2 4" xfId="323" xr:uid="{00000000-0005-0000-0000-00003C010000}"/>
    <cellStyle name="60% - Accent3 2 5" xfId="324" xr:uid="{00000000-0005-0000-0000-00003D010000}"/>
    <cellStyle name="60% - Accent3 3" xfId="325" xr:uid="{00000000-0005-0000-0000-00003E010000}"/>
    <cellStyle name="60% - Accent3 4" xfId="326" xr:uid="{00000000-0005-0000-0000-00003F010000}"/>
    <cellStyle name="60% - Accent3 4 2" xfId="327" xr:uid="{00000000-0005-0000-0000-000040010000}"/>
    <cellStyle name="60% - Accent3 5" xfId="328" xr:uid="{00000000-0005-0000-0000-000041010000}"/>
    <cellStyle name="60% - Accent3 6" xfId="329" xr:uid="{00000000-0005-0000-0000-000042010000}"/>
    <cellStyle name="60% - Accent3 7" xfId="330" xr:uid="{00000000-0005-0000-0000-000043010000}"/>
    <cellStyle name="60% - Accent4" xfId="331" xr:uid="{00000000-0005-0000-0000-000044010000}"/>
    <cellStyle name="60% - Accent4 2" xfId="332" xr:uid="{00000000-0005-0000-0000-000045010000}"/>
    <cellStyle name="60% - Accent4 2 2" xfId="333" xr:uid="{00000000-0005-0000-0000-000046010000}"/>
    <cellStyle name="60% - Accent4 2 3" xfId="334" xr:uid="{00000000-0005-0000-0000-000047010000}"/>
    <cellStyle name="60% - Accent4 2 4" xfId="335" xr:uid="{00000000-0005-0000-0000-000048010000}"/>
    <cellStyle name="60% - Accent4 2 5" xfId="336" xr:uid="{00000000-0005-0000-0000-000049010000}"/>
    <cellStyle name="60% - Accent4 3" xfId="337" xr:uid="{00000000-0005-0000-0000-00004A010000}"/>
    <cellStyle name="60% - Accent4 4" xfId="338" xr:uid="{00000000-0005-0000-0000-00004B010000}"/>
    <cellStyle name="60% - Accent4 4 2" xfId="339" xr:uid="{00000000-0005-0000-0000-00004C010000}"/>
    <cellStyle name="60% - Accent4 5" xfId="340" xr:uid="{00000000-0005-0000-0000-00004D010000}"/>
    <cellStyle name="60% - Accent4 6" xfId="341" xr:uid="{00000000-0005-0000-0000-00004E010000}"/>
    <cellStyle name="60% - Accent4 7" xfId="342" xr:uid="{00000000-0005-0000-0000-00004F010000}"/>
    <cellStyle name="60% - Accent5" xfId="343" xr:uid="{00000000-0005-0000-0000-000050010000}"/>
    <cellStyle name="60% - Accent5 2" xfId="344" xr:uid="{00000000-0005-0000-0000-000051010000}"/>
    <cellStyle name="60% - Accent5 2 2" xfId="345" xr:uid="{00000000-0005-0000-0000-000052010000}"/>
    <cellStyle name="60% - Accent5 2 3" xfId="346" xr:uid="{00000000-0005-0000-0000-000053010000}"/>
    <cellStyle name="60% - Accent5 2 4" xfId="347" xr:uid="{00000000-0005-0000-0000-000054010000}"/>
    <cellStyle name="60% - Accent5 2 5" xfId="348" xr:uid="{00000000-0005-0000-0000-000055010000}"/>
    <cellStyle name="60% - Accent5 3" xfId="349" xr:uid="{00000000-0005-0000-0000-000056010000}"/>
    <cellStyle name="60% - Accent5 4" xfId="350" xr:uid="{00000000-0005-0000-0000-000057010000}"/>
    <cellStyle name="60% - Accent5 4 2" xfId="351" xr:uid="{00000000-0005-0000-0000-000058010000}"/>
    <cellStyle name="60% - Accent5 5" xfId="352" xr:uid="{00000000-0005-0000-0000-000059010000}"/>
    <cellStyle name="60% - Accent5 6" xfId="353" xr:uid="{00000000-0005-0000-0000-00005A010000}"/>
    <cellStyle name="60% - Accent5 7" xfId="354" xr:uid="{00000000-0005-0000-0000-00005B010000}"/>
    <cellStyle name="60% - Accent6" xfId="355" xr:uid="{00000000-0005-0000-0000-00005C010000}"/>
    <cellStyle name="60% - Accent6 2" xfId="356" xr:uid="{00000000-0005-0000-0000-00005D010000}"/>
    <cellStyle name="60% - Accent6 2 2" xfId="357" xr:uid="{00000000-0005-0000-0000-00005E010000}"/>
    <cellStyle name="60% - Accent6 2 3" xfId="358" xr:uid="{00000000-0005-0000-0000-00005F010000}"/>
    <cellStyle name="60% - Accent6 2 4" xfId="359" xr:uid="{00000000-0005-0000-0000-000060010000}"/>
    <cellStyle name="60% - Accent6 2 5" xfId="360" xr:uid="{00000000-0005-0000-0000-000061010000}"/>
    <cellStyle name="60% - Accent6 3" xfId="361" xr:uid="{00000000-0005-0000-0000-000062010000}"/>
    <cellStyle name="60% - Accent6 4" xfId="362" xr:uid="{00000000-0005-0000-0000-000063010000}"/>
    <cellStyle name="60% - Accent6 4 2" xfId="363" xr:uid="{00000000-0005-0000-0000-000064010000}"/>
    <cellStyle name="60% - Accent6 5" xfId="364" xr:uid="{00000000-0005-0000-0000-000065010000}"/>
    <cellStyle name="60% - Accent6 6" xfId="365" xr:uid="{00000000-0005-0000-0000-000066010000}"/>
    <cellStyle name="60% - Accent6 7" xfId="366" xr:uid="{00000000-0005-0000-0000-000067010000}"/>
    <cellStyle name="Accent1" xfId="367" xr:uid="{00000000-0005-0000-0000-000068010000}"/>
    <cellStyle name="Accent1 2" xfId="368" xr:uid="{00000000-0005-0000-0000-000069010000}"/>
    <cellStyle name="Accent1 2 2" xfId="369" xr:uid="{00000000-0005-0000-0000-00006A010000}"/>
    <cellStyle name="Accent1 2 3" xfId="370" xr:uid="{00000000-0005-0000-0000-00006B010000}"/>
    <cellStyle name="Accent1 2 4" xfId="371" xr:uid="{00000000-0005-0000-0000-00006C010000}"/>
    <cellStyle name="Accent1 2 5" xfId="372" xr:uid="{00000000-0005-0000-0000-00006D010000}"/>
    <cellStyle name="Accent1 3" xfId="373" xr:uid="{00000000-0005-0000-0000-00006E010000}"/>
    <cellStyle name="Accent1 4" xfId="374" xr:uid="{00000000-0005-0000-0000-00006F010000}"/>
    <cellStyle name="Accent1 4 2" xfId="375" xr:uid="{00000000-0005-0000-0000-000070010000}"/>
    <cellStyle name="Accent1 5" xfId="376" xr:uid="{00000000-0005-0000-0000-000071010000}"/>
    <cellStyle name="Accent1 6" xfId="377" xr:uid="{00000000-0005-0000-0000-000072010000}"/>
    <cellStyle name="Accent1 7" xfId="378" xr:uid="{00000000-0005-0000-0000-000073010000}"/>
    <cellStyle name="Accent2" xfId="379" xr:uid="{00000000-0005-0000-0000-000074010000}"/>
    <cellStyle name="Accent2 2" xfId="380" xr:uid="{00000000-0005-0000-0000-000075010000}"/>
    <cellStyle name="Accent2 2 2" xfId="381" xr:uid="{00000000-0005-0000-0000-000076010000}"/>
    <cellStyle name="Accent2 2 3" xfId="382" xr:uid="{00000000-0005-0000-0000-000077010000}"/>
    <cellStyle name="Accent2 2 4" xfId="383" xr:uid="{00000000-0005-0000-0000-000078010000}"/>
    <cellStyle name="Accent2 2 5" xfId="384" xr:uid="{00000000-0005-0000-0000-000079010000}"/>
    <cellStyle name="Accent2 3" xfId="385" xr:uid="{00000000-0005-0000-0000-00007A010000}"/>
    <cellStyle name="Accent2 4" xfId="386" xr:uid="{00000000-0005-0000-0000-00007B010000}"/>
    <cellStyle name="Accent2 4 2" xfId="387" xr:uid="{00000000-0005-0000-0000-00007C010000}"/>
    <cellStyle name="Accent2 5" xfId="388" xr:uid="{00000000-0005-0000-0000-00007D010000}"/>
    <cellStyle name="Accent2 6" xfId="389" xr:uid="{00000000-0005-0000-0000-00007E010000}"/>
    <cellStyle name="Accent2 7" xfId="390" xr:uid="{00000000-0005-0000-0000-00007F010000}"/>
    <cellStyle name="Accent3" xfId="391" xr:uid="{00000000-0005-0000-0000-000080010000}"/>
    <cellStyle name="Accent3 2" xfId="392" xr:uid="{00000000-0005-0000-0000-000081010000}"/>
    <cellStyle name="Accent3 2 2" xfId="393" xr:uid="{00000000-0005-0000-0000-000082010000}"/>
    <cellStyle name="Accent3 2 3" xfId="394" xr:uid="{00000000-0005-0000-0000-000083010000}"/>
    <cellStyle name="Accent3 2 4" xfId="395" xr:uid="{00000000-0005-0000-0000-000084010000}"/>
    <cellStyle name="Accent3 2 5" xfId="396" xr:uid="{00000000-0005-0000-0000-000085010000}"/>
    <cellStyle name="Accent3 3" xfId="397" xr:uid="{00000000-0005-0000-0000-000086010000}"/>
    <cellStyle name="Accent3 4" xfId="398" xr:uid="{00000000-0005-0000-0000-000087010000}"/>
    <cellStyle name="Accent3 4 2" xfId="399" xr:uid="{00000000-0005-0000-0000-000088010000}"/>
    <cellStyle name="Accent3 5" xfId="400" xr:uid="{00000000-0005-0000-0000-000089010000}"/>
    <cellStyle name="Accent3 6" xfId="401" xr:uid="{00000000-0005-0000-0000-00008A010000}"/>
    <cellStyle name="Accent3 7" xfId="402" xr:uid="{00000000-0005-0000-0000-00008B010000}"/>
    <cellStyle name="Accent4" xfId="403" xr:uid="{00000000-0005-0000-0000-00008C010000}"/>
    <cellStyle name="Accent4 2" xfId="404" xr:uid="{00000000-0005-0000-0000-00008D010000}"/>
    <cellStyle name="Accent4 2 2" xfId="405" xr:uid="{00000000-0005-0000-0000-00008E010000}"/>
    <cellStyle name="Accent4 2 3" xfId="406" xr:uid="{00000000-0005-0000-0000-00008F010000}"/>
    <cellStyle name="Accent4 2 4" xfId="407" xr:uid="{00000000-0005-0000-0000-000090010000}"/>
    <cellStyle name="Accent4 2 5" xfId="408" xr:uid="{00000000-0005-0000-0000-000091010000}"/>
    <cellStyle name="Accent4 3" xfId="409" xr:uid="{00000000-0005-0000-0000-000092010000}"/>
    <cellStyle name="Accent4 4" xfId="410" xr:uid="{00000000-0005-0000-0000-000093010000}"/>
    <cellStyle name="Accent4 4 2" xfId="411" xr:uid="{00000000-0005-0000-0000-000094010000}"/>
    <cellStyle name="Accent4 5" xfId="412" xr:uid="{00000000-0005-0000-0000-000095010000}"/>
    <cellStyle name="Accent4 6" xfId="413" xr:uid="{00000000-0005-0000-0000-000096010000}"/>
    <cellStyle name="Accent4 7" xfId="414" xr:uid="{00000000-0005-0000-0000-000097010000}"/>
    <cellStyle name="Accent5" xfId="415" xr:uid="{00000000-0005-0000-0000-000098010000}"/>
    <cellStyle name="Accent5 2" xfId="416" xr:uid="{00000000-0005-0000-0000-000099010000}"/>
    <cellStyle name="Accent5 2 2" xfId="417" xr:uid="{00000000-0005-0000-0000-00009A010000}"/>
    <cellStyle name="Accent5 2 3" xfId="418" xr:uid="{00000000-0005-0000-0000-00009B010000}"/>
    <cellStyle name="Accent5 2 4" xfId="419" xr:uid="{00000000-0005-0000-0000-00009C010000}"/>
    <cellStyle name="Accent5 2 5" xfId="420" xr:uid="{00000000-0005-0000-0000-00009D010000}"/>
    <cellStyle name="Accent5 3" xfId="421" xr:uid="{00000000-0005-0000-0000-00009E010000}"/>
    <cellStyle name="Accent5 4" xfId="422" xr:uid="{00000000-0005-0000-0000-00009F010000}"/>
    <cellStyle name="Accent5 4 2" xfId="423" xr:uid="{00000000-0005-0000-0000-0000A0010000}"/>
    <cellStyle name="Accent5 5" xfId="424" xr:uid="{00000000-0005-0000-0000-0000A1010000}"/>
    <cellStyle name="Accent5 6" xfId="425" xr:uid="{00000000-0005-0000-0000-0000A2010000}"/>
    <cellStyle name="Accent5 7" xfId="426" xr:uid="{00000000-0005-0000-0000-0000A3010000}"/>
    <cellStyle name="Accent6" xfId="427" xr:uid="{00000000-0005-0000-0000-0000A4010000}"/>
    <cellStyle name="Accent6 2" xfId="428" xr:uid="{00000000-0005-0000-0000-0000A5010000}"/>
    <cellStyle name="Accent6 2 2" xfId="429" xr:uid="{00000000-0005-0000-0000-0000A6010000}"/>
    <cellStyle name="Accent6 2 3" xfId="430" xr:uid="{00000000-0005-0000-0000-0000A7010000}"/>
    <cellStyle name="Accent6 2 4" xfId="431" xr:uid="{00000000-0005-0000-0000-0000A8010000}"/>
    <cellStyle name="Accent6 2 5" xfId="432" xr:uid="{00000000-0005-0000-0000-0000A9010000}"/>
    <cellStyle name="Accent6 3" xfId="433" xr:uid="{00000000-0005-0000-0000-0000AA010000}"/>
    <cellStyle name="Accent6 4" xfId="434" xr:uid="{00000000-0005-0000-0000-0000AB010000}"/>
    <cellStyle name="Accent6 4 2" xfId="435" xr:uid="{00000000-0005-0000-0000-0000AC010000}"/>
    <cellStyle name="Accent6 5" xfId="436" xr:uid="{00000000-0005-0000-0000-0000AD010000}"/>
    <cellStyle name="Accent6 6" xfId="437" xr:uid="{00000000-0005-0000-0000-0000AE010000}"/>
    <cellStyle name="Accent6 7" xfId="438" xr:uid="{00000000-0005-0000-0000-0000AF010000}"/>
    <cellStyle name="Bad" xfId="439" xr:uid="{00000000-0005-0000-0000-0000B0010000}"/>
    <cellStyle name="Bad 2" xfId="440" xr:uid="{00000000-0005-0000-0000-0000B1010000}"/>
    <cellStyle name="Bad 2 2" xfId="441" xr:uid="{00000000-0005-0000-0000-0000B2010000}"/>
    <cellStyle name="Bad 2 3" xfId="442" xr:uid="{00000000-0005-0000-0000-0000B3010000}"/>
    <cellStyle name="Bad 2 4" xfId="443" xr:uid="{00000000-0005-0000-0000-0000B4010000}"/>
    <cellStyle name="Bad 2 5" xfId="444" xr:uid="{00000000-0005-0000-0000-0000B5010000}"/>
    <cellStyle name="Bad 3" xfId="445" xr:uid="{00000000-0005-0000-0000-0000B6010000}"/>
    <cellStyle name="Bad 4" xfId="446" xr:uid="{00000000-0005-0000-0000-0000B7010000}"/>
    <cellStyle name="Bad 4 2" xfId="447" xr:uid="{00000000-0005-0000-0000-0000B8010000}"/>
    <cellStyle name="Bad 5" xfId="448" xr:uid="{00000000-0005-0000-0000-0000B9010000}"/>
    <cellStyle name="Bad 6" xfId="449" xr:uid="{00000000-0005-0000-0000-0000BA010000}"/>
    <cellStyle name="Bad 7" xfId="450" xr:uid="{00000000-0005-0000-0000-0000BB010000}"/>
    <cellStyle name="Calculation" xfId="451" xr:uid="{00000000-0005-0000-0000-0000BC010000}"/>
    <cellStyle name="Calculation 2" xfId="452" xr:uid="{00000000-0005-0000-0000-0000BD010000}"/>
    <cellStyle name="Calculation 2 2" xfId="453" xr:uid="{00000000-0005-0000-0000-0000BE010000}"/>
    <cellStyle name="Calculation 2 3" xfId="454" xr:uid="{00000000-0005-0000-0000-0000BF010000}"/>
    <cellStyle name="Calculation 2 4" xfId="455" xr:uid="{00000000-0005-0000-0000-0000C0010000}"/>
    <cellStyle name="Calculation 2 5" xfId="456" xr:uid="{00000000-0005-0000-0000-0000C1010000}"/>
    <cellStyle name="Calculation 2_anakia II etapi.xls sm. defeqturi" xfId="457" xr:uid="{00000000-0005-0000-0000-0000C2010000}"/>
    <cellStyle name="Calculation 3" xfId="458" xr:uid="{00000000-0005-0000-0000-0000C3010000}"/>
    <cellStyle name="Calculation 4" xfId="459" xr:uid="{00000000-0005-0000-0000-0000C4010000}"/>
    <cellStyle name="Calculation 4 2" xfId="460" xr:uid="{00000000-0005-0000-0000-0000C5010000}"/>
    <cellStyle name="Calculation 4_anakia II etapi.xls sm. defeqturi" xfId="461" xr:uid="{00000000-0005-0000-0000-0000C6010000}"/>
    <cellStyle name="Calculation 5" xfId="462" xr:uid="{00000000-0005-0000-0000-0000C7010000}"/>
    <cellStyle name="Calculation 6" xfId="463" xr:uid="{00000000-0005-0000-0000-0000C8010000}"/>
    <cellStyle name="Calculation 7" xfId="464" xr:uid="{00000000-0005-0000-0000-0000C9010000}"/>
    <cellStyle name="Check Cell" xfId="465" xr:uid="{00000000-0005-0000-0000-0000CA010000}"/>
    <cellStyle name="Check Cell 2" xfId="466" xr:uid="{00000000-0005-0000-0000-0000CB010000}"/>
    <cellStyle name="Check Cell 2 2" xfId="467" xr:uid="{00000000-0005-0000-0000-0000CC010000}"/>
    <cellStyle name="Check Cell 2 3" xfId="468" xr:uid="{00000000-0005-0000-0000-0000CD010000}"/>
    <cellStyle name="Check Cell 2 4" xfId="469" xr:uid="{00000000-0005-0000-0000-0000CE010000}"/>
    <cellStyle name="Check Cell 2 5" xfId="470" xr:uid="{00000000-0005-0000-0000-0000CF010000}"/>
    <cellStyle name="Check Cell 2_anakia II etapi.xls sm. defeqturi" xfId="471" xr:uid="{00000000-0005-0000-0000-0000D0010000}"/>
    <cellStyle name="Check Cell 3" xfId="472" xr:uid="{00000000-0005-0000-0000-0000D1010000}"/>
    <cellStyle name="Check Cell 4" xfId="473" xr:uid="{00000000-0005-0000-0000-0000D2010000}"/>
    <cellStyle name="Check Cell 4 2" xfId="474" xr:uid="{00000000-0005-0000-0000-0000D3010000}"/>
    <cellStyle name="Check Cell 4_anakia II etapi.xls sm. defeqturi" xfId="475" xr:uid="{00000000-0005-0000-0000-0000D4010000}"/>
    <cellStyle name="Check Cell 5" xfId="476" xr:uid="{00000000-0005-0000-0000-0000D5010000}"/>
    <cellStyle name="Check Cell 6" xfId="477" xr:uid="{00000000-0005-0000-0000-0000D6010000}"/>
    <cellStyle name="Check Cell 7" xfId="478" xr:uid="{00000000-0005-0000-0000-0000D7010000}"/>
    <cellStyle name="Comma" xfId="1" builtinId="3"/>
    <cellStyle name="Comma 10" xfId="480" xr:uid="{00000000-0005-0000-0000-0000D8010000}"/>
    <cellStyle name="Comma 10 2" xfId="481" xr:uid="{00000000-0005-0000-0000-0000D9010000}"/>
    <cellStyle name="Comma 11" xfId="482" xr:uid="{00000000-0005-0000-0000-0000DA010000}"/>
    <cellStyle name="Comma 12" xfId="483" xr:uid="{00000000-0005-0000-0000-0000DB010000}"/>
    <cellStyle name="Comma 12 2" xfId="484" xr:uid="{00000000-0005-0000-0000-0000DC010000}"/>
    <cellStyle name="Comma 12 3" xfId="485" xr:uid="{00000000-0005-0000-0000-0000DD010000}"/>
    <cellStyle name="Comma 12 4" xfId="486" xr:uid="{00000000-0005-0000-0000-0000DE010000}"/>
    <cellStyle name="Comma 12 5" xfId="487" xr:uid="{00000000-0005-0000-0000-0000DF010000}"/>
    <cellStyle name="Comma 12 6" xfId="488" xr:uid="{00000000-0005-0000-0000-0000E0010000}"/>
    <cellStyle name="Comma 12 7" xfId="489" xr:uid="{00000000-0005-0000-0000-0000E1010000}"/>
    <cellStyle name="Comma 12 8" xfId="490" xr:uid="{00000000-0005-0000-0000-0000E2010000}"/>
    <cellStyle name="Comma 13" xfId="491" xr:uid="{00000000-0005-0000-0000-0000E3010000}"/>
    <cellStyle name="Comma 14" xfId="492" xr:uid="{00000000-0005-0000-0000-0000E4010000}"/>
    <cellStyle name="Comma 15" xfId="493" xr:uid="{00000000-0005-0000-0000-0000E5010000}"/>
    <cellStyle name="Comma 15 2" xfId="494" xr:uid="{00000000-0005-0000-0000-0000E6010000}"/>
    <cellStyle name="Comma 16" xfId="495" xr:uid="{00000000-0005-0000-0000-0000E7010000}"/>
    <cellStyle name="Comma 17" xfId="496" xr:uid="{00000000-0005-0000-0000-0000E8010000}"/>
    <cellStyle name="Comma 17 2" xfId="497" xr:uid="{00000000-0005-0000-0000-0000E9010000}"/>
    <cellStyle name="Comma 18" xfId="498" xr:uid="{00000000-0005-0000-0000-0000EA010000}"/>
    <cellStyle name="Comma 19" xfId="499" xr:uid="{00000000-0005-0000-0000-0000EB010000}"/>
    <cellStyle name="Comma 2" xfId="500" xr:uid="{00000000-0005-0000-0000-0000EC010000}"/>
    <cellStyle name="Comma 2 2" xfId="501" xr:uid="{00000000-0005-0000-0000-0000ED010000}"/>
    <cellStyle name="Comma 2 2 2" xfId="502" xr:uid="{00000000-0005-0000-0000-0000EE010000}"/>
    <cellStyle name="Comma 2 2 3" xfId="503" xr:uid="{00000000-0005-0000-0000-0000EF010000}"/>
    <cellStyle name="Comma 2 3" xfId="504" xr:uid="{00000000-0005-0000-0000-0000F0010000}"/>
    <cellStyle name="Comma 20" xfId="505" xr:uid="{00000000-0005-0000-0000-0000F1010000}"/>
    <cellStyle name="Comma 3" xfId="506" xr:uid="{00000000-0005-0000-0000-0000F2010000}"/>
    <cellStyle name="Comma 4" xfId="507" xr:uid="{00000000-0005-0000-0000-0000F3010000}"/>
    <cellStyle name="Comma 5" xfId="508" xr:uid="{00000000-0005-0000-0000-0000F4010000}"/>
    <cellStyle name="Comma 6" xfId="509" xr:uid="{00000000-0005-0000-0000-0000F5010000}"/>
    <cellStyle name="Comma 7" xfId="510" xr:uid="{00000000-0005-0000-0000-0000F6010000}"/>
    <cellStyle name="Comma 8" xfId="511" xr:uid="{00000000-0005-0000-0000-0000F7010000}"/>
    <cellStyle name="Comma 9" xfId="512" xr:uid="{00000000-0005-0000-0000-0000F8010000}"/>
    <cellStyle name="Explanatory Text" xfId="513" xr:uid="{00000000-0005-0000-0000-0000F9010000}"/>
    <cellStyle name="Explanatory Text 2" xfId="514" xr:uid="{00000000-0005-0000-0000-0000FA010000}"/>
    <cellStyle name="Explanatory Text 2 2" xfId="515" xr:uid="{00000000-0005-0000-0000-0000FB010000}"/>
    <cellStyle name="Explanatory Text 2 3" xfId="516" xr:uid="{00000000-0005-0000-0000-0000FC010000}"/>
    <cellStyle name="Explanatory Text 2 4" xfId="517" xr:uid="{00000000-0005-0000-0000-0000FD010000}"/>
    <cellStyle name="Explanatory Text 2 5" xfId="518" xr:uid="{00000000-0005-0000-0000-0000FE010000}"/>
    <cellStyle name="Explanatory Text 3" xfId="519" xr:uid="{00000000-0005-0000-0000-0000FF010000}"/>
    <cellStyle name="Explanatory Text 4" xfId="520" xr:uid="{00000000-0005-0000-0000-000000020000}"/>
    <cellStyle name="Explanatory Text 4 2" xfId="521" xr:uid="{00000000-0005-0000-0000-000001020000}"/>
    <cellStyle name="Explanatory Text 5" xfId="522" xr:uid="{00000000-0005-0000-0000-000002020000}"/>
    <cellStyle name="Explanatory Text 6" xfId="523" xr:uid="{00000000-0005-0000-0000-000003020000}"/>
    <cellStyle name="Explanatory Text 7" xfId="524" xr:uid="{00000000-0005-0000-0000-000004020000}"/>
    <cellStyle name="Good" xfId="525" xr:uid="{00000000-0005-0000-0000-000005020000}"/>
    <cellStyle name="Good 2" xfId="526" xr:uid="{00000000-0005-0000-0000-000006020000}"/>
    <cellStyle name="Good 2 2" xfId="527" xr:uid="{00000000-0005-0000-0000-000007020000}"/>
    <cellStyle name="Good 2 3" xfId="528" xr:uid="{00000000-0005-0000-0000-000008020000}"/>
    <cellStyle name="Good 2 4" xfId="529" xr:uid="{00000000-0005-0000-0000-000009020000}"/>
    <cellStyle name="Good 2 5" xfId="530" xr:uid="{00000000-0005-0000-0000-00000A020000}"/>
    <cellStyle name="Good 3" xfId="531" xr:uid="{00000000-0005-0000-0000-00000B020000}"/>
    <cellStyle name="Good 4" xfId="532" xr:uid="{00000000-0005-0000-0000-00000C020000}"/>
    <cellStyle name="Good 4 2" xfId="533" xr:uid="{00000000-0005-0000-0000-00000D020000}"/>
    <cellStyle name="Good 5" xfId="534" xr:uid="{00000000-0005-0000-0000-00000E020000}"/>
    <cellStyle name="Good 6" xfId="535" xr:uid="{00000000-0005-0000-0000-00000F020000}"/>
    <cellStyle name="Good 7" xfId="536" xr:uid="{00000000-0005-0000-0000-000010020000}"/>
    <cellStyle name="Heading 1" xfId="537" xr:uid="{00000000-0005-0000-0000-000011020000}"/>
    <cellStyle name="Heading 1 2" xfId="538" xr:uid="{00000000-0005-0000-0000-000012020000}"/>
    <cellStyle name="Heading 1 2 2" xfId="539" xr:uid="{00000000-0005-0000-0000-000013020000}"/>
    <cellStyle name="Heading 1 2 3" xfId="540" xr:uid="{00000000-0005-0000-0000-000014020000}"/>
    <cellStyle name="Heading 1 2 4" xfId="541" xr:uid="{00000000-0005-0000-0000-000015020000}"/>
    <cellStyle name="Heading 1 2 5" xfId="542" xr:uid="{00000000-0005-0000-0000-000016020000}"/>
    <cellStyle name="Heading 1 2_anakia II etapi.xls sm. defeqturi" xfId="543" xr:uid="{00000000-0005-0000-0000-000017020000}"/>
    <cellStyle name="Heading 1 3" xfId="544" xr:uid="{00000000-0005-0000-0000-000018020000}"/>
    <cellStyle name="Heading 1 4" xfId="545" xr:uid="{00000000-0005-0000-0000-000019020000}"/>
    <cellStyle name="Heading 1 4 2" xfId="546" xr:uid="{00000000-0005-0000-0000-00001A020000}"/>
    <cellStyle name="Heading 1 4_anakia II etapi.xls sm. defeqturi" xfId="547" xr:uid="{00000000-0005-0000-0000-00001B020000}"/>
    <cellStyle name="Heading 1 5" xfId="548" xr:uid="{00000000-0005-0000-0000-00001C020000}"/>
    <cellStyle name="Heading 1 6" xfId="549" xr:uid="{00000000-0005-0000-0000-00001D020000}"/>
    <cellStyle name="Heading 1 7" xfId="550" xr:uid="{00000000-0005-0000-0000-00001E020000}"/>
    <cellStyle name="Heading 2" xfId="551" xr:uid="{00000000-0005-0000-0000-00001F020000}"/>
    <cellStyle name="Heading 2 2" xfId="552" xr:uid="{00000000-0005-0000-0000-000020020000}"/>
    <cellStyle name="Heading 2 2 2" xfId="553" xr:uid="{00000000-0005-0000-0000-000021020000}"/>
    <cellStyle name="Heading 2 2 3" xfId="554" xr:uid="{00000000-0005-0000-0000-000022020000}"/>
    <cellStyle name="Heading 2 2 4" xfId="555" xr:uid="{00000000-0005-0000-0000-000023020000}"/>
    <cellStyle name="Heading 2 2 5" xfId="556" xr:uid="{00000000-0005-0000-0000-000024020000}"/>
    <cellStyle name="Heading 2 2_anakia II etapi.xls sm. defeqturi" xfId="557" xr:uid="{00000000-0005-0000-0000-000025020000}"/>
    <cellStyle name="Heading 2 3" xfId="558" xr:uid="{00000000-0005-0000-0000-000026020000}"/>
    <cellStyle name="Heading 2 4" xfId="559" xr:uid="{00000000-0005-0000-0000-000027020000}"/>
    <cellStyle name="Heading 2 4 2" xfId="560" xr:uid="{00000000-0005-0000-0000-000028020000}"/>
    <cellStyle name="Heading 2 4_anakia II etapi.xls sm. defeqturi" xfId="561" xr:uid="{00000000-0005-0000-0000-000029020000}"/>
    <cellStyle name="Heading 2 5" xfId="562" xr:uid="{00000000-0005-0000-0000-00002A020000}"/>
    <cellStyle name="Heading 2 6" xfId="563" xr:uid="{00000000-0005-0000-0000-00002B020000}"/>
    <cellStyle name="Heading 2 7" xfId="564" xr:uid="{00000000-0005-0000-0000-00002C020000}"/>
    <cellStyle name="Heading 3" xfId="565" xr:uid="{00000000-0005-0000-0000-00002D020000}"/>
    <cellStyle name="Heading 3 2" xfId="566" xr:uid="{00000000-0005-0000-0000-00002E020000}"/>
    <cellStyle name="Heading 3 2 2" xfId="567" xr:uid="{00000000-0005-0000-0000-00002F020000}"/>
    <cellStyle name="Heading 3 2 3" xfId="568" xr:uid="{00000000-0005-0000-0000-000030020000}"/>
    <cellStyle name="Heading 3 2 4" xfId="569" xr:uid="{00000000-0005-0000-0000-000031020000}"/>
    <cellStyle name="Heading 3 2 5" xfId="570" xr:uid="{00000000-0005-0000-0000-000032020000}"/>
    <cellStyle name="Heading 3 2_anakia II etapi.xls sm. defeqturi" xfId="571" xr:uid="{00000000-0005-0000-0000-000033020000}"/>
    <cellStyle name="Heading 3 3" xfId="572" xr:uid="{00000000-0005-0000-0000-000034020000}"/>
    <cellStyle name="Heading 3 4" xfId="573" xr:uid="{00000000-0005-0000-0000-000035020000}"/>
    <cellStyle name="Heading 3 4 2" xfId="574" xr:uid="{00000000-0005-0000-0000-000036020000}"/>
    <cellStyle name="Heading 3 4_anakia II etapi.xls sm. defeqturi" xfId="575" xr:uid="{00000000-0005-0000-0000-000037020000}"/>
    <cellStyle name="Heading 3 5" xfId="576" xr:uid="{00000000-0005-0000-0000-000038020000}"/>
    <cellStyle name="Heading 3 6" xfId="577" xr:uid="{00000000-0005-0000-0000-000039020000}"/>
    <cellStyle name="Heading 3 7" xfId="578" xr:uid="{00000000-0005-0000-0000-00003A020000}"/>
    <cellStyle name="Heading 4" xfId="579" xr:uid="{00000000-0005-0000-0000-00003B020000}"/>
    <cellStyle name="Heading 4 2" xfId="580" xr:uid="{00000000-0005-0000-0000-00003C020000}"/>
    <cellStyle name="Heading 4 2 2" xfId="581" xr:uid="{00000000-0005-0000-0000-00003D020000}"/>
    <cellStyle name="Heading 4 2 3" xfId="582" xr:uid="{00000000-0005-0000-0000-00003E020000}"/>
    <cellStyle name="Heading 4 2 4" xfId="583" xr:uid="{00000000-0005-0000-0000-00003F020000}"/>
    <cellStyle name="Heading 4 2 5" xfId="584" xr:uid="{00000000-0005-0000-0000-000040020000}"/>
    <cellStyle name="Heading 4 3" xfId="585" xr:uid="{00000000-0005-0000-0000-000041020000}"/>
    <cellStyle name="Heading 4 4" xfId="586" xr:uid="{00000000-0005-0000-0000-000042020000}"/>
    <cellStyle name="Heading 4 4 2" xfId="587" xr:uid="{00000000-0005-0000-0000-000043020000}"/>
    <cellStyle name="Heading 4 5" xfId="588" xr:uid="{00000000-0005-0000-0000-000044020000}"/>
    <cellStyle name="Heading 4 6" xfId="589" xr:uid="{00000000-0005-0000-0000-000045020000}"/>
    <cellStyle name="Heading 4 7" xfId="590" xr:uid="{00000000-0005-0000-0000-000046020000}"/>
    <cellStyle name="Hyperlink 2" xfId="591" xr:uid="{00000000-0005-0000-0000-000047020000}"/>
    <cellStyle name="Input" xfId="592" xr:uid="{00000000-0005-0000-0000-000048020000}"/>
    <cellStyle name="Input 2" xfId="593" xr:uid="{00000000-0005-0000-0000-000049020000}"/>
    <cellStyle name="Input 2 2" xfId="594" xr:uid="{00000000-0005-0000-0000-00004A020000}"/>
    <cellStyle name="Input 2 3" xfId="595" xr:uid="{00000000-0005-0000-0000-00004B020000}"/>
    <cellStyle name="Input 2 4" xfId="596" xr:uid="{00000000-0005-0000-0000-00004C020000}"/>
    <cellStyle name="Input 2 5" xfId="597" xr:uid="{00000000-0005-0000-0000-00004D020000}"/>
    <cellStyle name="Input 2_anakia II etapi.xls sm. defeqturi" xfId="598" xr:uid="{00000000-0005-0000-0000-00004E020000}"/>
    <cellStyle name="Input 3" xfId="599" xr:uid="{00000000-0005-0000-0000-00004F020000}"/>
    <cellStyle name="Input 4" xfId="600" xr:uid="{00000000-0005-0000-0000-000050020000}"/>
    <cellStyle name="Input 4 2" xfId="601" xr:uid="{00000000-0005-0000-0000-000051020000}"/>
    <cellStyle name="Input 4_anakia II etapi.xls sm. defeqturi" xfId="602" xr:uid="{00000000-0005-0000-0000-000052020000}"/>
    <cellStyle name="Input 5" xfId="603" xr:uid="{00000000-0005-0000-0000-000053020000}"/>
    <cellStyle name="Input 6" xfId="604" xr:uid="{00000000-0005-0000-0000-000054020000}"/>
    <cellStyle name="Input 7" xfId="605" xr:uid="{00000000-0005-0000-0000-000055020000}"/>
    <cellStyle name="Linked Cell" xfId="606" xr:uid="{00000000-0005-0000-0000-000056020000}"/>
    <cellStyle name="Linked Cell 2" xfId="607" xr:uid="{00000000-0005-0000-0000-000057020000}"/>
    <cellStyle name="Linked Cell 2 2" xfId="608" xr:uid="{00000000-0005-0000-0000-000058020000}"/>
    <cellStyle name="Linked Cell 2 3" xfId="609" xr:uid="{00000000-0005-0000-0000-000059020000}"/>
    <cellStyle name="Linked Cell 2 4" xfId="610" xr:uid="{00000000-0005-0000-0000-00005A020000}"/>
    <cellStyle name="Linked Cell 2 5" xfId="611" xr:uid="{00000000-0005-0000-0000-00005B020000}"/>
    <cellStyle name="Linked Cell 2_anakia II etapi.xls sm. defeqturi" xfId="612" xr:uid="{00000000-0005-0000-0000-00005C020000}"/>
    <cellStyle name="Linked Cell 3" xfId="613" xr:uid="{00000000-0005-0000-0000-00005D020000}"/>
    <cellStyle name="Linked Cell 4" xfId="614" xr:uid="{00000000-0005-0000-0000-00005E020000}"/>
    <cellStyle name="Linked Cell 4 2" xfId="615" xr:uid="{00000000-0005-0000-0000-00005F020000}"/>
    <cellStyle name="Linked Cell 4_anakia II etapi.xls sm. defeqturi" xfId="616" xr:uid="{00000000-0005-0000-0000-000060020000}"/>
    <cellStyle name="Linked Cell 5" xfId="617" xr:uid="{00000000-0005-0000-0000-000061020000}"/>
    <cellStyle name="Linked Cell 6" xfId="618" xr:uid="{00000000-0005-0000-0000-000062020000}"/>
    <cellStyle name="Linked Cell 7" xfId="619" xr:uid="{00000000-0005-0000-0000-000063020000}"/>
    <cellStyle name="Neutral" xfId="620" xr:uid="{00000000-0005-0000-0000-000064020000}"/>
    <cellStyle name="Neutral 2" xfId="621" xr:uid="{00000000-0005-0000-0000-000065020000}"/>
    <cellStyle name="Neutral 2 2" xfId="622" xr:uid="{00000000-0005-0000-0000-000066020000}"/>
    <cellStyle name="Neutral 2 3" xfId="623" xr:uid="{00000000-0005-0000-0000-000067020000}"/>
    <cellStyle name="Neutral 2 4" xfId="624" xr:uid="{00000000-0005-0000-0000-000068020000}"/>
    <cellStyle name="Neutral 2 5" xfId="625" xr:uid="{00000000-0005-0000-0000-000069020000}"/>
    <cellStyle name="Neutral 3" xfId="626" xr:uid="{00000000-0005-0000-0000-00006A020000}"/>
    <cellStyle name="Neutral 4" xfId="627" xr:uid="{00000000-0005-0000-0000-00006B020000}"/>
    <cellStyle name="Neutral 4 2" xfId="628" xr:uid="{00000000-0005-0000-0000-00006C020000}"/>
    <cellStyle name="Neutral 5" xfId="629" xr:uid="{00000000-0005-0000-0000-00006D020000}"/>
    <cellStyle name="Neutral 6" xfId="630" xr:uid="{00000000-0005-0000-0000-00006E020000}"/>
    <cellStyle name="Neutral 7" xfId="631" xr:uid="{00000000-0005-0000-0000-00006F020000}"/>
    <cellStyle name="Normal" xfId="0" builtinId="0"/>
    <cellStyle name="Normal 10" xfId="632" xr:uid="{00000000-0005-0000-0000-000070020000}"/>
    <cellStyle name="Normal 10 2" xfId="633" xr:uid="{00000000-0005-0000-0000-000071020000}"/>
    <cellStyle name="Normal 11" xfId="634" xr:uid="{00000000-0005-0000-0000-000072020000}"/>
    <cellStyle name="Normal 11 2" xfId="635" xr:uid="{00000000-0005-0000-0000-000073020000}"/>
    <cellStyle name="Normal 11 2 2" xfId="636" xr:uid="{00000000-0005-0000-0000-000074020000}"/>
    <cellStyle name="Normal 11 3" xfId="637" xr:uid="{00000000-0005-0000-0000-000075020000}"/>
    <cellStyle name="Normal 11_GAZI-2010" xfId="638" xr:uid="{00000000-0005-0000-0000-000076020000}"/>
    <cellStyle name="Normal 12" xfId="639" xr:uid="{00000000-0005-0000-0000-000077020000}"/>
    <cellStyle name="Normal 12 2" xfId="640" xr:uid="{00000000-0005-0000-0000-000078020000}"/>
    <cellStyle name="Normal 12_gazis gare qseli" xfId="641" xr:uid="{00000000-0005-0000-0000-000079020000}"/>
    <cellStyle name="Normal 13" xfId="642" xr:uid="{00000000-0005-0000-0000-00007A020000}"/>
    <cellStyle name="Normal 13 2" xfId="643" xr:uid="{00000000-0005-0000-0000-00007B020000}"/>
    <cellStyle name="Normal 13 2 2" xfId="644" xr:uid="{00000000-0005-0000-0000-00007C020000}"/>
    <cellStyle name="Normal 13 2 3" xfId="645" xr:uid="{00000000-0005-0000-0000-00007D020000}"/>
    <cellStyle name="Normal 13 3" xfId="646" xr:uid="{00000000-0005-0000-0000-00007E020000}"/>
    <cellStyle name="Normal 13 3 2" xfId="647" xr:uid="{00000000-0005-0000-0000-00007F020000}"/>
    <cellStyle name="Normal 13 3 3" xfId="648" xr:uid="{00000000-0005-0000-0000-000080020000}"/>
    <cellStyle name="Normal 13 3 3 2" xfId="649" xr:uid="{00000000-0005-0000-0000-000081020000}"/>
    <cellStyle name="Normal 13 3 3 3" xfId="650" xr:uid="{00000000-0005-0000-0000-000082020000}"/>
    <cellStyle name="Normal 13 3 4" xfId="651" xr:uid="{00000000-0005-0000-0000-000083020000}"/>
    <cellStyle name="Normal 13 3 5" xfId="652" xr:uid="{00000000-0005-0000-0000-000084020000}"/>
    <cellStyle name="Normal 13 4" xfId="653" xr:uid="{00000000-0005-0000-0000-000085020000}"/>
    <cellStyle name="Normal 13 5" xfId="654" xr:uid="{00000000-0005-0000-0000-000086020000}"/>
    <cellStyle name="Normal 13 5 2" xfId="655" xr:uid="{00000000-0005-0000-0000-000087020000}"/>
    <cellStyle name="Normal 13 5 3" xfId="656" xr:uid="{00000000-0005-0000-0000-000088020000}"/>
    <cellStyle name="Normal 13 5 3 2" xfId="657" xr:uid="{00000000-0005-0000-0000-000089020000}"/>
    <cellStyle name="Normal 13 5 3 3" xfId="658" xr:uid="{00000000-0005-0000-0000-00008A020000}"/>
    <cellStyle name="Normal 13 5 3 4" xfId="659" xr:uid="{00000000-0005-0000-0000-00008B020000}"/>
    <cellStyle name="Normal 13 5 4" xfId="660" xr:uid="{00000000-0005-0000-0000-00008C020000}"/>
    <cellStyle name="Normal 13 6" xfId="661" xr:uid="{00000000-0005-0000-0000-00008D020000}"/>
    <cellStyle name="Normal 13 7" xfId="662" xr:uid="{00000000-0005-0000-0000-00008E020000}"/>
    <cellStyle name="Normal 13 8" xfId="663" xr:uid="{00000000-0005-0000-0000-00008F020000}"/>
    <cellStyle name="Normal 13_# 6-1 27.01.12 - копия (1)" xfId="664" xr:uid="{00000000-0005-0000-0000-000090020000}"/>
    <cellStyle name="Normal 14" xfId="665" xr:uid="{00000000-0005-0000-0000-000091020000}"/>
    <cellStyle name="Normal 14 2" xfId="666" xr:uid="{00000000-0005-0000-0000-000092020000}"/>
    <cellStyle name="Normal 14 3" xfId="667" xr:uid="{00000000-0005-0000-0000-000093020000}"/>
    <cellStyle name="Normal 14 3 2" xfId="668" xr:uid="{00000000-0005-0000-0000-000094020000}"/>
    <cellStyle name="Normal 14 4" xfId="669" xr:uid="{00000000-0005-0000-0000-000095020000}"/>
    <cellStyle name="Normal 14 5" xfId="670" xr:uid="{00000000-0005-0000-0000-000096020000}"/>
    <cellStyle name="Normal 14 6" xfId="671" xr:uid="{00000000-0005-0000-0000-000097020000}"/>
    <cellStyle name="Normal 14_anakia II etapi.xls sm. defeqturi" xfId="672" xr:uid="{00000000-0005-0000-0000-000098020000}"/>
    <cellStyle name="Normal 15" xfId="673" xr:uid="{00000000-0005-0000-0000-000099020000}"/>
    <cellStyle name="Normal 16" xfId="674" xr:uid="{00000000-0005-0000-0000-00009A020000}"/>
    <cellStyle name="Normal 16 2" xfId="675" xr:uid="{00000000-0005-0000-0000-00009B020000}"/>
    <cellStyle name="Normal 16 3" xfId="676" xr:uid="{00000000-0005-0000-0000-00009C020000}"/>
    <cellStyle name="Normal 16 4" xfId="677" xr:uid="{00000000-0005-0000-0000-00009D020000}"/>
    <cellStyle name="Normal 16_# 6-1 27.01.12 - копия (1)" xfId="678" xr:uid="{00000000-0005-0000-0000-00009E020000}"/>
    <cellStyle name="Normal 17" xfId="679" xr:uid="{00000000-0005-0000-0000-00009F020000}"/>
    <cellStyle name="Normal 18" xfId="680" xr:uid="{00000000-0005-0000-0000-0000A0020000}"/>
    <cellStyle name="Normal 19" xfId="681" xr:uid="{00000000-0005-0000-0000-0000A1020000}"/>
    <cellStyle name="Normal 2" xfId="5" xr:uid="{00000000-0005-0000-0000-0000A2020000}"/>
    <cellStyle name="Normal 2 10" xfId="683" xr:uid="{00000000-0005-0000-0000-0000A3020000}"/>
    <cellStyle name="Normal 2 11" xfId="684" xr:uid="{00000000-0005-0000-0000-0000A4020000}"/>
    <cellStyle name="Normal 2 12" xfId="682" xr:uid="{00000000-0005-0000-0000-0000A5020000}"/>
    <cellStyle name="Normal 2 2" xfId="685" xr:uid="{00000000-0005-0000-0000-0000A6020000}"/>
    <cellStyle name="Normal 2 2 2" xfId="686" xr:uid="{00000000-0005-0000-0000-0000A7020000}"/>
    <cellStyle name="Normal 2 2 3" xfId="687" xr:uid="{00000000-0005-0000-0000-0000A8020000}"/>
    <cellStyle name="Normal 2 2 4" xfId="688" xr:uid="{00000000-0005-0000-0000-0000A9020000}"/>
    <cellStyle name="Normal 2 2 5" xfId="689" xr:uid="{00000000-0005-0000-0000-0000AA020000}"/>
    <cellStyle name="Normal 2 2 6" xfId="690" xr:uid="{00000000-0005-0000-0000-0000AB020000}"/>
    <cellStyle name="Normal 2 2 7" xfId="691" xr:uid="{00000000-0005-0000-0000-0000AC020000}"/>
    <cellStyle name="Normal 2 2_2D4CD000" xfId="692" xr:uid="{00000000-0005-0000-0000-0000AD020000}"/>
    <cellStyle name="Normal 2 3" xfId="693" xr:uid="{00000000-0005-0000-0000-0000AE020000}"/>
    <cellStyle name="Normal 2 4" xfId="694" xr:uid="{00000000-0005-0000-0000-0000AF020000}"/>
    <cellStyle name="Normal 2 5" xfId="695" xr:uid="{00000000-0005-0000-0000-0000B0020000}"/>
    <cellStyle name="Normal 2 6" xfId="696" xr:uid="{00000000-0005-0000-0000-0000B1020000}"/>
    <cellStyle name="Normal 2 7" xfId="697" xr:uid="{00000000-0005-0000-0000-0000B2020000}"/>
    <cellStyle name="Normal 2 7 2" xfId="698" xr:uid="{00000000-0005-0000-0000-0000B3020000}"/>
    <cellStyle name="Normal 2 7 3" xfId="699" xr:uid="{00000000-0005-0000-0000-0000B4020000}"/>
    <cellStyle name="Normal 2 7_anakia II etapi.xls sm. defeqturi" xfId="700" xr:uid="{00000000-0005-0000-0000-0000B5020000}"/>
    <cellStyle name="Normal 2 8" xfId="701" xr:uid="{00000000-0005-0000-0000-0000B6020000}"/>
    <cellStyle name="Normal 2 9" xfId="702" xr:uid="{00000000-0005-0000-0000-0000B7020000}"/>
    <cellStyle name="Normal 2_anakia II etapi.xls sm. defeqturi" xfId="703" xr:uid="{00000000-0005-0000-0000-0000B8020000}"/>
    <cellStyle name="Normal 20" xfId="704" xr:uid="{00000000-0005-0000-0000-0000B9020000}"/>
    <cellStyle name="Normal 21" xfId="705" xr:uid="{00000000-0005-0000-0000-0000BA020000}"/>
    <cellStyle name="Normal 22" xfId="706" xr:uid="{00000000-0005-0000-0000-0000BB020000}"/>
    <cellStyle name="Normal 23" xfId="707" xr:uid="{00000000-0005-0000-0000-0000BC020000}"/>
    <cellStyle name="Normal 24" xfId="708" xr:uid="{00000000-0005-0000-0000-0000BD020000}"/>
    <cellStyle name="Normal 25" xfId="709" xr:uid="{00000000-0005-0000-0000-0000BE020000}"/>
    <cellStyle name="Normal 26" xfId="710" xr:uid="{00000000-0005-0000-0000-0000BF020000}"/>
    <cellStyle name="Normal 27" xfId="711" xr:uid="{00000000-0005-0000-0000-0000C0020000}"/>
    <cellStyle name="Normal 28" xfId="712" xr:uid="{00000000-0005-0000-0000-0000C1020000}"/>
    <cellStyle name="Normal 29" xfId="713" xr:uid="{00000000-0005-0000-0000-0000C2020000}"/>
    <cellStyle name="Normal 29 2" xfId="714" xr:uid="{00000000-0005-0000-0000-0000C3020000}"/>
    <cellStyle name="Normal 3" xfId="2" xr:uid="{00000000-0005-0000-0000-0000C4020000}"/>
    <cellStyle name="Normal 3 2" xfId="715" xr:uid="{00000000-0005-0000-0000-0000C5020000}"/>
    <cellStyle name="Normal 3 2 2" xfId="716" xr:uid="{00000000-0005-0000-0000-0000C6020000}"/>
    <cellStyle name="Normal 3 2_anakia II etapi.xls sm. defeqturi" xfId="717" xr:uid="{00000000-0005-0000-0000-0000C7020000}"/>
    <cellStyle name="Normal 3 3" xfId="718" xr:uid="{00000000-0005-0000-0000-0000C8020000}"/>
    <cellStyle name="Normal 30" xfId="719" xr:uid="{00000000-0005-0000-0000-0000C9020000}"/>
    <cellStyle name="Normal 30 2" xfId="720" xr:uid="{00000000-0005-0000-0000-0000CA020000}"/>
    <cellStyle name="Normal 31" xfId="721" xr:uid="{00000000-0005-0000-0000-0000CB020000}"/>
    <cellStyle name="Normal 32" xfId="722" xr:uid="{00000000-0005-0000-0000-0000CC020000}"/>
    <cellStyle name="Normal 32 2" xfId="723" xr:uid="{00000000-0005-0000-0000-0000CD020000}"/>
    <cellStyle name="Normal 32 2 2" xfId="724" xr:uid="{00000000-0005-0000-0000-0000CE020000}"/>
    <cellStyle name="Normal 32 3" xfId="725" xr:uid="{00000000-0005-0000-0000-0000CF020000}"/>
    <cellStyle name="Normal 32 3 2" xfId="726" xr:uid="{00000000-0005-0000-0000-0000D0020000}"/>
    <cellStyle name="Normal 32 3 2 2" xfId="727" xr:uid="{00000000-0005-0000-0000-0000D1020000}"/>
    <cellStyle name="Normal 32 4" xfId="728" xr:uid="{00000000-0005-0000-0000-0000D2020000}"/>
    <cellStyle name="Normal 32_# 6-1 27.01.12 - копия (1)" xfId="729" xr:uid="{00000000-0005-0000-0000-0000D3020000}"/>
    <cellStyle name="Normal 33" xfId="730" xr:uid="{00000000-0005-0000-0000-0000D4020000}"/>
    <cellStyle name="Normal 33 2" xfId="731" xr:uid="{00000000-0005-0000-0000-0000D5020000}"/>
    <cellStyle name="Normal 34" xfId="732" xr:uid="{00000000-0005-0000-0000-0000D6020000}"/>
    <cellStyle name="Normal 35" xfId="733" xr:uid="{00000000-0005-0000-0000-0000D7020000}"/>
    <cellStyle name="Normal 35 2" xfId="734" xr:uid="{00000000-0005-0000-0000-0000D8020000}"/>
    <cellStyle name="Normal 35 3" xfId="735" xr:uid="{00000000-0005-0000-0000-0000D9020000}"/>
    <cellStyle name="Normal 36" xfId="736" xr:uid="{00000000-0005-0000-0000-0000DA020000}"/>
    <cellStyle name="Normal 36 2" xfId="737" xr:uid="{00000000-0005-0000-0000-0000DB020000}"/>
    <cellStyle name="Normal 36 2 2" xfId="738" xr:uid="{00000000-0005-0000-0000-0000DC020000}"/>
    <cellStyle name="Normal 36 2 2 2" xfId="909" xr:uid="{00000000-0005-0000-0000-0000DD020000}"/>
    <cellStyle name="Normal 36 2 3" xfId="739" xr:uid="{00000000-0005-0000-0000-0000DE020000}"/>
    <cellStyle name="Normal 36 2 4" xfId="740" xr:uid="{00000000-0005-0000-0000-0000DF020000}"/>
    <cellStyle name="Normal 36 3" xfId="741" xr:uid="{00000000-0005-0000-0000-0000E0020000}"/>
    <cellStyle name="Normal 36 4" xfId="742" xr:uid="{00000000-0005-0000-0000-0000E1020000}"/>
    <cellStyle name="Normal 37" xfId="743" xr:uid="{00000000-0005-0000-0000-0000E2020000}"/>
    <cellStyle name="Normal 37 2" xfId="744" xr:uid="{00000000-0005-0000-0000-0000E3020000}"/>
    <cellStyle name="Normal 38" xfId="745" xr:uid="{00000000-0005-0000-0000-0000E4020000}"/>
    <cellStyle name="Normal 38 2" xfId="746" xr:uid="{00000000-0005-0000-0000-0000E5020000}"/>
    <cellStyle name="Normal 38 2 2" xfId="747" xr:uid="{00000000-0005-0000-0000-0000E6020000}"/>
    <cellStyle name="Normal 38 3" xfId="748" xr:uid="{00000000-0005-0000-0000-0000E7020000}"/>
    <cellStyle name="Normal 38 3 2" xfId="749" xr:uid="{00000000-0005-0000-0000-0000E8020000}"/>
    <cellStyle name="Normal 38 4" xfId="750" xr:uid="{00000000-0005-0000-0000-0000E9020000}"/>
    <cellStyle name="Normal 39" xfId="751" xr:uid="{00000000-0005-0000-0000-0000EA020000}"/>
    <cellStyle name="Normal 39 2" xfId="752" xr:uid="{00000000-0005-0000-0000-0000EB020000}"/>
    <cellStyle name="Normal 4" xfId="753" xr:uid="{00000000-0005-0000-0000-0000EC020000}"/>
    <cellStyle name="Normal 4 2" xfId="754" xr:uid="{00000000-0005-0000-0000-0000ED020000}"/>
    <cellStyle name="Normal 4 3" xfId="755" xr:uid="{00000000-0005-0000-0000-0000EE020000}"/>
    <cellStyle name="Normal 40" xfId="756" xr:uid="{00000000-0005-0000-0000-0000EF020000}"/>
    <cellStyle name="Normal 40 2" xfId="757" xr:uid="{00000000-0005-0000-0000-0000F0020000}"/>
    <cellStyle name="Normal 40 3" xfId="758" xr:uid="{00000000-0005-0000-0000-0000F1020000}"/>
    <cellStyle name="Normal 41" xfId="759" xr:uid="{00000000-0005-0000-0000-0000F2020000}"/>
    <cellStyle name="Normal 41 2" xfId="760" xr:uid="{00000000-0005-0000-0000-0000F3020000}"/>
    <cellStyle name="Normal 42" xfId="761" xr:uid="{00000000-0005-0000-0000-0000F4020000}"/>
    <cellStyle name="Normal 42 2" xfId="762" xr:uid="{00000000-0005-0000-0000-0000F5020000}"/>
    <cellStyle name="Normal 42 3" xfId="763" xr:uid="{00000000-0005-0000-0000-0000F6020000}"/>
    <cellStyle name="Normal 43" xfId="764" xr:uid="{00000000-0005-0000-0000-0000F7020000}"/>
    <cellStyle name="Normal 44" xfId="765" xr:uid="{00000000-0005-0000-0000-0000F8020000}"/>
    <cellStyle name="Normal 45" xfId="766" xr:uid="{00000000-0005-0000-0000-0000F9020000}"/>
    <cellStyle name="Normal 46" xfId="767" xr:uid="{00000000-0005-0000-0000-0000FA020000}"/>
    <cellStyle name="Normal 47" xfId="768" xr:uid="{00000000-0005-0000-0000-0000FB020000}"/>
    <cellStyle name="Normal 47 2" xfId="769" xr:uid="{00000000-0005-0000-0000-0000FC020000}"/>
    <cellStyle name="Normal 47 3" xfId="770" xr:uid="{00000000-0005-0000-0000-0000FD020000}"/>
    <cellStyle name="Normal 47 3 2" xfId="771" xr:uid="{00000000-0005-0000-0000-0000FE020000}"/>
    <cellStyle name="Normal 47 3 3" xfId="772" xr:uid="{00000000-0005-0000-0000-0000FF020000}"/>
    <cellStyle name="Normal 47 4" xfId="773" xr:uid="{00000000-0005-0000-0000-000000030000}"/>
    <cellStyle name="Normal 5" xfId="774" xr:uid="{00000000-0005-0000-0000-000001030000}"/>
    <cellStyle name="Normal 5 2" xfId="775" xr:uid="{00000000-0005-0000-0000-000002030000}"/>
    <cellStyle name="Normal 5 2 2" xfId="776" xr:uid="{00000000-0005-0000-0000-000003030000}"/>
    <cellStyle name="Normal 5 3" xfId="777" xr:uid="{00000000-0005-0000-0000-000004030000}"/>
    <cellStyle name="Normal 5 4" xfId="778" xr:uid="{00000000-0005-0000-0000-000005030000}"/>
    <cellStyle name="Normal 5 4 2" xfId="779" xr:uid="{00000000-0005-0000-0000-000006030000}"/>
    <cellStyle name="Normal 5 4 3" xfId="780" xr:uid="{00000000-0005-0000-0000-000007030000}"/>
    <cellStyle name="Normal 5 5" xfId="781" xr:uid="{00000000-0005-0000-0000-000008030000}"/>
    <cellStyle name="Normal 5_Copy of SAN2010" xfId="782" xr:uid="{00000000-0005-0000-0000-000009030000}"/>
    <cellStyle name="Normal 50" xfId="911" xr:uid="{00000000-0005-0000-0000-00000A030000}"/>
    <cellStyle name="Normal 6" xfId="783" xr:uid="{00000000-0005-0000-0000-00000B030000}"/>
    <cellStyle name="Normal 7" xfId="784" xr:uid="{00000000-0005-0000-0000-00000C030000}"/>
    <cellStyle name="Normal 75" xfId="785" xr:uid="{00000000-0005-0000-0000-00000D030000}"/>
    <cellStyle name="Normal 8" xfId="786" xr:uid="{00000000-0005-0000-0000-00000E030000}"/>
    <cellStyle name="Normal 8 2" xfId="787" xr:uid="{00000000-0005-0000-0000-00000F030000}"/>
    <cellStyle name="Normal 8_2D4CD000" xfId="788" xr:uid="{00000000-0005-0000-0000-000010030000}"/>
    <cellStyle name="Normal 9" xfId="789" xr:uid="{00000000-0005-0000-0000-000011030000}"/>
    <cellStyle name="Normal 9 2" xfId="790" xr:uid="{00000000-0005-0000-0000-000012030000}"/>
    <cellStyle name="Normal 9 2 2" xfId="791" xr:uid="{00000000-0005-0000-0000-000013030000}"/>
    <cellStyle name="Normal 9 2 3" xfId="792" xr:uid="{00000000-0005-0000-0000-000014030000}"/>
    <cellStyle name="Normal 9 2 4" xfId="793" xr:uid="{00000000-0005-0000-0000-000015030000}"/>
    <cellStyle name="Normal 9 2_anakia II etapi.xls sm. defeqturi" xfId="794" xr:uid="{00000000-0005-0000-0000-000016030000}"/>
    <cellStyle name="Normal 9_2D4CD000" xfId="795" xr:uid="{00000000-0005-0000-0000-000017030000}"/>
    <cellStyle name="Normal_axalqalaqis skola  2" xfId="908" xr:uid="{00000000-0005-0000-0000-000018030000}"/>
    <cellStyle name="Normal_Book1 2" xfId="796" xr:uid="{00000000-0005-0000-0000-000019030000}"/>
    <cellStyle name="Normal_Book1_axalqalaqis skola " xfId="910" xr:uid="{00000000-0005-0000-0000-00001A030000}"/>
    <cellStyle name="Normal_gare wyalsadfenigagarini 10" xfId="797" xr:uid="{00000000-0005-0000-0000-00001B030000}"/>
    <cellStyle name="Normal_gare wyalsadfenigagarini 2 2" xfId="798" xr:uid="{00000000-0005-0000-0000-00001C030000}"/>
    <cellStyle name="Normal_gare wyalsadfenigagarini_SUSTI DENEBI_axalqalaqis skola " xfId="906" xr:uid="{00000000-0005-0000-0000-00001D030000}"/>
    <cellStyle name="Normal_qavtarazis mravalfunqciuri kompleqsis xarjTaRricxva" xfId="4" xr:uid="{00000000-0005-0000-0000-00001E030000}"/>
    <cellStyle name="Normal_SUSTI DENEBI" xfId="905" xr:uid="{00000000-0005-0000-0000-00001F030000}"/>
    <cellStyle name="Note" xfId="799" xr:uid="{00000000-0005-0000-0000-000020030000}"/>
    <cellStyle name="Note 2" xfId="800" xr:uid="{00000000-0005-0000-0000-000021030000}"/>
    <cellStyle name="Note 2 2" xfId="801" xr:uid="{00000000-0005-0000-0000-000022030000}"/>
    <cellStyle name="Note 2 3" xfId="802" xr:uid="{00000000-0005-0000-0000-000023030000}"/>
    <cellStyle name="Note 2 4" xfId="803" xr:uid="{00000000-0005-0000-0000-000024030000}"/>
    <cellStyle name="Note 2 5" xfId="804" xr:uid="{00000000-0005-0000-0000-000025030000}"/>
    <cellStyle name="Note 2_anakia II etapi.xls sm. defeqturi" xfId="805" xr:uid="{00000000-0005-0000-0000-000026030000}"/>
    <cellStyle name="Note 3" xfId="806" xr:uid="{00000000-0005-0000-0000-000027030000}"/>
    <cellStyle name="Note 4" xfId="807" xr:uid="{00000000-0005-0000-0000-000028030000}"/>
    <cellStyle name="Note 4 2" xfId="808" xr:uid="{00000000-0005-0000-0000-000029030000}"/>
    <cellStyle name="Note 4_anakia II etapi.xls sm. defeqturi" xfId="809" xr:uid="{00000000-0005-0000-0000-00002A030000}"/>
    <cellStyle name="Note 5" xfId="810" xr:uid="{00000000-0005-0000-0000-00002B030000}"/>
    <cellStyle name="Note 6" xfId="811" xr:uid="{00000000-0005-0000-0000-00002C030000}"/>
    <cellStyle name="Note 7" xfId="812" xr:uid="{00000000-0005-0000-0000-00002D030000}"/>
    <cellStyle name="Output" xfId="813" xr:uid="{00000000-0005-0000-0000-00002E030000}"/>
    <cellStyle name="Output 2" xfId="814" xr:uid="{00000000-0005-0000-0000-00002F030000}"/>
    <cellStyle name="Output 2 2" xfId="815" xr:uid="{00000000-0005-0000-0000-000030030000}"/>
    <cellStyle name="Output 2 3" xfId="816" xr:uid="{00000000-0005-0000-0000-000031030000}"/>
    <cellStyle name="Output 2 4" xfId="817" xr:uid="{00000000-0005-0000-0000-000032030000}"/>
    <cellStyle name="Output 2 5" xfId="818" xr:uid="{00000000-0005-0000-0000-000033030000}"/>
    <cellStyle name="Output 2_anakia II etapi.xls sm. defeqturi" xfId="819" xr:uid="{00000000-0005-0000-0000-000034030000}"/>
    <cellStyle name="Output 3" xfId="820" xr:uid="{00000000-0005-0000-0000-000035030000}"/>
    <cellStyle name="Output 4" xfId="821" xr:uid="{00000000-0005-0000-0000-000036030000}"/>
    <cellStyle name="Output 4 2" xfId="822" xr:uid="{00000000-0005-0000-0000-000037030000}"/>
    <cellStyle name="Output 4_anakia II etapi.xls sm. defeqturi" xfId="823" xr:uid="{00000000-0005-0000-0000-000038030000}"/>
    <cellStyle name="Output 5" xfId="824" xr:uid="{00000000-0005-0000-0000-000039030000}"/>
    <cellStyle name="Output 6" xfId="825" xr:uid="{00000000-0005-0000-0000-00003A030000}"/>
    <cellStyle name="Output 7" xfId="826" xr:uid="{00000000-0005-0000-0000-00003B030000}"/>
    <cellStyle name="Percent" xfId="912" builtinId="5"/>
    <cellStyle name="Percent 2" xfId="827" xr:uid="{00000000-0005-0000-0000-00003C030000}"/>
    <cellStyle name="Percent 3" xfId="828" xr:uid="{00000000-0005-0000-0000-00003D030000}"/>
    <cellStyle name="Percent 3 2" xfId="829" xr:uid="{00000000-0005-0000-0000-00003E030000}"/>
    <cellStyle name="Percent 4" xfId="830" xr:uid="{00000000-0005-0000-0000-00003F030000}"/>
    <cellStyle name="Percent 5" xfId="831" xr:uid="{00000000-0005-0000-0000-000040030000}"/>
    <cellStyle name="Percent 6" xfId="832" xr:uid="{00000000-0005-0000-0000-000041030000}"/>
    <cellStyle name="Style 1" xfId="833" xr:uid="{00000000-0005-0000-0000-000042030000}"/>
    <cellStyle name="Title" xfId="834" xr:uid="{00000000-0005-0000-0000-000043030000}"/>
    <cellStyle name="Title 2" xfId="835" xr:uid="{00000000-0005-0000-0000-000044030000}"/>
    <cellStyle name="Title 2 2" xfId="836" xr:uid="{00000000-0005-0000-0000-000045030000}"/>
    <cellStyle name="Title 2 3" xfId="837" xr:uid="{00000000-0005-0000-0000-000046030000}"/>
    <cellStyle name="Title 2 4" xfId="838" xr:uid="{00000000-0005-0000-0000-000047030000}"/>
    <cellStyle name="Title 2 5" xfId="839" xr:uid="{00000000-0005-0000-0000-000048030000}"/>
    <cellStyle name="Title 3" xfId="840" xr:uid="{00000000-0005-0000-0000-000049030000}"/>
    <cellStyle name="Title 4" xfId="841" xr:uid="{00000000-0005-0000-0000-00004A030000}"/>
    <cellStyle name="Title 4 2" xfId="842" xr:uid="{00000000-0005-0000-0000-00004B030000}"/>
    <cellStyle name="Title 5" xfId="843" xr:uid="{00000000-0005-0000-0000-00004C030000}"/>
    <cellStyle name="Title 6" xfId="844" xr:uid="{00000000-0005-0000-0000-00004D030000}"/>
    <cellStyle name="Title 7" xfId="845" xr:uid="{00000000-0005-0000-0000-00004E030000}"/>
    <cellStyle name="Total" xfId="846" xr:uid="{00000000-0005-0000-0000-00004F030000}"/>
    <cellStyle name="Total 2" xfId="847" xr:uid="{00000000-0005-0000-0000-000050030000}"/>
    <cellStyle name="Total 2 2" xfId="848" xr:uid="{00000000-0005-0000-0000-000051030000}"/>
    <cellStyle name="Total 2 3" xfId="849" xr:uid="{00000000-0005-0000-0000-000052030000}"/>
    <cellStyle name="Total 2 4" xfId="850" xr:uid="{00000000-0005-0000-0000-000053030000}"/>
    <cellStyle name="Total 2 5" xfId="851" xr:uid="{00000000-0005-0000-0000-000054030000}"/>
    <cellStyle name="Total 2_anakia II etapi.xls sm. defeqturi" xfId="852" xr:uid="{00000000-0005-0000-0000-000055030000}"/>
    <cellStyle name="Total 3" xfId="853" xr:uid="{00000000-0005-0000-0000-000056030000}"/>
    <cellStyle name="Total 4" xfId="854" xr:uid="{00000000-0005-0000-0000-000057030000}"/>
    <cellStyle name="Total 4 2" xfId="855" xr:uid="{00000000-0005-0000-0000-000058030000}"/>
    <cellStyle name="Total 4_anakia II etapi.xls sm. defeqturi" xfId="856" xr:uid="{00000000-0005-0000-0000-000059030000}"/>
    <cellStyle name="Total 5" xfId="857" xr:uid="{00000000-0005-0000-0000-00005A030000}"/>
    <cellStyle name="Total 6" xfId="858" xr:uid="{00000000-0005-0000-0000-00005B030000}"/>
    <cellStyle name="Total 7" xfId="859" xr:uid="{00000000-0005-0000-0000-00005C030000}"/>
    <cellStyle name="Warning Text" xfId="860" xr:uid="{00000000-0005-0000-0000-00005D030000}"/>
    <cellStyle name="Warning Text 2" xfId="861" xr:uid="{00000000-0005-0000-0000-00005E030000}"/>
    <cellStyle name="Warning Text 2 2" xfId="862" xr:uid="{00000000-0005-0000-0000-00005F030000}"/>
    <cellStyle name="Warning Text 2 3" xfId="863" xr:uid="{00000000-0005-0000-0000-000060030000}"/>
    <cellStyle name="Warning Text 2 4" xfId="864" xr:uid="{00000000-0005-0000-0000-000061030000}"/>
    <cellStyle name="Warning Text 2 5" xfId="865" xr:uid="{00000000-0005-0000-0000-000062030000}"/>
    <cellStyle name="Warning Text 3" xfId="866" xr:uid="{00000000-0005-0000-0000-000063030000}"/>
    <cellStyle name="Warning Text 4" xfId="867" xr:uid="{00000000-0005-0000-0000-000064030000}"/>
    <cellStyle name="Warning Text 4 2" xfId="868" xr:uid="{00000000-0005-0000-0000-000065030000}"/>
    <cellStyle name="Warning Text 5" xfId="869" xr:uid="{00000000-0005-0000-0000-000066030000}"/>
    <cellStyle name="Warning Text 6" xfId="870" xr:uid="{00000000-0005-0000-0000-000067030000}"/>
    <cellStyle name="Warning Text 7" xfId="871" xr:uid="{00000000-0005-0000-0000-000068030000}"/>
    <cellStyle name="Обычный 10" xfId="872" xr:uid="{00000000-0005-0000-0000-00006A030000}"/>
    <cellStyle name="Обычный 10 2" xfId="873" xr:uid="{00000000-0005-0000-0000-00006B030000}"/>
    <cellStyle name="Обычный 11" xfId="6" xr:uid="{00000000-0005-0000-0000-00006C030000}"/>
    <cellStyle name="Обычный 2" xfId="3" xr:uid="{00000000-0005-0000-0000-00006D030000}"/>
    <cellStyle name="Обычный 2 2" xfId="874" xr:uid="{00000000-0005-0000-0000-00006E030000}"/>
    <cellStyle name="Обычный 3" xfId="875" xr:uid="{00000000-0005-0000-0000-00006F030000}"/>
    <cellStyle name="Обычный 3 2" xfId="876" xr:uid="{00000000-0005-0000-0000-000070030000}"/>
    <cellStyle name="Обычный 3 3" xfId="877" xr:uid="{00000000-0005-0000-0000-000071030000}"/>
    <cellStyle name="Обычный 4" xfId="878" xr:uid="{00000000-0005-0000-0000-000072030000}"/>
    <cellStyle name="Обычный 4 2" xfId="879" xr:uid="{00000000-0005-0000-0000-000073030000}"/>
    <cellStyle name="Обычный 4 3" xfId="880" xr:uid="{00000000-0005-0000-0000-000074030000}"/>
    <cellStyle name="Обычный 4 4" xfId="881" xr:uid="{00000000-0005-0000-0000-000075030000}"/>
    <cellStyle name="Обычный 5" xfId="882" xr:uid="{00000000-0005-0000-0000-000076030000}"/>
    <cellStyle name="Обычный 5 2" xfId="883" xr:uid="{00000000-0005-0000-0000-000077030000}"/>
    <cellStyle name="Обычный 5 2 2" xfId="884" xr:uid="{00000000-0005-0000-0000-000078030000}"/>
    <cellStyle name="Обычный 5 3" xfId="885" xr:uid="{00000000-0005-0000-0000-000079030000}"/>
    <cellStyle name="Обычный 5 4" xfId="886" xr:uid="{00000000-0005-0000-0000-00007A030000}"/>
    <cellStyle name="Обычный 5 4 2" xfId="887" xr:uid="{00000000-0005-0000-0000-00007B030000}"/>
    <cellStyle name="Обычный 5 5" xfId="888" xr:uid="{00000000-0005-0000-0000-00007C030000}"/>
    <cellStyle name="Обычный 6" xfId="889" xr:uid="{00000000-0005-0000-0000-00007D030000}"/>
    <cellStyle name="Обычный 6 2" xfId="890" xr:uid="{00000000-0005-0000-0000-00007E030000}"/>
    <cellStyle name="Обычный 7" xfId="891" xr:uid="{00000000-0005-0000-0000-00007F030000}"/>
    <cellStyle name="Обычный 8" xfId="892" xr:uid="{00000000-0005-0000-0000-000080030000}"/>
    <cellStyle name="Обычный 8 2" xfId="893" xr:uid="{00000000-0005-0000-0000-000081030000}"/>
    <cellStyle name="Обычный 9" xfId="894" xr:uid="{00000000-0005-0000-0000-000082030000}"/>
    <cellStyle name="Обычный_ELEQ_SUSTI DENEBI_axalqalaqis skola " xfId="904" xr:uid="{00000000-0005-0000-0000-000083030000}"/>
    <cellStyle name="Обычный_Лист1" xfId="907" xr:uid="{00000000-0005-0000-0000-000084030000}"/>
    <cellStyle name="Плохой 2" xfId="895" xr:uid="{00000000-0005-0000-0000-000085030000}"/>
    <cellStyle name="Процентный 2" xfId="896" xr:uid="{00000000-0005-0000-0000-000086030000}"/>
    <cellStyle name="Процентный 3" xfId="897" xr:uid="{00000000-0005-0000-0000-000087030000}"/>
    <cellStyle name="Процентный 3 2" xfId="898" xr:uid="{00000000-0005-0000-0000-000088030000}"/>
    <cellStyle name="Финансовый 2" xfId="899" xr:uid="{00000000-0005-0000-0000-00008A030000}"/>
    <cellStyle name="Финансовый 2 2" xfId="900" xr:uid="{00000000-0005-0000-0000-00008B030000}"/>
    <cellStyle name="Финансовый 3" xfId="901" xr:uid="{00000000-0005-0000-0000-00008C030000}"/>
    <cellStyle name="Финансовый 4" xfId="902" xr:uid="{00000000-0005-0000-0000-00008D030000}"/>
    <cellStyle name="Финансовый 5" xfId="903" xr:uid="{00000000-0005-0000-0000-00008E030000}"/>
    <cellStyle name="Финансовый 6" xfId="479" xr:uid="{00000000-0005-0000-0000-00008F030000}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CCFF33"/>
      <color rgb="FFCCCC00"/>
      <color rgb="FF0000FF"/>
      <color rgb="FFCCFF99"/>
      <color rgb="FF9900FF"/>
      <color rgb="FFFFCCFF"/>
      <color rgb="FF0000CC"/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23"/>
  <sheetViews>
    <sheetView topLeftCell="A2" zoomScaleNormal="100" workbookViewId="0">
      <selection activeCell="F19" sqref="F19"/>
    </sheetView>
  </sheetViews>
  <sheetFormatPr defaultColWidth="8.875" defaultRowHeight="15"/>
  <cols>
    <col min="1" max="1" width="5.875" style="4" customWidth="1"/>
    <col min="2" max="2" width="37" style="4" customWidth="1"/>
    <col min="3" max="3" width="60.375" style="4" customWidth="1"/>
    <col min="4" max="4" width="26.375" style="4" customWidth="1"/>
    <col min="5" max="5" width="8.875" style="594"/>
    <col min="6" max="7" width="14.375" style="594" customWidth="1"/>
    <col min="8" max="9" width="8.875" style="594"/>
    <col min="10" max="16384" width="8.875" style="4"/>
  </cols>
  <sheetData>
    <row r="1" spans="1:4" ht="25.15" customHeight="1">
      <c r="A1" s="1386" t="s">
        <v>49</v>
      </c>
      <c r="B1" s="1386"/>
      <c r="C1" s="1386"/>
      <c r="D1" s="1386"/>
    </row>
    <row r="2" spans="1:4" ht="16.5">
      <c r="A2" s="5"/>
      <c r="B2" s="5"/>
      <c r="C2" s="5"/>
      <c r="D2" s="5"/>
    </row>
    <row r="3" spans="1:4" ht="36.6" customHeight="1">
      <c r="A3" s="1386" t="s">
        <v>1195</v>
      </c>
      <c r="B3" s="1386"/>
      <c r="C3" s="1386"/>
      <c r="D3" s="1386"/>
    </row>
    <row r="4" spans="1:4" ht="16.5">
      <c r="A4" s="5"/>
      <c r="B4" s="5"/>
      <c r="C4" s="5"/>
      <c r="D4" s="5"/>
    </row>
    <row r="5" spans="1:4" ht="57.75" customHeight="1">
      <c r="A5" s="826" t="s">
        <v>0</v>
      </c>
      <c r="B5" s="826" t="s">
        <v>50</v>
      </c>
      <c r="C5" s="826" t="s">
        <v>51</v>
      </c>
      <c r="D5" s="851" t="s">
        <v>1192</v>
      </c>
    </row>
    <row r="6" spans="1:4" ht="16.5">
      <c r="A6" s="6">
        <v>1</v>
      </c>
      <c r="B6" s="6">
        <v>2</v>
      </c>
      <c r="C6" s="6">
        <v>3</v>
      </c>
      <c r="D6" s="6">
        <v>4</v>
      </c>
    </row>
    <row r="7" spans="1:4" ht="23.25" customHeight="1">
      <c r="A7" s="6">
        <v>1</v>
      </c>
      <c r="B7" s="6" t="s">
        <v>52</v>
      </c>
      <c r="C7" s="852" t="s">
        <v>82</v>
      </c>
      <c r="D7" s="1324">
        <f>'#1'!M1584</f>
        <v>0</v>
      </c>
    </row>
    <row r="8" spans="1:4" ht="23.25" customHeight="1">
      <c r="A8" s="6">
        <v>2</v>
      </c>
      <c r="B8" s="6" t="s">
        <v>53</v>
      </c>
      <c r="C8" s="852" t="s">
        <v>45</v>
      </c>
      <c r="D8" s="1325">
        <f>'#2'!M346</f>
        <v>0</v>
      </c>
    </row>
    <row r="9" spans="1:4" ht="33" customHeight="1">
      <c r="A9" s="10">
        <v>3</v>
      </c>
      <c r="B9" s="11" t="s">
        <v>61</v>
      </c>
      <c r="C9" s="852" t="s">
        <v>419</v>
      </c>
      <c r="D9" s="1325">
        <f>'#3'!M501</f>
        <v>0</v>
      </c>
    </row>
    <row r="10" spans="1:4" ht="35.25" customHeight="1">
      <c r="A10" s="13">
        <v>4</v>
      </c>
      <c r="B10" s="13" t="s">
        <v>62</v>
      </c>
      <c r="C10" s="852" t="s">
        <v>420</v>
      </c>
      <c r="D10" s="1325">
        <f>'#4'!M464</f>
        <v>0</v>
      </c>
    </row>
    <row r="11" spans="1:4" ht="39" customHeight="1">
      <c r="A11" s="23">
        <v>5</v>
      </c>
      <c r="B11" s="23" t="s">
        <v>72</v>
      </c>
      <c r="C11" s="852" t="s">
        <v>795</v>
      </c>
      <c r="D11" s="1325">
        <f>'#5'!M146</f>
        <v>0</v>
      </c>
    </row>
    <row r="12" spans="1:4" ht="23.25" customHeight="1">
      <c r="A12" s="14">
        <v>6</v>
      </c>
      <c r="B12" s="14" t="s">
        <v>80</v>
      </c>
      <c r="C12" s="852" t="s">
        <v>362</v>
      </c>
      <c r="D12" s="1325">
        <f>'#6'!M294</f>
        <v>0</v>
      </c>
    </row>
    <row r="13" spans="1:4" ht="23.25" customHeight="1">
      <c r="A13" s="93">
        <v>7</v>
      </c>
      <c r="B13" s="93" t="s">
        <v>424</v>
      </c>
      <c r="C13" s="852" t="s">
        <v>422</v>
      </c>
      <c r="D13" s="1325">
        <f>'#7'!M41</f>
        <v>0</v>
      </c>
    </row>
    <row r="14" spans="1:4" ht="16.5">
      <c r="A14" s="6"/>
      <c r="B14" s="6"/>
      <c r="C14" s="6"/>
      <c r="D14" s="1325"/>
    </row>
    <row r="15" spans="1:4" ht="24.75" customHeight="1">
      <c r="A15" s="8"/>
      <c r="B15" s="8"/>
      <c r="C15" s="3" t="s">
        <v>54</v>
      </c>
      <c r="D15" s="1326">
        <f>SUM(D7:D14)</f>
        <v>0</v>
      </c>
    </row>
    <row r="16" spans="1:4" ht="24" customHeight="1">
      <c r="A16" s="6"/>
      <c r="B16" s="6"/>
      <c r="C16" s="279" t="s">
        <v>744</v>
      </c>
      <c r="D16" s="1325">
        <f>D15*0.03</f>
        <v>0</v>
      </c>
    </row>
    <row r="17" spans="1:6" ht="24" customHeight="1">
      <c r="A17" s="6"/>
      <c r="B17" s="6"/>
      <c r="C17" s="6"/>
      <c r="D17" s="1325">
        <f>D15+D16</f>
        <v>0</v>
      </c>
    </row>
    <row r="18" spans="1:6" ht="24" customHeight="1">
      <c r="A18" s="6"/>
      <c r="B18" s="6"/>
      <c r="C18" s="279" t="s">
        <v>745</v>
      </c>
      <c r="D18" s="1325">
        <f>D17*0.18</f>
        <v>0</v>
      </c>
    </row>
    <row r="19" spans="1:6" ht="30" customHeight="1">
      <c r="A19" s="7"/>
      <c r="B19" s="7"/>
      <c r="C19" s="1" t="s">
        <v>55</v>
      </c>
      <c r="D19" s="1327">
        <f>D17+D18</f>
        <v>0</v>
      </c>
    </row>
    <row r="20" spans="1:6" ht="16.5">
      <c r="A20" s="5"/>
      <c r="B20" s="5"/>
      <c r="C20" s="5"/>
      <c r="D20" s="5"/>
      <c r="F20" s="1220">
        <v>4642500.5515225055</v>
      </c>
    </row>
    <row r="21" spans="1:6" ht="16.5">
      <c r="A21" s="5"/>
      <c r="B21" s="825"/>
      <c r="C21" s="825"/>
      <c r="D21" s="5"/>
      <c r="F21" s="1221">
        <f>F20-D15</f>
        <v>4642500.5515225055</v>
      </c>
    </row>
    <row r="22" spans="1:6" ht="16.5">
      <c r="C22" s="12"/>
    </row>
    <row r="23" spans="1:6" ht="16.5">
      <c r="B23" s="824"/>
      <c r="C23" s="824"/>
    </row>
  </sheetData>
  <mergeCells count="2">
    <mergeCell ref="A1:D1"/>
    <mergeCell ref="A3:D3"/>
  </mergeCells>
  <pageMargins left="0.70866141732283472" right="0.33" top="0.27559055118110237" bottom="0.23622047244094491" header="0.19685039370078741" footer="0.19685039370078741"/>
  <pageSetup paperSize="9" orientation="landscape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P159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569" sqref="H1569"/>
    </sheetView>
  </sheetViews>
  <sheetFormatPr defaultColWidth="8.875" defaultRowHeight="15.75"/>
  <cols>
    <col min="1" max="1" width="5.375" style="725" customWidth="1"/>
    <col min="2" max="2" width="12.375" style="38" customWidth="1"/>
    <col min="3" max="3" width="55.125" style="2" customWidth="1"/>
    <col min="4" max="4" width="8" style="38" customWidth="1"/>
    <col min="5" max="5" width="11.625" style="272" customWidth="1"/>
    <col min="6" max="6" width="14.25" style="272" customWidth="1"/>
    <col min="7" max="12" width="12.875" style="1228" customWidth="1"/>
    <col min="13" max="13" width="17.375" style="1249" customWidth="1"/>
    <col min="14" max="14" width="20.25" style="1249" hidden="1" customWidth="1"/>
    <col min="15" max="15" width="28.875" style="1250" hidden="1" customWidth="1"/>
    <col min="16" max="16" width="11.25" style="16" hidden="1" customWidth="1"/>
    <col min="17" max="20" width="0" style="16" hidden="1" customWidth="1"/>
    <col min="21" max="16384" width="8.875" style="16"/>
  </cols>
  <sheetData>
    <row r="1" spans="1:15" ht="31.5" customHeight="1">
      <c r="A1" s="1437" t="str">
        <f>krebsiti!A3</f>
        <v>q.borjomi fexburTis centraluri stadioni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</row>
    <row r="2" spans="1:15" ht="18.75" customHeight="1">
      <c r="A2" s="1437" t="s">
        <v>3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</row>
    <row r="3" spans="1:15" ht="24.75" customHeight="1">
      <c r="A3" s="1437" t="s">
        <v>82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</row>
    <row r="4" spans="1:15" s="667" customFormat="1" ht="27" customHeight="1">
      <c r="A4" s="1393" t="s">
        <v>0</v>
      </c>
      <c r="B4" s="1438" t="s">
        <v>789</v>
      </c>
      <c r="C4" s="1438" t="s">
        <v>790</v>
      </c>
      <c r="D4" s="1438" t="s">
        <v>791</v>
      </c>
      <c r="E4" s="1444" t="s">
        <v>209</v>
      </c>
      <c r="F4" s="1445"/>
      <c r="G4" s="1440" t="s">
        <v>208</v>
      </c>
      <c r="H4" s="1441"/>
      <c r="I4" s="1440" t="s">
        <v>792</v>
      </c>
      <c r="J4" s="1441"/>
      <c r="K4" s="1440" t="s">
        <v>17</v>
      </c>
      <c r="L4" s="1441"/>
      <c r="M4" s="1442" t="s">
        <v>425</v>
      </c>
      <c r="N4" s="1250"/>
      <c r="O4" s="1250"/>
    </row>
    <row r="5" spans="1:15" s="667" customFormat="1">
      <c r="A5" s="1395"/>
      <c r="B5" s="1439"/>
      <c r="C5" s="1439"/>
      <c r="D5" s="1439"/>
      <c r="E5" s="1234" t="s">
        <v>210</v>
      </c>
      <c r="F5" s="1234" t="s">
        <v>9</v>
      </c>
      <c r="G5" s="448" t="s">
        <v>793</v>
      </c>
      <c r="H5" s="448" t="s">
        <v>9</v>
      </c>
      <c r="I5" s="448" t="s">
        <v>793</v>
      </c>
      <c r="J5" s="448" t="s">
        <v>9</v>
      </c>
      <c r="K5" s="448" t="s">
        <v>793</v>
      </c>
      <c r="L5" s="448" t="s">
        <v>9</v>
      </c>
      <c r="M5" s="1443"/>
      <c r="N5" s="1250"/>
      <c r="O5" s="1250"/>
    </row>
    <row r="6" spans="1:15">
      <c r="A6" s="449">
        <v>1</v>
      </c>
      <c r="B6" s="42">
        <v>2</v>
      </c>
      <c r="C6" s="696">
        <v>3</v>
      </c>
      <c r="D6" s="447">
        <v>4</v>
      </c>
      <c r="E6" s="1234">
        <v>5</v>
      </c>
      <c r="F6" s="1234">
        <v>6</v>
      </c>
      <c r="G6" s="448">
        <v>7</v>
      </c>
      <c r="H6" s="448">
        <v>8</v>
      </c>
      <c r="I6" s="448">
        <v>9</v>
      </c>
      <c r="J6" s="448">
        <v>10</v>
      </c>
      <c r="K6" s="448">
        <v>11</v>
      </c>
      <c r="L6" s="448">
        <v>12</v>
      </c>
      <c r="M6" s="1251">
        <v>13</v>
      </c>
    </row>
    <row r="7" spans="1:15" ht="24" customHeight="1">
      <c r="A7" s="376" t="s">
        <v>68</v>
      </c>
      <c r="B7" s="377"/>
      <c r="C7" s="375" t="s">
        <v>82</v>
      </c>
      <c r="D7" s="377"/>
      <c r="E7" s="379"/>
      <c r="F7" s="379"/>
      <c r="G7" s="77"/>
      <c r="H7" s="77"/>
      <c r="I7" s="77"/>
      <c r="J7" s="77"/>
      <c r="K7" s="77"/>
      <c r="L7" s="448"/>
      <c r="M7" s="1251"/>
    </row>
    <row r="8" spans="1:15" s="215" customFormat="1" ht="24" customHeight="1">
      <c r="A8" s="1105"/>
      <c r="B8" s="1106"/>
      <c r="C8" s="1107" t="s">
        <v>1507</v>
      </c>
      <c r="D8" s="1106"/>
      <c r="E8" s="1108"/>
      <c r="F8" s="1108"/>
      <c r="G8" s="77"/>
      <c r="H8" s="77"/>
      <c r="I8" s="77"/>
      <c r="J8" s="77"/>
      <c r="K8" s="77"/>
      <c r="L8" s="77"/>
      <c r="M8" s="1252"/>
      <c r="N8" s="1253"/>
      <c r="O8" s="1254"/>
    </row>
    <row r="9" spans="1:15" s="215" customFormat="1" ht="24" customHeight="1">
      <c r="A9" s="1104"/>
      <c r="B9" s="43"/>
      <c r="C9" s="219" t="s">
        <v>1508</v>
      </c>
      <c r="D9" s="43"/>
      <c r="E9" s="108"/>
      <c r="F9" s="108"/>
      <c r="G9" s="77"/>
      <c r="H9" s="77"/>
      <c r="I9" s="77"/>
      <c r="J9" s="77"/>
      <c r="K9" s="77"/>
      <c r="L9" s="77"/>
      <c r="M9" s="1252"/>
      <c r="N9" s="1253"/>
      <c r="O9" s="1254"/>
    </row>
    <row r="10" spans="1:15" s="215" customFormat="1" ht="63">
      <c r="A10" s="1447" t="s">
        <v>429</v>
      </c>
      <c r="B10" s="43" t="s">
        <v>1509</v>
      </c>
      <c r="C10" s="425" t="s">
        <v>1523</v>
      </c>
      <c r="D10" s="43" t="s">
        <v>4</v>
      </c>
      <c r="E10" s="108"/>
      <c r="F10" s="108">
        <f>145*4</f>
        <v>580</v>
      </c>
      <c r="G10" s="77"/>
      <c r="H10" s="77"/>
      <c r="I10" s="77"/>
      <c r="J10" s="77"/>
      <c r="K10" s="77"/>
      <c r="L10" s="77"/>
      <c r="M10" s="1252"/>
      <c r="N10" s="1253"/>
      <c r="O10" s="1254"/>
    </row>
    <row r="11" spans="1:15" s="215" customFormat="1">
      <c r="A11" s="1448"/>
      <c r="B11" s="1061"/>
      <c r="C11" s="165" t="s">
        <v>13</v>
      </c>
      <c r="D11" s="1061" t="s">
        <v>15</v>
      </c>
      <c r="E11" s="17">
        <v>2.7E-2</v>
      </c>
      <c r="F11" s="17">
        <f>F10*E11</f>
        <v>15.66</v>
      </c>
      <c r="G11" s="77"/>
      <c r="H11" s="77"/>
      <c r="I11" s="77"/>
      <c r="J11" s="77">
        <f>F11*I11</f>
        <v>0</v>
      </c>
      <c r="K11" s="77"/>
      <c r="L11" s="77"/>
      <c r="M11" s="1252">
        <f>H11+J11+L11</f>
        <v>0</v>
      </c>
      <c r="N11" s="1253"/>
      <c r="O11" s="1254"/>
    </row>
    <row r="12" spans="1:15" s="215" customFormat="1">
      <c r="A12" s="1448"/>
      <c r="B12" s="1061" t="s">
        <v>384</v>
      </c>
      <c r="C12" s="165" t="s">
        <v>1510</v>
      </c>
      <c r="D12" s="1061" t="s">
        <v>16</v>
      </c>
      <c r="E12" s="17">
        <v>6.0499999999999998E-2</v>
      </c>
      <c r="F12" s="17">
        <f>F10*E12</f>
        <v>35.089999999999996</v>
      </c>
      <c r="G12" s="77"/>
      <c r="H12" s="77"/>
      <c r="I12" s="77"/>
      <c r="J12" s="77"/>
      <c r="K12" s="77"/>
      <c r="L12" s="77">
        <f>F12*K12</f>
        <v>0</v>
      </c>
      <c r="M12" s="1252">
        <f t="shared" ref="M12:M13" si="0">H12+J12+L12</f>
        <v>0</v>
      </c>
      <c r="N12" s="1253"/>
      <c r="O12" s="1254"/>
    </row>
    <row r="13" spans="1:15" s="215" customFormat="1">
      <c r="A13" s="1448"/>
      <c r="B13" s="1061"/>
      <c r="C13" s="165" t="s">
        <v>14</v>
      </c>
      <c r="D13" s="1061" t="s">
        <v>1511</v>
      </c>
      <c r="E13" s="17">
        <v>2.2100000000000002E-3</v>
      </c>
      <c r="F13" s="17">
        <f>F10*E13</f>
        <v>1.2818000000000001</v>
      </c>
      <c r="G13" s="77"/>
      <c r="H13" s="77"/>
      <c r="I13" s="77"/>
      <c r="J13" s="77"/>
      <c r="K13" s="77"/>
      <c r="L13" s="77">
        <f>F13*K13</f>
        <v>0</v>
      </c>
      <c r="M13" s="1252">
        <f t="shared" si="0"/>
        <v>0</v>
      </c>
      <c r="N13" s="1253"/>
      <c r="O13" s="1254"/>
    </row>
    <row r="14" spans="1:15" s="215" customFormat="1" ht="47.25">
      <c r="A14" s="1447" t="s">
        <v>430</v>
      </c>
      <c r="B14" s="43" t="s">
        <v>1509</v>
      </c>
      <c r="C14" s="425" t="s">
        <v>1522</v>
      </c>
      <c r="D14" s="43" t="s">
        <v>4</v>
      </c>
      <c r="E14" s="108"/>
      <c r="F14" s="108">
        <f>135*1</f>
        <v>135</v>
      </c>
      <c r="G14" s="77"/>
      <c r="H14" s="77"/>
      <c r="I14" s="77"/>
      <c r="J14" s="77"/>
      <c r="K14" s="77"/>
      <c r="L14" s="77"/>
      <c r="M14" s="1252"/>
      <c r="N14" s="1253"/>
      <c r="O14" s="1254"/>
    </row>
    <row r="15" spans="1:15" s="215" customFormat="1">
      <c r="A15" s="1448"/>
      <c r="B15" s="1061"/>
      <c r="C15" s="165" t="s">
        <v>13</v>
      </c>
      <c r="D15" s="1061" t="s">
        <v>15</v>
      </c>
      <c r="E15" s="17">
        <v>2.7E-2</v>
      </c>
      <c r="F15" s="17">
        <f>F14*E15</f>
        <v>3.645</v>
      </c>
      <c r="G15" s="77"/>
      <c r="H15" s="77"/>
      <c r="I15" s="77"/>
      <c r="J15" s="77">
        <f>F15*I15</f>
        <v>0</v>
      </c>
      <c r="K15" s="77"/>
      <c r="L15" s="77"/>
      <c r="M15" s="1252">
        <f>H15+J15+L15</f>
        <v>0</v>
      </c>
      <c r="N15" s="1253"/>
      <c r="O15" s="1254"/>
    </row>
    <row r="16" spans="1:15" s="215" customFormat="1">
      <c r="A16" s="1448"/>
      <c r="B16" s="1061" t="s">
        <v>384</v>
      </c>
      <c r="C16" s="165" t="s">
        <v>1510</v>
      </c>
      <c r="D16" s="1061" t="s">
        <v>16</v>
      </c>
      <c r="E16" s="17">
        <v>6.0499999999999998E-2</v>
      </c>
      <c r="F16" s="17">
        <f>F14*E16</f>
        <v>8.1675000000000004</v>
      </c>
      <c r="G16" s="77"/>
      <c r="H16" s="77"/>
      <c r="I16" s="77"/>
      <c r="J16" s="77"/>
      <c r="K16" s="77"/>
      <c r="L16" s="77">
        <f>F16*K16</f>
        <v>0</v>
      </c>
      <c r="M16" s="1252">
        <f t="shared" ref="M16:M17" si="1">H16+J16+L16</f>
        <v>0</v>
      </c>
      <c r="N16" s="1253"/>
      <c r="O16" s="1254"/>
    </row>
    <row r="17" spans="1:15" s="215" customFormat="1">
      <c r="A17" s="1448"/>
      <c r="B17" s="1061"/>
      <c r="C17" s="165" t="s">
        <v>14</v>
      </c>
      <c r="D17" s="1061" t="s">
        <v>1511</v>
      </c>
      <c r="E17" s="17">
        <v>2.2100000000000002E-3</v>
      </c>
      <c r="F17" s="17">
        <f>F14*E17</f>
        <v>0.29835</v>
      </c>
      <c r="G17" s="77"/>
      <c r="H17" s="77"/>
      <c r="I17" s="77"/>
      <c r="J17" s="77"/>
      <c r="K17" s="77"/>
      <c r="L17" s="77">
        <f>F17*K17</f>
        <v>0</v>
      </c>
      <c r="M17" s="1252">
        <f t="shared" si="1"/>
        <v>0</v>
      </c>
      <c r="N17" s="1253"/>
      <c r="O17" s="1254"/>
    </row>
    <row r="18" spans="1:15" s="215" customFormat="1" ht="47.25">
      <c r="A18" s="1423" t="s">
        <v>83</v>
      </c>
      <c r="B18" s="1110" t="s">
        <v>1512</v>
      </c>
      <c r="C18" s="287" t="s">
        <v>1525</v>
      </c>
      <c r="D18" s="42" t="s">
        <v>4</v>
      </c>
      <c r="E18" s="1233"/>
      <c r="F18" s="108">
        <v>70</v>
      </c>
      <c r="G18" s="77"/>
      <c r="H18" s="77"/>
      <c r="I18" s="77"/>
      <c r="J18" s="77"/>
      <c r="K18" s="77"/>
      <c r="L18" s="448"/>
      <c r="M18" s="1251"/>
      <c r="N18" s="1253"/>
      <c r="O18" s="1254"/>
    </row>
    <row r="19" spans="1:15" s="215" customFormat="1">
      <c r="A19" s="1425"/>
      <c r="B19" s="42"/>
      <c r="C19" s="150" t="s">
        <v>20</v>
      </c>
      <c r="D19" s="64" t="s">
        <v>15</v>
      </c>
      <c r="E19" s="746">
        <v>0.6</v>
      </c>
      <c r="F19" s="17">
        <f>F18*E19</f>
        <v>42</v>
      </c>
      <c r="G19" s="146"/>
      <c r="H19" s="77"/>
      <c r="I19" s="146"/>
      <c r="J19" s="77">
        <f t="shared" ref="J19" si="2">F19*I19</f>
        <v>0</v>
      </c>
      <c r="K19" s="77"/>
      <c r="L19" s="448"/>
      <c r="M19" s="1251">
        <f t="shared" ref="M19" si="3">H19+J19+L19</f>
        <v>0</v>
      </c>
      <c r="N19" s="1253"/>
      <c r="O19" s="1254"/>
    </row>
    <row r="20" spans="1:15" s="215" customFormat="1">
      <c r="A20" s="1060">
        <v>4</v>
      </c>
      <c r="B20" s="39"/>
      <c r="C20" s="1066" t="s">
        <v>1514</v>
      </c>
      <c r="D20" s="1064" t="s">
        <v>218</v>
      </c>
      <c r="E20" s="20">
        <v>1.95</v>
      </c>
      <c r="F20" s="109">
        <f>(F10+F18+F14)*E20</f>
        <v>1530.75</v>
      </c>
      <c r="G20" s="79"/>
      <c r="H20" s="77"/>
      <c r="I20" s="79"/>
      <c r="J20" s="77"/>
      <c r="K20" s="146"/>
      <c r="L20" s="77">
        <f>F20*K20</f>
        <v>0</v>
      </c>
      <c r="M20" s="1252">
        <f>H20+J20+L20</f>
        <v>0</v>
      </c>
      <c r="N20" s="1253"/>
      <c r="O20" s="1254"/>
    </row>
    <row r="21" spans="1:15" s="215" customFormat="1" ht="31.5">
      <c r="A21" s="1423" t="s">
        <v>38</v>
      </c>
      <c r="B21" s="42" t="s">
        <v>1516</v>
      </c>
      <c r="C21" s="288" t="s">
        <v>1524</v>
      </c>
      <c r="D21" s="1111" t="s">
        <v>5</v>
      </c>
      <c r="E21" s="1112"/>
      <c r="F21" s="108">
        <v>877</v>
      </c>
      <c r="G21" s="146"/>
      <c r="H21" s="77"/>
      <c r="I21" s="146"/>
      <c r="J21" s="77"/>
      <c r="K21" s="77"/>
      <c r="L21" s="448"/>
      <c r="M21" s="1251"/>
      <c r="N21" s="1253"/>
      <c r="O21" s="1254"/>
    </row>
    <row r="22" spans="1:15" s="215" customFormat="1">
      <c r="A22" s="1424"/>
      <c r="B22" s="42"/>
      <c r="C22" s="165" t="s">
        <v>13</v>
      </c>
      <c r="D22" s="1061" t="s">
        <v>15</v>
      </c>
      <c r="E22" s="17">
        <v>0.20499999999999999</v>
      </c>
      <c r="F22" s="17">
        <f>F21*E22</f>
        <v>179.785</v>
      </c>
      <c r="G22" s="77"/>
      <c r="H22" s="77"/>
      <c r="I22" s="77"/>
      <c r="J22" s="77">
        <f>F22*I22</f>
        <v>0</v>
      </c>
      <c r="K22" s="77"/>
      <c r="L22" s="77"/>
      <c r="M22" s="1252">
        <f>H22+J22+L22</f>
        <v>0</v>
      </c>
      <c r="N22" s="1253"/>
      <c r="O22" s="1254"/>
    </row>
    <row r="23" spans="1:15" s="215" customFormat="1">
      <c r="A23" s="1425"/>
      <c r="B23" s="42"/>
      <c r="C23" s="165" t="s">
        <v>14</v>
      </c>
      <c r="D23" s="1061" t="s">
        <v>1511</v>
      </c>
      <c r="E23" s="17">
        <v>7.8E-2</v>
      </c>
      <c r="F23" s="17">
        <f>F21*E23</f>
        <v>68.406000000000006</v>
      </c>
      <c r="G23" s="77"/>
      <c r="H23" s="77"/>
      <c r="I23" s="77"/>
      <c r="J23" s="77"/>
      <c r="K23" s="77"/>
      <c r="L23" s="77">
        <f>F23*K23</f>
        <v>0</v>
      </c>
      <c r="M23" s="1252">
        <f t="shared" ref="M23" si="4">H23+J23+L23</f>
        <v>0</v>
      </c>
      <c r="N23" s="1253"/>
      <c r="O23" s="1254"/>
    </row>
    <row r="24" spans="1:15" s="215" customFormat="1" ht="31.5">
      <c r="A24" s="1447" t="s">
        <v>38</v>
      </c>
      <c r="B24" s="42" t="s">
        <v>1520</v>
      </c>
      <c r="C24" s="288" t="s">
        <v>1521</v>
      </c>
      <c r="D24" s="1111" t="s">
        <v>4</v>
      </c>
      <c r="E24" s="1112"/>
      <c r="F24" s="108">
        <f>83*0.2+3.5*6*0.2</f>
        <v>20.8</v>
      </c>
      <c r="G24" s="146"/>
      <c r="H24" s="77"/>
      <c r="I24" s="146"/>
      <c r="J24" s="77"/>
      <c r="K24" s="77"/>
      <c r="L24" s="448"/>
      <c r="M24" s="1251"/>
      <c r="N24" s="1253"/>
      <c r="O24" s="1254"/>
    </row>
    <row r="25" spans="1:15" s="215" customFormat="1">
      <c r="A25" s="1448"/>
      <c r="B25" s="42"/>
      <c r="C25" s="165" t="s">
        <v>13</v>
      </c>
      <c r="D25" s="1061" t="s">
        <v>15</v>
      </c>
      <c r="E25" s="17">
        <v>8.8000000000000007</v>
      </c>
      <c r="F25" s="17">
        <f>F24*E25</f>
        <v>183.04000000000002</v>
      </c>
      <c r="G25" s="77"/>
      <c r="H25" s="77"/>
      <c r="I25" s="77"/>
      <c r="J25" s="77">
        <f>F25*I25</f>
        <v>0</v>
      </c>
      <c r="K25" s="77"/>
      <c r="L25" s="77"/>
      <c r="M25" s="1252">
        <f>H25+J25+L25</f>
        <v>0</v>
      </c>
      <c r="N25" s="1253"/>
      <c r="O25" s="1254"/>
    </row>
    <row r="26" spans="1:15" s="215" customFormat="1">
      <c r="A26" s="1449"/>
      <c r="B26" s="42"/>
      <c r="C26" s="165" t="s">
        <v>14</v>
      </c>
      <c r="D26" s="1061" t="s">
        <v>1511</v>
      </c>
      <c r="E26" s="17">
        <v>4.8</v>
      </c>
      <c r="F26" s="17">
        <f>F24*E26</f>
        <v>99.84</v>
      </c>
      <c r="G26" s="77"/>
      <c r="H26" s="77"/>
      <c r="I26" s="77"/>
      <c r="J26" s="77"/>
      <c r="K26" s="77"/>
      <c r="L26" s="77">
        <f>F26*K26</f>
        <v>0</v>
      </c>
      <c r="M26" s="1252">
        <f t="shared" ref="M26" si="5">H26+J26+L26</f>
        <v>0</v>
      </c>
      <c r="N26" s="1253"/>
      <c r="O26" s="1254"/>
    </row>
    <row r="27" spans="1:15" s="215" customFormat="1" ht="63">
      <c r="A27" s="1062" t="s">
        <v>432</v>
      </c>
      <c r="B27" s="42" t="s">
        <v>34</v>
      </c>
      <c r="C27" s="425" t="s">
        <v>1528</v>
      </c>
      <c r="D27" s="43" t="s">
        <v>1</v>
      </c>
      <c r="E27" s="108"/>
      <c r="F27" s="108">
        <v>80</v>
      </c>
      <c r="G27" s="77"/>
      <c r="H27" s="77"/>
      <c r="I27" s="146"/>
      <c r="J27" s="77">
        <f t="shared" ref="J27" si="6">F27*I27</f>
        <v>0</v>
      </c>
      <c r="K27" s="77"/>
      <c r="L27" s="77">
        <f>F27*K27</f>
        <v>0</v>
      </c>
      <c r="M27" s="1252">
        <f t="shared" ref="M27" si="7">H27+J27+L27</f>
        <v>0</v>
      </c>
      <c r="N27" s="1253"/>
      <c r="O27" s="1254"/>
    </row>
    <row r="28" spans="1:15" s="215" customFormat="1" ht="31.5">
      <c r="A28" s="1447" t="s">
        <v>39</v>
      </c>
      <c r="B28" s="42" t="s">
        <v>1531</v>
      </c>
      <c r="C28" s="425" t="s">
        <v>1530</v>
      </c>
      <c r="D28" s="43" t="s">
        <v>4</v>
      </c>
      <c r="E28" s="108"/>
      <c r="F28" s="108">
        <f>0.25*0.6*80</f>
        <v>12</v>
      </c>
      <c r="G28" s="77"/>
      <c r="H28" s="77"/>
      <c r="I28" s="77"/>
      <c r="J28" s="77"/>
      <c r="K28" s="77"/>
      <c r="L28" s="77"/>
      <c r="M28" s="1252"/>
      <c r="N28" s="1253"/>
      <c r="O28" s="1254"/>
    </row>
    <row r="29" spans="1:15" s="215" customFormat="1">
      <c r="A29" s="1448"/>
      <c r="B29" s="42"/>
      <c r="C29" s="165" t="s">
        <v>13</v>
      </c>
      <c r="D29" s="1061" t="s">
        <v>15</v>
      </c>
      <c r="E29" s="17">
        <v>13.2</v>
      </c>
      <c r="F29" s="17">
        <f>F28*E29</f>
        <v>158.39999999999998</v>
      </c>
      <c r="G29" s="77"/>
      <c r="H29" s="77"/>
      <c r="I29" s="77"/>
      <c r="J29" s="77">
        <f>F29*I29</f>
        <v>0</v>
      </c>
      <c r="K29" s="77"/>
      <c r="L29" s="77"/>
      <c r="M29" s="1252">
        <f>H29+J29+L29</f>
        <v>0</v>
      </c>
      <c r="N29" s="1253"/>
      <c r="O29" s="1254"/>
    </row>
    <row r="30" spans="1:15" s="215" customFormat="1">
      <c r="A30" s="1449"/>
      <c r="B30" s="42"/>
      <c r="C30" s="165" t="s">
        <v>14</v>
      </c>
      <c r="D30" s="1061" t="s">
        <v>1511</v>
      </c>
      <c r="E30" s="17">
        <v>9.6300000000000008</v>
      </c>
      <c r="F30" s="17">
        <f>F28*E30</f>
        <v>115.56</v>
      </c>
      <c r="G30" s="77"/>
      <c r="H30" s="77"/>
      <c r="I30" s="77"/>
      <c r="J30" s="77"/>
      <c r="K30" s="77"/>
      <c r="L30" s="77">
        <f>F30*K30</f>
        <v>0</v>
      </c>
      <c r="M30" s="1252">
        <f t="shared" ref="M30" si="8">H30+J30+L30</f>
        <v>0</v>
      </c>
      <c r="N30" s="1253"/>
      <c r="O30" s="1254"/>
    </row>
    <row r="31" spans="1:15" s="215" customFormat="1" ht="47.25">
      <c r="A31" s="1059" t="s">
        <v>64</v>
      </c>
      <c r="B31" s="42" t="s">
        <v>34</v>
      </c>
      <c r="C31" s="288" t="s">
        <v>1529</v>
      </c>
      <c r="D31" s="1111" t="s">
        <v>1</v>
      </c>
      <c r="E31" s="1112"/>
      <c r="F31" s="108">
        <v>208</v>
      </c>
      <c r="G31" s="146"/>
      <c r="H31" s="77"/>
      <c r="I31" s="146"/>
      <c r="J31" s="77">
        <f t="shared" ref="J31:J32" si="9">F31*I31</f>
        <v>0</v>
      </c>
      <c r="K31" s="77"/>
      <c r="L31" s="77">
        <f>F31*K31</f>
        <v>0</v>
      </c>
      <c r="M31" s="1252">
        <f t="shared" ref="M31" si="10">H31+J31+L31</f>
        <v>0</v>
      </c>
      <c r="N31" s="1253"/>
      <c r="O31" s="1254"/>
    </row>
    <row r="32" spans="1:15" s="215" customFormat="1" ht="63">
      <c r="A32" s="1062" t="s">
        <v>433</v>
      </c>
      <c r="B32" s="42" t="s">
        <v>34</v>
      </c>
      <c r="C32" s="288" t="s">
        <v>1610</v>
      </c>
      <c r="D32" s="1111" t="s">
        <v>2</v>
      </c>
      <c r="E32" s="746"/>
      <c r="F32" s="108">
        <v>1220</v>
      </c>
      <c r="G32" s="146"/>
      <c r="H32" s="77"/>
      <c r="I32" s="146"/>
      <c r="J32" s="77">
        <f t="shared" si="9"/>
        <v>0</v>
      </c>
      <c r="K32" s="77"/>
      <c r="L32" s="77">
        <f>F32*K32</f>
        <v>0</v>
      </c>
      <c r="M32" s="1252">
        <f t="shared" ref="M32" si="11">H32+J32+L32</f>
        <v>0</v>
      </c>
      <c r="N32" s="1253"/>
      <c r="O32" s="1254"/>
    </row>
    <row r="33" spans="1:15" s="215" customFormat="1" ht="31.5">
      <c r="A33" s="1447" t="s">
        <v>434</v>
      </c>
      <c r="B33" s="42" t="s">
        <v>1527</v>
      </c>
      <c r="C33" s="288" t="s">
        <v>1526</v>
      </c>
      <c r="D33" s="1111" t="s">
        <v>5</v>
      </c>
      <c r="E33" s="746"/>
      <c r="F33" s="108">
        <f>1030+70+40+50</f>
        <v>1190</v>
      </c>
      <c r="G33" s="146"/>
      <c r="H33" s="77"/>
      <c r="I33" s="146"/>
      <c r="J33" s="77"/>
      <c r="K33" s="77"/>
      <c r="L33" s="448"/>
      <c r="M33" s="1251"/>
      <c r="N33" s="1253"/>
      <c r="O33" s="1254"/>
    </row>
    <row r="34" spans="1:15" s="215" customFormat="1">
      <c r="A34" s="1448"/>
      <c r="B34" s="42"/>
      <c r="C34" s="165" t="s">
        <v>13</v>
      </c>
      <c r="D34" s="1061" t="s">
        <v>15</v>
      </c>
      <c r="E34" s="17">
        <v>0.13200000000000001</v>
      </c>
      <c r="F34" s="17">
        <f>F33*E34</f>
        <v>157.08000000000001</v>
      </c>
      <c r="G34" s="77"/>
      <c r="H34" s="77"/>
      <c r="I34" s="77"/>
      <c r="J34" s="77">
        <f>F34*I34</f>
        <v>0</v>
      </c>
      <c r="K34" s="77"/>
      <c r="L34" s="77"/>
      <c r="M34" s="1252">
        <f>H34+J34+L34</f>
        <v>0</v>
      </c>
      <c r="N34" s="1253"/>
      <c r="O34" s="1254"/>
    </row>
    <row r="35" spans="1:15" s="215" customFormat="1">
      <c r="A35" s="1449"/>
      <c r="B35" s="42"/>
      <c r="C35" s="165" t="s">
        <v>14</v>
      </c>
      <c r="D35" s="1061" t="s">
        <v>1511</v>
      </c>
      <c r="E35" s="17">
        <v>1.9E-2</v>
      </c>
      <c r="F35" s="17">
        <f>F33*E35</f>
        <v>22.61</v>
      </c>
      <c r="G35" s="77"/>
      <c r="H35" s="77"/>
      <c r="I35" s="77"/>
      <c r="J35" s="77"/>
      <c r="K35" s="77"/>
      <c r="L35" s="77">
        <f>F35*K35</f>
        <v>0</v>
      </c>
      <c r="M35" s="1252">
        <f t="shared" ref="M35" si="12">H35+J35+L35</f>
        <v>0</v>
      </c>
      <c r="N35" s="1253"/>
      <c r="O35" s="1254"/>
    </row>
    <row r="36" spans="1:15" s="215" customFormat="1" ht="31.5">
      <c r="A36" s="1447" t="s">
        <v>69</v>
      </c>
      <c r="B36" s="42" t="s">
        <v>1520</v>
      </c>
      <c r="C36" s="288" t="s">
        <v>1686</v>
      </c>
      <c r="D36" s="1111" t="s">
        <v>4</v>
      </c>
      <c r="E36" s="746"/>
      <c r="F36" s="108">
        <f>18</f>
        <v>18</v>
      </c>
      <c r="G36" s="77"/>
      <c r="H36" s="77"/>
      <c r="I36" s="77"/>
      <c r="J36" s="77"/>
      <c r="K36" s="77"/>
      <c r="L36" s="77"/>
      <c r="M36" s="1252"/>
      <c r="N36" s="1253"/>
      <c r="O36" s="1254"/>
    </row>
    <row r="37" spans="1:15" s="215" customFormat="1">
      <c r="A37" s="1448"/>
      <c r="B37" s="42"/>
      <c r="C37" s="165" t="s">
        <v>13</v>
      </c>
      <c r="D37" s="1188" t="s">
        <v>15</v>
      </c>
      <c r="E37" s="17">
        <v>8.8000000000000007</v>
      </c>
      <c r="F37" s="17">
        <f>F36*E37</f>
        <v>158.4</v>
      </c>
      <c r="G37" s="77"/>
      <c r="H37" s="77"/>
      <c r="I37" s="77"/>
      <c r="J37" s="77">
        <f>F37*I37</f>
        <v>0</v>
      </c>
      <c r="K37" s="77"/>
      <c r="L37" s="77"/>
      <c r="M37" s="1252">
        <f>H37+J37+L37</f>
        <v>0</v>
      </c>
      <c r="N37" s="1253"/>
      <c r="O37" s="1254"/>
    </row>
    <row r="38" spans="1:15" s="215" customFormat="1">
      <c r="A38" s="1449"/>
      <c r="B38" s="42"/>
      <c r="C38" s="165" t="s">
        <v>14</v>
      </c>
      <c r="D38" s="1188" t="s">
        <v>1511</v>
      </c>
      <c r="E38" s="17">
        <v>4.8</v>
      </c>
      <c r="F38" s="17">
        <f>F36*E38</f>
        <v>86.399999999999991</v>
      </c>
      <c r="G38" s="77"/>
      <c r="H38" s="77"/>
      <c r="I38" s="77"/>
      <c r="J38" s="77"/>
      <c r="K38" s="77"/>
      <c r="L38" s="77">
        <f>F38*K38</f>
        <v>0</v>
      </c>
      <c r="M38" s="1252">
        <f t="shared" ref="M38" si="13">H38+J38+L38</f>
        <v>0</v>
      </c>
      <c r="N38" s="1253"/>
      <c r="O38" s="1254"/>
    </row>
    <row r="39" spans="1:15" s="215" customFormat="1" ht="47.25">
      <c r="A39" s="1450" t="s">
        <v>118</v>
      </c>
      <c r="B39" s="39" t="s">
        <v>104</v>
      </c>
      <c r="C39" s="287" t="s">
        <v>1532</v>
      </c>
      <c r="D39" s="42" t="s">
        <v>7</v>
      </c>
      <c r="E39" s="1235"/>
      <c r="F39" s="20">
        <f>F21*0.1+F24+F27*0.1+F28+F31*1*0.1+F33*0.01+F36+20</f>
        <v>199.20000000000002</v>
      </c>
      <c r="G39" s="77"/>
      <c r="H39" s="77"/>
      <c r="I39" s="77"/>
      <c r="J39" s="77"/>
      <c r="K39" s="77"/>
      <c r="L39" s="77"/>
      <c r="M39" s="1252"/>
      <c r="N39" s="1253"/>
      <c r="O39" s="1254"/>
    </row>
    <row r="40" spans="1:15" s="215" customFormat="1">
      <c r="A40" s="1450"/>
      <c r="B40" s="1089"/>
      <c r="C40" s="150" t="s">
        <v>20</v>
      </c>
      <c r="D40" s="64" t="s">
        <v>15</v>
      </c>
      <c r="E40" s="277">
        <v>1.85</v>
      </c>
      <c r="F40" s="78">
        <f>F39*E40</f>
        <v>368.52000000000004</v>
      </c>
      <c r="G40" s="146"/>
      <c r="H40" s="77"/>
      <c r="I40" s="146"/>
      <c r="J40" s="77">
        <f>F40*I40</f>
        <v>0</v>
      </c>
      <c r="K40" s="77"/>
      <c r="L40" s="77"/>
      <c r="M40" s="1252">
        <f>H40+J40+L40</f>
        <v>0</v>
      </c>
      <c r="N40" s="1253"/>
      <c r="O40" s="1254"/>
    </row>
    <row r="41" spans="1:15" s="215" customFormat="1" ht="31.5">
      <c r="A41" s="1450" t="s">
        <v>272</v>
      </c>
      <c r="B41" s="34"/>
      <c r="C41" s="288" t="s">
        <v>106</v>
      </c>
      <c r="D41" s="42" t="s">
        <v>7</v>
      </c>
      <c r="E41" s="277"/>
      <c r="F41" s="109">
        <f>F21*0.1*2.3+F24*2.4+F27*0.002*7.85+F28*2.4+F31*1*0.002*7.85+F33*0.01*2+F36*2.4+20*1.65</f>
        <v>384.95159999999998</v>
      </c>
      <c r="G41" s="146"/>
      <c r="H41" s="77"/>
      <c r="I41" s="146"/>
      <c r="J41" s="77"/>
      <c r="K41" s="146"/>
      <c r="L41" s="77"/>
      <c r="M41" s="1252"/>
      <c r="N41" s="1253"/>
      <c r="O41" s="1254"/>
    </row>
    <row r="42" spans="1:15" s="215" customFormat="1">
      <c r="A42" s="1450"/>
      <c r="B42" s="34"/>
      <c r="C42" s="150" t="s">
        <v>28</v>
      </c>
      <c r="D42" s="64" t="s">
        <v>15</v>
      </c>
      <c r="E42" s="277">
        <v>0.53</v>
      </c>
      <c r="F42" s="78">
        <f>F41*E42</f>
        <v>204.024348</v>
      </c>
      <c r="G42" s="146"/>
      <c r="H42" s="77"/>
      <c r="I42" s="146"/>
      <c r="J42" s="77">
        <f>F42*I42</f>
        <v>0</v>
      </c>
      <c r="K42" s="146"/>
      <c r="L42" s="77"/>
      <c r="M42" s="1252">
        <f>H42+J42+L42</f>
        <v>0</v>
      </c>
      <c r="N42" s="1253"/>
      <c r="O42" s="1254"/>
    </row>
    <row r="43" spans="1:15" s="215" customFormat="1">
      <c r="A43" s="1116" t="s">
        <v>435</v>
      </c>
      <c r="B43" s="1089"/>
      <c r="C43" s="151" t="s">
        <v>1533</v>
      </c>
      <c r="D43" s="1089" t="s">
        <v>7</v>
      </c>
      <c r="E43" s="277"/>
      <c r="F43" s="109">
        <f>F41</f>
        <v>384.95159999999998</v>
      </c>
      <c r="G43" s="146"/>
      <c r="H43" s="77"/>
      <c r="I43" s="146"/>
      <c r="J43" s="77"/>
      <c r="K43" s="146"/>
      <c r="L43" s="77">
        <f>F43*K43</f>
        <v>0</v>
      </c>
      <c r="M43" s="1252">
        <f>H43+J43+L43</f>
        <v>0</v>
      </c>
      <c r="N43" s="1253"/>
      <c r="O43" s="1254"/>
    </row>
    <row r="44" spans="1:15" s="215" customFormat="1">
      <c r="A44" s="1059"/>
      <c r="B44" s="42"/>
      <c r="C44" s="150"/>
      <c r="D44" s="64"/>
      <c r="E44" s="746"/>
      <c r="F44" s="17"/>
      <c r="G44" s="146"/>
      <c r="H44" s="77"/>
      <c r="I44" s="146"/>
      <c r="J44" s="77"/>
      <c r="K44" s="77"/>
      <c r="L44" s="448"/>
      <c r="M44" s="1251"/>
      <c r="N44" s="1253"/>
      <c r="O44" s="1254"/>
    </row>
    <row r="45" spans="1:15" s="215" customFormat="1" ht="31.5">
      <c r="A45" s="1447" t="s">
        <v>421</v>
      </c>
      <c r="B45" s="43" t="s">
        <v>1509</v>
      </c>
      <c r="C45" s="425" t="s">
        <v>1733</v>
      </c>
      <c r="D45" s="43" t="s">
        <v>4</v>
      </c>
      <c r="E45" s="108"/>
      <c r="F45" s="108">
        <f>100*(3*1)/2</f>
        <v>150</v>
      </c>
      <c r="G45" s="77"/>
      <c r="H45" s="77"/>
      <c r="I45" s="77"/>
      <c r="J45" s="77"/>
      <c r="K45" s="77"/>
      <c r="L45" s="77"/>
      <c r="M45" s="1252"/>
      <c r="N45" s="1253"/>
      <c r="O45" s="1254"/>
    </row>
    <row r="46" spans="1:15" s="215" customFormat="1">
      <c r="A46" s="1448"/>
      <c r="B46" s="1061"/>
      <c r="C46" s="165" t="s">
        <v>13</v>
      </c>
      <c r="D46" s="1061" t="s">
        <v>15</v>
      </c>
      <c r="E46" s="17">
        <v>2.7E-2</v>
      </c>
      <c r="F46" s="17">
        <f>F45*E46</f>
        <v>4.05</v>
      </c>
      <c r="G46" s="77"/>
      <c r="H46" s="77"/>
      <c r="I46" s="77"/>
      <c r="J46" s="77">
        <f>F46*I46</f>
        <v>0</v>
      </c>
      <c r="K46" s="77"/>
      <c r="L46" s="77"/>
      <c r="M46" s="1252">
        <f>H46+J46+L46</f>
        <v>0</v>
      </c>
      <c r="N46" s="1253"/>
      <c r="O46" s="1254"/>
    </row>
    <row r="47" spans="1:15" s="215" customFormat="1">
      <c r="A47" s="1448"/>
      <c r="B47" s="1061" t="s">
        <v>384</v>
      </c>
      <c r="C47" s="165" t="s">
        <v>1510</v>
      </c>
      <c r="D47" s="1061" t="s">
        <v>16</v>
      </c>
      <c r="E47" s="17">
        <v>6.0499999999999998E-2</v>
      </c>
      <c r="F47" s="17">
        <f>F45*E47</f>
        <v>9.0749999999999993</v>
      </c>
      <c r="G47" s="77"/>
      <c r="H47" s="77"/>
      <c r="I47" s="77"/>
      <c r="J47" s="77"/>
      <c r="K47" s="77"/>
      <c r="L47" s="77">
        <f>F47*K47</f>
        <v>0</v>
      </c>
      <c r="M47" s="1252">
        <f t="shared" ref="M47:M49" si="14">H47+J47+L47</f>
        <v>0</v>
      </c>
      <c r="N47" s="1253"/>
      <c r="O47" s="1254"/>
    </row>
    <row r="48" spans="1:15" s="215" customFormat="1">
      <c r="A48" s="1448"/>
      <c r="B48" s="1061"/>
      <c r="C48" s="165" t="s">
        <v>14</v>
      </c>
      <c r="D48" s="1061" t="s">
        <v>1511</v>
      </c>
      <c r="E48" s="17">
        <v>2.2100000000000002E-3</v>
      </c>
      <c r="F48" s="17">
        <f>F45*E48</f>
        <v>0.33150000000000002</v>
      </c>
      <c r="G48" s="77"/>
      <c r="H48" s="77"/>
      <c r="I48" s="77"/>
      <c r="J48" s="77"/>
      <c r="K48" s="77"/>
      <c r="L48" s="77">
        <f>F48*K48</f>
        <v>0</v>
      </c>
      <c r="M48" s="1252">
        <f t="shared" si="14"/>
        <v>0</v>
      </c>
      <c r="N48" s="1253"/>
      <c r="O48" s="1254"/>
    </row>
    <row r="49" spans="1:15" s="215" customFormat="1">
      <c r="A49" s="1180" t="s">
        <v>436</v>
      </c>
      <c r="B49" s="39" t="s">
        <v>104</v>
      </c>
      <c r="C49" s="1120" t="s">
        <v>1513</v>
      </c>
      <c r="D49" s="1190" t="s">
        <v>218</v>
      </c>
      <c r="E49" s="20">
        <v>1.95</v>
      </c>
      <c r="F49" s="109">
        <f>F45*E49</f>
        <v>292.5</v>
      </c>
      <c r="G49" s="79"/>
      <c r="H49" s="77"/>
      <c r="I49" s="79"/>
      <c r="J49" s="77"/>
      <c r="K49" s="146"/>
      <c r="L49" s="77">
        <f>F49*K49</f>
        <v>0</v>
      </c>
      <c r="M49" s="1252">
        <f t="shared" si="14"/>
        <v>0</v>
      </c>
      <c r="N49" s="1253"/>
      <c r="O49" s="1254"/>
    </row>
    <row r="50" spans="1:15" s="215" customFormat="1" ht="47.25">
      <c r="A50" s="1405" t="s">
        <v>456</v>
      </c>
      <c r="B50" s="703" t="s">
        <v>1515</v>
      </c>
      <c r="C50" s="704" t="s">
        <v>1536</v>
      </c>
      <c r="D50" s="703" t="s">
        <v>279</v>
      </c>
      <c r="E50" s="20"/>
      <c r="F50" s="20">
        <v>1500</v>
      </c>
      <c r="G50" s="79"/>
      <c r="H50" s="77"/>
      <c r="I50" s="79"/>
      <c r="J50" s="77"/>
      <c r="K50" s="79"/>
      <c r="L50" s="77"/>
      <c r="M50" s="1252"/>
      <c r="N50" s="1253"/>
      <c r="O50" s="1254"/>
    </row>
    <row r="51" spans="1:15" s="215" customFormat="1">
      <c r="A51" s="1405"/>
      <c r="B51" s="703"/>
      <c r="C51" s="127" t="s">
        <v>189</v>
      </c>
      <c r="D51" s="702" t="s">
        <v>109</v>
      </c>
      <c r="E51" s="282">
        <v>3.2099999999999997E-2</v>
      </c>
      <c r="F51" s="282">
        <f>E51*F50</f>
        <v>48.149999999999991</v>
      </c>
      <c r="G51" s="80"/>
      <c r="H51" s="77"/>
      <c r="I51" s="80"/>
      <c r="J51" s="77">
        <f>F51*I51</f>
        <v>0</v>
      </c>
      <c r="K51" s="80"/>
      <c r="L51" s="77"/>
      <c r="M51" s="1252">
        <f t="shared" ref="M51:M57" si="15">H51+J51+L51</f>
        <v>0</v>
      </c>
      <c r="N51" s="1253"/>
      <c r="O51" s="1254"/>
    </row>
    <row r="52" spans="1:15" s="215" customFormat="1">
      <c r="A52" s="1405"/>
      <c r="B52" s="703" t="s">
        <v>381</v>
      </c>
      <c r="C52" s="127" t="s">
        <v>211</v>
      </c>
      <c r="D52" s="702" t="s">
        <v>212</v>
      </c>
      <c r="E52" s="282">
        <v>2.65E-3</v>
      </c>
      <c r="F52" s="282">
        <f>E52*F50</f>
        <v>3.9750000000000001</v>
      </c>
      <c r="G52" s="80"/>
      <c r="H52" s="77"/>
      <c r="I52" s="80"/>
      <c r="J52" s="77"/>
      <c r="K52" s="80"/>
      <c r="L52" s="77">
        <f t="shared" ref="L52:L57" si="16">F52*K52</f>
        <v>0</v>
      </c>
      <c r="M52" s="1252">
        <f t="shared" si="15"/>
        <v>0</v>
      </c>
      <c r="N52" s="1253"/>
      <c r="O52" s="1254"/>
    </row>
    <row r="53" spans="1:15" s="215" customFormat="1">
      <c r="A53" s="1405"/>
      <c r="B53" s="703" t="s">
        <v>1540</v>
      </c>
      <c r="C53" s="127" t="s">
        <v>213</v>
      </c>
      <c r="D53" s="702" t="s">
        <v>212</v>
      </c>
      <c r="E53" s="282">
        <v>6.1599999999999997E-3</v>
      </c>
      <c r="F53" s="282">
        <f>E53*F50</f>
        <v>9.24</v>
      </c>
      <c r="G53" s="80"/>
      <c r="H53" s="77"/>
      <c r="I53" s="80"/>
      <c r="J53" s="77"/>
      <c r="K53" s="80"/>
      <c r="L53" s="77">
        <f t="shared" si="16"/>
        <v>0</v>
      </c>
      <c r="M53" s="1252">
        <f t="shared" si="15"/>
        <v>0</v>
      </c>
      <c r="N53" s="1253"/>
      <c r="O53" s="1254"/>
    </row>
    <row r="54" spans="1:15" s="215" customFormat="1">
      <c r="A54" s="1405"/>
      <c r="B54" s="703" t="s">
        <v>915</v>
      </c>
      <c r="C54" s="127" t="s">
        <v>214</v>
      </c>
      <c r="D54" s="702" t="s">
        <v>212</v>
      </c>
      <c r="E54" s="282">
        <v>4.5300000000000002E-3</v>
      </c>
      <c r="F54" s="282">
        <f>E54*F50</f>
        <v>6.7949999999999999</v>
      </c>
      <c r="G54" s="80"/>
      <c r="H54" s="77"/>
      <c r="I54" s="80"/>
      <c r="J54" s="77"/>
      <c r="K54" s="80"/>
      <c r="L54" s="77">
        <f t="shared" si="16"/>
        <v>0</v>
      </c>
      <c r="M54" s="1252">
        <f t="shared" si="15"/>
        <v>0</v>
      </c>
      <c r="N54" s="1253"/>
      <c r="O54" s="1254"/>
    </row>
    <row r="55" spans="1:15" s="215" customFormat="1">
      <c r="A55" s="1405"/>
      <c r="B55" s="703" t="s">
        <v>382</v>
      </c>
      <c r="C55" s="127" t="s">
        <v>215</v>
      </c>
      <c r="D55" s="702" t="s">
        <v>212</v>
      </c>
      <c r="E55" s="282">
        <v>7.1000000000000002E-4</v>
      </c>
      <c r="F55" s="282">
        <f>E55*F50</f>
        <v>1.0649999999999999</v>
      </c>
      <c r="G55" s="80"/>
      <c r="H55" s="77"/>
      <c r="I55" s="80"/>
      <c r="J55" s="77"/>
      <c r="K55" s="80"/>
      <c r="L55" s="77">
        <f t="shared" si="16"/>
        <v>0</v>
      </c>
      <c r="M55" s="1252">
        <f t="shared" si="15"/>
        <v>0</v>
      </c>
      <c r="N55" s="1253"/>
      <c r="O55" s="1254"/>
    </row>
    <row r="56" spans="1:15" s="215" customFormat="1">
      <c r="A56" s="1405"/>
      <c r="B56" s="703" t="s">
        <v>383</v>
      </c>
      <c r="C56" s="127" t="s">
        <v>216</v>
      </c>
      <c r="D56" s="702" t="s">
        <v>212</v>
      </c>
      <c r="E56" s="282">
        <v>2.0699999999999998E-3</v>
      </c>
      <c r="F56" s="282">
        <f>E56*F50</f>
        <v>3.1049999999999995</v>
      </c>
      <c r="G56" s="80"/>
      <c r="H56" s="77"/>
      <c r="I56" s="80"/>
      <c r="J56" s="77"/>
      <c r="K56" s="80"/>
      <c r="L56" s="77">
        <f t="shared" si="16"/>
        <v>0</v>
      </c>
      <c r="M56" s="1252">
        <f t="shared" si="15"/>
        <v>0</v>
      </c>
      <c r="N56" s="1253"/>
      <c r="O56" s="1254"/>
    </row>
    <row r="57" spans="1:15" s="215" customFormat="1">
      <c r="A57" s="1405"/>
      <c r="B57" s="703"/>
      <c r="C57" s="128" t="s">
        <v>14</v>
      </c>
      <c r="D57" s="635" t="s">
        <v>11</v>
      </c>
      <c r="E57" s="282">
        <v>1.0200000000000001E-3</v>
      </c>
      <c r="F57" s="282">
        <f>E57*F50</f>
        <v>1.53</v>
      </c>
      <c r="G57" s="80"/>
      <c r="H57" s="77"/>
      <c r="I57" s="80"/>
      <c r="J57" s="77"/>
      <c r="K57" s="80"/>
      <c r="L57" s="77">
        <f t="shared" si="16"/>
        <v>0</v>
      </c>
      <c r="M57" s="1252">
        <f t="shared" si="15"/>
        <v>0</v>
      </c>
      <c r="N57" s="1253"/>
      <c r="O57" s="1254"/>
    </row>
    <row r="58" spans="1:15" s="215" customFormat="1">
      <c r="A58" s="1109"/>
      <c r="B58" s="1061"/>
      <c r="C58" s="1067"/>
      <c r="D58" s="1061"/>
      <c r="E58" s="17"/>
      <c r="F58" s="17"/>
      <c r="G58" s="77"/>
      <c r="H58" s="77"/>
      <c r="I58" s="77"/>
      <c r="J58" s="77"/>
      <c r="K58" s="77"/>
      <c r="L58" s="77"/>
      <c r="M58" s="1252"/>
      <c r="N58" s="1253"/>
      <c r="O58" s="1254"/>
    </row>
    <row r="59" spans="1:15" s="215" customFormat="1" ht="26.25" customHeight="1">
      <c r="A59" s="1105"/>
      <c r="B59" s="1106"/>
      <c r="C59" s="1107" t="s">
        <v>1537</v>
      </c>
      <c r="D59" s="1106"/>
      <c r="E59" s="1108"/>
      <c r="F59" s="1108"/>
      <c r="G59" s="77"/>
      <c r="H59" s="77"/>
      <c r="I59" s="77"/>
      <c r="J59" s="77"/>
      <c r="K59" s="77"/>
      <c r="L59" s="77"/>
      <c r="M59" s="1252"/>
      <c r="N59" s="1253"/>
      <c r="O59" s="1254"/>
    </row>
    <row r="60" spans="1:15" s="215" customFormat="1" ht="26.25" customHeight="1">
      <c r="A60" s="1104"/>
      <c r="B60" s="43"/>
      <c r="C60" s="1107" t="s">
        <v>1538</v>
      </c>
      <c r="D60" s="43"/>
      <c r="E60" s="108"/>
      <c r="F60" s="108"/>
      <c r="G60" s="80"/>
      <c r="H60" s="77"/>
      <c r="I60" s="80"/>
      <c r="J60" s="77"/>
      <c r="K60" s="80"/>
      <c r="L60" s="448"/>
      <c r="M60" s="1251"/>
      <c r="N60" s="1253"/>
      <c r="O60" s="1254"/>
    </row>
    <row r="61" spans="1:15">
      <c r="A61" s="1104"/>
      <c r="B61" s="43"/>
      <c r="C61" s="219" t="s">
        <v>232</v>
      </c>
      <c r="D61" s="43"/>
      <c r="E61" s="108"/>
      <c r="F61" s="108"/>
      <c r="G61" s="77"/>
      <c r="H61" s="77"/>
      <c r="I61" s="77"/>
      <c r="J61" s="77"/>
      <c r="K61" s="77"/>
      <c r="L61" s="448"/>
      <c r="M61" s="1251"/>
    </row>
    <row r="62" spans="1:15" s="643" customFormat="1" ht="47.25">
      <c r="A62" s="1406" t="s">
        <v>429</v>
      </c>
      <c r="B62" s="703" t="s">
        <v>639</v>
      </c>
      <c r="C62" s="704" t="s">
        <v>1735</v>
      </c>
      <c r="D62" s="703" t="s">
        <v>319</v>
      </c>
      <c r="E62" s="282"/>
      <c r="F62" s="109">
        <v>524.51250000000005</v>
      </c>
      <c r="G62" s="79"/>
      <c r="H62" s="77"/>
      <c r="I62" s="79"/>
      <c r="J62" s="77"/>
      <c r="K62" s="79"/>
      <c r="L62" s="77"/>
      <c r="M62" s="1252"/>
      <c r="N62" s="1255"/>
      <c r="O62" s="1256" t="s">
        <v>1734</v>
      </c>
    </row>
    <row r="63" spans="1:15" s="643" customFormat="1">
      <c r="A63" s="1406"/>
      <c r="B63" s="703"/>
      <c r="C63" s="127" t="s">
        <v>189</v>
      </c>
      <c r="D63" s="702" t="s">
        <v>109</v>
      </c>
      <c r="E63" s="282">
        <v>0.02</v>
      </c>
      <c r="F63" s="282">
        <f>F62*E63</f>
        <v>10.490250000000001</v>
      </c>
      <c r="G63" s="80"/>
      <c r="H63" s="77"/>
      <c r="I63" s="80"/>
      <c r="J63" s="77">
        <f>F63*I63</f>
        <v>0</v>
      </c>
      <c r="K63" s="80"/>
      <c r="L63" s="77"/>
      <c r="M63" s="1252">
        <f t="shared" ref="M63:M68" si="17">H63+J63+L63</f>
        <v>0</v>
      </c>
      <c r="N63" s="1255"/>
      <c r="O63" s="1256"/>
    </row>
    <row r="64" spans="1:15" s="643" customFormat="1" ht="18">
      <c r="A64" s="1406"/>
      <c r="B64" s="703" t="s">
        <v>384</v>
      </c>
      <c r="C64" s="127" t="s">
        <v>1534</v>
      </c>
      <c r="D64" s="702" t="s">
        <v>212</v>
      </c>
      <c r="E64" s="282">
        <v>4.48E-2</v>
      </c>
      <c r="F64" s="282">
        <f>F62*E64</f>
        <v>23.498160000000002</v>
      </c>
      <c r="G64" s="80"/>
      <c r="H64" s="77"/>
      <c r="I64" s="80"/>
      <c r="J64" s="77"/>
      <c r="K64" s="80"/>
      <c r="L64" s="77">
        <f t="shared" ref="L64" si="18">F64*K64</f>
        <v>0</v>
      </c>
      <c r="M64" s="1252">
        <f t="shared" si="17"/>
        <v>0</v>
      </c>
      <c r="N64" s="1255"/>
      <c r="O64" s="1256"/>
    </row>
    <row r="65" spans="1:15" s="643" customFormat="1">
      <c r="A65" s="1406"/>
      <c r="B65" s="703"/>
      <c r="C65" s="128" t="s">
        <v>14</v>
      </c>
      <c r="D65" s="635" t="s">
        <v>11</v>
      </c>
      <c r="E65" s="282">
        <f>2.1/1000</f>
        <v>2.1000000000000003E-3</v>
      </c>
      <c r="F65" s="282">
        <f>F62*E65</f>
        <v>1.1014762500000002</v>
      </c>
      <c r="G65" s="80"/>
      <c r="H65" s="77"/>
      <c r="I65" s="80"/>
      <c r="J65" s="77"/>
      <c r="K65" s="80"/>
      <c r="L65" s="77">
        <f>F65*K65</f>
        <v>0</v>
      </c>
      <c r="M65" s="1252">
        <f>H65+J65+L65</f>
        <v>0</v>
      </c>
      <c r="N65" s="1255"/>
      <c r="O65" s="1256"/>
    </row>
    <row r="66" spans="1:15" s="643" customFormat="1" ht="27">
      <c r="A66" s="1414" t="s">
        <v>430</v>
      </c>
      <c r="B66" s="703" t="s">
        <v>1535</v>
      </c>
      <c r="C66" s="704" t="s">
        <v>217</v>
      </c>
      <c r="D66" s="703" t="s">
        <v>318</v>
      </c>
      <c r="E66" s="20"/>
      <c r="F66" s="20">
        <f>F62*0.1</f>
        <v>52.451250000000009</v>
      </c>
      <c r="G66" s="79"/>
      <c r="H66" s="77"/>
      <c r="I66" s="79"/>
      <c r="J66" s="77"/>
      <c r="K66" s="79"/>
      <c r="L66" s="77"/>
      <c r="M66" s="1252"/>
      <c r="N66" s="1255"/>
      <c r="O66" s="1256"/>
    </row>
    <row r="67" spans="1:15" s="643" customFormat="1">
      <c r="A67" s="1414"/>
      <c r="B67" s="703"/>
      <c r="C67" s="127" t="s">
        <v>189</v>
      </c>
      <c r="D67" s="702" t="s">
        <v>109</v>
      </c>
      <c r="E67" s="282">
        <v>3.37</v>
      </c>
      <c r="F67" s="282">
        <f>E67*F66</f>
        <v>176.76071250000004</v>
      </c>
      <c r="G67" s="80"/>
      <c r="H67" s="77"/>
      <c r="I67" s="80"/>
      <c r="J67" s="77">
        <f>F67*I67</f>
        <v>0</v>
      </c>
      <c r="K67" s="80"/>
      <c r="L67" s="77"/>
      <c r="M67" s="1252">
        <f t="shared" si="17"/>
        <v>0</v>
      </c>
      <c r="N67" s="1255"/>
      <c r="O67" s="1256"/>
    </row>
    <row r="68" spans="1:15" s="643" customFormat="1" ht="31.5" hidden="1" customHeight="1">
      <c r="A68" s="1118" t="s">
        <v>83</v>
      </c>
      <c r="B68" s="39" t="s">
        <v>104</v>
      </c>
      <c r="C68" s="1120" t="s">
        <v>1513</v>
      </c>
      <c r="D68" s="1119" t="s">
        <v>218</v>
      </c>
      <c r="E68" s="20">
        <v>1.95</v>
      </c>
      <c r="F68" s="109">
        <f>(0)*E68</f>
        <v>0</v>
      </c>
      <c r="G68" s="79"/>
      <c r="H68" s="77"/>
      <c r="I68" s="79"/>
      <c r="J68" s="77">
        <f>F68*I68</f>
        <v>0</v>
      </c>
      <c r="K68" s="146">
        <v>12.59</v>
      </c>
      <c r="L68" s="77">
        <f>F68*K68</f>
        <v>0</v>
      </c>
      <c r="M68" s="1252">
        <f t="shared" si="17"/>
        <v>0</v>
      </c>
      <c r="N68" s="1255"/>
      <c r="O68" s="1256"/>
    </row>
    <row r="69" spans="1:15" s="643" customFormat="1">
      <c r="A69" s="738"/>
      <c r="B69" s="703"/>
      <c r="C69" s="164" t="s">
        <v>463</v>
      </c>
      <c r="D69" s="702"/>
      <c r="E69" s="282"/>
      <c r="F69" s="282"/>
      <c r="G69" s="80"/>
      <c r="H69" s="77"/>
      <c r="I69" s="80"/>
      <c r="J69" s="77"/>
      <c r="K69" s="80"/>
      <c r="L69" s="77"/>
      <c r="M69" s="1252"/>
      <c r="N69" s="1255"/>
      <c r="O69" s="1256"/>
    </row>
    <row r="70" spans="1:15" s="643" customFormat="1" ht="31.5">
      <c r="A70" s="1182" t="s">
        <v>431</v>
      </c>
      <c r="B70" s="1190"/>
      <c r="C70" s="152" t="s">
        <v>461</v>
      </c>
      <c r="D70" s="1191"/>
      <c r="E70" s="282"/>
      <c r="F70" s="282"/>
      <c r="G70" s="80"/>
      <c r="H70" s="77"/>
      <c r="I70" s="80"/>
      <c r="J70" s="77"/>
      <c r="K70" s="80"/>
      <c r="L70" s="77"/>
      <c r="M70" s="1252"/>
      <c r="N70" s="1255"/>
      <c r="O70" s="1256"/>
    </row>
    <row r="71" spans="1:15" s="643" customFormat="1" ht="47.25">
      <c r="A71" s="1407" t="s">
        <v>471</v>
      </c>
      <c r="B71" s="44" t="s">
        <v>252</v>
      </c>
      <c r="C71" s="152" t="s">
        <v>1617</v>
      </c>
      <c r="D71" s="703" t="s">
        <v>318</v>
      </c>
      <c r="E71" s="20"/>
      <c r="F71" s="20">
        <v>24.5</v>
      </c>
      <c r="G71" s="79"/>
      <c r="H71" s="77"/>
      <c r="I71" s="79"/>
      <c r="J71" s="77"/>
      <c r="K71" s="79"/>
      <c r="L71" s="77"/>
      <c r="M71" s="1252"/>
      <c r="N71" s="1255"/>
      <c r="O71" s="1256"/>
    </row>
    <row r="72" spans="1:15" s="643" customFormat="1">
      <c r="A72" s="1408"/>
      <c r="B72" s="44"/>
      <c r="C72" s="142" t="s">
        <v>67</v>
      </c>
      <c r="D72" s="695" t="s">
        <v>109</v>
      </c>
      <c r="E72" s="1235">
        <v>3.52</v>
      </c>
      <c r="F72" s="1235">
        <f>E72*F71</f>
        <v>86.24</v>
      </c>
      <c r="G72" s="87"/>
      <c r="H72" s="448"/>
      <c r="I72" s="87"/>
      <c r="J72" s="448">
        <f>F72*I72</f>
        <v>0</v>
      </c>
      <c r="K72" s="87"/>
      <c r="L72" s="448"/>
      <c r="M72" s="1251">
        <f>H72+J72+L72</f>
        <v>0</v>
      </c>
      <c r="N72" s="1255"/>
      <c r="O72" s="1256"/>
    </row>
    <row r="73" spans="1:15" s="643" customFormat="1">
      <c r="A73" s="1408"/>
      <c r="B73" s="44"/>
      <c r="C73" s="128" t="s">
        <v>14</v>
      </c>
      <c r="D73" s="635" t="s">
        <v>11</v>
      </c>
      <c r="E73" s="1235">
        <v>1.06</v>
      </c>
      <c r="F73" s="1235">
        <f>E73*F71</f>
        <v>25.970000000000002</v>
      </c>
      <c r="G73" s="87"/>
      <c r="H73" s="448"/>
      <c r="I73" s="87"/>
      <c r="J73" s="448"/>
      <c r="K73" s="87"/>
      <c r="L73" s="448">
        <f>F73*K73</f>
        <v>0</v>
      </c>
      <c r="M73" s="1251">
        <f>H73+J73+L73</f>
        <v>0</v>
      </c>
      <c r="N73" s="1255"/>
      <c r="O73" s="1256"/>
    </row>
    <row r="74" spans="1:15" s="643" customFormat="1">
      <c r="A74" s="1408"/>
      <c r="B74" s="44"/>
      <c r="C74" s="142" t="s">
        <v>220</v>
      </c>
      <c r="D74" s="695" t="s">
        <v>319</v>
      </c>
      <c r="E74" s="1235">
        <f>0.18+0.09+0.97</f>
        <v>1.24</v>
      </c>
      <c r="F74" s="1235">
        <f>E74*F71</f>
        <v>30.38</v>
      </c>
      <c r="G74" s="87"/>
      <c r="H74" s="448">
        <f>F74*G74</f>
        <v>0</v>
      </c>
      <c r="I74" s="87"/>
      <c r="J74" s="448"/>
      <c r="K74" s="87"/>
      <c r="L74" s="448"/>
      <c r="M74" s="1251">
        <f>H74+J74+L74</f>
        <v>0</v>
      </c>
      <c r="N74" s="1255"/>
      <c r="O74" s="1256"/>
    </row>
    <row r="75" spans="1:15" s="643" customFormat="1">
      <c r="A75" s="1409"/>
      <c r="B75" s="44"/>
      <c r="C75" s="128" t="s">
        <v>26</v>
      </c>
      <c r="D75" s="144" t="s">
        <v>11</v>
      </c>
      <c r="E75" s="1235">
        <v>0.02</v>
      </c>
      <c r="F75" s="1235">
        <f>E75*F71</f>
        <v>0.49</v>
      </c>
      <c r="G75" s="87"/>
      <c r="H75" s="448">
        <f>F75*G75</f>
        <v>0</v>
      </c>
      <c r="I75" s="87"/>
      <c r="J75" s="448"/>
      <c r="K75" s="87"/>
      <c r="L75" s="448"/>
      <c r="M75" s="1251">
        <f>H75+J75+L75</f>
        <v>0</v>
      </c>
      <c r="N75" s="1255"/>
      <c r="O75" s="1256"/>
    </row>
    <row r="76" spans="1:15" s="643" customFormat="1" ht="41.25" customHeight="1">
      <c r="A76" s="1421" t="s">
        <v>472</v>
      </c>
      <c r="B76" s="75" t="s">
        <v>407</v>
      </c>
      <c r="C76" s="156" t="s">
        <v>1661</v>
      </c>
      <c r="D76" s="75" t="s">
        <v>318</v>
      </c>
      <c r="E76" s="83"/>
      <c r="F76" s="83">
        <v>21.44</v>
      </c>
      <c r="G76" s="79"/>
      <c r="H76" s="77"/>
      <c r="I76" s="79"/>
      <c r="J76" s="77"/>
      <c r="K76" s="79"/>
      <c r="L76" s="77"/>
      <c r="M76" s="1252"/>
      <c r="N76" s="1255"/>
      <c r="O76" s="1256"/>
    </row>
    <row r="77" spans="1:15" s="643" customFormat="1">
      <c r="A77" s="1421"/>
      <c r="B77" s="636"/>
      <c r="C77" s="641" t="s">
        <v>1782</v>
      </c>
      <c r="D77" s="694" t="s">
        <v>4</v>
      </c>
      <c r="E77" s="639">
        <v>1</v>
      </c>
      <c r="F77" s="639">
        <f>E77*F76</f>
        <v>21.44</v>
      </c>
      <c r="G77" s="637"/>
      <c r="H77" s="448"/>
      <c r="I77" s="637"/>
      <c r="J77" s="448">
        <f>F77*I77</f>
        <v>0</v>
      </c>
      <c r="K77" s="637"/>
      <c r="L77" s="448"/>
      <c r="M77" s="1251">
        <f>H77+J77+L77</f>
        <v>0</v>
      </c>
      <c r="N77" s="1255"/>
      <c r="O77" s="1256"/>
    </row>
    <row r="78" spans="1:15" s="643" customFormat="1">
      <c r="A78" s="1421"/>
      <c r="B78" s="636"/>
      <c r="C78" s="128" t="s">
        <v>14</v>
      </c>
      <c r="D78" s="635" t="s">
        <v>11</v>
      </c>
      <c r="E78" s="639">
        <v>0.28299999999999997</v>
      </c>
      <c r="F78" s="639">
        <f>E78*F76</f>
        <v>6.06752</v>
      </c>
      <c r="G78" s="637"/>
      <c r="H78" s="448"/>
      <c r="I78" s="637"/>
      <c r="J78" s="448"/>
      <c r="K78" s="637"/>
      <c r="L78" s="448">
        <f>F78*K78</f>
        <v>0</v>
      </c>
      <c r="M78" s="1251">
        <f>H78+J78+L78</f>
        <v>0</v>
      </c>
      <c r="N78" s="1255"/>
      <c r="O78" s="1256"/>
    </row>
    <row r="79" spans="1:15" s="643" customFormat="1">
      <c r="A79" s="1421"/>
      <c r="B79" s="636"/>
      <c r="C79" s="641" t="s">
        <v>1739</v>
      </c>
      <c r="D79" s="694" t="s">
        <v>319</v>
      </c>
      <c r="E79" s="639">
        <v>1.02</v>
      </c>
      <c r="F79" s="639">
        <f>E79*F76</f>
        <v>21.8688</v>
      </c>
      <c r="G79" s="637"/>
      <c r="H79" s="448">
        <f>F79*G79</f>
        <v>0</v>
      </c>
      <c r="I79" s="637"/>
      <c r="J79" s="448"/>
      <c r="K79" s="637"/>
      <c r="L79" s="448"/>
      <c r="M79" s="1251">
        <f>H79+J79+L79</f>
        <v>0</v>
      </c>
      <c r="N79" s="1255"/>
      <c r="O79" s="1256"/>
    </row>
    <row r="80" spans="1:15" s="643" customFormat="1">
      <c r="A80" s="1421"/>
      <c r="B80" s="636"/>
      <c r="C80" s="128" t="s">
        <v>26</v>
      </c>
      <c r="D80" s="144" t="s">
        <v>11</v>
      </c>
      <c r="E80" s="639">
        <v>0.62</v>
      </c>
      <c r="F80" s="639">
        <f>E80*F76</f>
        <v>13.292800000000002</v>
      </c>
      <c r="G80" s="637"/>
      <c r="H80" s="448">
        <f>F80*G80</f>
        <v>0</v>
      </c>
      <c r="I80" s="637"/>
      <c r="J80" s="448"/>
      <c r="K80" s="637"/>
      <c r="L80" s="448"/>
      <c r="M80" s="1251">
        <f>H80+J80+L80</f>
        <v>0</v>
      </c>
      <c r="N80" s="1255"/>
      <c r="O80" s="1256"/>
    </row>
    <row r="81" spans="1:15" s="643" customFormat="1" ht="31.5">
      <c r="A81" s="1407" t="s">
        <v>473</v>
      </c>
      <c r="B81" s="75" t="s">
        <v>462</v>
      </c>
      <c r="C81" s="158" t="s">
        <v>1611</v>
      </c>
      <c r="D81" s="75" t="s">
        <v>318</v>
      </c>
      <c r="E81" s="45"/>
      <c r="F81" s="83">
        <v>107.21</v>
      </c>
      <c r="G81" s="79"/>
      <c r="H81" s="77"/>
      <c r="I81" s="81"/>
      <c r="J81" s="77"/>
      <c r="K81" s="81"/>
      <c r="L81" s="77"/>
      <c r="M81" s="1252"/>
      <c r="N81" s="1255"/>
      <c r="O81" s="1256"/>
    </row>
    <row r="82" spans="1:15" s="643" customFormat="1">
      <c r="A82" s="1408"/>
      <c r="B82" s="636"/>
      <c r="C82" s="128" t="s">
        <v>1783</v>
      </c>
      <c r="D82" s="144" t="s">
        <v>4</v>
      </c>
      <c r="E82" s="639">
        <v>1</v>
      </c>
      <c r="F82" s="639">
        <f>F81*E82</f>
        <v>107.21</v>
      </c>
      <c r="G82" s="637"/>
      <c r="H82" s="448"/>
      <c r="I82" s="637"/>
      <c r="J82" s="448">
        <f>F82*I82</f>
        <v>0</v>
      </c>
      <c r="K82" s="637"/>
      <c r="L82" s="448"/>
      <c r="M82" s="1251">
        <f t="shared" ref="M82:M89" si="19">H82+J82+L82</f>
        <v>0</v>
      </c>
      <c r="N82" s="1255"/>
      <c r="O82" s="1256"/>
    </row>
    <row r="83" spans="1:15" s="643" customFormat="1">
      <c r="A83" s="1408"/>
      <c r="B83" s="636"/>
      <c r="C83" s="128" t="s">
        <v>25</v>
      </c>
      <c r="D83" s="144" t="s">
        <v>11</v>
      </c>
      <c r="E83" s="639">
        <v>0.77</v>
      </c>
      <c r="F83" s="639">
        <f>F81*E83</f>
        <v>82.551699999999997</v>
      </c>
      <c r="G83" s="637"/>
      <c r="H83" s="448"/>
      <c r="I83" s="637"/>
      <c r="J83" s="448"/>
      <c r="K83" s="637"/>
      <c r="L83" s="448">
        <f>F83*K83</f>
        <v>0</v>
      </c>
      <c r="M83" s="1251">
        <f t="shared" si="19"/>
        <v>0</v>
      </c>
      <c r="N83" s="1255"/>
      <c r="O83" s="1256"/>
    </row>
    <row r="84" spans="1:15" s="643" customFormat="1">
      <c r="A84" s="1408"/>
      <c r="B84" s="636"/>
      <c r="C84" s="128" t="s">
        <v>91</v>
      </c>
      <c r="D84" s="144" t="s">
        <v>4</v>
      </c>
      <c r="E84" s="639">
        <v>1.0149999999999999</v>
      </c>
      <c r="F84" s="639">
        <f>F81*E84</f>
        <v>108.81814999999999</v>
      </c>
      <c r="G84" s="637"/>
      <c r="H84" s="448">
        <f t="shared" ref="H84:H89" si="20">F84*G84</f>
        <v>0</v>
      </c>
      <c r="I84" s="637"/>
      <c r="J84" s="448"/>
      <c r="K84" s="637"/>
      <c r="L84" s="448"/>
      <c r="M84" s="1251">
        <f t="shared" si="19"/>
        <v>0</v>
      </c>
      <c r="N84" s="1255"/>
      <c r="O84" s="1256"/>
    </row>
    <row r="85" spans="1:15" s="643" customFormat="1">
      <c r="A85" s="1408"/>
      <c r="B85" s="636"/>
      <c r="C85" s="128" t="s">
        <v>966</v>
      </c>
      <c r="D85" s="144" t="s">
        <v>5</v>
      </c>
      <c r="E85" s="639">
        <v>7.54</v>
      </c>
      <c r="F85" s="639">
        <f>F81*E85</f>
        <v>808.36339999999996</v>
      </c>
      <c r="G85" s="637"/>
      <c r="H85" s="448">
        <f t="shared" si="20"/>
        <v>0</v>
      </c>
      <c r="I85" s="637"/>
      <c r="J85" s="448"/>
      <c r="K85" s="637"/>
      <c r="L85" s="448"/>
      <c r="M85" s="1251">
        <f t="shared" si="19"/>
        <v>0</v>
      </c>
      <c r="N85" s="1255"/>
      <c r="O85" s="1256"/>
    </row>
    <row r="86" spans="1:15" s="643" customFormat="1">
      <c r="A86" s="1408"/>
      <c r="B86" s="636"/>
      <c r="C86" s="128" t="s">
        <v>235</v>
      </c>
      <c r="D86" s="144" t="s">
        <v>4</v>
      </c>
      <c r="E86" s="639">
        <f>(0.08)/100</f>
        <v>8.0000000000000004E-4</v>
      </c>
      <c r="F86" s="639">
        <f>F81*E86</f>
        <v>8.5767999999999997E-2</v>
      </c>
      <c r="G86" s="637"/>
      <c r="H86" s="448">
        <f t="shared" si="20"/>
        <v>0</v>
      </c>
      <c r="I86" s="637"/>
      <c r="J86" s="448"/>
      <c r="K86" s="637"/>
      <c r="L86" s="448"/>
      <c r="M86" s="1251">
        <f t="shared" si="19"/>
        <v>0</v>
      </c>
      <c r="N86" s="1255"/>
      <c r="O86" s="1256"/>
    </row>
    <row r="87" spans="1:15" s="643" customFormat="1">
      <c r="A87" s="1408"/>
      <c r="B87" s="636"/>
      <c r="C87" s="128" t="s">
        <v>19</v>
      </c>
      <c r="D87" s="144" t="s">
        <v>11</v>
      </c>
      <c r="E87" s="639">
        <v>7.0000000000000007E-2</v>
      </c>
      <c r="F87" s="639">
        <f>F81*E87</f>
        <v>7.5047000000000006</v>
      </c>
      <c r="G87" s="637"/>
      <c r="H87" s="448">
        <f t="shared" si="20"/>
        <v>0</v>
      </c>
      <c r="I87" s="637"/>
      <c r="J87" s="448"/>
      <c r="K87" s="637"/>
      <c r="L87" s="448"/>
      <c r="M87" s="1251">
        <f t="shared" si="19"/>
        <v>0</v>
      </c>
      <c r="N87" s="1255"/>
      <c r="O87" s="1256"/>
    </row>
    <row r="88" spans="1:15" s="643" customFormat="1">
      <c r="A88" s="1408"/>
      <c r="B88" s="636"/>
      <c r="C88" s="642" t="s">
        <v>426</v>
      </c>
      <c r="D88" s="694" t="s">
        <v>218</v>
      </c>
      <c r="E88" s="639"/>
      <c r="F88" s="640">
        <f>25.491</f>
        <v>25.491</v>
      </c>
      <c r="G88" s="87"/>
      <c r="H88" s="448">
        <f t="shared" si="20"/>
        <v>0</v>
      </c>
      <c r="I88" s="637"/>
      <c r="J88" s="448"/>
      <c r="K88" s="637"/>
      <c r="L88" s="448"/>
      <c r="M88" s="1251">
        <f t="shared" si="19"/>
        <v>0</v>
      </c>
      <c r="N88" s="1255"/>
      <c r="O88" s="1256"/>
    </row>
    <row r="89" spans="1:15" s="643" customFormat="1">
      <c r="A89" s="1409"/>
      <c r="B89" s="636"/>
      <c r="C89" s="642" t="s">
        <v>447</v>
      </c>
      <c r="D89" s="694" t="s">
        <v>218</v>
      </c>
      <c r="E89" s="639"/>
      <c r="F89" s="640">
        <f>0.95</f>
        <v>0.95</v>
      </c>
      <c r="G89" s="638"/>
      <c r="H89" s="448">
        <f t="shared" si="20"/>
        <v>0</v>
      </c>
      <c r="I89" s="637"/>
      <c r="J89" s="448"/>
      <c r="K89" s="637"/>
      <c r="L89" s="448"/>
      <c r="M89" s="1251">
        <f t="shared" si="19"/>
        <v>0</v>
      </c>
      <c r="N89" s="1255"/>
      <c r="O89" s="1256"/>
    </row>
    <row r="90" spans="1:15" s="643" customFormat="1" ht="31.5" hidden="1">
      <c r="A90" s="1181" t="s">
        <v>38</v>
      </c>
      <c r="B90" s="636"/>
      <c r="C90" s="156" t="s">
        <v>392</v>
      </c>
      <c r="D90" s="694"/>
      <c r="E90" s="639"/>
      <c r="F90" s="640"/>
      <c r="G90" s="638"/>
      <c r="H90" s="448"/>
      <c r="I90" s="637"/>
      <c r="J90" s="448"/>
      <c r="K90" s="637"/>
      <c r="L90" s="448"/>
      <c r="M90" s="1251"/>
      <c r="N90" s="1255"/>
      <c r="O90" s="1256"/>
    </row>
    <row r="91" spans="1:15" s="643" customFormat="1" ht="47.25" hidden="1">
      <c r="A91" s="1407" t="s">
        <v>484</v>
      </c>
      <c r="B91" s="44" t="s">
        <v>252</v>
      </c>
      <c r="C91" s="152" t="s">
        <v>1618</v>
      </c>
      <c r="D91" s="1190" t="s">
        <v>318</v>
      </c>
      <c r="E91" s="20"/>
      <c r="F91" s="20">
        <v>0</v>
      </c>
      <c r="G91" s="79"/>
      <c r="H91" s="77"/>
      <c r="I91" s="79"/>
      <c r="J91" s="77"/>
      <c r="K91" s="79"/>
      <c r="L91" s="77"/>
      <c r="M91" s="1252"/>
      <c r="N91" s="1255"/>
      <c r="O91" s="1256"/>
    </row>
    <row r="92" spans="1:15" s="643" customFormat="1" hidden="1">
      <c r="A92" s="1408"/>
      <c r="B92" s="44"/>
      <c r="C92" s="142" t="s">
        <v>67</v>
      </c>
      <c r="D92" s="1189" t="s">
        <v>109</v>
      </c>
      <c r="E92" s="1235">
        <v>3.52</v>
      </c>
      <c r="F92" s="1235">
        <f>E92*F91</f>
        <v>0</v>
      </c>
      <c r="G92" s="87"/>
      <c r="H92" s="448"/>
      <c r="I92" s="87">
        <v>6</v>
      </c>
      <c r="J92" s="448">
        <f>F92*I92</f>
        <v>0</v>
      </c>
      <c r="K92" s="87"/>
      <c r="L92" s="448"/>
      <c r="M92" s="1251">
        <f>H92+J92+L92</f>
        <v>0</v>
      </c>
      <c r="N92" s="1255"/>
      <c r="O92" s="1256"/>
    </row>
    <row r="93" spans="1:15" s="643" customFormat="1" hidden="1">
      <c r="A93" s="1408"/>
      <c r="B93" s="44"/>
      <c r="C93" s="128" t="s">
        <v>14</v>
      </c>
      <c r="D93" s="635" t="s">
        <v>11</v>
      </c>
      <c r="E93" s="1235">
        <v>1.06</v>
      </c>
      <c r="F93" s="1235">
        <f>E93*F91</f>
        <v>0</v>
      </c>
      <c r="G93" s="87"/>
      <c r="H93" s="448"/>
      <c r="I93" s="87"/>
      <c r="J93" s="448"/>
      <c r="K93" s="87">
        <v>4</v>
      </c>
      <c r="L93" s="448">
        <f>F93*K93</f>
        <v>0</v>
      </c>
      <c r="M93" s="1251">
        <f>H93+J93+L93</f>
        <v>0</v>
      </c>
      <c r="N93" s="1255"/>
      <c r="O93" s="1256"/>
    </row>
    <row r="94" spans="1:15" s="643" customFormat="1" hidden="1">
      <c r="A94" s="1408"/>
      <c r="B94" s="44"/>
      <c r="C94" s="142" t="s">
        <v>220</v>
      </c>
      <c r="D94" s="1189" t="s">
        <v>319</v>
      </c>
      <c r="E94" s="1235">
        <f>0.18+0.09+0.97</f>
        <v>1.24</v>
      </c>
      <c r="F94" s="1235">
        <f>E94*F91</f>
        <v>0</v>
      </c>
      <c r="G94" s="87">
        <v>22</v>
      </c>
      <c r="H94" s="448">
        <f>F94*G94</f>
        <v>0</v>
      </c>
      <c r="I94" s="87"/>
      <c r="J94" s="448"/>
      <c r="K94" s="87"/>
      <c r="L94" s="448"/>
      <c r="M94" s="1251">
        <f>H94+J94+L94</f>
        <v>0</v>
      </c>
      <c r="N94" s="1255"/>
      <c r="O94" s="1256"/>
    </row>
    <row r="95" spans="1:15" s="643" customFormat="1" hidden="1">
      <c r="A95" s="1409"/>
      <c r="B95" s="44"/>
      <c r="C95" s="128" t="s">
        <v>26</v>
      </c>
      <c r="D95" s="144" t="s">
        <v>11</v>
      </c>
      <c r="E95" s="1235">
        <v>0.02</v>
      </c>
      <c r="F95" s="1235">
        <f>E95*F91</f>
        <v>0</v>
      </c>
      <c r="G95" s="87">
        <v>4</v>
      </c>
      <c r="H95" s="448">
        <f>F95*G95</f>
        <v>0</v>
      </c>
      <c r="I95" s="87"/>
      <c r="J95" s="448"/>
      <c r="K95" s="87"/>
      <c r="L95" s="448"/>
      <c r="M95" s="1251">
        <f>H95+J95+L95</f>
        <v>0</v>
      </c>
      <c r="N95" s="1255"/>
      <c r="O95" s="1256"/>
    </row>
    <row r="96" spans="1:15" s="643" customFormat="1" ht="31.5" hidden="1">
      <c r="A96" s="1421" t="s">
        <v>1687</v>
      </c>
      <c r="B96" s="75" t="s">
        <v>407</v>
      </c>
      <c r="C96" s="156" t="s">
        <v>1660</v>
      </c>
      <c r="D96" s="75" t="s">
        <v>318</v>
      </c>
      <c r="E96" s="83"/>
      <c r="F96" s="83">
        <v>0</v>
      </c>
      <c r="G96" s="79"/>
      <c r="H96" s="77"/>
      <c r="I96" s="79"/>
      <c r="J96" s="77"/>
      <c r="K96" s="79"/>
      <c r="L96" s="77"/>
      <c r="M96" s="1252"/>
      <c r="N96" s="1255"/>
      <c r="O96" s="1256"/>
    </row>
    <row r="97" spans="1:15" s="643" customFormat="1" hidden="1">
      <c r="A97" s="1421"/>
      <c r="B97" s="636"/>
      <c r="C97" s="641" t="s">
        <v>67</v>
      </c>
      <c r="D97" s="694" t="s">
        <v>109</v>
      </c>
      <c r="E97" s="639">
        <v>1.37</v>
      </c>
      <c r="F97" s="639">
        <f>E97*F96</f>
        <v>0</v>
      </c>
      <c r="G97" s="637"/>
      <c r="H97" s="448"/>
      <c r="I97" s="637">
        <v>7.8</v>
      </c>
      <c r="J97" s="448">
        <f>F97*I97</f>
        <v>0</v>
      </c>
      <c r="K97" s="637"/>
      <c r="L97" s="448"/>
      <c r="M97" s="1251">
        <f>H97+J97+L97</f>
        <v>0</v>
      </c>
      <c r="N97" s="1255"/>
      <c r="O97" s="1256"/>
    </row>
    <row r="98" spans="1:15" s="643" customFormat="1" hidden="1">
      <c r="A98" s="1421"/>
      <c r="B98" s="636"/>
      <c r="C98" s="128" t="s">
        <v>14</v>
      </c>
      <c r="D98" s="635" t="s">
        <v>11</v>
      </c>
      <c r="E98" s="639">
        <v>0.28299999999999997</v>
      </c>
      <c r="F98" s="639">
        <f>E98*F96</f>
        <v>0</v>
      </c>
      <c r="G98" s="637"/>
      <c r="H98" s="448"/>
      <c r="I98" s="637"/>
      <c r="J98" s="448"/>
      <c r="K98" s="637">
        <v>4</v>
      </c>
      <c r="L98" s="448">
        <f>F98*K98</f>
        <v>0</v>
      </c>
      <c r="M98" s="1251">
        <f>H98+J98+L98</f>
        <v>0</v>
      </c>
      <c r="N98" s="1255"/>
      <c r="O98" s="1256"/>
    </row>
    <row r="99" spans="1:15" s="643" customFormat="1" hidden="1">
      <c r="A99" s="1421"/>
      <c r="B99" s="636"/>
      <c r="C99" s="641" t="s">
        <v>1739</v>
      </c>
      <c r="D99" s="694" t="s">
        <v>319</v>
      </c>
      <c r="E99" s="639">
        <v>1.02</v>
      </c>
      <c r="F99" s="639">
        <f>E99*F96</f>
        <v>0</v>
      </c>
      <c r="G99" s="637">
        <v>121</v>
      </c>
      <c r="H99" s="448">
        <f>F99*G99</f>
        <v>0</v>
      </c>
      <c r="I99" s="637"/>
      <c r="J99" s="448"/>
      <c r="K99" s="637"/>
      <c r="L99" s="448"/>
      <c r="M99" s="1251">
        <f>H99+J99+L99</f>
        <v>0</v>
      </c>
      <c r="N99" s="1255"/>
      <c r="O99" s="1256"/>
    </row>
    <row r="100" spans="1:15" s="643" customFormat="1" hidden="1">
      <c r="A100" s="1421"/>
      <c r="B100" s="636"/>
      <c r="C100" s="128" t="s">
        <v>26</v>
      </c>
      <c r="D100" s="144" t="s">
        <v>11</v>
      </c>
      <c r="E100" s="639">
        <v>0.62</v>
      </c>
      <c r="F100" s="639">
        <f>E100*F96</f>
        <v>0</v>
      </c>
      <c r="G100" s="637">
        <v>4</v>
      </c>
      <c r="H100" s="448">
        <f>F100*G100</f>
        <v>0</v>
      </c>
      <c r="I100" s="637"/>
      <c r="J100" s="448"/>
      <c r="K100" s="637"/>
      <c r="L100" s="448"/>
      <c r="M100" s="1251">
        <f>H100+J100+L100</f>
        <v>0</v>
      </c>
      <c r="N100" s="1255"/>
      <c r="O100" s="1256"/>
    </row>
    <row r="101" spans="1:15" s="643" customFormat="1" ht="31.5" hidden="1">
      <c r="A101" s="1407" t="s">
        <v>1688</v>
      </c>
      <c r="B101" s="75" t="s">
        <v>221</v>
      </c>
      <c r="C101" s="156" t="s">
        <v>392</v>
      </c>
      <c r="D101" s="75" t="s">
        <v>318</v>
      </c>
      <c r="E101" s="83"/>
      <c r="F101" s="83">
        <v>0</v>
      </c>
      <c r="G101" s="79"/>
      <c r="H101" s="77"/>
      <c r="I101" s="81"/>
      <c r="J101" s="77"/>
      <c r="K101" s="81"/>
      <c r="L101" s="77"/>
      <c r="M101" s="1252"/>
      <c r="N101" s="1255"/>
      <c r="O101" s="1256"/>
    </row>
    <row r="102" spans="1:15" s="643" customFormat="1" hidden="1">
      <c r="A102" s="1408"/>
      <c r="B102" s="75"/>
      <c r="C102" s="157" t="s">
        <v>67</v>
      </c>
      <c r="D102" s="203" t="s">
        <v>109</v>
      </c>
      <c r="E102" s="45">
        <f>666*0.01</f>
        <v>6.66</v>
      </c>
      <c r="F102" s="45">
        <f>E102*F101</f>
        <v>0</v>
      </c>
      <c r="G102" s="81"/>
      <c r="H102" s="77"/>
      <c r="I102" s="637">
        <v>7.8</v>
      </c>
      <c r="J102" s="77">
        <f>F102*I102</f>
        <v>0</v>
      </c>
      <c r="K102" s="81"/>
      <c r="L102" s="77"/>
      <c r="M102" s="1252">
        <f t="shared" ref="M102:M231" si="21">H102+J102+L102</f>
        <v>0</v>
      </c>
      <c r="N102" s="1255"/>
      <c r="O102" s="1256"/>
    </row>
    <row r="103" spans="1:15" s="643" customFormat="1" hidden="1">
      <c r="A103" s="1408"/>
      <c r="B103" s="75"/>
      <c r="C103" s="149" t="s">
        <v>14</v>
      </c>
      <c r="D103" s="635" t="s">
        <v>11</v>
      </c>
      <c r="E103" s="45">
        <f>59*0.01</f>
        <v>0.59</v>
      </c>
      <c r="F103" s="45">
        <f>E103*F101</f>
        <v>0</v>
      </c>
      <c r="G103" s="81"/>
      <c r="H103" s="77"/>
      <c r="I103" s="81"/>
      <c r="J103" s="77"/>
      <c r="K103" s="81">
        <v>4</v>
      </c>
      <c r="L103" s="77">
        <f>F103*K103</f>
        <v>0</v>
      </c>
      <c r="M103" s="1252">
        <f t="shared" si="21"/>
        <v>0</v>
      </c>
      <c r="N103" s="1255"/>
      <c r="O103" s="1256"/>
    </row>
    <row r="104" spans="1:15" s="643" customFormat="1" hidden="1">
      <c r="A104" s="1408"/>
      <c r="B104" s="203"/>
      <c r="C104" s="157" t="s">
        <v>91</v>
      </c>
      <c r="D104" s="203" t="s">
        <v>319</v>
      </c>
      <c r="E104" s="45">
        <f>101.5*0.01</f>
        <v>1.0150000000000001</v>
      </c>
      <c r="F104" s="45">
        <f>E104*F101</f>
        <v>0</v>
      </c>
      <c r="G104" s="81">
        <v>136</v>
      </c>
      <c r="H104" s="77">
        <f t="shared" ref="H104:H109" si="22">F104*G104</f>
        <v>0</v>
      </c>
      <c r="I104" s="81"/>
      <c r="J104" s="77"/>
      <c r="K104" s="81"/>
      <c r="L104" s="77"/>
      <c r="M104" s="1252">
        <f t="shared" si="21"/>
        <v>0</v>
      </c>
      <c r="N104" s="1255"/>
      <c r="O104" s="1256"/>
    </row>
    <row r="105" spans="1:15" s="643" customFormat="1" hidden="1">
      <c r="A105" s="1408"/>
      <c r="B105" s="203"/>
      <c r="C105" s="157" t="s">
        <v>464</v>
      </c>
      <c r="D105" s="203" t="s">
        <v>234</v>
      </c>
      <c r="E105" s="45">
        <f>160*0.01</f>
        <v>1.6</v>
      </c>
      <c r="F105" s="45">
        <f>E105*F101</f>
        <v>0</v>
      </c>
      <c r="G105" s="81">
        <v>20</v>
      </c>
      <c r="H105" s="77">
        <f t="shared" si="22"/>
        <v>0</v>
      </c>
      <c r="I105" s="81"/>
      <c r="J105" s="77"/>
      <c r="K105" s="81"/>
      <c r="L105" s="77"/>
      <c r="M105" s="1252">
        <f t="shared" si="21"/>
        <v>0</v>
      </c>
      <c r="N105" s="1255"/>
      <c r="O105" s="1256"/>
    </row>
    <row r="106" spans="1:15" s="643" customFormat="1" hidden="1">
      <c r="A106" s="1408"/>
      <c r="B106" s="203"/>
      <c r="C106" s="157" t="s">
        <v>222</v>
      </c>
      <c r="D106" s="203" t="s">
        <v>319</v>
      </c>
      <c r="E106" s="45">
        <f>1.83*0.01</f>
        <v>1.83E-2</v>
      </c>
      <c r="F106" s="45">
        <f>E106*F101</f>
        <v>0</v>
      </c>
      <c r="G106" s="81">
        <v>520</v>
      </c>
      <c r="H106" s="77">
        <f t="shared" si="22"/>
        <v>0</v>
      </c>
      <c r="I106" s="81"/>
      <c r="J106" s="77"/>
      <c r="K106" s="81"/>
      <c r="L106" s="77"/>
      <c r="M106" s="1252">
        <f t="shared" si="21"/>
        <v>0</v>
      </c>
      <c r="N106" s="1255"/>
      <c r="O106" s="1256"/>
    </row>
    <row r="107" spans="1:15" s="643" customFormat="1" hidden="1">
      <c r="A107" s="1408"/>
      <c r="B107" s="203"/>
      <c r="C107" s="149" t="s">
        <v>26</v>
      </c>
      <c r="D107" s="144" t="s">
        <v>11</v>
      </c>
      <c r="E107" s="45">
        <f>40*0.01</f>
        <v>0.4</v>
      </c>
      <c r="F107" s="45">
        <f>E107*F101</f>
        <v>0</v>
      </c>
      <c r="G107" s="81">
        <v>4</v>
      </c>
      <c r="H107" s="77">
        <f t="shared" si="22"/>
        <v>0</v>
      </c>
      <c r="I107" s="81"/>
      <c r="J107" s="77"/>
      <c r="K107" s="81"/>
      <c r="L107" s="77"/>
      <c r="M107" s="1252">
        <f t="shared" si="21"/>
        <v>0</v>
      </c>
      <c r="N107" s="1255"/>
      <c r="O107" s="1256"/>
    </row>
    <row r="108" spans="1:15" s="643" customFormat="1" hidden="1">
      <c r="A108" s="1408"/>
      <c r="B108" s="203"/>
      <c r="C108" s="159" t="s">
        <v>426</v>
      </c>
      <c r="D108" s="203" t="s">
        <v>218</v>
      </c>
      <c r="E108" s="45"/>
      <c r="F108" s="82">
        <v>0</v>
      </c>
      <c r="G108" s="81">
        <v>2458</v>
      </c>
      <c r="H108" s="77">
        <f t="shared" si="22"/>
        <v>0</v>
      </c>
      <c r="I108" s="81"/>
      <c r="J108" s="77"/>
      <c r="K108" s="81"/>
      <c r="L108" s="77"/>
      <c r="M108" s="1252">
        <f t="shared" si="21"/>
        <v>0</v>
      </c>
      <c r="N108" s="1255"/>
      <c r="O108" s="1256"/>
    </row>
    <row r="109" spans="1:15" s="643" customFormat="1" hidden="1">
      <c r="A109" s="1409"/>
      <c r="B109" s="203"/>
      <c r="C109" s="159" t="s">
        <v>427</v>
      </c>
      <c r="D109" s="203" t="s">
        <v>218</v>
      </c>
      <c r="E109" s="45"/>
      <c r="F109" s="82">
        <v>0</v>
      </c>
      <c r="G109" s="81">
        <v>2560</v>
      </c>
      <c r="H109" s="77">
        <f t="shared" si="22"/>
        <v>0</v>
      </c>
      <c r="I109" s="81"/>
      <c r="J109" s="77"/>
      <c r="K109" s="81"/>
      <c r="L109" s="77"/>
      <c r="M109" s="1252">
        <f t="shared" si="21"/>
        <v>0</v>
      </c>
      <c r="N109" s="1255"/>
      <c r="O109" s="1256"/>
    </row>
    <row r="110" spans="1:15" s="643" customFormat="1" ht="31.5">
      <c r="A110" s="1181" t="s">
        <v>409</v>
      </c>
      <c r="B110" s="203"/>
      <c r="C110" s="156" t="s">
        <v>1619</v>
      </c>
      <c r="D110" s="203"/>
      <c r="E110" s="45"/>
      <c r="F110" s="82"/>
      <c r="G110" s="81"/>
      <c r="H110" s="77"/>
      <c r="I110" s="81"/>
      <c r="J110" s="77"/>
      <c r="K110" s="81"/>
      <c r="L110" s="77"/>
      <c r="M110" s="1252"/>
      <c r="N110" s="1255"/>
      <c r="O110" s="1256"/>
    </row>
    <row r="111" spans="1:15" s="643" customFormat="1" ht="47.25">
      <c r="A111" s="1407" t="s">
        <v>474</v>
      </c>
      <c r="B111" s="44" t="s">
        <v>252</v>
      </c>
      <c r="C111" s="152" t="s">
        <v>1620</v>
      </c>
      <c r="D111" s="1190" t="s">
        <v>318</v>
      </c>
      <c r="E111" s="20"/>
      <c r="F111" s="20">
        <v>2.5099999999999998</v>
      </c>
      <c r="G111" s="79"/>
      <c r="H111" s="77"/>
      <c r="I111" s="79"/>
      <c r="J111" s="77"/>
      <c r="K111" s="79"/>
      <c r="L111" s="77"/>
      <c r="M111" s="1252"/>
      <c r="N111" s="1255"/>
      <c r="O111" s="1256"/>
    </row>
    <row r="112" spans="1:15" s="643" customFormat="1">
      <c r="A112" s="1408"/>
      <c r="B112" s="44"/>
      <c r="C112" s="142" t="s">
        <v>67</v>
      </c>
      <c r="D112" s="1189" t="s">
        <v>109</v>
      </c>
      <c r="E112" s="1235">
        <v>3.52</v>
      </c>
      <c r="F112" s="1235">
        <f>E112*F111</f>
        <v>8.8351999999999986</v>
      </c>
      <c r="G112" s="87"/>
      <c r="H112" s="448"/>
      <c r="I112" s="87"/>
      <c r="J112" s="448">
        <f>F112*I112</f>
        <v>0</v>
      </c>
      <c r="K112" s="87"/>
      <c r="L112" s="448"/>
      <c r="M112" s="1251">
        <f>H112+J112+L112</f>
        <v>0</v>
      </c>
      <c r="N112" s="1255"/>
      <c r="O112" s="1256"/>
    </row>
    <row r="113" spans="1:15" s="643" customFormat="1">
      <c r="A113" s="1408"/>
      <c r="B113" s="44"/>
      <c r="C113" s="128" t="s">
        <v>14</v>
      </c>
      <c r="D113" s="635" t="s">
        <v>11</v>
      </c>
      <c r="E113" s="1235">
        <v>1.06</v>
      </c>
      <c r="F113" s="1235">
        <f>E113*F111</f>
        <v>2.6606000000000001</v>
      </c>
      <c r="G113" s="87"/>
      <c r="H113" s="448"/>
      <c r="I113" s="87"/>
      <c r="J113" s="448"/>
      <c r="K113" s="87"/>
      <c r="L113" s="448">
        <f>F113*K113</f>
        <v>0</v>
      </c>
      <c r="M113" s="1251">
        <f>H113+J113+L113</f>
        <v>0</v>
      </c>
      <c r="N113" s="1255"/>
      <c r="O113" s="1256"/>
    </row>
    <row r="114" spans="1:15" s="643" customFormat="1">
      <c r="A114" s="1408"/>
      <c r="B114" s="44"/>
      <c r="C114" s="142" t="s">
        <v>220</v>
      </c>
      <c r="D114" s="1189" t="s">
        <v>319</v>
      </c>
      <c r="E114" s="1235">
        <f>0.18+0.09+0.97</f>
        <v>1.24</v>
      </c>
      <c r="F114" s="1235">
        <f>E114*F111</f>
        <v>3.1123999999999996</v>
      </c>
      <c r="G114" s="87"/>
      <c r="H114" s="448">
        <f>F114*G114</f>
        <v>0</v>
      </c>
      <c r="I114" s="87"/>
      <c r="J114" s="448"/>
      <c r="K114" s="87"/>
      <c r="L114" s="448"/>
      <c r="M114" s="1251">
        <f>H114+J114+L114</f>
        <v>0</v>
      </c>
      <c r="N114" s="1255"/>
      <c r="O114" s="1256"/>
    </row>
    <row r="115" spans="1:15" s="643" customFormat="1">
      <c r="A115" s="1409"/>
      <c r="B115" s="44"/>
      <c r="C115" s="128" t="s">
        <v>26</v>
      </c>
      <c r="D115" s="144" t="s">
        <v>11</v>
      </c>
      <c r="E115" s="1235">
        <v>0.02</v>
      </c>
      <c r="F115" s="1235">
        <f>E115*F111</f>
        <v>5.0199999999999995E-2</v>
      </c>
      <c r="G115" s="87"/>
      <c r="H115" s="448">
        <f>F115*G115</f>
        <v>0</v>
      </c>
      <c r="I115" s="87"/>
      <c r="J115" s="448"/>
      <c r="K115" s="87"/>
      <c r="L115" s="448"/>
      <c r="M115" s="1251">
        <f>H115+J115+L115</f>
        <v>0</v>
      </c>
      <c r="N115" s="1255"/>
      <c r="O115" s="1256"/>
    </row>
    <row r="116" spans="1:15" s="643" customFormat="1" ht="34.5" customHeight="1">
      <c r="A116" s="1421" t="s">
        <v>562</v>
      </c>
      <c r="B116" s="75" t="s">
        <v>407</v>
      </c>
      <c r="C116" s="156" t="s">
        <v>1659</v>
      </c>
      <c r="D116" s="75" t="s">
        <v>318</v>
      </c>
      <c r="E116" s="83"/>
      <c r="F116" s="83">
        <v>2.19</v>
      </c>
      <c r="G116" s="79"/>
      <c r="H116" s="77"/>
      <c r="I116" s="79"/>
      <c r="J116" s="77"/>
      <c r="K116" s="79"/>
      <c r="L116" s="77"/>
      <c r="M116" s="1252"/>
      <c r="N116" s="1255"/>
      <c r="O116" s="1256"/>
    </row>
    <row r="117" spans="1:15" s="643" customFormat="1">
      <c r="A117" s="1421"/>
      <c r="B117" s="636"/>
      <c r="C117" s="641" t="s">
        <v>1782</v>
      </c>
      <c r="D117" s="694" t="s">
        <v>4</v>
      </c>
      <c r="E117" s="639">
        <v>1</v>
      </c>
      <c r="F117" s="639">
        <f>E117*F116</f>
        <v>2.19</v>
      </c>
      <c r="G117" s="637"/>
      <c r="H117" s="448"/>
      <c r="I117" s="637"/>
      <c r="J117" s="448">
        <f>F117*I117</f>
        <v>0</v>
      </c>
      <c r="K117" s="637"/>
      <c r="L117" s="448"/>
      <c r="M117" s="1251">
        <f>H117+J117+L117</f>
        <v>0</v>
      </c>
      <c r="N117" s="1255"/>
      <c r="O117" s="1256"/>
    </row>
    <row r="118" spans="1:15" s="643" customFormat="1">
      <c r="A118" s="1421"/>
      <c r="B118" s="636"/>
      <c r="C118" s="128" t="s">
        <v>14</v>
      </c>
      <c r="D118" s="635" t="s">
        <v>11</v>
      </c>
      <c r="E118" s="639">
        <v>0.28299999999999997</v>
      </c>
      <c r="F118" s="639">
        <f>E118*F116</f>
        <v>0.61976999999999993</v>
      </c>
      <c r="G118" s="637"/>
      <c r="H118" s="448"/>
      <c r="I118" s="637"/>
      <c r="J118" s="448"/>
      <c r="K118" s="637"/>
      <c r="L118" s="448">
        <f>F118*K118</f>
        <v>0</v>
      </c>
      <c r="M118" s="1251">
        <f>H118+J118+L118</f>
        <v>0</v>
      </c>
      <c r="N118" s="1255"/>
      <c r="O118" s="1256"/>
    </row>
    <row r="119" spans="1:15" s="643" customFormat="1">
      <c r="A119" s="1421"/>
      <c r="B119" s="636"/>
      <c r="C119" s="641" t="s">
        <v>1739</v>
      </c>
      <c r="D119" s="694" t="s">
        <v>319</v>
      </c>
      <c r="E119" s="639">
        <v>1.02</v>
      </c>
      <c r="F119" s="639">
        <f>E119*F116</f>
        <v>2.2338</v>
      </c>
      <c r="G119" s="637"/>
      <c r="H119" s="448">
        <f>F119*G119</f>
        <v>0</v>
      </c>
      <c r="I119" s="637"/>
      <c r="J119" s="448"/>
      <c r="K119" s="637"/>
      <c r="L119" s="448"/>
      <c r="M119" s="1251">
        <f>H119+J119+L119</f>
        <v>0</v>
      </c>
      <c r="N119" s="1255"/>
      <c r="O119" s="1256"/>
    </row>
    <row r="120" spans="1:15" s="643" customFormat="1">
      <c r="A120" s="1421"/>
      <c r="B120" s="636"/>
      <c r="C120" s="128" t="s">
        <v>26</v>
      </c>
      <c r="D120" s="144" t="s">
        <v>11</v>
      </c>
      <c r="E120" s="639">
        <v>0.62</v>
      </c>
      <c r="F120" s="639">
        <f>E120*F116</f>
        <v>1.3577999999999999</v>
      </c>
      <c r="G120" s="637"/>
      <c r="H120" s="448">
        <f>F120*G120</f>
        <v>0</v>
      </c>
      <c r="I120" s="637"/>
      <c r="J120" s="448"/>
      <c r="K120" s="637"/>
      <c r="L120" s="448"/>
      <c r="M120" s="1251">
        <f>H120+J120+L120</f>
        <v>0</v>
      </c>
      <c r="N120" s="1255"/>
      <c r="O120" s="1256"/>
    </row>
    <row r="121" spans="1:15" s="643" customFormat="1" ht="31.5">
      <c r="A121" s="1387" t="s">
        <v>784</v>
      </c>
      <c r="B121" s="75" t="s">
        <v>395</v>
      </c>
      <c r="C121" s="156" t="s">
        <v>1616</v>
      </c>
      <c r="D121" s="75" t="s">
        <v>318</v>
      </c>
      <c r="E121" s="83"/>
      <c r="F121" s="83">
        <v>9.66</v>
      </c>
      <c r="G121" s="79"/>
      <c r="H121" s="77"/>
      <c r="I121" s="81"/>
      <c r="J121" s="77"/>
      <c r="K121" s="81"/>
      <c r="L121" s="77"/>
      <c r="M121" s="1252"/>
      <c r="N121" s="1255"/>
      <c r="O121" s="1256"/>
    </row>
    <row r="122" spans="1:15" s="643" customFormat="1">
      <c r="A122" s="1388"/>
      <c r="B122" s="75"/>
      <c r="C122" s="157" t="s">
        <v>1784</v>
      </c>
      <c r="D122" s="203" t="s">
        <v>4</v>
      </c>
      <c r="E122" s="45">
        <v>1</v>
      </c>
      <c r="F122" s="45">
        <f>E122*F121</f>
        <v>9.66</v>
      </c>
      <c r="G122" s="81"/>
      <c r="H122" s="77"/>
      <c r="I122" s="637"/>
      <c r="J122" s="77">
        <f>F122*I122</f>
        <v>0</v>
      </c>
      <c r="K122" s="81"/>
      <c r="L122" s="77"/>
      <c r="M122" s="1252">
        <f t="shared" si="21"/>
        <v>0</v>
      </c>
      <c r="N122" s="1255"/>
      <c r="O122" s="1256"/>
    </row>
    <row r="123" spans="1:15" s="643" customFormat="1">
      <c r="A123" s="1388"/>
      <c r="B123" s="75"/>
      <c r="C123" s="157" t="s">
        <v>25</v>
      </c>
      <c r="D123" s="203" t="s">
        <v>11</v>
      </c>
      <c r="E123" s="45">
        <v>0.92</v>
      </c>
      <c r="F123" s="45">
        <f>E123*F121</f>
        <v>8.8872</v>
      </c>
      <c r="G123" s="81"/>
      <c r="H123" s="77"/>
      <c r="I123" s="81"/>
      <c r="J123" s="77"/>
      <c r="K123" s="81"/>
      <c r="L123" s="77">
        <f>F123*K123</f>
        <v>0</v>
      </c>
      <c r="M123" s="1252">
        <f t="shared" si="21"/>
        <v>0</v>
      </c>
      <c r="N123" s="1255"/>
      <c r="O123" s="1256"/>
    </row>
    <row r="124" spans="1:15" s="643" customFormat="1">
      <c r="A124" s="1388"/>
      <c r="B124" s="75"/>
      <c r="C124" s="157" t="s">
        <v>91</v>
      </c>
      <c r="D124" s="203" t="s">
        <v>319</v>
      </c>
      <c r="E124" s="45">
        <v>1.0149999999999999</v>
      </c>
      <c r="F124" s="45">
        <f>E124*F121</f>
        <v>9.8048999999999999</v>
      </c>
      <c r="G124" s="81"/>
      <c r="H124" s="77">
        <f t="shared" ref="H124:H129" si="23">F124*G124</f>
        <v>0</v>
      </c>
      <c r="I124" s="81"/>
      <c r="J124" s="77"/>
      <c r="K124" s="81"/>
      <c r="L124" s="77"/>
      <c r="M124" s="1252">
        <f t="shared" si="21"/>
        <v>0</v>
      </c>
      <c r="N124" s="1255"/>
      <c r="O124" s="1256"/>
    </row>
    <row r="125" spans="1:15" s="643" customFormat="1">
      <c r="A125" s="1388"/>
      <c r="B125" s="75"/>
      <c r="C125" s="157" t="s">
        <v>465</v>
      </c>
      <c r="D125" s="203" t="s">
        <v>234</v>
      </c>
      <c r="E125" s="45">
        <v>0.70299999999999996</v>
      </c>
      <c r="F125" s="45">
        <f>E125*F121</f>
        <v>6.7909799999999994</v>
      </c>
      <c r="G125" s="81"/>
      <c r="H125" s="77">
        <f t="shared" si="23"/>
        <v>0</v>
      </c>
      <c r="I125" s="81"/>
      <c r="J125" s="77"/>
      <c r="K125" s="81"/>
      <c r="L125" s="77"/>
      <c r="M125" s="1252">
        <f t="shared" si="21"/>
        <v>0</v>
      </c>
      <c r="N125" s="1255"/>
      <c r="O125" s="1256"/>
    </row>
    <row r="126" spans="1:15" s="643" customFormat="1">
      <c r="A126" s="1388"/>
      <c r="B126" s="75"/>
      <c r="C126" s="157" t="s">
        <v>222</v>
      </c>
      <c r="D126" s="203" t="s">
        <v>319</v>
      </c>
      <c r="E126" s="45">
        <f>(1.14)*0.01</f>
        <v>1.1399999999999999E-2</v>
      </c>
      <c r="F126" s="45">
        <f>E126*F121</f>
        <v>0.11012399999999999</v>
      </c>
      <c r="G126" s="81"/>
      <c r="H126" s="77">
        <f t="shared" si="23"/>
        <v>0</v>
      </c>
      <c r="I126" s="81"/>
      <c r="J126" s="77"/>
      <c r="K126" s="81"/>
      <c r="L126" s="77"/>
      <c r="M126" s="1252">
        <f t="shared" si="21"/>
        <v>0</v>
      </c>
      <c r="N126" s="1255"/>
      <c r="O126" s="1256"/>
    </row>
    <row r="127" spans="1:15" s="643" customFormat="1">
      <c r="A127" s="1388"/>
      <c r="B127" s="75"/>
      <c r="C127" s="157" t="s">
        <v>26</v>
      </c>
      <c r="D127" s="203" t="s">
        <v>11</v>
      </c>
      <c r="E127" s="45">
        <v>0.6</v>
      </c>
      <c r="F127" s="45">
        <f>E127*F121</f>
        <v>5.7960000000000003</v>
      </c>
      <c r="G127" s="81"/>
      <c r="H127" s="77">
        <f t="shared" si="23"/>
        <v>0</v>
      </c>
      <c r="I127" s="81"/>
      <c r="J127" s="77"/>
      <c r="K127" s="81"/>
      <c r="L127" s="77"/>
      <c r="M127" s="1252">
        <f t="shared" si="21"/>
        <v>0</v>
      </c>
      <c r="N127" s="1255"/>
      <c r="O127" s="1256"/>
    </row>
    <row r="128" spans="1:15" s="643" customFormat="1">
      <c r="A128" s="1388"/>
      <c r="B128" s="203"/>
      <c r="C128" s="159" t="s">
        <v>426</v>
      </c>
      <c r="D128" s="203" t="s">
        <v>218</v>
      </c>
      <c r="E128" s="45"/>
      <c r="F128" s="82">
        <f>1.2705+1.10202</f>
        <v>2.3725199999999997</v>
      </c>
      <c r="G128" s="81"/>
      <c r="H128" s="77">
        <f t="shared" si="23"/>
        <v>0</v>
      </c>
      <c r="I128" s="81"/>
      <c r="J128" s="77"/>
      <c r="K128" s="81"/>
      <c r="L128" s="77"/>
      <c r="M128" s="1252">
        <f t="shared" si="21"/>
        <v>0</v>
      </c>
      <c r="N128" s="1255"/>
      <c r="O128" s="1256"/>
    </row>
    <row r="129" spans="1:15" s="643" customFormat="1" ht="15.75" hidden="1" customHeight="1">
      <c r="A129" s="1399"/>
      <c r="B129" s="203"/>
      <c r="C129" s="159" t="s">
        <v>427</v>
      </c>
      <c r="D129" s="203" t="s">
        <v>218</v>
      </c>
      <c r="E129" s="45"/>
      <c r="F129" s="82">
        <v>0</v>
      </c>
      <c r="G129" s="81">
        <v>2560</v>
      </c>
      <c r="H129" s="77">
        <f t="shared" si="23"/>
        <v>0</v>
      </c>
      <c r="I129" s="81"/>
      <c r="J129" s="77"/>
      <c r="K129" s="81"/>
      <c r="L129" s="77"/>
      <c r="M129" s="1252">
        <f t="shared" si="21"/>
        <v>0</v>
      </c>
      <c r="N129" s="1255"/>
      <c r="O129" s="1256"/>
    </row>
    <row r="130" spans="1:15" s="643" customFormat="1" hidden="1">
      <c r="A130" s="700" t="s">
        <v>432</v>
      </c>
      <c r="B130" s="75"/>
      <c r="C130" s="164" t="s">
        <v>236</v>
      </c>
      <c r="D130" s="702"/>
      <c r="E130" s="282"/>
      <c r="F130" s="282"/>
      <c r="G130" s="80"/>
      <c r="H130" s="77"/>
      <c r="I130" s="81"/>
      <c r="J130" s="77"/>
      <c r="K130" s="81"/>
      <c r="L130" s="77"/>
      <c r="M130" s="1252"/>
      <c r="N130" s="1255"/>
      <c r="O130" s="1256"/>
    </row>
    <row r="131" spans="1:15" s="643" customFormat="1" ht="47.25" hidden="1">
      <c r="A131" s="1407" t="s">
        <v>475</v>
      </c>
      <c r="B131" s="44" t="s">
        <v>252</v>
      </c>
      <c r="C131" s="152" t="s">
        <v>1621</v>
      </c>
      <c r="D131" s="1190" t="s">
        <v>318</v>
      </c>
      <c r="E131" s="20"/>
      <c r="F131" s="20">
        <v>0</v>
      </c>
      <c r="G131" s="79"/>
      <c r="H131" s="77"/>
      <c r="I131" s="79"/>
      <c r="J131" s="77"/>
      <c r="K131" s="79"/>
      <c r="L131" s="77"/>
      <c r="M131" s="1252"/>
      <c r="N131" s="1255"/>
      <c r="O131" s="1256"/>
    </row>
    <row r="132" spans="1:15" s="643" customFormat="1" hidden="1">
      <c r="A132" s="1408"/>
      <c r="B132" s="44"/>
      <c r="C132" s="142" t="s">
        <v>67</v>
      </c>
      <c r="D132" s="1189" t="s">
        <v>109</v>
      </c>
      <c r="E132" s="1235">
        <v>3.52</v>
      </c>
      <c r="F132" s="1235">
        <f>E132*F131</f>
        <v>0</v>
      </c>
      <c r="G132" s="87"/>
      <c r="H132" s="448"/>
      <c r="I132" s="87">
        <v>6</v>
      </c>
      <c r="J132" s="448">
        <f>F132*I132</f>
        <v>0</v>
      </c>
      <c r="K132" s="87"/>
      <c r="L132" s="448"/>
      <c r="M132" s="1251">
        <f>H132+J132+L132</f>
        <v>0</v>
      </c>
      <c r="N132" s="1255"/>
      <c r="O132" s="1256"/>
    </row>
    <row r="133" spans="1:15" s="643" customFormat="1" hidden="1">
      <c r="A133" s="1408"/>
      <c r="B133" s="44"/>
      <c r="C133" s="128" t="s">
        <v>14</v>
      </c>
      <c r="D133" s="635" t="s">
        <v>11</v>
      </c>
      <c r="E133" s="1235">
        <v>1.06</v>
      </c>
      <c r="F133" s="1235">
        <f>E133*F131</f>
        <v>0</v>
      </c>
      <c r="G133" s="87"/>
      <c r="H133" s="448"/>
      <c r="I133" s="87"/>
      <c r="J133" s="448"/>
      <c r="K133" s="87">
        <v>4</v>
      </c>
      <c r="L133" s="448">
        <f>F133*K133</f>
        <v>0</v>
      </c>
      <c r="M133" s="1251">
        <f>H133+J133+L133</f>
        <v>0</v>
      </c>
      <c r="N133" s="1255"/>
      <c r="O133" s="1256"/>
    </row>
    <row r="134" spans="1:15" s="643" customFormat="1" hidden="1">
      <c r="A134" s="1408"/>
      <c r="B134" s="44"/>
      <c r="C134" s="142" t="s">
        <v>220</v>
      </c>
      <c r="D134" s="1189" t="s">
        <v>319</v>
      </c>
      <c r="E134" s="1235">
        <f>0.18+0.09+0.97</f>
        <v>1.24</v>
      </c>
      <c r="F134" s="1235">
        <f>E134*F131</f>
        <v>0</v>
      </c>
      <c r="G134" s="87">
        <v>22</v>
      </c>
      <c r="H134" s="448">
        <f>F134*G134</f>
        <v>0</v>
      </c>
      <c r="I134" s="87"/>
      <c r="J134" s="448"/>
      <c r="K134" s="87"/>
      <c r="L134" s="448"/>
      <c r="M134" s="1251">
        <f>H134+J134+L134</f>
        <v>0</v>
      </c>
      <c r="N134" s="1255"/>
      <c r="O134" s="1256"/>
    </row>
    <row r="135" spans="1:15" s="643" customFormat="1" hidden="1">
      <c r="A135" s="1409"/>
      <c r="B135" s="44"/>
      <c r="C135" s="128" t="s">
        <v>26</v>
      </c>
      <c r="D135" s="144" t="s">
        <v>11</v>
      </c>
      <c r="E135" s="1235">
        <v>0.02</v>
      </c>
      <c r="F135" s="1235">
        <f>E135*F131</f>
        <v>0</v>
      </c>
      <c r="G135" s="87">
        <v>4</v>
      </c>
      <c r="H135" s="448">
        <f>F135*G135</f>
        <v>0</v>
      </c>
      <c r="I135" s="87"/>
      <c r="J135" s="448"/>
      <c r="K135" s="87"/>
      <c r="L135" s="448"/>
      <c r="M135" s="1251">
        <f>H135+J135+L135</f>
        <v>0</v>
      </c>
      <c r="N135" s="1255"/>
      <c r="O135" s="1256"/>
    </row>
    <row r="136" spans="1:15" s="643" customFormat="1" ht="31.5" hidden="1">
      <c r="A136" s="1407" t="s">
        <v>480</v>
      </c>
      <c r="B136" s="75" t="s">
        <v>407</v>
      </c>
      <c r="C136" s="156" t="s">
        <v>1658</v>
      </c>
      <c r="D136" s="75" t="s">
        <v>318</v>
      </c>
      <c r="E136" s="83"/>
      <c r="F136" s="83">
        <v>0</v>
      </c>
      <c r="G136" s="79"/>
      <c r="H136" s="77"/>
      <c r="I136" s="81"/>
      <c r="J136" s="77"/>
      <c r="K136" s="81"/>
      <c r="L136" s="77"/>
      <c r="M136" s="1252"/>
      <c r="N136" s="1255"/>
      <c r="O136" s="1256"/>
    </row>
    <row r="137" spans="1:15" s="643" customFormat="1" hidden="1">
      <c r="A137" s="1408"/>
      <c r="B137" s="75"/>
      <c r="C137" s="157" t="s">
        <v>67</v>
      </c>
      <c r="D137" s="203" t="s">
        <v>109</v>
      </c>
      <c r="E137" s="45">
        <v>1.37</v>
      </c>
      <c r="F137" s="45">
        <f>E137*F136</f>
        <v>0</v>
      </c>
      <c r="G137" s="81"/>
      <c r="H137" s="77"/>
      <c r="I137" s="637">
        <v>7.8</v>
      </c>
      <c r="J137" s="77">
        <f>F137*I137</f>
        <v>0</v>
      </c>
      <c r="K137" s="81"/>
      <c r="L137" s="77"/>
      <c r="M137" s="1252">
        <f t="shared" si="21"/>
        <v>0</v>
      </c>
      <c r="N137" s="1255"/>
      <c r="O137" s="1256"/>
    </row>
    <row r="138" spans="1:15" s="643" customFormat="1" hidden="1">
      <c r="A138" s="1408"/>
      <c r="B138" s="75"/>
      <c r="C138" s="149" t="s">
        <v>14</v>
      </c>
      <c r="D138" s="635" t="s">
        <v>11</v>
      </c>
      <c r="E138" s="45">
        <v>0.28299999999999997</v>
      </c>
      <c r="F138" s="45">
        <f>E138*F136</f>
        <v>0</v>
      </c>
      <c r="G138" s="81"/>
      <c r="H138" s="77"/>
      <c r="I138" s="81"/>
      <c r="J138" s="77"/>
      <c r="K138" s="81">
        <v>4</v>
      </c>
      <c r="L138" s="77">
        <f>F138*K138</f>
        <v>0</v>
      </c>
      <c r="M138" s="1252">
        <f t="shared" si="21"/>
        <v>0</v>
      </c>
      <c r="N138" s="1255"/>
      <c r="O138" s="1256"/>
    </row>
    <row r="139" spans="1:15" s="643" customFormat="1" hidden="1">
      <c r="A139" s="1408"/>
      <c r="B139" s="203"/>
      <c r="C139" s="157" t="s">
        <v>1740</v>
      </c>
      <c r="D139" s="203" t="s">
        <v>319</v>
      </c>
      <c r="E139" s="45">
        <v>1.02</v>
      </c>
      <c r="F139" s="45">
        <f>E139*F136</f>
        <v>0</v>
      </c>
      <c r="G139" s="81">
        <v>121</v>
      </c>
      <c r="H139" s="77">
        <f>F139*G139</f>
        <v>0</v>
      </c>
      <c r="I139" s="81"/>
      <c r="J139" s="77"/>
      <c r="K139" s="81"/>
      <c r="L139" s="77"/>
      <c r="M139" s="1252">
        <f t="shared" si="21"/>
        <v>0</v>
      </c>
      <c r="N139" s="1255"/>
      <c r="O139" s="1256"/>
    </row>
    <row r="140" spans="1:15" s="643" customFormat="1" hidden="1">
      <c r="A140" s="1408"/>
      <c r="B140" s="75"/>
      <c r="C140" s="149" t="s">
        <v>26</v>
      </c>
      <c r="D140" s="144" t="s">
        <v>11</v>
      </c>
      <c r="E140" s="45">
        <v>0.62</v>
      </c>
      <c r="F140" s="45">
        <f>E140*F136</f>
        <v>0</v>
      </c>
      <c r="G140" s="81">
        <v>4</v>
      </c>
      <c r="H140" s="77">
        <f>F140*G140</f>
        <v>0</v>
      </c>
      <c r="I140" s="81"/>
      <c r="J140" s="77"/>
      <c r="K140" s="81"/>
      <c r="L140" s="77"/>
      <c r="M140" s="1252">
        <f t="shared" si="21"/>
        <v>0</v>
      </c>
      <c r="N140" s="1255"/>
      <c r="O140" s="1256"/>
    </row>
    <row r="141" spans="1:15" s="643" customFormat="1" hidden="1">
      <c r="A141" s="1418" t="s">
        <v>481</v>
      </c>
      <c r="B141" s="40" t="s">
        <v>224</v>
      </c>
      <c r="C141" s="275" t="s">
        <v>236</v>
      </c>
      <c r="D141" s="40" t="s">
        <v>318</v>
      </c>
      <c r="E141" s="58"/>
      <c r="F141" s="20">
        <v>0</v>
      </c>
      <c r="G141" s="80"/>
      <c r="H141" s="77"/>
      <c r="I141" s="81"/>
      <c r="J141" s="77"/>
      <c r="K141" s="81"/>
      <c r="L141" s="77"/>
      <c r="M141" s="1252"/>
      <c r="N141" s="1255"/>
      <c r="O141" s="1256"/>
    </row>
    <row r="142" spans="1:15" s="643" customFormat="1" hidden="1">
      <c r="A142" s="1419"/>
      <c r="B142" s="46"/>
      <c r="C142" s="160" t="s">
        <v>13</v>
      </c>
      <c r="D142" s="644" t="s">
        <v>15</v>
      </c>
      <c r="E142" s="84">
        <v>11.1</v>
      </c>
      <c r="F142" s="205">
        <f>E142*F141</f>
        <v>0</v>
      </c>
      <c r="G142" s="80"/>
      <c r="H142" s="77"/>
      <c r="I142" s="637">
        <v>7.8</v>
      </c>
      <c r="J142" s="77">
        <f>F142*I142</f>
        <v>0</v>
      </c>
      <c r="K142" s="81"/>
      <c r="L142" s="77"/>
      <c r="M142" s="1252">
        <f t="shared" si="21"/>
        <v>0</v>
      </c>
      <c r="N142" s="1255"/>
      <c r="O142" s="1256"/>
    </row>
    <row r="143" spans="1:15" s="643" customFormat="1" hidden="1">
      <c r="A143" s="1419"/>
      <c r="B143" s="46"/>
      <c r="C143" s="149" t="s">
        <v>14</v>
      </c>
      <c r="D143" s="635" t="s">
        <v>11</v>
      </c>
      <c r="E143" s="84">
        <v>0.96</v>
      </c>
      <c r="F143" s="205">
        <f>F141*E143</f>
        <v>0</v>
      </c>
      <c r="G143" s="80"/>
      <c r="H143" s="77"/>
      <c r="I143" s="81"/>
      <c r="J143" s="77"/>
      <c r="K143" s="81">
        <v>4</v>
      </c>
      <c r="L143" s="77">
        <f>F143*K143</f>
        <v>0</v>
      </c>
      <c r="M143" s="1252">
        <f t="shared" si="21"/>
        <v>0</v>
      </c>
      <c r="N143" s="1255"/>
      <c r="O143" s="1256"/>
    </row>
    <row r="144" spans="1:15" s="643" customFormat="1" hidden="1">
      <c r="A144" s="1419"/>
      <c r="B144" s="46"/>
      <c r="C144" s="160" t="s">
        <v>448</v>
      </c>
      <c r="D144" s="24" t="s">
        <v>319</v>
      </c>
      <c r="E144" s="84">
        <v>1.0149999999999999</v>
      </c>
      <c r="F144" s="205">
        <f>E144*F141</f>
        <v>0</v>
      </c>
      <c r="G144" s="80">
        <v>136</v>
      </c>
      <c r="H144" s="77">
        <f t="shared" ref="H144:H150" si="24">F144*G144</f>
        <v>0</v>
      </c>
      <c r="I144" s="81"/>
      <c r="J144" s="77"/>
      <c r="K144" s="81"/>
      <c r="L144" s="77"/>
      <c r="M144" s="1252">
        <f t="shared" si="21"/>
        <v>0</v>
      </c>
      <c r="N144" s="1255"/>
      <c r="O144" s="1256"/>
    </row>
    <row r="145" spans="1:15" s="643" customFormat="1" hidden="1">
      <c r="A145" s="1419"/>
      <c r="B145" s="24"/>
      <c r="C145" s="162" t="s">
        <v>464</v>
      </c>
      <c r="D145" s="24" t="s">
        <v>234</v>
      </c>
      <c r="E145" s="84">
        <f>205/100</f>
        <v>2.0499999999999998</v>
      </c>
      <c r="F145" s="205">
        <f>E145*F141</f>
        <v>0</v>
      </c>
      <c r="G145" s="80">
        <v>20</v>
      </c>
      <c r="H145" s="77">
        <f t="shared" si="24"/>
        <v>0</v>
      </c>
      <c r="I145" s="81"/>
      <c r="J145" s="77"/>
      <c r="K145" s="81"/>
      <c r="L145" s="77"/>
      <c r="M145" s="1252">
        <f t="shared" si="21"/>
        <v>0</v>
      </c>
      <c r="N145" s="1255"/>
      <c r="O145" s="1256"/>
    </row>
    <row r="146" spans="1:15" s="643" customFormat="1" hidden="1">
      <c r="A146" s="1419"/>
      <c r="B146" s="24"/>
      <c r="C146" s="160" t="s">
        <v>235</v>
      </c>
      <c r="D146" s="24" t="s">
        <v>319</v>
      </c>
      <c r="E146" s="84">
        <f>(0.3+2.78)/100</f>
        <v>3.0799999999999998E-2</v>
      </c>
      <c r="F146" s="205">
        <f>E146*F141</f>
        <v>0</v>
      </c>
      <c r="G146" s="80">
        <v>520</v>
      </c>
      <c r="H146" s="77">
        <f t="shared" si="24"/>
        <v>0</v>
      </c>
      <c r="I146" s="81"/>
      <c r="J146" s="77"/>
      <c r="K146" s="81"/>
      <c r="L146" s="77"/>
      <c r="M146" s="1252">
        <f t="shared" si="21"/>
        <v>0</v>
      </c>
      <c r="N146" s="1255"/>
      <c r="O146" s="1256"/>
    </row>
    <row r="147" spans="1:15" s="643" customFormat="1" hidden="1">
      <c r="A147" s="1419"/>
      <c r="B147" s="24"/>
      <c r="C147" s="160" t="s">
        <v>70</v>
      </c>
      <c r="D147" s="24" t="s">
        <v>6</v>
      </c>
      <c r="E147" s="84">
        <v>0.17</v>
      </c>
      <c r="F147" s="205">
        <f>F141*E147</f>
        <v>0</v>
      </c>
      <c r="G147" s="80">
        <v>4.58</v>
      </c>
      <c r="H147" s="77">
        <f t="shared" si="24"/>
        <v>0</v>
      </c>
      <c r="I147" s="81"/>
      <c r="J147" s="77"/>
      <c r="K147" s="81"/>
      <c r="L147" s="77"/>
      <c r="M147" s="1252">
        <f t="shared" si="21"/>
        <v>0</v>
      </c>
      <c r="N147" s="1255"/>
      <c r="O147" s="1256"/>
    </row>
    <row r="148" spans="1:15" s="643" customFormat="1" hidden="1">
      <c r="A148" s="1419"/>
      <c r="B148" s="49"/>
      <c r="C148" s="160" t="s">
        <v>26</v>
      </c>
      <c r="D148" s="24" t="s">
        <v>11</v>
      </c>
      <c r="E148" s="84">
        <f>70/100</f>
        <v>0.7</v>
      </c>
      <c r="F148" s="205">
        <f>E148*F141</f>
        <v>0</v>
      </c>
      <c r="G148" s="80">
        <v>4</v>
      </c>
      <c r="H148" s="77">
        <f t="shared" si="24"/>
        <v>0</v>
      </c>
      <c r="I148" s="81"/>
      <c r="J148" s="77"/>
      <c r="K148" s="81"/>
      <c r="L148" s="77"/>
      <c r="M148" s="1252">
        <f t="shared" si="21"/>
        <v>0</v>
      </c>
      <c r="N148" s="1255"/>
      <c r="O148" s="1256"/>
    </row>
    <row r="149" spans="1:15" s="643" customFormat="1" hidden="1">
      <c r="A149" s="1419"/>
      <c r="B149" s="24"/>
      <c r="C149" s="161" t="s">
        <v>449</v>
      </c>
      <c r="D149" s="46" t="s">
        <v>233</v>
      </c>
      <c r="E149" s="84">
        <v>1.03</v>
      </c>
      <c r="F149" s="346">
        <v>0</v>
      </c>
      <c r="G149" s="81">
        <v>2458</v>
      </c>
      <c r="H149" s="77">
        <f t="shared" si="24"/>
        <v>0</v>
      </c>
      <c r="I149" s="81"/>
      <c r="J149" s="77"/>
      <c r="K149" s="81"/>
      <c r="L149" s="77"/>
      <c r="M149" s="1252">
        <f>H149+J149+L149</f>
        <v>0</v>
      </c>
      <c r="N149" s="1255"/>
      <c r="O149" s="1256"/>
    </row>
    <row r="150" spans="1:15" s="643" customFormat="1" hidden="1">
      <c r="A150" s="1420"/>
      <c r="B150" s="46"/>
      <c r="C150" s="161" t="s">
        <v>450</v>
      </c>
      <c r="D150" s="46" t="s">
        <v>233</v>
      </c>
      <c r="E150" s="84">
        <v>1.03</v>
      </c>
      <c r="F150" s="346">
        <v>0</v>
      </c>
      <c r="G150" s="81">
        <v>2560</v>
      </c>
      <c r="H150" s="77">
        <f t="shared" si="24"/>
        <v>0</v>
      </c>
      <c r="I150" s="81"/>
      <c r="J150" s="77"/>
      <c r="K150" s="81"/>
      <c r="L150" s="77"/>
      <c r="M150" s="1252">
        <f>H150+J150+L150</f>
        <v>0</v>
      </c>
      <c r="N150" s="1255"/>
      <c r="O150" s="1256"/>
    </row>
    <row r="151" spans="1:15" s="643" customFormat="1" ht="47.25" hidden="1" customHeight="1">
      <c r="A151" s="1422" t="s">
        <v>39</v>
      </c>
      <c r="B151" s="75" t="s">
        <v>225</v>
      </c>
      <c r="C151" s="164" t="s">
        <v>237</v>
      </c>
      <c r="D151" s="75" t="s">
        <v>279</v>
      </c>
      <c r="E151" s="83"/>
      <c r="F151" s="1148">
        <v>0</v>
      </c>
      <c r="G151" s="79"/>
      <c r="H151" s="77"/>
      <c r="I151" s="81"/>
      <c r="J151" s="77"/>
      <c r="K151" s="81"/>
      <c r="L151" s="77"/>
      <c r="M151" s="1252"/>
      <c r="N151" s="1255"/>
      <c r="O151" s="1256"/>
    </row>
    <row r="152" spans="1:15" s="643" customFormat="1" ht="15.75" hidden="1" customHeight="1">
      <c r="A152" s="1422"/>
      <c r="B152" s="75"/>
      <c r="C152" s="153" t="s">
        <v>67</v>
      </c>
      <c r="D152" s="702" t="s">
        <v>109</v>
      </c>
      <c r="E152" s="282">
        <v>0.33600000000000002</v>
      </c>
      <c r="F152" s="282">
        <f>F151*E152</f>
        <v>0</v>
      </c>
      <c r="G152" s="80"/>
      <c r="H152" s="77"/>
      <c r="I152" s="637">
        <v>7.8</v>
      </c>
      <c r="J152" s="77">
        <f>F152*I152</f>
        <v>0</v>
      </c>
      <c r="K152" s="81"/>
      <c r="L152" s="77"/>
      <c r="M152" s="1252">
        <f t="shared" si="21"/>
        <v>0</v>
      </c>
      <c r="N152" s="1255"/>
      <c r="O152" s="1256"/>
    </row>
    <row r="153" spans="1:15" s="643" customFormat="1" ht="15.75" hidden="1" customHeight="1">
      <c r="A153" s="1422"/>
      <c r="B153" s="75"/>
      <c r="C153" s="149" t="s">
        <v>14</v>
      </c>
      <c r="D153" s="635" t="s">
        <v>11</v>
      </c>
      <c r="E153" s="282">
        <v>1.4999999999999999E-2</v>
      </c>
      <c r="F153" s="282">
        <f>F151*E153</f>
        <v>0</v>
      </c>
      <c r="G153" s="80"/>
      <c r="H153" s="77"/>
      <c r="I153" s="81"/>
      <c r="J153" s="77"/>
      <c r="K153" s="81">
        <v>4</v>
      </c>
      <c r="L153" s="77">
        <f>F153*K153</f>
        <v>0</v>
      </c>
      <c r="M153" s="1252">
        <f t="shared" si="21"/>
        <v>0</v>
      </c>
      <c r="N153" s="1255"/>
      <c r="O153" s="1256"/>
    </row>
    <row r="154" spans="1:15" s="643" customFormat="1" ht="15.75" hidden="1" customHeight="1">
      <c r="A154" s="1422"/>
      <c r="B154" s="203" t="s">
        <v>391</v>
      </c>
      <c r="C154" s="153" t="s">
        <v>226</v>
      </c>
      <c r="D154" s="702" t="s">
        <v>113</v>
      </c>
      <c r="E154" s="282">
        <v>2.4</v>
      </c>
      <c r="F154" s="282">
        <f>F151*E154</f>
        <v>0</v>
      </c>
      <c r="G154" s="80">
        <v>1.46</v>
      </c>
      <c r="H154" s="77">
        <f>F154*G154</f>
        <v>0</v>
      </c>
      <c r="I154" s="81"/>
      <c r="J154" s="77"/>
      <c r="K154" s="81"/>
      <c r="L154" s="77"/>
      <c r="M154" s="1252">
        <f t="shared" si="21"/>
        <v>0</v>
      </c>
      <c r="N154" s="1255"/>
      <c r="O154" s="1256"/>
    </row>
    <row r="155" spans="1:15" s="643" customFormat="1" ht="15.75" hidden="1" customHeight="1">
      <c r="A155" s="1422"/>
      <c r="B155" s="75"/>
      <c r="C155" s="149" t="s">
        <v>26</v>
      </c>
      <c r="D155" s="144" t="s">
        <v>11</v>
      </c>
      <c r="E155" s="282">
        <v>2.2800000000000001E-2</v>
      </c>
      <c r="F155" s="282">
        <f>E155*F151</f>
        <v>0</v>
      </c>
      <c r="G155" s="80">
        <v>4</v>
      </c>
      <c r="H155" s="77">
        <f>F155*G155</f>
        <v>0</v>
      </c>
      <c r="I155" s="81"/>
      <c r="J155" s="77"/>
      <c r="K155" s="81"/>
      <c r="L155" s="77"/>
      <c r="M155" s="1252">
        <f t="shared" si="21"/>
        <v>0</v>
      </c>
      <c r="N155" s="1255"/>
      <c r="O155" s="1256"/>
    </row>
    <row r="156" spans="1:15" s="643" customFormat="1" ht="31.5">
      <c r="A156" s="1406" t="s">
        <v>64</v>
      </c>
      <c r="B156" s="703" t="s">
        <v>1557</v>
      </c>
      <c r="C156" s="164" t="s">
        <v>227</v>
      </c>
      <c r="D156" s="703" t="s">
        <v>318</v>
      </c>
      <c r="E156" s="20"/>
      <c r="F156" s="83">
        <f>F62+F66-F71-F76-F81    -F91-F96-F101    -F111-F116-F121    -F131-F136-F141</f>
        <v>409.45374999999996</v>
      </c>
      <c r="G156" s="79"/>
      <c r="H156" s="77"/>
      <c r="I156" s="79"/>
      <c r="J156" s="77"/>
      <c r="K156" s="79"/>
      <c r="L156" s="77"/>
      <c r="M156" s="1252"/>
      <c r="N156" s="1255"/>
      <c r="O156" s="1256"/>
    </row>
    <row r="157" spans="1:15" s="643" customFormat="1">
      <c r="A157" s="1406"/>
      <c r="B157" s="702"/>
      <c r="C157" s="153" t="s">
        <v>189</v>
      </c>
      <c r="D157" s="702" t="s">
        <v>109</v>
      </c>
      <c r="E157" s="282">
        <v>0.15</v>
      </c>
      <c r="F157" s="282">
        <f>E157*F156</f>
        <v>61.418062499999991</v>
      </c>
      <c r="G157" s="80"/>
      <c r="H157" s="77"/>
      <c r="I157" s="80"/>
      <c r="J157" s="77">
        <f>F157*I157</f>
        <v>0</v>
      </c>
      <c r="K157" s="80"/>
      <c r="L157" s="77"/>
      <c r="M157" s="1252">
        <f>H157+J157+L157</f>
        <v>0</v>
      </c>
      <c r="N157" s="1255"/>
      <c r="O157" s="1256"/>
    </row>
    <row r="158" spans="1:15" s="643" customFormat="1">
      <c r="A158" s="1406"/>
      <c r="B158" s="703" t="s">
        <v>381</v>
      </c>
      <c r="C158" s="153" t="s">
        <v>228</v>
      </c>
      <c r="D158" s="702" t="s">
        <v>212</v>
      </c>
      <c r="E158" s="282">
        <v>2.1600000000000001E-2</v>
      </c>
      <c r="F158" s="282">
        <f>E158*F156</f>
        <v>8.844201</v>
      </c>
      <c r="G158" s="80"/>
      <c r="H158" s="77"/>
      <c r="I158" s="80"/>
      <c r="J158" s="77"/>
      <c r="K158" s="80"/>
      <c r="L158" s="77">
        <f>F158*K158</f>
        <v>0</v>
      </c>
      <c r="M158" s="1252">
        <f>H158+J158+L158</f>
        <v>0</v>
      </c>
      <c r="N158" s="1255"/>
      <c r="O158" s="1256"/>
    </row>
    <row r="159" spans="1:15" s="643" customFormat="1">
      <c r="A159" s="1406"/>
      <c r="B159" s="703" t="s">
        <v>385</v>
      </c>
      <c r="C159" s="153" t="s">
        <v>229</v>
      </c>
      <c r="D159" s="702" t="s">
        <v>212</v>
      </c>
      <c r="E159" s="282">
        <v>2.7300000000000001E-2</v>
      </c>
      <c r="F159" s="282">
        <f>E159*F156</f>
        <v>11.178087374999999</v>
      </c>
      <c r="G159" s="80"/>
      <c r="H159" s="77"/>
      <c r="I159" s="80"/>
      <c r="J159" s="77"/>
      <c r="K159" s="80"/>
      <c r="L159" s="77">
        <f>F159*K159</f>
        <v>0</v>
      </c>
      <c r="M159" s="1252">
        <f>H159+J159+L159</f>
        <v>0</v>
      </c>
      <c r="N159" s="1255"/>
      <c r="O159" s="1256"/>
    </row>
    <row r="160" spans="1:15" s="643" customFormat="1">
      <c r="A160" s="1406"/>
      <c r="B160" s="703" t="s">
        <v>383</v>
      </c>
      <c r="C160" s="153" t="s">
        <v>216</v>
      </c>
      <c r="D160" s="702" t="s">
        <v>212</v>
      </c>
      <c r="E160" s="282">
        <v>9.7000000000000003E-3</v>
      </c>
      <c r="F160" s="282">
        <f>F156*E160</f>
        <v>3.9717013749999999</v>
      </c>
      <c r="G160" s="80"/>
      <c r="H160" s="77"/>
      <c r="I160" s="80"/>
      <c r="J160" s="77"/>
      <c r="K160" s="80"/>
      <c r="L160" s="77">
        <f>F160*K160</f>
        <v>0</v>
      </c>
      <c r="M160" s="1252">
        <f>H160+J160+L160</f>
        <v>0</v>
      </c>
      <c r="N160" s="1255"/>
      <c r="O160" s="1256"/>
    </row>
    <row r="161" spans="1:15" s="643" customFormat="1">
      <c r="A161" s="1406"/>
      <c r="B161" s="702"/>
      <c r="C161" s="153" t="s">
        <v>230</v>
      </c>
      <c r="D161" s="702" t="s">
        <v>319</v>
      </c>
      <c r="E161" s="282">
        <v>1.2</v>
      </c>
      <c r="F161" s="282">
        <f>E161*F156</f>
        <v>491.34449999999993</v>
      </c>
      <c r="G161" s="80"/>
      <c r="H161" s="77">
        <f>F161*G161</f>
        <v>0</v>
      </c>
      <c r="I161" s="80"/>
      <c r="J161" s="77"/>
      <c r="K161" s="80"/>
      <c r="L161" s="77"/>
      <c r="M161" s="1252">
        <f>H161+J161+L161</f>
        <v>0</v>
      </c>
      <c r="N161" s="1255"/>
      <c r="O161" s="1256"/>
    </row>
    <row r="162" spans="1:15" s="643" customFormat="1">
      <c r="A162" s="699" t="s">
        <v>433</v>
      </c>
      <c r="B162" s="75"/>
      <c r="C162" s="164" t="s">
        <v>239</v>
      </c>
      <c r="D162" s="144"/>
      <c r="E162" s="282"/>
      <c r="F162" s="282"/>
      <c r="G162" s="80"/>
      <c r="H162" s="77"/>
      <c r="I162" s="80"/>
      <c r="J162" s="77"/>
      <c r="K162" s="80"/>
      <c r="L162" s="77"/>
      <c r="M162" s="1252"/>
      <c r="N162" s="1255"/>
      <c r="O162" s="1256"/>
    </row>
    <row r="163" spans="1:15" s="643" customFormat="1" ht="31.5">
      <c r="A163" s="1422" t="s">
        <v>477</v>
      </c>
      <c r="B163" s="40" t="s">
        <v>242</v>
      </c>
      <c r="C163" s="152" t="s">
        <v>1612</v>
      </c>
      <c r="D163" s="40" t="s">
        <v>318</v>
      </c>
      <c r="E163" s="276"/>
      <c r="F163" s="20">
        <v>159.84</v>
      </c>
      <c r="G163" s="80"/>
      <c r="H163" s="77"/>
      <c r="I163" s="80"/>
      <c r="J163" s="77"/>
      <c r="K163" s="80"/>
      <c r="L163" s="77"/>
      <c r="M163" s="1252"/>
      <c r="N163" s="1255"/>
      <c r="O163" s="1256"/>
    </row>
    <row r="164" spans="1:15" s="643" customFormat="1">
      <c r="A164" s="1422"/>
      <c r="B164" s="49"/>
      <c r="C164" s="162" t="s">
        <v>1785</v>
      </c>
      <c r="D164" s="46" t="s">
        <v>4</v>
      </c>
      <c r="E164" s="58">
        <v>1</v>
      </c>
      <c r="F164" s="282">
        <f>F163*E164</f>
        <v>159.84</v>
      </c>
      <c r="G164" s="80"/>
      <c r="H164" s="77"/>
      <c r="I164" s="637"/>
      <c r="J164" s="77">
        <f>F164*I164</f>
        <v>0</v>
      </c>
      <c r="K164" s="80"/>
      <c r="L164" s="77"/>
      <c r="M164" s="1252">
        <f t="shared" ref="M164:M170" si="25">H164+J164+L164</f>
        <v>0</v>
      </c>
      <c r="N164" s="1255"/>
      <c r="O164" s="1256"/>
    </row>
    <row r="165" spans="1:15" s="643" customFormat="1">
      <c r="A165" s="1422"/>
      <c r="B165" s="46"/>
      <c r="C165" s="160" t="s">
        <v>14</v>
      </c>
      <c r="D165" s="46" t="s">
        <v>11</v>
      </c>
      <c r="E165" s="84">
        <v>3.47</v>
      </c>
      <c r="F165" s="205">
        <f>F163*E165</f>
        <v>554.64480000000003</v>
      </c>
      <c r="G165" s="80"/>
      <c r="H165" s="77"/>
      <c r="I165" s="80"/>
      <c r="J165" s="77"/>
      <c r="K165" s="80"/>
      <c r="L165" s="77">
        <f>F165*K165</f>
        <v>0</v>
      </c>
      <c r="M165" s="1252">
        <f t="shared" si="25"/>
        <v>0</v>
      </c>
      <c r="N165" s="1255"/>
      <c r="O165" s="1256"/>
    </row>
    <row r="166" spans="1:15" s="643" customFormat="1">
      <c r="A166" s="1422"/>
      <c r="B166" s="46"/>
      <c r="C166" s="160" t="s">
        <v>448</v>
      </c>
      <c r="D166" s="46" t="s">
        <v>319</v>
      </c>
      <c r="E166" s="58">
        <v>1</v>
      </c>
      <c r="F166" s="205">
        <f>E166*F163</f>
        <v>159.84</v>
      </c>
      <c r="G166" s="80"/>
      <c r="H166" s="77">
        <f t="shared" ref="H166:H172" si="26">F166*G166</f>
        <v>0</v>
      </c>
      <c r="I166" s="80"/>
      <c r="J166" s="77"/>
      <c r="K166" s="80"/>
      <c r="L166" s="77"/>
      <c r="M166" s="1252">
        <f t="shared" si="25"/>
        <v>0</v>
      </c>
      <c r="N166" s="1255"/>
      <c r="O166" s="1256"/>
    </row>
    <row r="167" spans="1:15" s="643" customFormat="1">
      <c r="A167" s="1422"/>
      <c r="B167" s="24"/>
      <c r="C167" s="162" t="s">
        <v>464</v>
      </c>
      <c r="D167" s="46" t="s">
        <v>234</v>
      </c>
      <c r="E167" s="58">
        <v>2.42</v>
      </c>
      <c r="F167" s="282">
        <f>F163*E167</f>
        <v>386.81279999999998</v>
      </c>
      <c r="G167" s="80"/>
      <c r="H167" s="77">
        <f t="shared" si="26"/>
        <v>0</v>
      </c>
      <c r="I167" s="80"/>
      <c r="J167" s="77"/>
      <c r="K167" s="80"/>
      <c r="L167" s="77"/>
      <c r="M167" s="1252">
        <f t="shared" si="25"/>
        <v>0</v>
      </c>
      <c r="N167" s="1255"/>
      <c r="O167" s="1256"/>
    </row>
    <row r="168" spans="1:15" s="643" customFormat="1">
      <c r="A168" s="1422"/>
      <c r="B168" s="24"/>
      <c r="C168" s="162" t="s">
        <v>235</v>
      </c>
      <c r="D168" s="24" t="s">
        <v>319</v>
      </c>
      <c r="E168" s="58">
        <f>(5.72+2.3)/100</f>
        <v>8.0199999999999994E-2</v>
      </c>
      <c r="F168" s="282">
        <f>E168*F163</f>
        <v>12.819167999999999</v>
      </c>
      <c r="G168" s="80"/>
      <c r="H168" s="77">
        <f t="shared" si="26"/>
        <v>0</v>
      </c>
      <c r="I168" s="80"/>
      <c r="J168" s="77"/>
      <c r="K168" s="80"/>
      <c r="L168" s="77"/>
      <c r="M168" s="1252">
        <f t="shared" si="25"/>
        <v>0</v>
      </c>
      <c r="N168" s="1255"/>
      <c r="O168" s="1256"/>
    </row>
    <row r="169" spans="1:15" s="643" customFormat="1">
      <c r="A169" s="1422"/>
      <c r="B169" s="24"/>
      <c r="C169" s="162" t="s">
        <v>70</v>
      </c>
      <c r="D169" s="24" t="s">
        <v>113</v>
      </c>
      <c r="E169" s="84">
        <v>3.6</v>
      </c>
      <c r="F169" s="282">
        <f>F163*E169</f>
        <v>575.42399999999998</v>
      </c>
      <c r="G169" s="80"/>
      <c r="H169" s="77">
        <f t="shared" si="26"/>
        <v>0</v>
      </c>
      <c r="I169" s="80"/>
      <c r="J169" s="77"/>
      <c r="K169" s="80"/>
      <c r="L169" s="77"/>
      <c r="M169" s="1252">
        <f t="shared" si="25"/>
        <v>0</v>
      </c>
      <c r="N169" s="1255"/>
      <c r="O169" s="1256"/>
    </row>
    <row r="170" spans="1:15" s="643" customFormat="1">
      <c r="A170" s="1422"/>
      <c r="B170" s="46"/>
      <c r="C170" s="160" t="s">
        <v>26</v>
      </c>
      <c r="D170" s="46" t="s">
        <v>11</v>
      </c>
      <c r="E170" s="84">
        <v>0.79</v>
      </c>
      <c r="F170" s="205">
        <f>F163*E170</f>
        <v>126.2736</v>
      </c>
      <c r="G170" s="80"/>
      <c r="H170" s="77">
        <f t="shared" si="26"/>
        <v>0</v>
      </c>
      <c r="I170" s="80"/>
      <c r="J170" s="77"/>
      <c r="K170" s="80"/>
      <c r="L170" s="77"/>
      <c r="M170" s="1252">
        <f t="shared" si="25"/>
        <v>0</v>
      </c>
      <c r="N170" s="1255"/>
      <c r="O170" s="1256"/>
    </row>
    <row r="171" spans="1:15" s="643" customFormat="1">
      <c r="A171" s="1422"/>
      <c r="B171" s="24"/>
      <c r="C171" s="161" t="s">
        <v>449</v>
      </c>
      <c r="D171" s="46" t="s">
        <v>233</v>
      </c>
      <c r="E171" s="84"/>
      <c r="F171" s="346">
        <f>20.70206+0.65173+9.23214+0.09652</f>
        <v>30.682449999999999</v>
      </c>
      <c r="G171" s="80"/>
      <c r="H171" s="77">
        <f t="shared" si="26"/>
        <v>0</v>
      </c>
      <c r="I171" s="80"/>
      <c r="J171" s="77"/>
      <c r="K171" s="80"/>
      <c r="L171" s="77"/>
      <c r="M171" s="1252">
        <f>H171+J171+L171</f>
        <v>0</v>
      </c>
      <c r="N171" s="1255"/>
      <c r="O171" s="1256"/>
    </row>
    <row r="172" spans="1:15" s="643" customFormat="1">
      <c r="A172" s="1422"/>
      <c r="B172" s="46"/>
      <c r="C172" s="161" t="s">
        <v>450</v>
      </c>
      <c r="D172" s="46" t="s">
        <v>233</v>
      </c>
      <c r="E172" s="84"/>
      <c r="F172" s="346">
        <f>8.12669+0.21773</f>
        <v>8.3444199999999995</v>
      </c>
      <c r="G172" s="341"/>
      <c r="H172" s="77">
        <f t="shared" si="26"/>
        <v>0</v>
      </c>
      <c r="I172" s="80"/>
      <c r="J172" s="77"/>
      <c r="K172" s="80"/>
      <c r="L172" s="77"/>
      <c r="M172" s="1252">
        <f>H172+J172+L172</f>
        <v>0</v>
      </c>
      <c r="N172" s="1255"/>
      <c r="O172" s="1256"/>
    </row>
    <row r="173" spans="1:15" s="643" customFormat="1">
      <c r="A173" s="1422" t="s">
        <v>1689</v>
      </c>
      <c r="B173" s="40" t="s">
        <v>242</v>
      </c>
      <c r="C173" s="152" t="s">
        <v>1613</v>
      </c>
      <c r="D173" s="40" t="s">
        <v>318</v>
      </c>
      <c r="E173" s="276"/>
      <c r="F173" s="20">
        <v>6.72</v>
      </c>
      <c r="G173" s="80"/>
      <c r="H173" s="77"/>
      <c r="I173" s="80"/>
      <c r="J173" s="77"/>
      <c r="K173" s="80"/>
      <c r="L173" s="77"/>
      <c r="M173" s="1252"/>
      <c r="N173" s="1255"/>
      <c r="O173" s="1256"/>
    </row>
    <row r="174" spans="1:15" s="643" customFormat="1">
      <c r="A174" s="1422"/>
      <c r="B174" s="49"/>
      <c r="C174" s="162" t="s">
        <v>1785</v>
      </c>
      <c r="D174" s="46" t="s">
        <v>4</v>
      </c>
      <c r="E174" s="58">
        <v>1</v>
      </c>
      <c r="F174" s="282">
        <f>F173*E174</f>
        <v>6.72</v>
      </c>
      <c r="G174" s="80"/>
      <c r="H174" s="77"/>
      <c r="I174" s="637"/>
      <c r="J174" s="77">
        <f>F174*I174</f>
        <v>0</v>
      </c>
      <c r="K174" s="80"/>
      <c r="L174" s="77"/>
      <c r="M174" s="1252">
        <f t="shared" ref="M174:M180" si="27">H174+J174+L174</f>
        <v>0</v>
      </c>
      <c r="N174" s="1255"/>
      <c r="O174" s="1256"/>
    </row>
    <row r="175" spans="1:15" s="643" customFormat="1">
      <c r="A175" s="1422"/>
      <c r="B175" s="46"/>
      <c r="C175" s="160" t="s">
        <v>14</v>
      </c>
      <c r="D175" s="46" t="s">
        <v>11</v>
      </c>
      <c r="E175" s="84">
        <v>3.47</v>
      </c>
      <c r="F175" s="205">
        <f>F173*E175</f>
        <v>23.3184</v>
      </c>
      <c r="G175" s="80"/>
      <c r="H175" s="77"/>
      <c r="I175" s="80"/>
      <c r="J175" s="77"/>
      <c r="K175" s="80"/>
      <c r="L175" s="77">
        <f>F175*K175</f>
        <v>0</v>
      </c>
      <c r="M175" s="1252">
        <f t="shared" si="27"/>
        <v>0</v>
      </c>
      <c r="N175" s="1255"/>
      <c r="O175" s="1256"/>
    </row>
    <row r="176" spans="1:15" s="643" customFormat="1">
      <c r="A176" s="1422"/>
      <c r="B176" s="46"/>
      <c r="C176" s="160" t="s">
        <v>448</v>
      </c>
      <c r="D176" s="46" t="s">
        <v>319</v>
      </c>
      <c r="E176" s="58">
        <v>1</v>
      </c>
      <c r="F176" s="205">
        <f>E176*F173</f>
        <v>6.72</v>
      </c>
      <c r="G176" s="80"/>
      <c r="H176" s="77">
        <f t="shared" ref="H176:H182" si="28">F176*G176</f>
        <v>0</v>
      </c>
      <c r="I176" s="80"/>
      <c r="J176" s="77"/>
      <c r="K176" s="80"/>
      <c r="L176" s="77"/>
      <c r="M176" s="1252">
        <f t="shared" si="27"/>
        <v>0</v>
      </c>
      <c r="N176" s="1255"/>
      <c r="O176" s="1256"/>
    </row>
    <row r="177" spans="1:15" s="643" customFormat="1">
      <c r="A177" s="1422"/>
      <c r="B177" s="24"/>
      <c r="C177" s="162" t="s">
        <v>464</v>
      </c>
      <c r="D177" s="46" t="s">
        <v>234</v>
      </c>
      <c r="E177" s="58">
        <v>2.42</v>
      </c>
      <c r="F177" s="282">
        <f>F173*E177</f>
        <v>16.2624</v>
      </c>
      <c r="G177" s="80"/>
      <c r="H177" s="77">
        <f t="shared" si="28"/>
        <v>0</v>
      </c>
      <c r="I177" s="80"/>
      <c r="J177" s="77"/>
      <c r="K177" s="80"/>
      <c r="L177" s="77"/>
      <c r="M177" s="1252">
        <f t="shared" si="27"/>
        <v>0</v>
      </c>
      <c r="N177" s="1255"/>
      <c r="O177" s="1256"/>
    </row>
    <row r="178" spans="1:15" s="643" customFormat="1">
      <c r="A178" s="1422"/>
      <c r="B178" s="24"/>
      <c r="C178" s="162" t="s">
        <v>235</v>
      </c>
      <c r="D178" s="24" t="s">
        <v>319</v>
      </c>
      <c r="E178" s="58">
        <f>(5.72+2.3)/100</f>
        <v>8.0199999999999994E-2</v>
      </c>
      <c r="F178" s="282">
        <f>E178*F173</f>
        <v>0.53894399999999998</v>
      </c>
      <c r="G178" s="80"/>
      <c r="H178" s="77">
        <f t="shared" si="28"/>
        <v>0</v>
      </c>
      <c r="I178" s="80"/>
      <c r="J178" s="77"/>
      <c r="K178" s="80"/>
      <c r="L178" s="77"/>
      <c r="M178" s="1252">
        <f t="shared" si="27"/>
        <v>0</v>
      </c>
      <c r="N178" s="1255"/>
      <c r="O178" s="1256"/>
    </row>
    <row r="179" spans="1:15" s="643" customFormat="1">
      <c r="A179" s="1422"/>
      <c r="B179" s="24"/>
      <c r="C179" s="162" t="s">
        <v>70</v>
      </c>
      <c r="D179" s="24" t="s">
        <v>113</v>
      </c>
      <c r="E179" s="84">
        <v>3.6</v>
      </c>
      <c r="F179" s="282">
        <f>F173*E179</f>
        <v>24.192</v>
      </c>
      <c r="G179" s="80"/>
      <c r="H179" s="77">
        <f t="shared" si="28"/>
        <v>0</v>
      </c>
      <c r="I179" s="80"/>
      <c r="J179" s="77"/>
      <c r="K179" s="80"/>
      <c r="L179" s="77"/>
      <c r="M179" s="1252">
        <f t="shared" si="27"/>
        <v>0</v>
      </c>
      <c r="N179" s="1255"/>
      <c r="O179" s="1256"/>
    </row>
    <row r="180" spans="1:15" s="643" customFormat="1">
      <c r="A180" s="1422"/>
      <c r="B180" s="46"/>
      <c r="C180" s="160" t="s">
        <v>26</v>
      </c>
      <c r="D180" s="46" t="s">
        <v>11</v>
      </c>
      <c r="E180" s="84">
        <v>0.79</v>
      </c>
      <c r="F180" s="205">
        <f>F173*E180</f>
        <v>5.3087999999999997</v>
      </c>
      <c r="G180" s="80"/>
      <c r="H180" s="77">
        <f t="shared" si="28"/>
        <v>0</v>
      </c>
      <c r="I180" s="80"/>
      <c r="J180" s="77"/>
      <c r="K180" s="80"/>
      <c r="L180" s="77"/>
      <c r="M180" s="1252">
        <f t="shared" si="27"/>
        <v>0</v>
      </c>
      <c r="N180" s="1255"/>
      <c r="O180" s="1256"/>
    </row>
    <row r="181" spans="1:15" s="643" customFormat="1">
      <c r="A181" s="1422"/>
      <c r="B181" s="24"/>
      <c r="C181" s="161" t="s">
        <v>449</v>
      </c>
      <c r="D181" s="46" t="s">
        <v>233</v>
      </c>
      <c r="E181" s="84"/>
      <c r="F181" s="346">
        <f>0.34778</f>
        <v>0.34777999999999998</v>
      </c>
      <c r="G181" s="80"/>
      <c r="H181" s="77">
        <f t="shared" si="28"/>
        <v>0</v>
      </c>
      <c r="I181" s="80"/>
      <c r="J181" s="77"/>
      <c r="K181" s="80"/>
      <c r="L181" s="77"/>
      <c r="M181" s="1252">
        <f>H181+J181+L181</f>
        <v>0</v>
      </c>
      <c r="N181" s="1255"/>
      <c r="O181" s="1256"/>
    </row>
    <row r="182" spans="1:15" s="643" customFormat="1">
      <c r="A182" s="1422"/>
      <c r="B182" s="46"/>
      <c r="C182" s="161" t="s">
        <v>450</v>
      </c>
      <c r="D182" s="46" t="s">
        <v>233</v>
      </c>
      <c r="E182" s="84"/>
      <c r="F182" s="346">
        <f>0.24192</f>
        <v>0.24192</v>
      </c>
      <c r="G182" s="341"/>
      <c r="H182" s="77">
        <f t="shared" si="28"/>
        <v>0</v>
      </c>
      <c r="I182" s="80"/>
      <c r="J182" s="77"/>
      <c r="K182" s="80"/>
      <c r="L182" s="77"/>
      <c r="M182" s="1252">
        <f>H182+J182+L182</f>
        <v>0</v>
      </c>
      <c r="N182" s="1255"/>
      <c r="O182" s="1256"/>
    </row>
    <row r="183" spans="1:15" s="643" customFormat="1">
      <c r="A183" s="700" t="s">
        <v>434</v>
      </c>
      <c r="B183" s="46"/>
      <c r="C183" s="164" t="s">
        <v>240</v>
      </c>
      <c r="D183" s="46"/>
      <c r="E183" s="84"/>
      <c r="F183" s="205"/>
      <c r="G183" s="341"/>
      <c r="H183" s="77"/>
      <c r="I183" s="80"/>
      <c r="J183" s="77"/>
      <c r="K183" s="80"/>
      <c r="L183" s="77"/>
      <c r="M183" s="1252"/>
      <c r="N183" s="1255"/>
      <c r="O183" s="1256"/>
    </row>
    <row r="184" spans="1:15" s="643" customFormat="1" ht="31.5">
      <c r="A184" s="1422" t="s">
        <v>1690</v>
      </c>
      <c r="B184" s="40" t="s">
        <v>241</v>
      </c>
      <c r="C184" s="152" t="s">
        <v>1614</v>
      </c>
      <c r="D184" s="40" t="s">
        <v>318</v>
      </c>
      <c r="E184" s="276"/>
      <c r="F184" s="20">
        <v>58.28</v>
      </c>
      <c r="G184" s="80"/>
      <c r="H184" s="77"/>
      <c r="I184" s="80"/>
      <c r="J184" s="77"/>
      <c r="K184" s="80"/>
      <c r="L184" s="77"/>
      <c r="M184" s="1252"/>
      <c r="N184" s="1255"/>
      <c r="O184" s="1256"/>
    </row>
    <row r="185" spans="1:15" s="643" customFormat="1">
      <c r="A185" s="1422"/>
      <c r="B185" s="24"/>
      <c r="C185" s="162" t="s">
        <v>1786</v>
      </c>
      <c r="D185" s="46" t="s">
        <v>4</v>
      </c>
      <c r="E185" s="58">
        <v>1</v>
      </c>
      <c r="F185" s="282">
        <f>F184*E185</f>
        <v>58.28</v>
      </c>
      <c r="G185" s="80"/>
      <c r="H185" s="77"/>
      <c r="I185" s="637"/>
      <c r="J185" s="77">
        <f>F185*I185</f>
        <v>0</v>
      </c>
      <c r="K185" s="80"/>
      <c r="L185" s="77"/>
      <c r="M185" s="1252">
        <f t="shared" ref="M185:M193" si="29">H185+J185+L185</f>
        <v>0</v>
      </c>
      <c r="N185" s="1255"/>
      <c r="O185" s="1256"/>
    </row>
    <row r="186" spans="1:15" s="643" customFormat="1">
      <c r="A186" s="1422"/>
      <c r="B186" s="46"/>
      <c r="C186" s="160" t="s">
        <v>14</v>
      </c>
      <c r="D186" s="46" t="s">
        <v>11</v>
      </c>
      <c r="E186" s="84">
        <v>1.27</v>
      </c>
      <c r="F186" s="205">
        <f>F184*E186</f>
        <v>74.015600000000006</v>
      </c>
      <c r="G186" s="80"/>
      <c r="H186" s="77"/>
      <c r="I186" s="80"/>
      <c r="J186" s="77"/>
      <c r="K186" s="80"/>
      <c r="L186" s="77">
        <f>F186*K186</f>
        <v>0</v>
      </c>
      <c r="M186" s="1252">
        <f t="shared" si="29"/>
        <v>0</v>
      </c>
      <c r="N186" s="1255"/>
      <c r="O186" s="1256"/>
    </row>
    <row r="187" spans="1:15" s="643" customFormat="1">
      <c r="A187" s="1422"/>
      <c r="B187" s="46"/>
      <c r="C187" s="160" t="s">
        <v>448</v>
      </c>
      <c r="D187" s="46" t="s">
        <v>319</v>
      </c>
      <c r="E187" s="58">
        <v>1</v>
      </c>
      <c r="F187" s="205">
        <f>E187*F184</f>
        <v>58.28</v>
      </c>
      <c r="G187" s="80"/>
      <c r="H187" s="77">
        <f t="shared" ref="H187:H193" si="30">F187*G187</f>
        <v>0</v>
      </c>
      <c r="I187" s="80"/>
      <c r="J187" s="77"/>
      <c r="K187" s="80"/>
      <c r="L187" s="77"/>
      <c r="M187" s="1252">
        <f t="shared" si="29"/>
        <v>0</v>
      </c>
      <c r="N187" s="1255"/>
      <c r="O187" s="1256"/>
    </row>
    <row r="188" spans="1:15" s="643" customFormat="1">
      <c r="A188" s="1422"/>
      <c r="B188" s="24"/>
      <c r="C188" s="162" t="s">
        <v>465</v>
      </c>
      <c r="D188" s="24" t="s">
        <v>234</v>
      </c>
      <c r="E188" s="84">
        <v>2.2799999999999998</v>
      </c>
      <c r="F188" s="282">
        <f>F184*E188</f>
        <v>132.8784</v>
      </c>
      <c r="G188" s="80"/>
      <c r="H188" s="77">
        <f t="shared" si="30"/>
        <v>0</v>
      </c>
      <c r="I188" s="80"/>
      <c r="J188" s="77"/>
      <c r="K188" s="80"/>
      <c r="L188" s="77"/>
      <c r="M188" s="1252">
        <f t="shared" si="29"/>
        <v>0</v>
      </c>
      <c r="N188" s="1255"/>
      <c r="O188" s="1256"/>
    </row>
    <row r="189" spans="1:15" s="643" customFormat="1">
      <c r="A189" s="1422"/>
      <c r="B189" s="24"/>
      <c r="C189" s="162" t="s">
        <v>235</v>
      </c>
      <c r="D189" s="24" t="s">
        <v>319</v>
      </c>
      <c r="E189" s="84">
        <f>(0.22+1.95+0.5)/100</f>
        <v>2.6699999999999998E-2</v>
      </c>
      <c r="F189" s="282">
        <f>E189*F184</f>
        <v>1.556076</v>
      </c>
      <c r="G189" s="80"/>
      <c r="H189" s="77">
        <f t="shared" si="30"/>
        <v>0</v>
      </c>
      <c r="I189" s="80"/>
      <c r="J189" s="77"/>
      <c r="K189" s="80"/>
      <c r="L189" s="77"/>
      <c r="M189" s="1252">
        <f t="shared" si="29"/>
        <v>0</v>
      </c>
      <c r="N189" s="1255"/>
      <c r="O189" s="1256"/>
    </row>
    <row r="190" spans="1:15" s="643" customFormat="1">
      <c r="A190" s="1422"/>
      <c r="B190" s="24"/>
      <c r="C190" s="162" t="s">
        <v>238</v>
      </c>
      <c r="D190" s="24" t="s">
        <v>6</v>
      </c>
      <c r="E190" s="84">
        <v>3.5</v>
      </c>
      <c r="F190" s="282">
        <f>F184*E190</f>
        <v>203.98000000000002</v>
      </c>
      <c r="G190" s="80"/>
      <c r="H190" s="77">
        <f t="shared" si="30"/>
        <v>0</v>
      </c>
      <c r="I190" s="80"/>
      <c r="J190" s="77"/>
      <c r="K190" s="80"/>
      <c r="L190" s="77"/>
      <c r="M190" s="1252">
        <f t="shared" si="29"/>
        <v>0</v>
      </c>
      <c r="N190" s="1255"/>
      <c r="O190" s="1256"/>
    </row>
    <row r="191" spans="1:15" s="643" customFormat="1">
      <c r="A191" s="1422"/>
      <c r="B191" s="46"/>
      <c r="C191" s="160" t="s">
        <v>26</v>
      </c>
      <c r="D191" s="46" t="s">
        <v>11</v>
      </c>
      <c r="E191" s="84">
        <v>1.1599999999999999</v>
      </c>
      <c r="F191" s="205">
        <f>F184*E191</f>
        <v>67.604799999999997</v>
      </c>
      <c r="G191" s="80"/>
      <c r="H191" s="77">
        <f t="shared" si="30"/>
        <v>0</v>
      </c>
      <c r="I191" s="80"/>
      <c r="J191" s="77"/>
      <c r="K191" s="80"/>
      <c r="L191" s="77"/>
      <c r="M191" s="1252">
        <f t="shared" si="29"/>
        <v>0</v>
      </c>
      <c r="N191" s="1255"/>
      <c r="O191" s="1256"/>
    </row>
    <row r="192" spans="1:15" s="643" customFormat="1">
      <c r="A192" s="1422"/>
      <c r="B192" s="46"/>
      <c r="C192" s="161" t="s">
        <v>449</v>
      </c>
      <c r="D192" s="46" t="s">
        <v>233</v>
      </c>
      <c r="E192" s="84"/>
      <c r="F192" s="346">
        <f>10.74473+0.76371+0.698+1.74195+0.2435</f>
        <v>14.191889999999999</v>
      </c>
      <c r="G192" s="80"/>
      <c r="H192" s="77">
        <f t="shared" si="30"/>
        <v>0</v>
      </c>
      <c r="I192" s="80"/>
      <c r="J192" s="77"/>
      <c r="K192" s="80"/>
      <c r="L192" s="77"/>
      <c r="M192" s="1252">
        <f t="shared" si="29"/>
        <v>0</v>
      </c>
      <c r="N192" s="1255"/>
      <c r="O192" s="1256"/>
    </row>
    <row r="193" spans="1:15" s="643" customFormat="1">
      <c r="A193" s="1422"/>
      <c r="B193" s="46"/>
      <c r="C193" s="161" t="s">
        <v>450</v>
      </c>
      <c r="D193" s="46" t="s">
        <v>233</v>
      </c>
      <c r="E193" s="84"/>
      <c r="F193" s="346">
        <f>3.93725+1.61426</f>
        <v>5.5515100000000004</v>
      </c>
      <c r="G193" s="341"/>
      <c r="H193" s="77">
        <f t="shared" si="30"/>
        <v>0</v>
      </c>
      <c r="I193" s="80"/>
      <c r="J193" s="77"/>
      <c r="K193" s="80"/>
      <c r="L193" s="77"/>
      <c r="M193" s="1252">
        <f t="shared" si="29"/>
        <v>0</v>
      </c>
      <c r="N193" s="1255"/>
      <c r="O193" s="1256"/>
    </row>
    <row r="194" spans="1:15" s="643" customFormat="1" ht="31.5">
      <c r="A194" s="1422" t="s">
        <v>1691</v>
      </c>
      <c r="B194" s="40" t="s">
        <v>241</v>
      </c>
      <c r="C194" s="152" t="s">
        <v>1615</v>
      </c>
      <c r="D194" s="40" t="s">
        <v>318</v>
      </c>
      <c r="E194" s="276"/>
      <c r="F194" s="20">
        <v>10.8</v>
      </c>
      <c r="G194" s="80"/>
      <c r="H194" s="77"/>
      <c r="I194" s="80"/>
      <c r="J194" s="77"/>
      <c r="K194" s="80"/>
      <c r="L194" s="77"/>
      <c r="M194" s="1252"/>
      <c r="N194" s="1255"/>
      <c r="O194" s="1256"/>
    </row>
    <row r="195" spans="1:15" s="643" customFormat="1">
      <c r="A195" s="1422"/>
      <c r="B195" s="24"/>
      <c r="C195" s="162" t="s">
        <v>1786</v>
      </c>
      <c r="D195" s="46" t="s">
        <v>4</v>
      </c>
      <c r="E195" s="58">
        <v>1</v>
      </c>
      <c r="F195" s="282">
        <f>F194*E195</f>
        <v>10.8</v>
      </c>
      <c r="G195" s="80"/>
      <c r="H195" s="77"/>
      <c r="I195" s="637"/>
      <c r="J195" s="77">
        <f>F195*I195</f>
        <v>0</v>
      </c>
      <c r="K195" s="80"/>
      <c r="L195" s="77"/>
      <c r="M195" s="1252">
        <f t="shared" ref="M195:M203" si="31">H195+J195+L195</f>
        <v>0</v>
      </c>
      <c r="N195" s="1255"/>
      <c r="O195" s="1256"/>
    </row>
    <row r="196" spans="1:15" s="643" customFormat="1">
      <c r="A196" s="1422"/>
      <c r="B196" s="46"/>
      <c r="C196" s="160" t="s">
        <v>14</v>
      </c>
      <c r="D196" s="46" t="s">
        <v>11</v>
      </c>
      <c r="E196" s="84">
        <v>1.27</v>
      </c>
      <c r="F196" s="205">
        <f>F194*E196</f>
        <v>13.716000000000001</v>
      </c>
      <c r="G196" s="80"/>
      <c r="H196" s="77"/>
      <c r="I196" s="80"/>
      <c r="J196" s="77"/>
      <c r="K196" s="80"/>
      <c r="L196" s="77">
        <f>F196*K196</f>
        <v>0</v>
      </c>
      <c r="M196" s="1252">
        <f t="shared" si="31"/>
        <v>0</v>
      </c>
      <c r="N196" s="1255"/>
      <c r="O196" s="1256"/>
    </row>
    <row r="197" spans="1:15" s="643" customFormat="1">
      <c r="A197" s="1422"/>
      <c r="B197" s="46"/>
      <c r="C197" s="160" t="s">
        <v>448</v>
      </c>
      <c r="D197" s="46" t="s">
        <v>319</v>
      </c>
      <c r="E197" s="58">
        <v>1</v>
      </c>
      <c r="F197" s="205">
        <f>E197*F194</f>
        <v>10.8</v>
      </c>
      <c r="G197" s="80"/>
      <c r="H197" s="77">
        <f t="shared" ref="H197:H203" si="32">F197*G197</f>
        <v>0</v>
      </c>
      <c r="I197" s="80"/>
      <c r="J197" s="77"/>
      <c r="K197" s="80"/>
      <c r="L197" s="77"/>
      <c r="M197" s="1252">
        <f t="shared" si="31"/>
        <v>0</v>
      </c>
      <c r="N197" s="1255"/>
      <c r="O197" s="1256"/>
    </row>
    <row r="198" spans="1:15" s="643" customFormat="1">
      <c r="A198" s="1422"/>
      <c r="B198" s="24"/>
      <c r="C198" s="162" t="s">
        <v>465</v>
      </c>
      <c r="D198" s="24" t="s">
        <v>234</v>
      </c>
      <c r="E198" s="84">
        <v>2.2799999999999998</v>
      </c>
      <c r="F198" s="282">
        <f>F194*E198</f>
        <v>24.623999999999999</v>
      </c>
      <c r="G198" s="80"/>
      <c r="H198" s="77">
        <f t="shared" si="32"/>
        <v>0</v>
      </c>
      <c r="I198" s="80"/>
      <c r="J198" s="77"/>
      <c r="K198" s="80"/>
      <c r="L198" s="77"/>
      <c r="M198" s="1252">
        <f t="shared" si="31"/>
        <v>0</v>
      </c>
      <c r="N198" s="1255"/>
      <c r="O198" s="1256"/>
    </row>
    <row r="199" spans="1:15" s="643" customFormat="1">
      <c r="A199" s="1422"/>
      <c r="B199" s="24"/>
      <c r="C199" s="162" t="s">
        <v>235</v>
      </c>
      <c r="D199" s="24" t="s">
        <v>319</v>
      </c>
      <c r="E199" s="84">
        <f>(0.22+1.95+0.5)/100</f>
        <v>2.6699999999999998E-2</v>
      </c>
      <c r="F199" s="282">
        <f>E199*F194</f>
        <v>0.28836000000000001</v>
      </c>
      <c r="G199" s="80"/>
      <c r="H199" s="77">
        <f t="shared" si="32"/>
        <v>0</v>
      </c>
      <c r="I199" s="80"/>
      <c r="J199" s="77"/>
      <c r="K199" s="80"/>
      <c r="L199" s="77"/>
      <c r="M199" s="1252">
        <f t="shared" si="31"/>
        <v>0</v>
      </c>
      <c r="N199" s="1255"/>
      <c r="O199" s="1256"/>
    </row>
    <row r="200" spans="1:15" s="643" customFormat="1">
      <c r="A200" s="1422"/>
      <c r="B200" s="24"/>
      <c r="C200" s="162" t="s">
        <v>238</v>
      </c>
      <c r="D200" s="24" t="s">
        <v>6</v>
      </c>
      <c r="E200" s="84">
        <v>3.5</v>
      </c>
      <c r="F200" s="282">
        <f>F194*E200</f>
        <v>37.800000000000004</v>
      </c>
      <c r="G200" s="80"/>
      <c r="H200" s="77">
        <f t="shared" si="32"/>
        <v>0</v>
      </c>
      <c r="I200" s="80"/>
      <c r="J200" s="77"/>
      <c r="K200" s="80"/>
      <c r="L200" s="77"/>
      <c r="M200" s="1252">
        <f t="shared" si="31"/>
        <v>0</v>
      </c>
      <c r="N200" s="1255"/>
      <c r="O200" s="1256"/>
    </row>
    <row r="201" spans="1:15" s="643" customFormat="1">
      <c r="A201" s="1422"/>
      <c r="B201" s="46"/>
      <c r="C201" s="160" t="s">
        <v>26</v>
      </c>
      <c r="D201" s="46" t="s">
        <v>11</v>
      </c>
      <c r="E201" s="84">
        <v>1.1599999999999999</v>
      </c>
      <c r="F201" s="205">
        <f>F194*E201</f>
        <v>12.528</v>
      </c>
      <c r="G201" s="80"/>
      <c r="H201" s="77">
        <f t="shared" si="32"/>
        <v>0</v>
      </c>
      <c r="I201" s="80"/>
      <c r="J201" s="77"/>
      <c r="K201" s="80"/>
      <c r="L201" s="77"/>
      <c r="M201" s="1252">
        <f t="shared" si="31"/>
        <v>0</v>
      </c>
      <c r="N201" s="1255"/>
      <c r="O201" s="1256"/>
    </row>
    <row r="202" spans="1:15" s="643" customFormat="1">
      <c r="A202" s="1422"/>
      <c r="B202" s="46"/>
      <c r="C202" s="161" t="s">
        <v>449</v>
      </c>
      <c r="D202" s="46" t="s">
        <v>233</v>
      </c>
      <c r="E202" s="84"/>
      <c r="F202" s="346">
        <f>0.8892</f>
        <v>0.88919999999999999</v>
      </c>
      <c r="G202" s="80"/>
      <c r="H202" s="77">
        <f t="shared" si="32"/>
        <v>0</v>
      </c>
      <c r="I202" s="80"/>
      <c r="J202" s="77"/>
      <c r="K202" s="80"/>
      <c r="L202" s="77"/>
      <c r="M202" s="1252">
        <f t="shared" si="31"/>
        <v>0</v>
      </c>
      <c r="N202" s="1255"/>
      <c r="O202" s="1256"/>
    </row>
    <row r="203" spans="1:15" s="643" customFormat="1">
      <c r="A203" s="1422"/>
      <c r="B203" s="46"/>
      <c r="C203" s="161" t="s">
        <v>450</v>
      </c>
      <c r="D203" s="46" t="s">
        <v>233</v>
      </c>
      <c r="E203" s="84"/>
      <c r="F203" s="346">
        <f>0.93</f>
        <v>0.93</v>
      </c>
      <c r="G203" s="341"/>
      <c r="H203" s="77">
        <f t="shared" si="32"/>
        <v>0</v>
      </c>
      <c r="I203" s="80"/>
      <c r="J203" s="77"/>
      <c r="K203" s="80"/>
      <c r="L203" s="77"/>
      <c r="M203" s="1252">
        <f t="shared" si="31"/>
        <v>0</v>
      </c>
      <c r="N203" s="1255"/>
      <c r="O203" s="1256"/>
    </row>
    <row r="204" spans="1:15" s="643" customFormat="1">
      <c r="A204" s="739"/>
      <c r="B204" s="702"/>
      <c r="C204" s="163" t="s">
        <v>245</v>
      </c>
      <c r="D204" s="702"/>
      <c r="E204" s="282"/>
      <c r="F204" s="282"/>
      <c r="G204" s="80"/>
      <c r="H204" s="77"/>
      <c r="I204" s="80"/>
      <c r="J204" s="77"/>
      <c r="K204" s="80"/>
      <c r="L204" s="77"/>
      <c r="M204" s="1252"/>
      <c r="N204" s="1255"/>
      <c r="O204" s="1256"/>
    </row>
    <row r="205" spans="1:15" s="643" customFormat="1" ht="31.5">
      <c r="A205" s="1187" t="s">
        <v>69</v>
      </c>
      <c r="B205" s="1191"/>
      <c r="C205" s="152" t="s">
        <v>1625</v>
      </c>
      <c r="D205" s="1191"/>
      <c r="E205" s="282"/>
      <c r="F205" s="282"/>
      <c r="G205" s="80"/>
      <c r="H205" s="77"/>
      <c r="I205" s="80"/>
      <c r="J205" s="77"/>
      <c r="K205" s="80"/>
      <c r="L205" s="77"/>
      <c r="M205" s="1252"/>
      <c r="N205" s="1255"/>
      <c r="O205" s="1256"/>
    </row>
    <row r="206" spans="1:15" s="643" customFormat="1" ht="47.25" hidden="1">
      <c r="A206" s="1410" t="s">
        <v>1692</v>
      </c>
      <c r="B206" s="44" t="s">
        <v>252</v>
      </c>
      <c r="C206" s="152" t="s">
        <v>1640</v>
      </c>
      <c r="D206" s="703" t="s">
        <v>318</v>
      </c>
      <c r="E206" s="20"/>
      <c r="F206" s="20">
        <v>0</v>
      </c>
      <c r="G206" s="79"/>
      <c r="H206" s="77"/>
      <c r="I206" s="79"/>
      <c r="J206" s="77"/>
      <c r="K206" s="79"/>
      <c r="L206" s="77"/>
      <c r="M206" s="1252"/>
      <c r="N206" s="1255"/>
      <c r="O206" s="1256"/>
    </row>
    <row r="207" spans="1:15" s="643" customFormat="1" hidden="1">
      <c r="A207" s="1411"/>
      <c r="B207" s="44"/>
      <c r="C207" s="142" t="s">
        <v>67</v>
      </c>
      <c r="D207" s="695" t="s">
        <v>109</v>
      </c>
      <c r="E207" s="1235">
        <v>3.52</v>
      </c>
      <c r="F207" s="1235">
        <f>E207*F206</f>
        <v>0</v>
      </c>
      <c r="G207" s="87"/>
      <c r="H207" s="448"/>
      <c r="I207" s="87">
        <v>6</v>
      </c>
      <c r="J207" s="448">
        <f>F207*I207</f>
        <v>0</v>
      </c>
      <c r="K207" s="87"/>
      <c r="L207" s="448"/>
      <c r="M207" s="1251">
        <f>H207+J207+L207</f>
        <v>0</v>
      </c>
      <c r="N207" s="1255"/>
      <c r="O207" s="1256"/>
    </row>
    <row r="208" spans="1:15" s="643" customFormat="1" hidden="1">
      <c r="A208" s="1411"/>
      <c r="B208" s="44"/>
      <c r="C208" s="128" t="s">
        <v>14</v>
      </c>
      <c r="D208" s="635" t="s">
        <v>11</v>
      </c>
      <c r="E208" s="1235">
        <v>1.06</v>
      </c>
      <c r="F208" s="1235">
        <f>E208*F206</f>
        <v>0</v>
      </c>
      <c r="G208" s="87"/>
      <c r="H208" s="448"/>
      <c r="I208" s="87"/>
      <c r="J208" s="448"/>
      <c r="K208" s="87">
        <v>4</v>
      </c>
      <c r="L208" s="448">
        <f>F208*K208</f>
        <v>0</v>
      </c>
      <c r="M208" s="1251">
        <f>H208+J208+L208</f>
        <v>0</v>
      </c>
      <c r="N208" s="1255"/>
      <c r="O208" s="1256"/>
    </row>
    <row r="209" spans="1:15" s="643" customFormat="1" hidden="1">
      <c r="A209" s="1411"/>
      <c r="B209" s="44"/>
      <c r="C209" s="142" t="s">
        <v>220</v>
      </c>
      <c r="D209" s="695" t="s">
        <v>319</v>
      </c>
      <c r="E209" s="1235">
        <f>0.18+0.09+0.97</f>
        <v>1.24</v>
      </c>
      <c r="F209" s="1235">
        <f>E209*F206</f>
        <v>0</v>
      </c>
      <c r="G209" s="87">
        <v>22</v>
      </c>
      <c r="H209" s="448">
        <f>F209*G209</f>
        <v>0</v>
      </c>
      <c r="I209" s="87"/>
      <c r="J209" s="448"/>
      <c r="K209" s="87"/>
      <c r="L209" s="448"/>
      <c r="M209" s="1251">
        <f>H209+J209+L209</f>
        <v>0</v>
      </c>
      <c r="N209" s="1255"/>
      <c r="O209" s="1256"/>
    </row>
    <row r="210" spans="1:15" s="643" customFormat="1" hidden="1">
      <c r="A210" s="1412"/>
      <c r="B210" s="44"/>
      <c r="C210" s="128" t="s">
        <v>26</v>
      </c>
      <c r="D210" s="144" t="s">
        <v>11</v>
      </c>
      <c r="E210" s="1235">
        <v>0.02</v>
      </c>
      <c r="F210" s="1235">
        <f>E210*F206</f>
        <v>0</v>
      </c>
      <c r="G210" s="87">
        <v>4</v>
      </c>
      <c r="H210" s="448">
        <f>F210*G210</f>
        <v>0</v>
      </c>
      <c r="I210" s="87"/>
      <c r="J210" s="448"/>
      <c r="K210" s="87"/>
      <c r="L210" s="448"/>
      <c r="M210" s="1251">
        <f>H210+J210+L210</f>
        <v>0</v>
      </c>
      <c r="N210" s="1255"/>
      <c r="O210" s="1256"/>
    </row>
    <row r="211" spans="1:15" s="643" customFormat="1" ht="47.25">
      <c r="A211" s="1423" t="s">
        <v>1693</v>
      </c>
      <c r="B211" s="42" t="s">
        <v>254</v>
      </c>
      <c r="C211" s="156" t="s">
        <v>1623</v>
      </c>
      <c r="D211" s="1198" t="s">
        <v>88</v>
      </c>
      <c r="E211" s="282"/>
      <c r="F211" s="345">
        <v>10.2927</v>
      </c>
      <c r="G211" s="80"/>
      <c r="H211" s="77"/>
      <c r="I211" s="80"/>
      <c r="J211" s="77"/>
      <c r="K211" s="77"/>
      <c r="L211" s="77"/>
      <c r="M211" s="1252"/>
      <c r="N211" s="1255"/>
      <c r="O211" s="1256"/>
    </row>
    <row r="212" spans="1:15" s="643" customFormat="1">
      <c r="A212" s="1424"/>
      <c r="B212" s="447"/>
      <c r="C212" s="148" t="s">
        <v>13</v>
      </c>
      <c r="D212" s="447" t="s">
        <v>15</v>
      </c>
      <c r="E212" s="1235">
        <v>31.2</v>
      </c>
      <c r="F212" s="282">
        <f>F211*E212</f>
        <v>321.13223999999997</v>
      </c>
      <c r="G212" s="77"/>
      <c r="H212" s="77"/>
      <c r="I212" s="637"/>
      <c r="J212" s="77">
        <f>F212*I212</f>
        <v>0</v>
      </c>
      <c r="K212" s="77"/>
      <c r="L212" s="77"/>
      <c r="M212" s="1252">
        <f t="shared" si="21"/>
        <v>0</v>
      </c>
      <c r="N212" s="1255"/>
      <c r="O212" s="1256"/>
    </row>
    <row r="213" spans="1:15" s="643" customFormat="1">
      <c r="A213" s="1424"/>
      <c r="B213" s="447"/>
      <c r="C213" s="148" t="s">
        <v>25</v>
      </c>
      <c r="D213" s="447" t="s">
        <v>16</v>
      </c>
      <c r="E213" s="1235">
        <v>1.38</v>
      </c>
      <c r="F213" s="282">
        <f>F211*E213</f>
        <v>14.203925999999999</v>
      </c>
      <c r="G213" s="77"/>
      <c r="H213" s="77"/>
      <c r="I213" s="77"/>
      <c r="J213" s="77"/>
      <c r="K213" s="77"/>
      <c r="L213" s="77">
        <f>F213*K213</f>
        <v>0</v>
      </c>
      <c r="M213" s="1252">
        <f t="shared" si="21"/>
        <v>0</v>
      </c>
      <c r="N213" s="1255"/>
      <c r="O213" s="1256"/>
    </row>
    <row r="214" spans="1:15" s="643" customFormat="1">
      <c r="A214" s="1424"/>
      <c r="B214" s="695"/>
      <c r="C214" s="148" t="s">
        <v>1541</v>
      </c>
      <c r="D214" s="695" t="s">
        <v>256</v>
      </c>
      <c r="E214" s="282">
        <v>112</v>
      </c>
      <c r="F214" s="282">
        <f>F211*E214</f>
        <v>1152.7824000000001</v>
      </c>
      <c r="G214" s="80"/>
      <c r="H214" s="77">
        <f>F214*G214</f>
        <v>0</v>
      </c>
      <c r="I214" s="80"/>
      <c r="J214" s="77"/>
      <c r="K214" s="77"/>
      <c r="L214" s="77"/>
      <c r="M214" s="1252">
        <f t="shared" si="21"/>
        <v>0</v>
      </c>
      <c r="N214" s="1255"/>
      <c r="O214" s="1256"/>
    </row>
    <row r="215" spans="1:15" s="643" customFormat="1">
      <c r="A215" s="1424"/>
      <c r="B215" s="447"/>
      <c r="C215" s="148" t="s">
        <v>257</v>
      </c>
      <c r="D215" s="702" t="s">
        <v>7</v>
      </c>
      <c r="E215" s="282">
        <v>0.53</v>
      </c>
      <c r="F215" s="282">
        <f>F211*E215</f>
        <v>5.4551310000000006</v>
      </c>
      <c r="G215" s="80"/>
      <c r="H215" s="77">
        <f>F215*G215</f>
        <v>0</v>
      </c>
      <c r="I215" s="80"/>
      <c r="J215" s="77"/>
      <c r="K215" s="77"/>
      <c r="L215" s="77"/>
      <c r="M215" s="1252">
        <f t="shared" si="21"/>
        <v>0</v>
      </c>
      <c r="N215" s="1255"/>
      <c r="O215" s="1256"/>
    </row>
    <row r="216" spans="1:15" s="643" customFormat="1">
      <c r="A216" s="1424"/>
      <c r="B216" s="447"/>
      <c r="C216" s="148" t="s">
        <v>226</v>
      </c>
      <c r="D216" s="702" t="s">
        <v>6</v>
      </c>
      <c r="E216" s="282">
        <v>76</v>
      </c>
      <c r="F216" s="282">
        <f>F211*E216</f>
        <v>782.24519999999995</v>
      </c>
      <c r="G216" s="80"/>
      <c r="H216" s="77">
        <f>F216*G216</f>
        <v>0</v>
      </c>
      <c r="I216" s="80"/>
      <c r="J216" s="77"/>
      <c r="K216" s="77"/>
      <c r="L216" s="77"/>
      <c r="M216" s="1252">
        <f t="shared" si="21"/>
        <v>0</v>
      </c>
      <c r="N216" s="1255"/>
      <c r="O216" s="1256"/>
    </row>
    <row r="217" spans="1:15" s="643" customFormat="1">
      <c r="A217" s="1425"/>
      <c r="B217" s="447"/>
      <c r="C217" s="148" t="s">
        <v>26</v>
      </c>
      <c r="D217" s="447" t="s">
        <v>11</v>
      </c>
      <c r="E217" s="1235">
        <v>0.19</v>
      </c>
      <c r="F217" s="282">
        <f>F211*E217</f>
        <v>1.955613</v>
      </c>
      <c r="G217" s="77"/>
      <c r="H217" s="77">
        <f>F217*G217</f>
        <v>0</v>
      </c>
      <c r="I217" s="77"/>
      <c r="J217" s="77"/>
      <c r="K217" s="77"/>
      <c r="L217" s="77"/>
      <c r="M217" s="1252">
        <f t="shared" si="21"/>
        <v>0</v>
      </c>
      <c r="N217" s="1255"/>
      <c r="O217" s="1256"/>
    </row>
    <row r="218" spans="1:15" s="643" customFormat="1" ht="47.25">
      <c r="A218" s="1421" t="s">
        <v>1694</v>
      </c>
      <c r="B218" s="75" t="s">
        <v>407</v>
      </c>
      <c r="C218" s="156" t="s">
        <v>1657</v>
      </c>
      <c r="D218" s="75" t="s">
        <v>318</v>
      </c>
      <c r="E218" s="83"/>
      <c r="F218" s="83">
        <v>120.19</v>
      </c>
      <c r="G218" s="79"/>
      <c r="H218" s="77"/>
      <c r="I218" s="79"/>
      <c r="J218" s="77"/>
      <c r="K218" s="79"/>
      <c r="L218" s="77"/>
      <c r="M218" s="1252"/>
      <c r="N218" s="1255"/>
      <c r="O218" s="1256"/>
    </row>
    <row r="219" spans="1:15" s="643" customFormat="1">
      <c r="A219" s="1421"/>
      <c r="B219" s="636"/>
      <c r="C219" s="641" t="s">
        <v>1782</v>
      </c>
      <c r="D219" s="694" t="s">
        <v>1787</v>
      </c>
      <c r="E219" s="639">
        <v>1</v>
      </c>
      <c r="F219" s="639">
        <f>E219*F218</f>
        <v>120.19</v>
      </c>
      <c r="G219" s="637"/>
      <c r="H219" s="448"/>
      <c r="I219" s="637"/>
      <c r="J219" s="448">
        <f>F219*I219</f>
        <v>0</v>
      </c>
      <c r="K219" s="637"/>
      <c r="L219" s="448"/>
      <c r="M219" s="1251">
        <f>H219+J219+L219</f>
        <v>0</v>
      </c>
      <c r="N219" s="1255"/>
      <c r="O219" s="1256"/>
    </row>
    <row r="220" spans="1:15" s="643" customFormat="1">
      <c r="A220" s="1421"/>
      <c r="B220" s="636"/>
      <c r="C220" s="128" t="s">
        <v>14</v>
      </c>
      <c r="D220" s="635" t="s">
        <v>11</v>
      </c>
      <c r="E220" s="639">
        <v>0.28299999999999997</v>
      </c>
      <c r="F220" s="639">
        <f>E220*F218</f>
        <v>34.013769999999994</v>
      </c>
      <c r="G220" s="637"/>
      <c r="H220" s="448"/>
      <c r="I220" s="637"/>
      <c r="J220" s="448"/>
      <c r="K220" s="637"/>
      <c r="L220" s="448">
        <f>F220*K220</f>
        <v>0</v>
      </c>
      <c r="M220" s="1251">
        <f>H220+J220+L220</f>
        <v>0</v>
      </c>
      <c r="N220" s="1255"/>
      <c r="O220" s="1256"/>
    </row>
    <row r="221" spans="1:15" s="643" customFormat="1">
      <c r="A221" s="1421"/>
      <c r="B221" s="636"/>
      <c r="C221" s="641" t="s">
        <v>1739</v>
      </c>
      <c r="D221" s="694" t="s">
        <v>319</v>
      </c>
      <c r="E221" s="639">
        <v>1.02</v>
      </c>
      <c r="F221" s="639">
        <f>E221*F218</f>
        <v>122.5938</v>
      </c>
      <c r="G221" s="637"/>
      <c r="H221" s="448">
        <f>F221*G221</f>
        <v>0</v>
      </c>
      <c r="I221" s="637"/>
      <c r="J221" s="448"/>
      <c r="K221" s="637"/>
      <c r="L221" s="448"/>
      <c r="M221" s="1251">
        <f>H221+J221+L221</f>
        <v>0</v>
      </c>
      <c r="N221" s="1255"/>
      <c r="O221" s="1256"/>
    </row>
    <row r="222" spans="1:15" s="643" customFormat="1">
      <c r="A222" s="1421"/>
      <c r="B222" s="636"/>
      <c r="C222" s="128" t="s">
        <v>26</v>
      </c>
      <c r="D222" s="144" t="s">
        <v>11</v>
      </c>
      <c r="E222" s="639">
        <v>0.62</v>
      </c>
      <c r="F222" s="639">
        <f>E222*F218</f>
        <v>74.517799999999994</v>
      </c>
      <c r="G222" s="637"/>
      <c r="H222" s="448">
        <f>F222*G222</f>
        <v>0</v>
      </c>
      <c r="I222" s="637"/>
      <c r="J222" s="448"/>
      <c r="K222" s="637"/>
      <c r="L222" s="448"/>
      <c r="M222" s="1251">
        <f>H222+J222+L222</f>
        <v>0</v>
      </c>
      <c r="N222" s="1255"/>
      <c r="O222" s="1256"/>
    </row>
    <row r="223" spans="1:15" s="643" customFormat="1" ht="31.5">
      <c r="A223" s="1387" t="s">
        <v>259</v>
      </c>
      <c r="B223" s="75" t="s">
        <v>231</v>
      </c>
      <c r="C223" s="156" t="s">
        <v>1622</v>
      </c>
      <c r="D223" s="75" t="s">
        <v>318</v>
      </c>
      <c r="E223" s="83"/>
      <c r="F223" s="83">
        <v>120.19</v>
      </c>
      <c r="G223" s="79"/>
      <c r="H223" s="77"/>
      <c r="I223" s="79"/>
      <c r="J223" s="77"/>
      <c r="K223" s="79"/>
      <c r="L223" s="77"/>
      <c r="M223" s="1252"/>
      <c r="N223" s="1255"/>
      <c r="O223" s="1256"/>
    </row>
    <row r="224" spans="1:15" s="643" customFormat="1">
      <c r="A224" s="1388"/>
      <c r="B224" s="75"/>
      <c r="C224" s="157" t="s">
        <v>1788</v>
      </c>
      <c r="D224" s="203" t="s">
        <v>4</v>
      </c>
      <c r="E224" s="45">
        <v>1</v>
      </c>
      <c r="F224" s="45">
        <f>E224*F223</f>
        <v>120.19</v>
      </c>
      <c r="G224" s="81"/>
      <c r="H224" s="77"/>
      <c r="I224" s="637"/>
      <c r="J224" s="77">
        <f>F224*I224</f>
        <v>0</v>
      </c>
      <c r="K224" s="81"/>
      <c r="L224" s="77"/>
      <c r="M224" s="1252">
        <f t="shared" si="21"/>
        <v>0</v>
      </c>
      <c r="N224" s="1255"/>
      <c r="O224" s="1256"/>
    </row>
    <row r="225" spans="1:15" s="643" customFormat="1">
      <c r="A225" s="1388"/>
      <c r="B225" s="75"/>
      <c r="C225" s="160" t="s">
        <v>14</v>
      </c>
      <c r="D225" s="46" t="s">
        <v>11</v>
      </c>
      <c r="E225" s="45">
        <f>81*0.01</f>
        <v>0.81</v>
      </c>
      <c r="F225" s="45">
        <f>E225*F223</f>
        <v>97.35390000000001</v>
      </c>
      <c r="G225" s="81"/>
      <c r="H225" s="77"/>
      <c r="I225" s="81"/>
      <c r="J225" s="77"/>
      <c r="K225" s="81"/>
      <c r="L225" s="77">
        <f>F225*K225</f>
        <v>0</v>
      </c>
      <c r="M225" s="1252">
        <f t="shared" si="21"/>
        <v>0</v>
      </c>
      <c r="N225" s="1255"/>
      <c r="O225" s="1256"/>
    </row>
    <row r="226" spans="1:15" s="643" customFormat="1">
      <c r="A226" s="1388"/>
      <c r="B226" s="203"/>
      <c r="C226" s="157" t="s">
        <v>91</v>
      </c>
      <c r="D226" s="203" t="s">
        <v>319</v>
      </c>
      <c r="E226" s="45">
        <f>101.5*0.01</f>
        <v>1.0150000000000001</v>
      </c>
      <c r="F226" s="45">
        <f>E226*F223</f>
        <v>121.99285000000002</v>
      </c>
      <c r="G226" s="81"/>
      <c r="H226" s="77">
        <f t="shared" ref="H226:H231" si="33">F226*G226</f>
        <v>0</v>
      </c>
      <c r="I226" s="81"/>
      <c r="J226" s="77"/>
      <c r="K226" s="81"/>
      <c r="L226" s="77"/>
      <c r="M226" s="1252">
        <f t="shared" si="21"/>
        <v>0</v>
      </c>
      <c r="N226" s="1255"/>
      <c r="O226" s="1256"/>
    </row>
    <row r="227" spans="1:15" s="643" customFormat="1">
      <c r="A227" s="1388"/>
      <c r="B227" s="203"/>
      <c r="C227" s="157" t="s">
        <v>465</v>
      </c>
      <c r="D227" s="203" t="s">
        <v>234</v>
      </c>
      <c r="E227" s="45">
        <f>137*0.01</f>
        <v>1.37</v>
      </c>
      <c r="F227" s="45">
        <f>E227*F223</f>
        <v>164.66030000000001</v>
      </c>
      <c r="G227" s="81"/>
      <c r="H227" s="77">
        <f t="shared" si="33"/>
        <v>0</v>
      </c>
      <c r="I227" s="81"/>
      <c r="J227" s="77"/>
      <c r="K227" s="81"/>
      <c r="L227" s="77"/>
      <c r="M227" s="1252">
        <f t="shared" si="21"/>
        <v>0</v>
      </c>
      <c r="N227" s="1255"/>
      <c r="O227" s="1256"/>
    </row>
    <row r="228" spans="1:15" s="643" customFormat="1">
      <c r="A228" s="1388"/>
      <c r="B228" s="203"/>
      <c r="C228" s="157" t="s">
        <v>222</v>
      </c>
      <c r="D228" s="203" t="s">
        <v>319</v>
      </c>
      <c r="E228" s="45">
        <f>(0.84+2.56+0.26)/100</f>
        <v>3.6600000000000001E-2</v>
      </c>
      <c r="F228" s="45">
        <f>E228*F223</f>
        <v>4.3989539999999998</v>
      </c>
      <c r="G228" s="81"/>
      <c r="H228" s="77">
        <f t="shared" si="33"/>
        <v>0</v>
      </c>
      <c r="I228" s="81"/>
      <c r="J228" s="77"/>
      <c r="K228" s="81"/>
      <c r="L228" s="77"/>
      <c r="M228" s="1252">
        <f t="shared" si="21"/>
        <v>0</v>
      </c>
      <c r="N228" s="1255"/>
      <c r="O228" s="1256"/>
    </row>
    <row r="229" spans="1:15" s="643" customFormat="1">
      <c r="A229" s="1388"/>
      <c r="B229" s="75"/>
      <c r="C229" s="157" t="s">
        <v>26</v>
      </c>
      <c r="D229" s="203" t="s">
        <v>11</v>
      </c>
      <c r="E229" s="45">
        <v>0.39</v>
      </c>
      <c r="F229" s="45">
        <f>E229*F223</f>
        <v>46.874099999999999</v>
      </c>
      <c r="G229" s="81"/>
      <c r="H229" s="77">
        <f t="shared" si="33"/>
        <v>0</v>
      </c>
      <c r="I229" s="81"/>
      <c r="J229" s="77"/>
      <c r="K229" s="81"/>
      <c r="L229" s="77"/>
      <c r="M229" s="1252">
        <f t="shared" si="21"/>
        <v>0</v>
      </c>
      <c r="N229" s="1255"/>
      <c r="O229" s="1256"/>
    </row>
    <row r="230" spans="1:15" s="643" customFormat="1">
      <c r="A230" s="1388"/>
      <c r="B230" s="203"/>
      <c r="C230" s="159" t="s">
        <v>426</v>
      </c>
      <c r="D230" s="203" t="s">
        <v>218</v>
      </c>
      <c r="E230" s="45"/>
      <c r="F230" s="82">
        <f>6.57806</f>
        <v>6.5780599999999998</v>
      </c>
      <c r="G230" s="81"/>
      <c r="H230" s="77">
        <f t="shared" si="33"/>
        <v>0</v>
      </c>
      <c r="I230" s="81"/>
      <c r="J230" s="77"/>
      <c r="K230" s="81"/>
      <c r="L230" s="77"/>
      <c r="M230" s="1252">
        <f t="shared" si="21"/>
        <v>0</v>
      </c>
      <c r="N230" s="1255"/>
      <c r="O230" s="1256"/>
    </row>
    <row r="231" spans="1:15" s="643" customFormat="1" hidden="1">
      <c r="A231" s="1399"/>
      <c r="B231" s="203"/>
      <c r="C231" s="159" t="s">
        <v>466</v>
      </c>
      <c r="D231" s="203" t="s">
        <v>218</v>
      </c>
      <c r="E231" s="45"/>
      <c r="F231" s="82">
        <v>0</v>
      </c>
      <c r="G231" s="81">
        <v>2560</v>
      </c>
      <c r="H231" s="77">
        <f t="shared" si="33"/>
        <v>0</v>
      </c>
      <c r="I231" s="81"/>
      <c r="J231" s="77"/>
      <c r="K231" s="81"/>
      <c r="L231" s="77"/>
      <c r="M231" s="1252">
        <f t="shared" si="21"/>
        <v>0</v>
      </c>
      <c r="N231" s="1255"/>
      <c r="O231" s="1256"/>
    </row>
    <row r="232" spans="1:15" s="643" customFormat="1" ht="31.5">
      <c r="A232" s="1387" t="s">
        <v>1695</v>
      </c>
      <c r="B232" s="75" t="s">
        <v>244</v>
      </c>
      <c r="C232" s="156" t="s">
        <v>1624</v>
      </c>
      <c r="D232" s="75" t="s">
        <v>4</v>
      </c>
      <c r="E232" s="45"/>
      <c r="F232" s="83">
        <v>5.33</v>
      </c>
      <c r="G232" s="79"/>
      <c r="H232" s="77"/>
      <c r="I232" s="81"/>
      <c r="J232" s="77"/>
      <c r="K232" s="81"/>
      <c r="L232" s="77"/>
      <c r="M232" s="1252"/>
      <c r="N232" s="1255"/>
      <c r="O232" s="1256"/>
    </row>
    <row r="233" spans="1:15" s="643" customFormat="1">
      <c r="A233" s="1388"/>
      <c r="B233" s="75"/>
      <c r="C233" s="157" t="s">
        <v>1789</v>
      </c>
      <c r="D233" s="203" t="s">
        <v>4</v>
      </c>
      <c r="E233" s="45">
        <v>1</v>
      </c>
      <c r="F233" s="45">
        <f>E233*F232</f>
        <v>5.33</v>
      </c>
      <c r="G233" s="81"/>
      <c r="H233" s="77"/>
      <c r="I233" s="637"/>
      <c r="J233" s="77">
        <f>F233*I233</f>
        <v>0</v>
      </c>
      <c r="K233" s="81"/>
      <c r="L233" s="77"/>
      <c r="M233" s="1252">
        <f t="shared" ref="M233:M240" si="34">H233+J233+L233</f>
        <v>0</v>
      </c>
      <c r="N233" s="1255"/>
      <c r="O233" s="1256"/>
    </row>
    <row r="234" spans="1:15" s="643" customFormat="1">
      <c r="A234" s="1388"/>
      <c r="B234" s="75"/>
      <c r="C234" s="160" t="s">
        <v>14</v>
      </c>
      <c r="D234" s="46" t="s">
        <v>11</v>
      </c>
      <c r="E234" s="45">
        <v>0.86</v>
      </c>
      <c r="F234" s="45">
        <f>E234*F232</f>
        <v>4.5838000000000001</v>
      </c>
      <c r="G234" s="81"/>
      <c r="H234" s="77"/>
      <c r="I234" s="81"/>
      <c r="J234" s="77"/>
      <c r="K234" s="81"/>
      <c r="L234" s="77">
        <f>F234*K234</f>
        <v>0</v>
      </c>
      <c r="M234" s="1252">
        <f t="shared" si="34"/>
        <v>0</v>
      </c>
      <c r="N234" s="1255"/>
      <c r="O234" s="1256"/>
    </row>
    <row r="235" spans="1:15" s="643" customFormat="1">
      <c r="A235" s="1388"/>
      <c r="B235" s="203"/>
      <c r="C235" s="157" t="s">
        <v>91</v>
      </c>
      <c r="D235" s="203" t="s">
        <v>319</v>
      </c>
      <c r="E235" s="45">
        <f>101.5*0.01</f>
        <v>1.0150000000000001</v>
      </c>
      <c r="F235" s="45">
        <f>E235*F232</f>
        <v>5.4099500000000011</v>
      </c>
      <c r="G235" s="81"/>
      <c r="H235" s="77">
        <f t="shared" ref="H235:H240" si="35">F235*G235</f>
        <v>0</v>
      </c>
      <c r="I235" s="81"/>
      <c r="J235" s="77"/>
      <c r="K235" s="81"/>
      <c r="L235" s="77"/>
      <c r="M235" s="1252">
        <f t="shared" si="34"/>
        <v>0</v>
      </c>
      <c r="N235" s="1255"/>
      <c r="O235" s="1256"/>
    </row>
    <row r="236" spans="1:15" s="643" customFormat="1">
      <c r="A236" s="1388"/>
      <c r="B236" s="203"/>
      <c r="C236" s="157" t="s">
        <v>465</v>
      </c>
      <c r="D236" s="203" t="s">
        <v>234</v>
      </c>
      <c r="E236" s="45">
        <f>137*0.01</f>
        <v>1.37</v>
      </c>
      <c r="F236" s="45">
        <f>E236*F232</f>
        <v>7.3021000000000003</v>
      </c>
      <c r="G236" s="81"/>
      <c r="H236" s="77">
        <f t="shared" si="35"/>
        <v>0</v>
      </c>
      <c r="I236" s="81"/>
      <c r="J236" s="77"/>
      <c r="K236" s="81"/>
      <c r="L236" s="77"/>
      <c r="M236" s="1252">
        <f t="shared" si="34"/>
        <v>0</v>
      </c>
      <c r="N236" s="1255"/>
      <c r="O236" s="1256"/>
    </row>
    <row r="237" spans="1:15" s="643" customFormat="1">
      <c r="A237" s="1388"/>
      <c r="B237" s="203"/>
      <c r="C237" s="157" t="s">
        <v>222</v>
      </c>
      <c r="D237" s="203" t="s">
        <v>319</v>
      </c>
      <c r="E237" s="278">
        <f>(0.84+2.56+0.4)/100</f>
        <v>3.7999999999999999E-2</v>
      </c>
      <c r="F237" s="45">
        <f>E237*F232</f>
        <v>0.20254</v>
      </c>
      <c r="G237" s="81"/>
      <c r="H237" s="77">
        <f t="shared" si="35"/>
        <v>0</v>
      </c>
      <c r="I237" s="81"/>
      <c r="J237" s="77"/>
      <c r="K237" s="81"/>
      <c r="L237" s="77"/>
      <c r="M237" s="1252">
        <f t="shared" si="34"/>
        <v>0</v>
      </c>
      <c r="N237" s="1255"/>
      <c r="O237" s="1256"/>
    </row>
    <row r="238" spans="1:15" s="643" customFormat="1">
      <c r="A238" s="1388"/>
      <c r="B238" s="75"/>
      <c r="C238" s="157" t="s">
        <v>26</v>
      </c>
      <c r="D238" s="203" t="s">
        <v>11</v>
      </c>
      <c r="E238" s="45">
        <v>0.51</v>
      </c>
      <c r="F238" s="45">
        <f>E238*F232</f>
        <v>2.7183000000000002</v>
      </c>
      <c r="G238" s="81"/>
      <c r="H238" s="77">
        <f t="shared" si="35"/>
        <v>0</v>
      </c>
      <c r="I238" s="81"/>
      <c r="J238" s="77"/>
      <c r="K238" s="81"/>
      <c r="L238" s="77"/>
      <c r="M238" s="1252">
        <f t="shared" si="34"/>
        <v>0</v>
      </c>
      <c r="N238" s="1255"/>
      <c r="O238" s="1256"/>
    </row>
    <row r="239" spans="1:15" s="643" customFormat="1">
      <c r="A239" s="1388"/>
      <c r="B239" s="203"/>
      <c r="C239" s="159" t="s">
        <v>426</v>
      </c>
      <c r="D239" s="203" t="s">
        <v>218</v>
      </c>
      <c r="E239" s="45"/>
      <c r="F239" s="82">
        <f>0.49697</f>
        <v>0.49697000000000002</v>
      </c>
      <c r="G239" s="81"/>
      <c r="H239" s="77">
        <f t="shared" si="35"/>
        <v>0</v>
      </c>
      <c r="I239" s="81"/>
      <c r="J239" s="77"/>
      <c r="K239" s="81"/>
      <c r="L239" s="77"/>
      <c r="M239" s="1252">
        <f t="shared" si="34"/>
        <v>0</v>
      </c>
      <c r="N239" s="1255"/>
      <c r="O239" s="1256"/>
    </row>
    <row r="240" spans="1:15" s="643" customFormat="1">
      <c r="A240" s="1399"/>
      <c r="B240" s="203"/>
      <c r="C240" s="159" t="s">
        <v>466</v>
      </c>
      <c r="D240" s="203" t="s">
        <v>218</v>
      </c>
      <c r="E240" s="45"/>
      <c r="F240" s="82">
        <f>0.04704</f>
        <v>4.7039999999999998E-2</v>
      </c>
      <c r="G240" s="81"/>
      <c r="H240" s="77">
        <f t="shared" si="35"/>
        <v>0</v>
      </c>
      <c r="I240" s="81"/>
      <c r="J240" s="77"/>
      <c r="K240" s="81"/>
      <c r="L240" s="77"/>
      <c r="M240" s="1252">
        <f t="shared" si="34"/>
        <v>0</v>
      </c>
      <c r="N240" s="1255"/>
      <c r="O240" s="1256"/>
    </row>
    <row r="241" spans="1:15" s="643" customFormat="1" ht="47.25">
      <c r="A241" s="1387" t="s">
        <v>1696</v>
      </c>
      <c r="B241" s="75" t="s">
        <v>244</v>
      </c>
      <c r="C241" s="156" t="s">
        <v>1627</v>
      </c>
      <c r="D241" s="75" t="s">
        <v>4</v>
      </c>
      <c r="E241" s="45"/>
      <c r="F241" s="83">
        <v>24.77</v>
      </c>
      <c r="G241" s="81"/>
      <c r="H241" s="77"/>
      <c r="I241" s="81"/>
      <c r="J241" s="77"/>
      <c r="K241" s="81"/>
      <c r="L241" s="77"/>
      <c r="M241" s="1252"/>
      <c r="N241" s="1255"/>
      <c r="O241" s="1256"/>
    </row>
    <row r="242" spans="1:15" s="643" customFormat="1">
      <c r="A242" s="1388"/>
      <c r="B242" s="75"/>
      <c r="C242" s="157" t="s">
        <v>1789</v>
      </c>
      <c r="D242" s="203" t="s">
        <v>4</v>
      </c>
      <c r="E242" s="45">
        <v>1</v>
      </c>
      <c r="F242" s="45">
        <f>E242*F241</f>
        <v>24.77</v>
      </c>
      <c r="G242" s="81"/>
      <c r="H242" s="77"/>
      <c r="I242" s="637"/>
      <c r="J242" s="77">
        <f>F242*I242</f>
        <v>0</v>
      </c>
      <c r="K242" s="81"/>
      <c r="L242" s="77"/>
      <c r="M242" s="1252">
        <f t="shared" ref="M242:M249" si="36">H242+J242+L242</f>
        <v>0</v>
      </c>
      <c r="N242" s="1255"/>
      <c r="O242" s="1256"/>
    </row>
    <row r="243" spans="1:15" s="643" customFormat="1">
      <c r="A243" s="1388"/>
      <c r="B243" s="75"/>
      <c r="C243" s="160" t="s">
        <v>14</v>
      </c>
      <c r="D243" s="46" t="s">
        <v>11</v>
      </c>
      <c r="E243" s="45">
        <v>0.86</v>
      </c>
      <c r="F243" s="45">
        <f>E243*F241</f>
        <v>21.302199999999999</v>
      </c>
      <c r="G243" s="81"/>
      <c r="H243" s="77"/>
      <c r="I243" s="81"/>
      <c r="J243" s="77"/>
      <c r="K243" s="81"/>
      <c r="L243" s="77">
        <f>F243*K243</f>
        <v>0</v>
      </c>
      <c r="M243" s="1252">
        <f t="shared" si="36"/>
        <v>0</v>
      </c>
      <c r="N243" s="1255"/>
      <c r="O243" s="1256"/>
    </row>
    <row r="244" spans="1:15" s="643" customFormat="1">
      <c r="A244" s="1388"/>
      <c r="B244" s="203"/>
      <c r="C244" s="157" t="s">
        <v>91</v>
      </c>
      <c r="D244" s="203" t="s">
        <v>319</v>
      </c>
      <c r="E244" s="45">
        <f>101.5*0.01</f>
        <v>1.0150000000000001</v>
      </c>
      <c r="F244" s="45">
        <f>E244*F241</f>
        <v>25.141550000000002</v>
      </c>
      <c r="G244" s="81"/>
      <c r="H244" s="77">
        <f t="shared" ref="H244:H249" si="37">F244*G244</f>
        <v>0</v>
      </c>
      <c r="I244" s="81"/>
      <c r="J244" s="77"/>
      <c r="K244" s="81"/>
      <c r="L244" s="77"/>
      <c r="M244" s="1252">
        <f t="shared" si="36"/>
        <v>0</v>
      </c>
      <c r="N244" s="1255"/>
      <c r="O244" s="1256"/>
    </row>
    <row r="245" spans="1:15" s="643" customFormat="1">
      <c r="A245" s="1388"/>
      <c r="B245" s="203"/>
      <c r="C245" s="157" t="s">
        <v>465</v>
      </c>
      <c r="D245" s="203" t="s">
        <v>234</v>
      </c>
      <c r="E245" s="45">
        <f>137*0.01</f>
        <v>1.37</v>
      </c>
      <c r="F245" s="45">
        <f>E245*F241</f>
        <v>33.934899999999999</v>
      </c>
      <c r="G245" s="81"/>
      <c r="H245" s="77">
        <f t="shared" si="37"/>
        <v>0</v>
      </c>
      <c r="I245" s="81"/>
      <c r="J245" s="77"/>
      <c r="K245" s="81"/>
      <c r="L245" s="77"/>
      <c r="M245" s="1252">
        <f t="shared" si="36"/>
        <v>0</v>
      </c>
      <c r="N245" s="1255"/>
      <c r="O245" s="1256"/>
    </row>
    <row r="246" spans="1:15" s="643" customFormat="1">
      <c r="A246" s="1388"/>
      <c r="B246" s="203"/>
      <c r="C246" s="157" t="s">
        <v>222</v>
      </c>
      <c r="D246" s="203" t="s">
        <v>319</v>
      </c>
      <c r="E246" s="278">
        <f>(0.84+2.56+0.4)/100</f>
        <v>3.7999999999999999E-2</v>
      </c>
      <c r="F246" s="45">
        <f>E246*F241</f>
        <v>0.94125999999999999</v>
      </c>
      <c r="G246" s="81"/>
      <c r="H246" s="77">
        <f t="shared" si="37"/>
        <v>0</v>
      </c>
      <c r="I246" s="81"/>
      <c r="J246" s="77"/>
      <c r="K246" s="81"/>
      <c r="L246" s="77"/>
      <c r="M246" s="1252">
        <f t="shared" si="36"/>
        <v>0</v>
      </c>
      <c r="N246" s="1255"/>
      <c r="O246" s="1256"/>
    </row>
    <row r="247" spans="1:15" s="643" customFormat="1">
      <c r="A247" s="1388"/>
      <c r="B247" s="75"/>
      <c r="C247" s="157" t="s">
        <v>26</v>
      </c>
      <c r="D247" s="203" t="s">
        <v>11</v>
      </c>
      <c r="E247" s="45">
        <v>0.51</v>
      </c>
      <c r="F247" s="45">
        <f>E247*F241</f>
        <v>12.6327</v>
      </c>
      <c r="G247" s="81"/>
      <c r="H247" s="77">
        <f t="shared" si="37"/>
        <v>0</v>
      </c>
      <c r="I247" s="81"/>
      <c r="J247" s="77"/>
      <c r="K247" s="81"/>
      <c r="L247" s="77"/>
      <c r="M247" s="1252">
        <f t="shared" si="36"/>
        <v>0</v>
      </c>
      <c r="N247" s="1255"/>
      <c r="O247" s="1256"/>
    </row>
    <row r="248" spans="1:15" s="643" customFormat="1">
      <c r="A248" s="1388"/>
      <c r="B248" s="203"/>
      <c r="C248" s="159" t="s">
        <v>426</v>
      </c>
      <c r="D248" s="203" t="s">
        <v>218</v>
      </c>
      <c r="E248" s="45"/>
      <c r="F248" s="82">
        <f>2.0065</f>
        <v>2.0065</v>
      </c>
      <c r="G248" s="81"/>
      <c r="H248" s="77">
        <f t="shared" si="37"/>
        <v>0</v>
      </c>
      <c r="I248" s="81"/>
      <c r="J248" s="77"/>
      <c r="K248" s="81"/>
      <c r="L248" s="77"/>
      <c r="M248" s="1252">
        <f t="shared" si="36"/>
        <v>0</v>
      </c>
      <c r="N248" s="1255"/>
      <c r="O248" s="1256"/>
    </row>
    <row r="249" spans="1:15" s="643" customFormat="1" hidden="1">
      <c r="A249" s="1388"/>
      <c r="B249" s="203"/>
      <c r="C249" s="159" t="s">
        <v>466</v>
      </c>
      <c r="D249" s="203" t="s">
        <v>218</v>
      </c>
      <c r="E249" s="45"/>
      <c r="F249" s="82">
        <v>0</v>
      </c>
      <c r="G249" s="81">
        <v>2560</v>
      </c>
      <c r="H249" s="77">
        <f t="shared" si="37"/>
        <v>0</v>
      </c>
      <c r="I249" s="81"/>
      <c r="J249" s="77"/>
      <c r="K249" s="81"/>
      <c r="L249" s="77"/>
      <c r="M249" s="1252">
        <f t="shared" si="36"/>
        <v>0</v>
      </c>
      <c r="N249" s="1255"/>
      <c r="O249" s="1256"/>
    </row>
    <row r="250" spans="1:15" s="643" customFormat="1" ht="31.5">
      <c r="A250" s="1389" t="s">
        <v>967</v>
      </c>
      <c r="B250" s="75" t="s">
        <v>244</v>
      </c>
      <c r="C250" s="156" t="s">
        <v>1626</v>
      </c>
      <c r="D250" s="75" t="s">
        <v>4</v>
      </c>
      <c r="E250" s="45"/>
      <c r="F250" s="83">
        <v>33.340000000000003</v>
      </c>
      <c r="G250" s="81"/>
      <c r="H250" s="77"/>
      <c r="I250" s="81"/>
      <c r="J250" s="77"/>
      <c r="K250" s="81"/>
      <c r="L250" s="77"/>
      <c r="M250" s="1252"/>
      <c r="N250" s="1255"/>
      <c r="O250" s="1256"/>
    </row>
    <row r="251" spans="1:15" s="643" customFormat="1">
      <c r="A251" s="1389"/>
      <c r="B251" s="75"/>
      <c r="C251" s="157" t="s">
        <v>1789</v>
      </c>
      <c r="D251" s="203" t="s">
        <v>4</v>
      </c>
      <c r="E251" s="45">
        <v>1</v>
      </c>
      <c r="F251" s="45">
        <f>E251*F250</f>
        <v>33.340000000000003</v>
      </c>
      <c r="G251" s="81"/>
      <c r="H251" s="77"/>
      <c r="I251" s="637"/>
      <c r="J251" s="77">
        <f>F251*I251</f>
        <v>0</v>
      </c>
      <c r="K251" s="81"/>
      <c r="L251" s="77"/>
      <c r="M251" s="1252">
        <f t="shared" ref="M251:M258" si="38">H251+J251+L251</f>
        <v>0</v>
      </c>
      <c r="N251" s="1255"/>
      <c r="O251" s="1256"/>
    </row>
    <row r="252" spans="1:15" s="643" customFormat="1">
      <c r="A252" s="1389"/>
      <c r="B252" s="75"/>
      <c r="C252" s="160" t="s">
        <v>14</v>
      </c>
      <c r="D252" s="46" t="s">
        <v>11</v>
      </c>
      <c r="E252" s="45">
        <v>0.86</v>
      </c>
      <c r="F252" s="45">
        <f>E252*F250</f>
        <v>28.672400000000003</v>
      </c>
      <c r="G252" s="81"/>
      <c r="H252" s="77"/>
      <c r="I252" s="81"/>
      <c r="J252" s="77"/>
      <c r="K252" s="81"/>
      <c r="L252" s="77">
        <f>F252*K252</f>
        <v>0</v>
      </c>
      <c r="M252" s="1252">
        <f t="shared" si="38"/>
        <v>0</v>
      </c>
      <c r="N252" s="1255"/>
      <c r="O252" s="1256"/>
    </row>
    <row r="253" spans="1:15" s="643" customFormat="1">
      <c r="A253" s="1389"/>
      <c r="B253" s="203"/>
      <c r="C253" s="157" t="s">
        <v>91</v>
      </c>
      <c r="D253" s="203" t="s">
        <v>319</v>
      </c>
      <c r="E253" s="45">
        <f>101.5*0.01</f>
        <v>1.0150000000000001</v>
      </c>
      <c r="F253" s="45">
        <f>E253*F250</f>
        <v>33.840100000000007</v>
      </c>
      <c r="G253" s="81"/>
      <c r="H253" s="77">
        <f t="shared" ref="H253:H258" si="39">F253*G253</f>
        <v>0</v>
      </c>
      <c r="I253" s="81"/>
      <c r="J253" s="77"/>
      <c r="K253" s="81"/>
      <c r="L253" s="77"/>
      <c r="M253" s="1252">
        <f t="shared" si="38"/>
        <v>0</v>
      </c>
      <c r="N253" s="1255"/>
      <c r="O253" s="1256"/>
    </row>
    <row r="254" spans="1:15" s="643" customFormat="1">
      <c r="A254" s="1389"/>
      <c r="B254" s="203"/>
      <c r="C254" s="157" t="s">
        <v>465</v>
      </c>
      <c r="D254" s="203" t="s">
        <v>234</v>
      </c>
      <c r="E254" s="45">
        <f>137*0.01</f>
        <v>1.37</v>
      </c>
      <c r="F254" s="45">
        <f>E254*F250</f>
        <v>45.67580000000001</v>
      </c>
      <c r="G254" s="81"/>
      <c r="H254" s="77">
        <f t="shared" si="39"/>
        <v>0</v>
      </c>
      <c r="I254" s="81"/>
      <c r="J254" s="77"/>
      <c r="K254" s="81"/>
      <c r="L254" s="77"/>
      <c r="M254" s="1252">
        <f t="shared" si="38"/>
        <v>0</v>
      </c>
      <c r="N254" s="1255"/>
      <c r="O254" s="1256"/>
    </row>
    <row r="255" spans="1:15" s="643" customFormat="1">
      <c r="A255" s="1389"/>
      <c r="B255" s="203"/>
      <c r="C255" s="157" t="s">
        <v>222</v>
      </c>
      <c r="D255" s="203" t="s">
        <v>319</v>
      </c>
      <c r="E255" s="278">
        <f>(0.84+2.56+0.4)/100</f>
        <v>3.7999999999999999E-2</v>
      </c>
      <c r="F255" s="45">
        <f>E255*F250</f>
        <v>1.26692</v>
      </c>
      <c r="G255" s="81"/>
      <c r="H255" s="77">
        <f t="shared" si="39"/>
        <v>0</v>
      </c>
      <c r="I255" s="81"/>
      <c r="J255" s="77"/>
      <c r="K255" s="81"/>
      <c r="L255" s="77"/>
      <c r="M255" s="1252">
        <f t="shared" si="38"/>
        <v>0</v>
      </c>
      <c r="N255" s="1255"/>
      <c r="O255" s="1256"/>
    </row>
    <row r="256" spans="1:15" s="643" customFormat="1">
      <c r="A256" s="1389"/>
      <c r="B256" s="75"/>
      <c r="C256" s="157" t="s">
        <v>26</v>
      </c>
      <c r="D256" s="203" t="s">
        <v>11</v>
      </c>
      <c r="E256" s="45">
        <v>0.51</v>
      </c>
      <c r="F256" s="45">
        <f>E256*F250</f>
        <v>17.003400000000003</v>
      </c>
      <c r="G256" s="81"/>
      <c r="H256" s="77">
        <f t="shared" si="39"/>
        <v>0</v>
      </c>
      <c r="I256" s="81"/>
      <c r="J256" s="77"/>
      <c r="K256" s="81"/>
      <c r="L256" s="77"/>
      <c r="M256" s="1252">
        <f t="shared" si="38"/>
        <v>0</v>
      </c>
      <c r="N256" s="1255"/>
      <c r="O256" s="1256"/>
    </row>
    <row r="257" spans="1:15" s="643" customFormat="1">
      <c r="A257" s="1389"/>
      <c r="B257" s="203"/>
      <c r="C257" s="159" t="s">
        <v>426</v>
      </c>
      <c r="D257" s="203" t="s">
        <v>218</v>
      </c>
      <c r="E257" s="45"/>
      <c r="F257" s="82">
        <f>7.19416</f>
        <v>7.1941600000000001</v>
      </c>
      <c r="G257" s="81"/>
      <c r="H257" s="77">
        <f t="shared" si="39"/>
        <v>0</v>
      </c>
      <c r="I257" s="81"/>
      <c r="J257" s="77"/>
      <c r="K257" s="81"/>
      <c r="L257" s="77"/>
      <c r="M257" s="1252">
        <f t="shared" si="38"/>
        <v>0</v>
      </c>
      <c r="N257" s="1255"/>
      <c r="O257" s="1256"/>
    </row>
    <row r="258" spans="1:15" s="643" customFormat="1">
      <c r="A258" s="1389"/>
      <c r="B258" s="203"/>
      <c r="C258" s="159" t="s">
        <v>466</v>
      </c>
      <c r="D258" s="203" t="s">
        <v>218</v>
      </c>
      <c r="E258" s="45"/>
      <c r="F258" s="82">
        <f>0.39984</f>
        <v>0.39983999999999997</v>
      </c>
      <c r="G258" s="81"/>
      <c r="H258" s="77">
        <f t="shared" si="39"/>
        <v>0</v>
      </c>
      <c r="I258" s="81"/>
      <c r="J258" s="77"/>
      <c r="K258" s="81"/>
      <c r="L258" s="77"/>
      <c r="M258" s="1252">
        <f t="shared" si="38"/>
        <v>0</v>
      </c>
      <c r="N258" s="1255"/>
      <c r="O258" s="1256"/>
    </row>
    <row r="259" spans="1:15" s="643" customFormat="1" ht="31.5">
      <c r="A259" s="1389" t="s">
        <v>1697</v>
      </c>
      <c r="B259" s="75" t="s">
        <v>244</v>
      </c>
      <c r="C259" s="156" t="s">
        <v>1628</v>
      </c>
      <c r="D259" s="75" t="s">
        <v>4</v>
      </c>
      <c r="E259" s="45"/>
      <c r="F259" s="83">
        <v>2.21</v>
      </c>
      <c r="G259" s="81"/>
      <c r="H259" s="77"/>
      <c r="I259" s="81"/>
      <c r="J259" s="77"/>
      <c r="K259" s="81"/>
      <c r="L259" s="77"/>
      <c r="M259" s="1252"/>
      <c r="N259" s="1255"/>
      <c r="O259" s="1256"/>
    </row>
    <row r="260" spans="1:15" s="643" customFormat="1">
      <c r="A260" s="1389"/>
      <c r="B260" s="75"/>
      <c r="C260" s="157" t="s">
        <v>1789</v>
      </c>
      <c r="D260" s="203" t="s">
        <v>4</v>
      </c>
      <c r="E260" s="45">
        <v>1</v>
      </c>
      <c r="F260" s="45">
        <f>E260*F259</f>
        <v>2.21</v>
      </c>
      <c r="G260" s="81"/>
      <c r="H260" s="77"/>
      <c r="I260" s="637"/>
      <c r="J260" s="77">
        <f>F260*I260</f>
        <v>0</v>
      </c>
      <c r="K260" s="81"/>
      <c r="L260" s="77"/>
      <c r="M260" s="1252">
        <f t="shared" ref="M260" si="40">H260+J260+L260</f>
        <v>0</v>
      </c>
      <c r="N260" s="1255"/>
      <c r="O260" s="1256"/>
    </row>
    <row r="261" spans="1:15" s="643" customFormat="1">
      <c r="A261" s="1389"/>
      <c r="B261" s="75"/>
      <c r="C261" s="160" t="s">
        <v>14</v>
      </c>
      <c r="D261" s="46" t="s">
        <v>11</v>
      </c>
      <c r="E261" s="45">
        <v>0.86</v>
      </c>
      <c r="F261" s="45">
        <f>E261*F259</f>
        <v>1.9005999999999998</v>
      </c>
      <c r="G261" s="81"/>
      <c r="H261" s="77"/>
      <c r="I261" s="81"/>
      <c r="J261" s="77"/>
      <c r="K261" s="81"/>
      <c r="L261" s="77">
        <f>F261*K261</f>
        <v>0</v>
      </c>
      <c r="M261" s="1252">
        <f t="shared" ref="M261:M267" si="41">H261+J261+L261</f>
        <v>0</v>
      </c>
      <c r="N261" s="1255"/>
      <c r="O261" s="1256"/>
    </row>
    <row r="262" spans="1:15" s="643" customFormat="1">
      <c r="A262" s="1389"/>
      <c r="B262" s="203"/>
      <c r="C262" s="157" t="s">
        <v>91</v>
      </c>
      <c r="D262" s="203" t="s">
        <v>319</v>
      </c>
      <c r="E262" s="45">
        <f>101.5*0.01</f>
        <v>1.0150000000000001</v>
      </c>
      <c r="F262" s="45">
        <f>E262*F259</f>
        <v>2.2431500000000004</v>
      </c>
      <c r="G262" s="81"/>
      <c r="H262" s="77">
        <f t="shared" ref="H262:H267" si="42">F262*G262</f>
        <v>0</v>
      </c>
      <c r="I262" s="81"/>
      <c r="J262" s="77"/>
      <c r="K262" s="81"/>
      <c r="L262" s="77"/>
      <c r="M262" s="1252">
        <f t="shared" si="41"/>
        <v>0</v>
      </c>
      <c r="N262" s="1255"/>
      <c r="O262" s="1256"/>
    </row>
    <row r="263" spans="1:15" s="643" customFormat="1">
      <c r="A263" s="1389"/>
      <c r="B263" s="203"/>
      <c r="C263" s="157" t="s">
        <v>465</v>
      </c>
      <c r="D263" s="203" t="s">
        <v>234</v>
      </c>
      <c r="E263" s="45">
        <f>137*0.01</f>
        <v>1.37</v>
      </c>
      <c r="F263" s="45">
        <f>E263*F259</f>
        <v>3.0277000000000003</v>
      </c>
      <c r="G263" s="81"/>
      <c r="H263" s="77">
        <f t="shared" si="42"/>
        <v>0</v>
      </c>
      <c r="I263" s="81"/>
      <c r="J263" s="77"/>
      <c r="K263" s="81"/>
      <c r="L263" s="77"/>
      <c r="M263" s="1252">
        <f t="shared" si="41"/>
        <v>0</v>
      </c>
      <c r="N263" s="1255"/>
      <c r="O263" s="1256"/>
    </row>
    <row r="264" spans="1:15" s="643" customFormat="1">
      <c r="A264" s="1389"/>
      <c r="B264" s="203"/>
      <c r="C264" s="157" t="s">
        <v>222</v>
      </c>
      <c r="D264" s="203" t="s">
        <v>319</v>
      </c>
      <c r="E264" s="278">
        <f>(0.84+2.56+0.4)/100</f>
        <v>3.7999999999999999E-2</v>
      </c>
      <c r="F264" s="45">
        <f>E264*F259</f>
        <v>8.3979999999999999E-2</v>
      </c>
      <c r="G264" s="81"/>
      <c r="H264" s="77">
        <f t="shared" si="42"/>
        <v>0</v>
      </c>
      <c r="I264" s="81"/>
      <c r="J264" s="77"/>
      <c r="K264" s="81"/>
      <c r="L264" s="77"/>
      <c r="M264" s="1252">
        <f t="shared" si="41"/>
        <v>0</v>
      </c>
      <c r="N264" s="1255"/>
      <c r="O264" s="1256"/>
    </row>
    <row r="265" spans="1:15" s="643" customFormat="1">
      <c r="A265" s="1389"/>
      <c r="B265" s="75"/>
      <c r="C265" s="157" t="s">
        <v>26</v>
      </c>
      <c r="D265" s="203" t="s">
        <v>11</v>
      </c>
      <c r="E265" s="45">
        <v>0.51</v>
      </c>
      <c r="F265" s="45">
        <f>E265*F259</f>
        <v>1.1271</v>
      </c>
      <c r="G265" s="81"/>
      <c r="H265" s="77">
        <f t="shared" si="42"/>
        <v>0</v>
      </c>
      <c r="I265" s="81"/>
      <c r="J265" s="77"/>
      <c r="K265" s="81"/>
      <c r="L265" s="77"/>
      <c r="M265" s="1252">
        <f t="shared" si="41"/>
        <v>0</v>
      </c>
      <c r="N265" s="1255"/>
      <c r="O265" s="1256"/>
    </row>
    <row r="266" spans="1:15" s="643" customFormat="1">
      <c r="A266" s="1389"/>
      <c r="B266" s="203"/>
      <c r="C266" s="159" t="s">
        <v>426</v>
      </c>
      <c r="D266" s="203" t="s">
        <v>218</v>
      </c>
      <c r="E266" s="45"/>
      <c r="F266" s="82">
        <f>0.26352</f>
        <v>0.26351999999999998</v>
      </c>
      <c r="G266" s="81"/>
      <c r="H266" s="77">
        <f t="shared" si="42"/>
        <v>0</v>
      </c>
      <c r="I266" s="81"/>
      <c r="J266" s="77"/>
      <c r="K266" s="81"/>
      <c r="L266" s="77"/>
      <c r="M266" s="1252">
        <f t="shared" si="41"/>
        <v>0</v>
      </c>
      <c r="N266" s="1255"/>
      <c r="O266" s="1256"/>
    </row>
    <row r="267" spans="1:15" s="643" customFormat="1">
      <c r="A267" s="1389"/>
      <c r="B267" s="203"/>
      <c r="C267" s="159" t="s">
        <v>466</v>
      </c>
      <c r="D267" s="203" t="s">
        <v>218</v>
      </c>
      <c r="E267" s="45"/>
      <c r="F267" s="82">
        <f>0.03377</f>
        <v>3.3770000000000001E-2</v>
      </c>
      <c r="G267" s="81"/>
      <c r="H267" s="77">
        <f t="shared" si="42"/>
        <v>0</v>
      </c>
      <c r="I267" s="81"/>
      <c r="J267" s="77"/>
      <c r="K267" s="81"/>
      <c r="L267" s="77"/>
      <c r="M267" s="1252">
        <f t="shared" si="41"/>
        <v>0</v>
      </c>
      <c r="N267" s="1255"/>
      <c r="O267" s="1256"/>
    </row>
    <row r="268" spans="1:15" s="643" customFormat="1" ht="47.25">
      <c r="A268" s="1387" t="s">
        <v>1698</v>
      </c>
      <c r="B268" s="75" t="s">
        <v>244</v>
      </c>
      <c r="C268" s="156" t="s">
        <v>1629</v>
      </c>
      <c r="D268" s="75" t="s">
        <v>4</v>
      </c>
      <c r="E268" s="45"/>
      <c r="F268" s="83">
        <v>18.36</v>
      </c>
      <c r="G268" s="81"/>
      <c r="H268" s="77"/>
      <c r="I268" s="81"/>
      <c r="J268" s="77"/>
      <c r="K268" s="81"/>
      <c r="L268" s="77"/>
      <c r="M268" s="1252"/>
      <c r="N268" s="1255"/>
      <c r="O268" s="1256"/>
    </row>
    <row r="269" spans="1:15" s="643" customFormat="1">
      <c r="A269" s="1388"/>
      <c r="B269" s="75"/>
      <c r="C269" s="157" t="s">
        <v>1789</v>
      </c>
      <c r="D269" s="203" t="s">
        <v>4</v>
      </c>
      <c r="E269" s="45">
        <v>1</v>
      </c>
      <c r="F269" s="45">
        <f>E269*F268</f>
        <v>18.36</v>
      </c>
      <c r="G269" s="81"/>
      <c r="H269" s="77"/>
      <c r="I269" s="637"/>
      <c r="J269" s="77">
        <f>F269*I269</f>
        <v>0</v>
      </c>
      <c r="K269" s="81"/>
      <c r="L269" s="77"/>
      <c r="M269" s="1252">
        <f t="shared" ref="M269" si="43">H269+J269+L269</f>
        <v>0</v>
      </c>
      <c r="N269" s="1255"/>
      <c r="O269" s="1256"/>
    </row>
    <row r="270" spans="1:15" s="643" customFormat="1">
      <c r="A270" s="1388"/>
      <c r="B270" s="75"/>
      <c r="C270" s="160" t="s">
        <v>14</v>
      </c>
      <c r="D270" s="46" t="s">
        <v>11</v>
      </c>
      <c r="E270" s="45">
        <v>0.86</v>
      </c>
      <c r="F270" s="45">
        <f>E270*F268</f>
        <v>15.7896</v>
      </c>
      <c r="G270" s="81"/>
      <c r="H270" s="77"/>
      <c r="I270" s="81"/>
      <c r="J270" s="77"/>
      <c r="K270" s="81"/>
      <c r="L270" s="77">
        <f>F270*K270</f>
        <v>0</v>
      </c>
      <c r="M270" s="1252">
        <f t="shared" ref="M270:M276" si="44">H270+J270+L270</f>
        <v>0</v>
      </c>
      <c r="N270" s="1255"/>
      <c r="O270" s="1256"/>
    </row>
    <row r="271" spans="1:15" s="643" customFormat="1">
      <c r="A271" s="1388"/>
      <c r="B271" s="203"/>
      <c r="C271" s="157" t="s">
        <v>91</v>
      </c>
      <c r="D271" s="203" t="s">
        <v>319</v>
      </c>
      <c r="E271" s="45">
        <f>101.5*0.01</f>
        <v>1.0150000000000001</v>
      </c>
      <c r="F271" s="45">
        <f>E271*F268</f>
        <v>18.635400000000001</v>
      </c>
      <c r="G271" s="81"/>
      <c r="H271" s="77">
        <f t="shared" ref="H271:H276" si="45">F271*G271</f>
        <v>0</v>
      </c>
      <c r="I271" s="81"/>
      <c r="J271" s="77"/>
      <c r="K271" s="81"/>
      <c r="L271" s="77"/>
      <c r="M271" s="1252">
        <f t="shared" si="44"/>
        <v>0</v>
      </c>
      <c r="N271" s="1255"/>
      <c r="O271" s="1256"/>
    </row>
    <row r="272" spans="1:15" s="643" customFormat="1">
      <c r="A272" s="1388"/>
      <c r="B272" s="203"/>
      <c r="C272" s="157" t="s">
        <v>465</v>
      </c>
      <c r="D272" s="203" t="s">
        <v>234</v>
      </c>
      <c r="E272" s="45">
        <f>137*0.01</f>
        <v>1.37</v>
      </c>
      <c r="F272" s="45">
        <f>E272*F268</f>
        <v>25.153200000000002</v>
      </c>
      <c r="G272" s="81"/>
      <c r="H272" s="77">
        <f t="shared" si="45"/>
        <v>0</v>
      </c>
      <c r="I272" s="81"/>
      <c r="J272" s="77"/>
      <c r="K272" s="81"/>
      <c r="L272" s="77"/>
      <c r="M272" s="1252">
        <f t="shared" si="44"/>
        <v>0</v>
      </c>
      <c r="N272" s="1255"/>
      <c r="O272" s="1256"/>
    </row>
    <row r="273" spans="1:15" s="643" customFormat="1">
      <c r="A273" s="1388"/>
      <c r="B273" s="203"/>
      <c r="C273" s="157" t="s">
        <v>222</v>
      </c>
      <c r="D273" s="203" t="s">
        <v>319</v>
      </c>
      <c r="E273" s="278">
        <f>(0.84+2.56+0.4)/100</f>
        <v>3.7999999999999999E-2</v>
      </c>
      <c r="F273" s="45">
        <f>E273*F268</f>
        <v>0.69767999999999997</v>
      </c>
      <c r="G273" s="81"/>
      <c r="H273" s="77">
        <f t="shared" si="45"/>
        <v>0</v>
      </c>
      <c r="I273" s="81"/>
      <c r="J273" s="77"/>
      <c r="K273" s="81"/>
      <c r="L273" s="77"/>
      <c r="M273" s="1252">
        <f t="shared" si="44"/>
        <v>0</v>
      </c>
      <c r="N273" s="1255"/>
      <c r="O273" s="1256"/>
    </row>
    <row r="274" spans="1:15" s="643" customFormat="1">
      <c r="A274" s="1388"/>
      <c r="B274" s="75"/>
      <c r="C274" s="157" t="s">
        <v>26</v>
      </c>
      <c r="D274" s="203" t="s">
        <v>11</v>
      </c>
      <c r="E274" s="45">
        <v>0.51</v>
      </c>
      <c r="F274" s="45">
        <f>E274*F268</f>
        <v>9.3635999999999999</v>
      </c>
      <c r="G274" s="81"/>
      <c r="H274" s="77">
        <f t="shared" si="45"/>
        <v>0</v>
      </c>
      <c r="I274" s="81"/>
      <c r="J274" s="77"/>
      <c r="K274" s="81"/>
      <c r="L274" s="77"/>
      <c r="M274" s="1252">
        <f t="shared" si="44"/>
        <v>0</v>
      </c>
      <c r="N274" s="1255"/>
      <c r="O274" s="1256"/>
    </row>
    <row r="275" spans="1:15" s="643" customFormat="1">
      <c r="A275" s="1388"/>
      <c r="B275" s="203"/>
      <c r="C275" s="159" t="s">
        <v>426</v>
      </c>
      <c r="D275" s="203" t="s">
        <v>218</v>
      </c>
      <c r="E275" s="45"/>
      <c r="F275" s="82">
        <f>1.49245</f>
        <v>1.4924500000000001</v>
      </c>
      <c r="G275" s="81"/>
      <c r="H275" s="77">
        <f t="shared" si="45"/>
        <v>0</v>
      </c>
      <c r="I275" s="81"/>
      <c r="J275" s="77"/>
      <c r="K275" s="81"/>
      <c r="L275" s="77"/>
      <c r="M275" s="1252">
        <f t="shared" si="44"/>
        <v>0</v>
      </c>
      <c r="N275" s="1255"/>
      <c r="O275" s="1256"/>
    </row>
    <row r="276" spans="1:15" s="643" customFormat="1" hidden="1">
      <c r="A276" s="1388"/>
      <c r="B276" s="203"/>
      <c r="C276" s="159" t="s">
        <v>466</v>
      </c>
      <c r="D276" s="203" t="s">
        <v>218</v>
      </c>
      <c r="E276" s="45"/>
      <c r="F276" s="82">
        <v>0</v>
      </c>
      <c r="G276" s="81">
        <v>1922</v>
      </c>
      <c r="H276" s="77">
        <f t="shared" si="45"/>
        <v>0</v>
      </c>
      <c r="I276" s="81"/>
      <c r="J276" s="77"/>
      <c r="K276" s="81"/>
      <c r="L276" s="77"/>
      <c r="M276" s="1252">
        <f t="shared" si="44"/>
        <v>0</v>
      </c>
      <c r="N276" s="1255"/>
      <c r="O276" s="1256"/>
    </row>
    <row r="277" spans="1:15" s="643" customFormat="1" ht="31.5">
      <c r="A277" s="1389" t="s">
        <v>1699</v>
      </c>
      <c r="B277" s="75" t="s">
        <v>244</v>
      </c>
      <c r="C277" s="156" t="s">
        <v>1630</v>
      </c>
      <c r="D277" s="75" t="s">
        <v>4</v>
      </c>
      <c r="E277" s="45"/>
      <c r="F277" s="83">
        <v>8.61</v>
      </c>
      <c r="G277" s="81"/>
      <c r="H277" s="77"/>
      <c r="I277" s="81"/>
      <c r="J277" s="77"/>
      <c r="K277" s="81"/>
      <c r="L277" s="77"/>
      <c r="M277" s="1252"/>
      <c r="N277" s="1255"/>
      <c r="O277" s="1256"/>
    </row>
    <row r="278" spans="1:15" s="643" customFormat="1">
      <c r="A278" s="1389"/>
      <c r="B278" s="75"/>
      <c r="C278" s="157" t="s">
        <v>1789</v>
      </c>
      <c r="D278" s="203" t="s">
        <v>4</v>
      </c>
      <c r="E278" s="45">
        <v>1</v>
      </c>
      <c r="F278" s="45">
        <f>E278*F277</f>
        <v>8.61</v>
      </c>
      <c r="G278" s="81"/>
      <c r="H278" s="77"/>
      <c r="I278" s="637"/>
      <c r="J278" s="77">
        <f>F278*I278</f>
        <v>0</v>
      </c>
      <c r="K278" s="81"/>
      <c r="L278" s="77"/>
      <c r="M278" s="1252">
        <f t="shared" ref="M278" si="46">H278+J278+L278</f>
        <v>0</v>
      </c>
      <c r="N278" s="1255"/>
      <c r="O278" s="1256"/>
    </row>
    <row r="279" spans="1:15" s="643" customFormat="1">
      <c r="A279" s="1389"/>
      <c r="B279" s="75"/>
      <c r="C279" s="160" t="s">
        <v>14</v>
      </c>
      <c r="D279" s="46" t="s">
        <v>11</v>
      </c>
      <c r="E279" s="45">
        <v>0.86</v>
      </c>
      <c r="F279" s="45">
        <f>E279*F277</f>
        <v>7.4045999999999994</v>
      </c>
      <c r="G279" s="81"/>
      <c r="H279" s="77"/>
      <c r="I279" s="81"/>
      <c r="J279" s="77"/>
      <c r="K279" s="81"/>
      <c r="L279" s="77">
        <f>F279*K279</f>
        <v>0</v>
      </c>
      <c r="M279" s="1252">
        <f t="shared" ref="M279:M285" si="47">H279+J279+L279</f>
        <v>0</v>
      </c>
      <c r="N279" s="1255"/>
      <c r="O279" s="1256"/>
    </row>
    <row r="280" spans="1:15" s="643" customFormat="1">
      <c r="A280" s="1389"/>
      <c r="B280" s="203"/>
      <c r="C280" s="157" t="s">
        <v>91</v>
      </c>
      <c r="D280" s="203" t="s">
        <v>319</v>
      </c>
      <c r="E280" s="45">
        <f>101.5*0.01</f>
        <v>1.0150000000000001</v>
      </c>
      <c r="F280" s="45">
        <f>E280*F277</f>
        <v>8.7391500000000004</v>
      </c>
      <c r="G280" s="81"/>
      <c r="H280" s="77">
        <f t="shared" ref="H280:H285" si="48">F280*G280</f>
        <v>0</v>
      </c>
      <c r="I280" s="81"/>
      <c r="J280" s="77"/>
      <c r="K280" s="81"/>
      <c r="L280" s="77"/>
      <c r="M280" s="1252">
        <f t="shared" si="47"/>
        <v>0</v>
      </c>
      <c r="N280" s="1255"/>
      <c r="O280" s="1256"/>
    </row>
    <row r="281" spans="1:15" s="643" customFormat="1">
      <c r="A281" s="1389"/>
      <c r="B281" s="203"/>
      <c r="C281" s="157" t="s">
        <v>465</v>
      </c>
      <c r="D281" s="203" t="s">
        <v>234</v>
      </c>
      <c r="E281" s="45">
        <f>137*0.01</f>
        <v>1.37</v>
      </c>
      <c r="F281" s="45">
        <f>E281*F277</f>
        <v>11.7957</v>
      </c>
      <c r="G281" s="81"/>
      <c r="H281" s="77">
        <f t="shared" si="48"/>
        <v>0</v>
      </c>
      <c r="I281" s="81"/>
      <c r="J281" s="77"/>
      <c r="K281" s="81"/>
      <c r="L281" s="77"/>
      <c r="M281" s="1252">
        <f t="shared" si="47"/>
        <v>0</v>
      </c>
      <c r="N281" s="1255"/>
      <c r="O281" s="1256"/>
    </row>
    <row r="282" spans="1:15" s="643" customFormat="1">
      <c r="A282" s="1389"/>
      <c r="B282" s="203"/>
      <c r="C282" s="157" t="s">
        <v>222</v>
      </c>
      <c r="D282" s="203" t="s">
        <v>319</v>
      </c>
      <c r="E282" s="278">
        <f>(0.84+2.56+0.4)/100</f>
        <v>3.7999999999999999E-2</v>
      </c>
      <c r="F282" s="45">
        <f>E282*F277</f>
        <v>0.32717999999999997</v>
      </c>
      <c r="G282" s="81"/>
      <c r="H282" s="77">
        <f t="shared" si="48"/>
        <v>0</v>
      </c>
      <c r="I282" s="81"/>
      <c r="J282" s="77"/>
      <c r="K282" s="81"/>
      <c r="L282" s="77"/>
      <c r="M282" s="1252">
        <f t="shared" si="47"/>
        <v>0</v>
      </c>
      <c r="N282" s="1255"/>
      <c r="O282" s="1256"/>
    </row>
    <row r="283" spans="1:15" s="643" customFormat="1">
      <c r="A283" s="1389"/>
      <c r="B283" s="75"/>
      <c r="C283" s="157" t="s">
        <v>26</v>
      </c>
      <c r="D283" s="203" t="s">
        <v>11</v>
      </c>
      <c r="E283" s="45">
        <v>0.51</v>
      </c>
      <c r="F283" s="45">
        <f>E283*F277</f>
        <v>4.3910999999999998</v>
      </c>
      <c r="G283" s="81"/>
      <c r="H283" s="77">
        <f t="shared" si="48"/>
        <v>0</v>
      </c>
      <c r="I283" s="81"/>
      <c r="J283" s="77"/>
      <c r="K283" s="81"/>
      <c r="L283" s="77"/>
      <c r="M283" s="1252">
        <f t="shared" si="47"/>
        <v>0</v>
      </c>
      <c r="N283" s="1255"/>
      <c r="O283" s="1256"/>
    </row>
    <row r="284" spans="1:15" s="643" customFormat="1">
      <c r="A284" s="1389"/>
      <c r="B284" s="203"/>
      <c r="C284" s="159" t="s">
        <v>426</v>
      </c>
      <c r="D284" s="203" t="s">
        <v>218</v>
      </c>
      <c r="E284" s="45"/>
      <c r="F284" s="82">
        <f>1.39684</f>
        <v>1.3968400000000001</v>
      </c>
      <c r="G284" s="81"/>
      <c r="H284" s="77">
        <f t="shared" si="48"/>
        <v>0</v>
      </c>
      <c r="I284" s="81"/>
      <c r="J284" s="77"/>
      <c r="K284" s="81"/>
      <c r="L284" s="77"/>
      <c r="M284" s="1252">
        <f t="shared" si="47"/>
        <v>0</v>
      </c>
      <c r="N284" s="1255"/>
      <c r="O284" s="1256"/>
    </row>
    <row r="285" spans="1:15" s="643" customFormat="1">
      <c r="A285" s="1389"/>
      <c r="B285" s="203"/>
      <c r="C285" s="159" t="s">
        <v>466</v>
      </c>
      <c r="D285" s="203" t="s">
        <v>218</v>
      </c>
      <c r="E285" s="45"/>
      <c r="F285" s="82">
        <f>0.11172</f>
        <v>0.11172</v>
      </c>
      <c r="G285" s="81"/>
      <c r="H285" s="77">
        <f t="shared" si="48"/>
        <v>0</v>
      </c>
      <c r="I285" s="81"/>
      <c r="J285" s="77"/>
      <c r="K285" s="81"/>
      <c r="L285" s="77"/>
      <c r="M285" s="1252">
        <f t="shared" si="47"/>
        <v>0</v>
      </c>
      <c r="N285" s="1255"/>
      <c r="O285" s="1256"/>
    </row>
    <row r="286" spans="1:15" s="643" customFormat="1" ht="31.5">
      <c r="A286" s="1389" t="s">
        <v>1700</v>
      </c>
      <c r="B286" s="75" t="s">
        <v>244</v>
      </c>
      <c r="C286" s="156" t="s">
        <v>1631</v>
      </c>
      <c r="D286" s="75" t="s">
        <v>4</v>
      </c>
      <c r="E286" s="45"/>
      <c r="F286" s="83">
        <v>14.45</v>
      </c>
      <c r="G286" s="81"/>
      <c r="H286" s="77"/>
      <c r="I286" s="81"/>
      <c r="J286" s="77"/>
      <c r="K286" s="81"/>
      <c r="L286" s="77"/>
      <c r="M286" s="1252"/>
      <c r="N286" s="1255"/>
      <c r="O286" s="1256"/>
    </row>
    <row r="287" spans="1:15" s="643" customFormat="1">
      <c r="A287" s="1389"/>
      <c r="B287" s="75"/>
      <c r="C287" s="157" t="s">
        <v>1789</v>
      </c>
      <c r="D287" s="203" t="s">
        <v>4</v>
      </c>
      <c r="E287" s="45">
        <v>1</v>
      </c>
      <c r="F287" s="45">
        <f>E287*F286</f>
        <v>14.45</v>
      </c>
      <c r="G287" s="81"/>
      <c r="H287" s="77"/>
      <c r="I287" s="637"/>
      <c r="J287" s="77">
        <f>F287*I287</f>
        <v>0</v>
      </c>
      <c r="K287" s="81"/>
      <c r="L287" s="77"/>
      <c r="M287" s="1252">
        <f t="shared" ref="M287" si="49">H287+J287+L287</f>
        <v>0</v>
      </c>
      <c r="N287" s="1255"/>
      <c r="O287" s="1256"/>
    </row>
    <row r="288" spans="1:15" s="643" customFormat="1">
      <c r="A288" s="1389"/>
      <c r="B288" s="75"/>
      <c r="C288" s="160" t="s">
        <v>14</v>
      </c>
      <c r="D288" s="46" t="s">
        <v>11</v>
      </c>
      <c r="E288" s="45">
        <v>0.86</v>
      </c>
      <c r="F288" s="45">
        <f>E288*F286</f>
        <v>12.427</v>
      </c>
      <c r="G288" s="81"/>
      <c r="H288" s="77"/>
      <c r="I288" s="81"/>
      <c r="J288" s="77"/>
      <c r="K288" s="81"/>
      <c r="L288" s="77">
        <f>F288*K288</f>
        <v>0</v>
      </c>
      <c r="M288" s="1252">
        <f t="shared" ref="M288:M294" si="50">H288+J288+L288</f>
        <v>0</v>
      </c>
      <c r="N288" s="1255"/>
      <c r="O288" s="1256"/>
    </row>
    <row r="289" spans="1:15" s="643" customFormat="1">
      <c r="A289" s="1389"/>
      <c r="B289" s="203"/>
      <c r="C289" s="157" t="s">
        <v>91</v>
      </c>
      <c r="D289" s="203" t="s">
        <v>319</v>
      </c>
      <c r="E289" s="45">
        <f>101.5*0.01</f>
        <v>1.0150000000000001</v>
      </c>
      <c r="F289" s="45">
        <f>E289*F286</f>
        <v>14.66675</v>
      </c>
      <c r="G289" s="81"/>
      <c r="H289" s="77">
        <f t="shared" ref="H289:H294" si="51">F289*G289</f>
        <v>0</v>
      </c>
      <c r="I289" s="81"/>
      <c r="J289" s="77"/>
      <c r="K289" s="81"/>
      <c r="L289" s="77"/>
      <c r="M289" s="1252">
        <f t="shared" si="50"/>
        <v>0</v>
      </c>
      <c r="N289" s="1255"/>
      <c r="O289" s="1256"/>
    </row>
    <row r="290" spans="1:15" s="643" customFormat="1">
      <c r="A290" s="1389"/>
      <c r="B290" s="203"/>
      <c r="C290" s="157" t="s">
        <v>465</v>
      </c>
      <c r="D290" s="203" t="s">
        <v>234</v>
      </c>
      <c r="E290" s="45">
        <f>137*0.01</f>
        <v>1.37</v>
      </c>
      <c r="F290" s="45">
        <f>E290*F286</f>
        <v>19.796500000000002</v>
      </c>
      <c r="G290" s="81"/>
      <c r="H290" s="77">
        <f t="shared" si="51"/>
        <v>0</v>
      </c>
      <c r="I290" s="81"/>
      <c r="J290" s="77"/>
      <c r="K290" s="81"/>
      <c r="L290" s="77"/>
      <c r="M290" s="1252">
        <f t="shared" si="50"/>
        <v>0</v>
      </c>
      <c r="N290" s="1255"/>
      <c r="O290" s="1256"/>
    </row>
    <row r="291" spans="1:15" s="643" customFormat="1">
      <c r="A291" s="1389"/>
      <c r="B291" s="203"/>
      <c r="C291" s="157" t="s">
        <v>222</v>
      </c>
      <c r="D291" s="203" t="s">
        <v>319</v>
      </c>
      <c r="E291" s="278">
        <f>(0.84+2.56+0.4)/100</f>
        <v>3.7999999999999999E-2</v>
      </c>
      <c r="F291" s="45">
        <f>E291*F286</f>
        <v>0.54909999999999992</v>
      </c>
      <c r="G291" s="81"/>
      <c r="H291" s="77">
        <f t="shared" si="51"/>
        <v>0</v>
      </c>
      <c r="I291" s="81"/>
      <c r="J291" s="77"/>
      <c r="K291" s="81"/>
      <c r="L291" s="77"/>
      <c r="M291" s="1252">
        <f t="shared" si="50"/>
        <v>0</v>
      </c>
      <c r="N291" s="1255"/>
      <c r="O291" s="1256"/>
    </row>
    <row r="292" spans="1:15" s="643" customFormat="1">
      <c r="A292" s="1389"/>
      <c r="B292" s="75"/>
      <c r="C292" s="157" t="s">
        <v>26</v>
      </c>
      <c r="D292" s="203" t="s">
        <v>11</v>
      </c>
      <c r="E292" s="45">
        <v>0.51</v>
      </c>
      <c r="F292" s="45">
        <f>E292*F286</f>
        <v>7.3694999999999995</v>
      </c>
      <c r="G292" s="81"/>
      <c r="H292" s="77">
        <f t="shared" si="51"/>
        <v>0</v>
      </c>
      <c r="I292" s="81"/>
      <c r="J292" s="77"/>
      <c r="K292" s="81"/>
      <c r="L292" s="77"/>
      <c r="M292" s="1252">
        <f t="shared" si="50"/>
        <v>0</v>
      </c>
      <c r="N292" s="1255"/>
      <c r="O292" s="1256"/>
    </row>
    <row r="293" spans="1:15" s="643" customFormat="1">
      <c r="A293" s="1389"/>
      <c r="B293" s="203"/>
      <c r="C293" s="159" t="s">
        <v>426</v>
      </c>
      <c r="D293" s="203" t="s">
        <v>218</v>
      </c>
      <c r="E293" s="45"/>
      <c r="F293" s="82">
        <f>2.33386</f>
        <v>2.33386</v>
      </c>
      <c r="G293" s="81"/>
      <c r="H293" s="77">
        <f t="shared" si="51"/>
        <v>0</v>
      </c>
      <c r="I293" s="81"/>
      <c r="J293" s="77"/>
      <c r="K293" s="81"/>
      <c r="L293" s="77"/>
      <c r="M293" s="1252">
        <f t="shared" si="50"/>
        <v>0</v>
      </c>
      <c r="N293" s="1255"/>
      <c r="O293" s="1256"/>
    </row>
    <row r="294" spans="1:15" s="643" customFormat="1">
      <c r="A294" s="1389"/>
      <c r="B294" s="203"/>
      <c r="C294" s="159" t="s">
        <v>466</v>
      </c>
      <c r="D294" s="203" t="s">
        <v>218</v>
      </c>
      <c r="E294" s="45"/>
      <c r="F294" s="82">
        <f>0.18606</f>
        <v>0.18606</v>
      </c>
      <c r="G294" s="81"/>
      <c r="H294" s="77">
        <f t="shared" si="51"/>
        <v>0</v>
      </c>
      <c r="I294" s="81"/>
      <c r="J294" s="77"/>
      <c r="K294" s="81"/>
      <c r="L294" s="77"/>
      <c r="M294" s="1252">
        <f t="shared" si="50"/>
        <v>0</v>
      </c>
      <c r="N294" s="1255"/>
      <c r="O294" s="1256"/>
    </row>
    <row r="295" spans="1:15" s="643" customFormat="1" ht="47.25">
      <c r="A295" s="1387" t="s">
        <v>1701</v>
      </c>
      <c r="B295" s="75" t="s">
        <v>244</v>
      </c>
      <c r="C295" s="156" t="s">
        <v>1634</v>
      </c>
      <c r="D295" s="75" t="s">
        <v>4</v>
      </c>
      <c r="E295" s="45"/>
      <c r="F295" s="83">
        <v>4.72</v>
      </c>
      <c r="G295" s="81"/>
      <c r="H295" s="77"/>
      <c r="I295" s="81"/>
      <c r="J295" s="77"/>
      <c r="K295" s="81"/>
      <c r="L295" s="77"/>
      <c r="M295" s="1252"/>
      <c r="N295" s="1255"/>
      <c r="O295" s="1256"/>
    </row>
    <row r="296" spans="1:15" s="643" customFormat="1">
      <c r="A296" s="1388"/>
      <c r="B296" s="75"/>
      <c r="C296" s="157" t="s">
        <v>1789</v>
      </c>
      <c r="D296" s="203" t="s">
        <v>4</v>
      </c>
      <c r="E296" s="45">
        <v>1</v>
      </c>
      <c r="F296" s="45">
        <f>E296*F295</f>
        <v>4.72</v>
      </c>
      <c r="G296" s="81"/>
      <c r="H296" s="77"/>
      <c r="I296" s="637"/>
      <c r="J296" s="77">
        <f>F296*I296</f>
        <v>0</v>
      </c>
      <c r="K296" s="81"/>
      <c r="L296" s="77"/>
      <c r="M296" s="1252">
        <f t="shared" ref="M296" si="52">H296+J296+L296</f>
        <v>0</v>
      </c>
      <c r="N296" s="1255"/>
      <c r="O296" s="1256"/>
    </row>
    <row r="297" spans="1:15" s="643" customFormat="1">
      <c r="A297" s="1388"/>
      <c r="B297" s="75"/>
      <c r="C297" s="160" t="s">
        <v>14</v>
      </c>
      <c r="D297" s="46" t="s">
        <v>11</v>
      </c>
      <c r="E297" s="45">
        <v>0.86</v>
      </c>
      <c r="F297" s="45">
        <f>E297*F295</f>
        <v>4.0591999999999997</v>
      </c>
      <c r="G297" s="81"/>
      <c r="H297" s="77"/>
      <c r="I297" s="81"/>
      <c r="J297" s="77"/>
      <c r="K297" s="81"/>
      <c r="L297" s="77">
        <f>F297*K297</f>
        <v>0</v>
      </c>
      <c r="M297" s="1252">
        <f t="shared" ref="M297:M303" si="53">H297+J297+L297</f>
        <v>0</v>
      </c>
      <c r="N297" s="1255"/>
      <c r="O297" s="1256"/>
    </row>
    <row r="298" spans="1:15" s="643" customFormat="1">
      <c r="A298" s="1388"/>
      <c r="B298" s="203"/>
      <c r="C298" s="157" t="s">
        <v>91</v>
      </c>
      <c r="D298" s="203" t="s">
        <v>319</v>
      </c>
      <c r="E298" s="45">
        <f>101.5*0.01</f>
        <v>1.0150000000000001</v>
      </c>
      <c r="F298" s="45">
        <f>E298*F295</f>
        <v>4.7907999999999999</v>
      </c>
      <c r="G298" s="81"/>
      <c r="H298" s="77">
        <f t="shared" ref="H298:H303" si="54">F298*G298</f>
        <v>0</v>
      </c>
      <c r="I298" s="81"/>
      <c r="J298" s="77"/>
      <c r="K298" s="81"/>
      <c r="L298" s="77"/>
      <c r="M298" s="1252">
        <f t="shared" si="53"/>
        <v>0</v>
      </c>
      <c r="N298" s="1255"/>
      <c r="O298" s="1256"/>
    </row>
    <row r="299" spans="1:15" s="643" customFormat="1">
      <c r="A299" s="1388"/>
      <c r="B299" s="203"/>
      <c r="C299" s="157" t="s">
        <v>465</v>
      </c>
      <c r="D299" s="203" t="s">
        <v>234</v>
      </c>
      <c r="E299" s="45">
        <f>137*0.01</f>
        <v>1.37</v>
      </c>
      <c r="F299" s="45">
        <f>E299*F295</f>
        <v>6.4664000000000001</v>
      </c>
      <c r="G299" s="81"/>
      <c r="H299" s="77">
        <f t="shared" si="54"/>
        <v>0</v>
      </c>
      <c r="I299" s="81"/>
      <c r="J299" s="77"/>
      <c r="K299" s="81"/>
      <c r="L299" s="77"/>
      <c r="M299" s="1252">
        <f t="shared" si="53"/>
        <v>0</v>
      </c>
      <c r="N299" s="1255"/>
      <c r="O299" s="1256"/>
    </row>
    <row r="300" spans="1:15" s="643" customFormat="1">
      <c r="A300" s="1388"/>
      <c r="B300" s="203"/>
      <c r="C300" s="157" t="s">
        <v>222</v>
      </c>
      <c r="D300" s="203" t="s">
        <v>319</v>
      </c>
      <c r="E300" s="278">
        <f>(0.84+2.56+0.4)/100</f>
        <v>3.7999999999999999E-2</v>
      </c>
      <c r="F300" s="45">
        <f>E300*F295</f>
        <v>0.17935999999999999</v>
      </c>
      <c r="G300" s="81"/>
      <c r="H300" s="77">
        <f t="shared" si="54"/>
        <v>0</v>
      </c>
      <c r="I300" s="81"/>
      <c r="J300" s="77"/>
      <c r="K300" s="81"/>
      <c r="L300" s="77"/>
      <c r="M300" s="1252">
        <f t="shared" si="53"/>
        <v>0</v>
      </c>
      <c r="N300" s="1255"/>
      <c r="O300" s="1256"/>
    </row>
    <row r="301" spans="1:15" s="643" customFormat="1">
      <c r="A301" s="1388"/>
      <c r="B301" s="75"/>
      <c r="C301" s="157" t="s">
        <v>26</v>
      </c>
      <c r="D301" s="203" t="s">
        <v>11</v>
      </c>
      <c r="E301" s="45">
        <v>0.51</v>
      </c>
      <c r="F301" s="45">
        <f>E301*F295</f>
        <v>2.4072</v>
      </c>
      <c r="G301" s="81"/>
      <c r="H301" s="77">
        <f t="shared" si="54"/>
        <v>0</v>
      </c>
      <c r="I301" s="81"/>
      <c r="J301" s="77"/>
      <c r="K301" s="81"/>
      <c r="L301" s="77"/>
      <c r="M301" s="1252">
        <f t="shared" si="53"/>
        <v>0</v>
      </c>
      <c r="N301" s="1255"/>
      <c r="O301" s="1256"/>
    </row>
    <row r="302" spans="1:15" s="643" customFormat="1">
      <c r="A302" s="1388"/>
      <c r="B302" s="203"/>
      <c r="C302" s="159" t="s">
        <v>426</v>
      </c>
      <c r="D302" s="203" t="s">
        <v>218</v>
      </c>
      <c r="E302" s="45"/>
      <c r="F302" s="82">
        <f>0.4085</f>
        <v>0.40849999999999997</v>
      </c>
      <c r="G302" s="81"/>
      <c r="H302" s="77">
        <f t="shared" si="54"/>
        <v>0</v>
      </c>
      <c r="I302" s="81"/>
      <c r="J302" s="77"/>
      <c r="K302" s="81"/>
      <c r="L302" s="77"/>
      <c r="M302" s="1252">
        <f t="shared" si="53"/>
        <v>0</v>
      </c>
      <c r="N302" s="1255"/>
      <c r="O302" s="1256"/>
    </row>
    <row r="303" spans="1:15" s="643" customFormat="1" hidden="1">
      <c r="A303" s="1388"/>
      <c r="B303" s="203"/>
      <c r="C303" s="159" t="s">
        <v>466</v>
      </c>
      <c r="D303" s="203" t="s">
        <v>218</v>
      </c>
      <c r="E303" s="45"/>
      <c r="F303" s="82">
        <f>0</f>
        <v>0</v>
      </c>
      <c r="G303" s="81">
        <v>1922</v>
      </c>
      <c r="H303" s="77">
        <f t="shared" si="54"/>
        <v>0</v>
      </c>
      <c r="I303" s="81"/>
      <c r="J303" s="77"/>
      <c r="K303" s="81"/>
      <c r="L303" s="77"/>
      <c r="M303" s="1252">
        <f t="shared" si="53"/>
        <v>0</v>
      </c>
      <c r="N303" s="1255"/>
      <c r="O303" s="1256"/>
    </row>
    <row r="304" spans="1:15" s="643" customFormat="1" ht="31.5">
      <c r="A304" s="1387" t="s">
        <v>1702</v>
      </c>
      <c r="B304" s="75" t="s">
        <v>244</v>
      </c>
      <c r="C304" s="156" t="s">
        <v>1632</v>
      </c>
      <c r="D304" s="75" t="s">
        <v>4</v>
      </c>
      <c r="E304" s="45"/>
      <c r="F304" s="83">
        <v>5.28</v>
      </c>
      <c r="G304" s="81"/>
      <c r="H304" s="77"/>
      <c r="I304" s="81"/>
      <c r="J304" s="77"/>
      <c r="K304" s="81"/>
      <c r="L304" s="77"/>
      <c r="M304" s="1252"/>
      <c r="N304" s="1255"/>
      <c r="O304" s="1256"/>
    </row>
    <row r="305" spans="1:15" s="643" customFormat="1">
      <c r="A305" s="1388"/>
      <c r="B305" s="75"/>
      <c r="C305" s="157" t="s">
        <v>1789</v>
      </c>
      <c r="D305" s="203" t="s">
        <v>4</v>
      </c>
      <c r="E305" s="45">
        <v>1</v>
      </c>
      <c r="F305" s="45">
        <f>E305*F304</f>
        <v>5.28</v>
      </c>
      <c r="G305" s="81"/>
      <c r="H305" s="77"/>
      <c r="I305" s="637"/>
      <c r="J305" s="77">
        <f>F305*I305</f>
        <v>0</v>
      </c>
      <c r="K305" s="81"/>
      <c r="L305" s="77"/>
      <c r="M305" s="1252">
        <f t="shared" ref="M305" si="55">H305+J305+L305</f>
        <v>0</v>
      </c>
      <c r="N305" s="1255"/>
      <c r="O305" s="1256"/>
    </row>
    <row r="306" spans="1:15" s="643" customFormat="1">
      <c r="A306" s="1388"/>
      <c r="B306" s="75"/>
      <c r="C306" s="160" t="s">
        <v>14</v>
      </c>
      <c r="D306" s="46" t="s">
        <v>11</v>
      </c>
      <c r="E306" s="45">
        <v>0.86</v>
      </c>
      <c r="F306" s="45">
        <f>E306*F304</f>
        <v>4.5407999999999999</v>
      </c>
      <c r="G306" s="81"/>
      <c r="H306" s="77"/>
      <c r="I306" s="81"/>
      <c r="J306" s="77"/>
      <c r="K306" s="81"/>
      <c r="L306" s="77">
        <f>F306*K306</f>
        <v>0</v>
      </c>
      <c r="M306" s="1252">
        <f t="shared" ref="M306:M312" si="56">H306+J306+L306</f>
        <v>0</v>
      </c>
      <c r="N306" s="1255"/>
      <c r="O306" s="1256"/>
    </row>
    <row r="307" spans="1:15" s="643" customFormat="1">
      <c r="A307" s="1388"/>
      <c r="B307" s="203"/>
      <c r="C307" s="157" t="s">
        <v>91</v>
      </c>
      <c r="D307" s="203" t="s">
        <v>319</v>
      </c>
      <c r="E307" s="45">
        <f>101.5*0.01</f>
        <v>1.0150000000000001</v>
      </c>
      <c r="F307" s="45">
        <f>E307*F304</f>
        <v>5.3592000000000013</v>
      </c>
      <c r="G307" s="81"/>
      <c r="H307" s="77">
        <f t="shared" ref="H307:H312" si="57">F307*G307</f>
        <v>0</v>
      </c>
      <c r="I307" s="81"/>
      <c r="J307" s="77"/>
      <c r="K307" s="81"/>
      <c r="L307" s="77"/>
      <c r="M307" s="1252">
        <f t="shared" si="56"/>
        <v>0</v>
      </c>
      <c r="N307" s="1255"/>
      <c r="O307" s="1256"/>
    </row>
    <row r="308" spans="1:15" s="643" customFormat="1">
      <c r="A308" s="1388"/>
      <c r="B308" s="203"/>
      <c r="C308" s="157" t="s">
        <v>465</v>
      </c>
      <c r="D308" s="203" t="s">
        <v>234</v>
      </c>
      <c r="E308" s="45">
        <f>137*0.01</f>
        <v>1.37</v>
      </c>
      <c r="F308" s="45">
        <f>E308*F304</f>
        <v>7.2336000000000009</v>
      </c>
      <c r="G308" s="81"/>
      <c r="H308" s="77">
        <f t="shared" si="57"/>
        <v>0</v>
      </c>
      <c r="I308" s="81"/>
      <c r="J308" s="77"/>
      <c r="K308" s="81"/>
      <c r="L308" s="77"/>
      <c r="M308" s="1252">
        <f t="shared" si="56"/>
        <v>0</v>
      </c>
      <c r="N308" s="1255"/>
      <c r="O308" s="1256"/>
    </row>
    <row r="309" spans="1:15" s="643" customFormat="1">
      <c r="A309" s="1388"/>
      <c r="B309" s="203"/>
      <c r="C309" s="157" t="s">
        <v>222</v>
      </c>
      <c r="D309" s="203" t="s">
        <v>319</v>
      </c>
      <c r="E309" s="278">
        <f>(0.84+2.56+0.4)/100</f>
        <v>3.7999999999999999E-2</v>
      </c>
      <c r="F309" s="45">
        <f>E309*F304</f>
        <v>0.20064000000000001</v>
      </c>
      <c r="G309" s="81"/>
      <c r="H309" s="77">
        <f t="shared" si="57"/>
        <v>0</v>
      </c>
      <c r="I309" s="81"/>
      <c r="J309" s="77"/>
      <c r="K309" s="81"/>
      <c r="L309" s="77"/>
      <c r="M309" s="1252">
        <f t="shared" si="56"/>
        <v>0</v>
      </c>
      <c r="N309" s="1255"/>
      <c r="O309" s="1256"/>
    </row>
    <row r="310" spans="1:15" s="643" customFormat="1">
      <c r="A310" s="1388"/>
      <c r="B310" s="75"/>
      <c r="C310" s="157" t="s">
        <v>26</v>
      </c>
      <c r="D310" s="203" t="s">
        <v>11</v>
      </c>
      <c r="E310" s="45">
        <v>0.51</v>
      </c>
      <c r="F310" s="45">
        <f>E310*F304</f>
        <v>2.6928000000000001</v>
      </c>
      <c r="G310" s="81"/>
      <c r="H310" s="77">
        <f t="shared" si="57"/>
        <v>0</v>
      </c>
      <c r="I310" s="81"/>
      <c r="J310" s="77"/>
      <c r="K310" s="81"/>
      <c r="L310" s="77"/>
      <c r="M310" s="1252">
        <f t="shared" si="56"/>
        <v>0</v>
      </c>
      <c r="N310" s="1255"/>
      <c r="O310" s="1256"/>
    </row>
    <row r="311" spans="1:15" s="643" customFormat="1">
      <c r="A311" s="1388"/>
      <c r="B311" s="203"/>
      <c r="C311" s="159" t="s">
        <v>426</v>
      </c>
      <c r="D311" s="203" t="s">
        <v>218</v>
      </c>
      <c r="E311" s="45"/>
      <c r="F311" s="82">
        <f>0.61012</f>
        <v>0.61012</v>
      </c>
      <c r="G311" s="81"/>
      <c r="H311" s="77">
        <f t="shared" si="57"/>
        <v>0</v>
      </c>
      <c r="I311" s="81"/>
      <c r="J311" s="77"/>
      <c r="K311" s="81"/>
      <c r="L311" s="77"/>
      <c r="M311" s="1252">
        <f t="shared" si="56"/>
        <v>0</v>
      </c>
      <c r="N311" s="1255"/>
      <c r="O311" s="1256"/>
    </row>
    <row r="312" spans="1:15" s="643" customFormat="1">
      <c r="A312" s="1388"/>
      <c r="B312" s="203"/>
      <c r="C312" s="159" t="s">
        <v>466</v>
      </c>
      <c r="D312" s="203" t="s">
        <v>218</v>
      </c>
      <c r="E312" s="45"/>
      <c r="F312" s="82">
        <f>0.07308</f>
        <v>7.3080000000000006E-2</v>
      </c>
      <c r="G312" s="81"/>
      <c r="H312" s="77">
        <f t="shared" si="57"/>
        <v>0</v>
      </c>
      <c r="I312" s="81"/>
      <c r="J312" s="77"/>
      <c r="K312" s="81"/>
      <c r="L312" s="77"/>
      <c r="M312" s="1252">
        <f t="shared" si="56"/>
        <v>0</v>
      </c>
      <c r="N312" s="1255"/>
      <c r="O312" s="1256"/>
    </row>
    <row r="313" spans="1:15" s="643" customFormat="1" ht="31.5">
      <c r="A313" s="1389" t="s">
        <v>1703</v>
      </c>
      <c r="B313" s="75" t="s">
        <v>244</v>
      </c>
      <c r="C313" s="156" t="s">
        <v>1633</v>
      </c>
      <c r="D313" s="75" t="s">
        <v>4</v>
      </c>
      <c r="E313" s="45"/>
      <c r="F313" s="83">
        <f>6.67</f>
        <v>6.67</v>
      </c>
      <c r="G313" s="81"/>
      <c r="H313" s="77"/>
      <c r="I313" s="81"/>
      <c r="J313" s="77"/>
      <c r="K313" s="81"/>
      <c r="L313" s="77"/>
      <c r="M313" s="1252"/>
      <c r="N313" s="1255"/>
      <c r="O313" s="1256"/>
    </row>
    <row r="314" spans="1:15" s="643" customFormat="1">
      <c r="A314" s="1389"/>
      <c r="B314" s="75"/>
      <c r="C314" s="157" t="s">
        <v>1789</v>
      </c>
      <c r="D314" s="203" t="s">
        <v>4</v>
      </c>
      <c r="E314" s="45">
        <v>1</v>
      </c>
      <c r="F314" s="45">
        <f>E314*F313</f>
        <v>6.67</v>
      </c>
      <c r="G314" s="81"/>
      <c r="H314" s="77"/>
      <c r="I314" s="637"/>
      <c r="J314" s="77">
        <f>F314*I314</f>
        <v>0</v>
      </c>
      <c r="K314" s="81"/>
      <c r="L314" s="77"/>
      <c r="M314" s="1252">
        <f t="shared" ref="M314" si="58">H314+J314+L314</f>
        <v>0</v>
      </c>
      <c r="N314" s="1255"/>
      <c r="O314" s="1256"/>
    </row>
    <row r="315" spans="1:15" s="643" customFormat="1">
      <c r="A315" s="1389"/>
      <c r="B315" s="75"/>
      <c r="C315" s="160" t="s">
        <v>14</v>
      </c>
      <c r="D315" s="46" t="s">
        <v>11</v>
      </c>
      <c r="E315" s="45">
        <v>0.86</v>
      </c>
      <c r="F315" s="45">
        <f>E315*F313</f>
        <v>5.7362000000000002</v>
      </c>
      <c r="G315" s="81"/>
      <c r="H315" s="77"/>
      <c r="I315" s="81"/>
      <c r="J315" s="77"/>
      <c r="K315" s="81"/>
      <c r="L315" s="77">
        <f>F315*K315</f>
        <v>0</v>
      </c>
      <c r="M315" s="1252">
        <f t="shared" ref="M315:M321" si="59">H315+J315+L315</f>
        <v>0</v>
      </c>
      <c r="N315" s="1255"/>
      <c r="O315" s="1256"/>
    </row>
    <row r="316" spans="1:15" s="643" customFormat="1">
      <c r="A316" s="1389"/>
      <c r="B316" s="203"/>
      <c r="C316" s="157" t="s">
        <v>91</v>
      </c>
      <c r="D316" s="203" t="s">
        <v>319</v>
      </c>
      <c r="E316" s="45">
        <f>101.5*0.01</f>
        <v>1.0150000000000001</v>
      </c>
      <c r="F316" s="45">
        <f>E316*F313</f>
        <v>6.7700500000000003</v>
      </c>
      <c r="G316" s="81"/>
      <c r="H316" s="77">
        <f t="shared" ref="H316:H321" si="60">F316*G316</f>
        <v>0</v>
      </c>
      <c r="I316" s="81"/>
      <c r="J316" s="77"/>
      <c r="K316" s="81"/>
      <c r="L316" s="77"/>
      <c r="M316" s="1252">
        <f t="shared" si="59"/>
        <v>0</v>
      </c>
      <c r="N316" s="1255"/>
      <c r="O316" s="1256"/>
    </row>
    <row r="317" spans="1:15" s="643" customFormat="1">
      <c r="A317" s="1389"/>
      <c r="B317" s="203"/>
      <c r="C317" s="157" t="s">
        <v>465</v>
      </c>
      <c r="D317" s="203" t="s">
        <v>234</v>
      </c>
      <c r="E317" s="45">
        <f>137*0.01</f>
        <v>1.37</v>
      </c>
      <c r="F317" s="45">
        <f>E317*F313</f>
        <v>9.1379000000000001</v>
      </c>
      <c r="G317" s="81"/>
      <c r="H317" s="77">
        <f t="shared" si="60"/>
        <v>0</v>
      </c>
      <c r="I317" s="81"/>
      <c r="J317" s="77"/>
      <c r="K317" s="81"/>
      <c r="L317" s="77"/>
      <c r="M317" s="1252">
        <f t="shared" si="59"/>
        <v>0</v>
      </c>
      <c r="N317" s="1255"/>
      <c r="O317" s="1256"/>
    </row>
    <row r="318" spans="1:15" s="643" customFormat="1">
      <c r="A318" s="1389"/>
      <c r="B318" s="203"/>
      <c r="C318" s="157" t="s">
        <v>222</v>
      </c>
      <c r="D318" s="203" t="s">
        <v>319</v>
      </c>
      <c r="E318" s="278">
        <f>(0.84+2.56+0.4)/100</f>
        <v>3.7999999999999999E-2</v>
      </c>
      <c r="F318" s="45">
        <f>E318*F313</f>
        <v>0.25346000000000002</v>
      </c>
      <c r="G318" s="81"/>
      <c r="H318" s="77">
        <f t="shared" si="60"/>
        <v>0</v>
      </c>
      <c r="I318" s="81"/>
      <c r="J318" s="77"/>
      <c r="K318" s="81"/>
      <c r="L318" s="77"/>
      <c r="M318" s="1252">
        <f t="shared" si="59"/>
        <v>0</v>
      </c>
      <c r="N318" s="1255"/>
      <c r="O318" s="1256"/>
    </row>
    <row r="319" spans="1:15" s="643" customFormat="1">
      <c r="A319" s="1389"/>
      <c r="B319" s="75"/>
      <c r="C319" s="157" t="s">
        <v>26</v>
      </c>
      <c r="D319" s="203" t="s">
        <v>11</v>
      </c>
      <c r="E319" s="45">
        <v>0.51</v>
      </c>
      <c r="F319" s="45">
        <f>E319*F313</f>
        <v>3.4016999999999999</v>
      </c>
      <c r="G319" s="81"/>
      <c r="H319" s="77">
        <f t="shared" si="60"/>
        <v>0</v>
      </c>
      <c r="I319" s="81"/>
      <c r="J319" s="77"/>
      <c r="K319" s="81"/>
      <c r="L319" s="77"/>
      <c r="M319" s="1252">
        <f t="shared" si="59"/>
        <v>0</v>
      </c>
      <c r="N319" s="1255"/>
      <c r="O319" s="1256"/>
    </row>
    <row r="320" spans="1:15" s="643" customFormat="1">
      <c r="A320" s="1389"/>
      <c r="B320" s="203"/>
      <c r="C320" s="159" t="s">
        <v>426</v>
      </c>
      <c r="D320" s="203" t="s">
        <v>218</v>
      </c>
      <c r="E320" s="45"/>
      <c r="F320" s="82">
        <f>1.09821</f>
        <v>1.0982099999999999</v>
      </c>
      <c r="G320" s="81"/>
      <c r="H320" s="77">
        <f t="shared" si="60"/>
        <v>0</v>
      </c>
      <c r="I320" s="81"/>
      <c r="J320" s="77"/>
      <c r="K320" s="81"/>
      <c r="L320" s="77"/>
      <c r="M320" s="1252">
        <f t="shared" si="59"/>
        <v>0</v>
      </c>
      <c r="N320" s="1255"/>
      <c r="O320" s="1256"/>
    </row>
    <row r="321" spans="1:15" s="643" customFormat="1">
      <c r="A321" s="1389"/>
      <c r="B321" s="203"/>
      <c r="C321" s="159" t="s">
        <v>466</v>
      </c>
      <c r="D321" s="203" t="s">
        <v>218</v>
      </c>
      <c r="E321" s="45"/>
      <c r="F321" s="82">
        <f>0.0903</f>
        <v>9.0300000000000005E-2</v>
      </c>
      <c r="G321" s="81"/>
      <c r="H321" s="77">
        <f t="shared" si="60"/>
        <v>0</v>
      </c>
      <c r="I321" s="81"/>
      <c r="J321" s="77"/>
      <c r="K321" s="81"/>
      <c r="L321" s="77"/>
      <c r="M321" s="1252">
        <f t="shared" si="59"/>
        <v>0</v>
      </c>
      <c r="N321" s="1255"/>
      <c r="O321" s="1256"/>
    </row>
    <row r="322" spans="1:15" s="643" customFormat="1" ht="47.25">
      <c r="A322" s="1389" t="s">
        <v>1706</v>
      </c>
      <c r="B322" s="75" t="s">
        <v>244</v>
      </c>
      <c r="C322" s="156" t="s">
        <v>1635</v>
      </c>
      <c r="D322" s="75" t="s">
        <v>4</v>
      </c>
      <c r="E322" s="45"/>
      <c r="F322" s="83">
        <v>6.16</v>
      </c>
      <c r="G322" s="81"/>
      <c r="H322" s="77"/>
      <c r="I322" s="81"/>
      <c r="J322" s="77"/>
      <c r="K322" s="81"/>
      <c r="L322" s="77"/>
      <c r="M322" s="1252"/>
      <c r="N322" s="1255"/>
      <c r="O322" s="1256"/>
    </row>
    <row r="323" spans="1:15" s="643" customFormat="1">
      <c r="A323" s="1389"/>
      <c r="B323" s="75"/>
      <c r="C323" s="157" t="s">
        <v>1789</v>
      </c>
      <c r="D323" s="203" t="s">
        <v>4</v>
      </c>
      <c r="E323" s="45">
        <v>1</v>
      </c>
      <c r="F323" s="45">
        <f>E323*F322</f>
        <v>6.16</v>
      </c>
      <c r="G323" s="81"/>
      <c r="H323" s="77"/>
      <c r="I323" s="637"/>
      <c r="J323" s="77">
        <f>F323*I323</f>
        <v>0</v>
      </c>
      <c r="K323" s="81"/>
      <c r="L323" s="77"/>
      <c r="M323" s="1252">
        <f t="shared" ref="M323" si="61">H323+J323+L323</f>
        <v>0</v>
      </c>
      <c r="N323" s="1255"/>
      <c r="O323" s="1256"/>
    </row>
    <row r="324" spans="1:15" s="643" customFormat="1">
      <c r="A324" s="1389"/>
      <c r="B324" s="75"/>
      <c r="C324" s="160" t="s">
        <v>14</v>
      </c>
      <c r="D324" s="46" t="s">
        <v>11</v>
      </c>
      <c r="E324" s="45">
        <v>0.86</v>
      </c>
      <c r="F324" s="45">
        <f>E324*F322</f>
        <v>5.2976000000000001</v>
      </c>
      <c r="G324" s="81"/>
      <c r="H324" s="77"/>
      <c r="I324" s="81"/>
      <c r="J324" s="77"/>
      <c r="K324" s="81"/>
      <c r="L324" s="77">
        <f>F324*K324</f>
        <v>0</v>
      </c>
      <c r="M324" s="1252">
        <f t="shared" ref="M324:M330" si="62">H324+J324+L324</f>
        <v>0</v>
      </c>
      <c r="N324" s="1255"/>
      <c r="O324" s="1256"/>
    </row>
    <row r="325" spans="1:15" s="643" customFormat="1">
      <c r="A325" s="1389"/>
      <c r="B325" s="203"/>
      <c r="C325" s="157" t="s">
        <v>91</v>
      </c>
      <c r="D325" s="203" t="s">
        <v>319</v>
      </c>
      <c r="E325" s="45">
        <f>101.5*0.01</f>
        <v>1.0150000000000001</v>
      </c>
      <c r="F325" s="45">
        <f>E325*F322</f>
        <v>6.2524000000000006</v>
      </c>
      <c r="G325" s="81"/>
      <c r="H325" s="77">
        <f t="shared" ref="H325:H330" si="63">F325*G325</f>
        <v>0</v>
      </c>
      <c r="I325" s="81"/>
      <c r="J325" s="77"/>
      <c r="K325" s="81"/>
      <c r="L325" s="77"/>
      <c r="M325" s="1252">
        <f t="shared" si="62"/>
        <v>0</v>
      </c>
      <c r="N325" s="1255"/>
      <c r="O325" s="1256"/>
    </row>
    <row r="326" spans="1:15" s="643" customFormat="1">
      <c r="A326" s="1389"/>
      <c r="B326" s="203"/>
      <c r="C326" s="157" t="s">
        <v>465</v>
      </c>
      <c r="D326" s="203" t="s">
        <v>234</v>
      </c>
      <c r="E326" s="45">
        <f>137*0.01</f>
        <v>1.37</v>
      </c>
      <c r="F326" s="45">
        <f>E326*F322</f>
        <v>8.4392000000000014</v>
      </c>
      <c r="G326" s="81"/>
      <c r="H326" s="77">
        <f t="shared" si="63"/>
        <v>0</v>
      </c>
      <c r="I326" s="81"/>
      <c r="J326" s="77"/>
      <c r="K326" s="81"/>
      <c r="L326" s="77"/>
      <c r="M326" s="1252">
        <f t="shared" si="62"/>
        <v>0</v>
      </c>
      <c r="N326" s="1255"/>
      <c r="O326" s="1256"/>
    </row>
    <row r="327" spans="1:15" s="643" customFormat="1">
      <c r="A327" s="1389"/>
      <c r="B327" s="203"/>
      <c r="C327" s="157" t="s">
        <v>222</v>
      </c>
      <c r="D327" s="203" t="s">
        <v>319</v>
      </c>
      <c r="E327" s="278">
        <f>(0.84+2.56+0.4)/100</f>
        <v>3.7999999999999999E-2</v>
      </c>
      <c r="F327" s="45">
        <f>E327*F322</f>
        <v>0.23408000000000001</v>
      </c>
      <c r="G327" s="81"/>
      <c r="H327" s="77">
        <f t="shared" si="63"/>
        <v>0</v>
      </c>
      <c r="I327" s="81"/>
      <c r="J327" s="77"/>
      <c r="K327" s="81"/>
      <c r="L327" s="77"/>
      <c r="M327" s="1252">
        <f t="shared" si="62"/>
        <v>0</v>
      </c>
      <c r="N327" s="1255"/>
      <c r="O327" s="1256"/>
    </row>
    <row r="328" spans="1:15" s="643" customFormat="1">
      <c r="A328" s="1389"/>
      <c r="B328" s="75"/>
      <c r="C328" s="157" t="s">
        <v>26</v>
      </c>
      <c r="D328" s="203" t="s">
        <v>11</v>
      </c>
      <c r="E328" s="45">
        <v>0.51</v>
      </c>
      <c r="F328" s="45">
        <f>E328*F322</f>
        <v>3.1415999999999999</v>
      </c>
      <c r="G328" s="81"/>
      <c r="H328" s="77">
        <f t="shared" si="63"/>
        <v>0</v>
      </c>
      <c r="I328" s="81"/>
      <c r="J328" s="77"/>
      <c r="K328" s="81"/>
      <c r="L328" s="77"/>
      <c r="M328" s="1252">
        <f t="shared" si="62"/>
        <v>0</v>
      </c>
      <c r="N328" s="1255"/>
      <c r="O328" s="1256"/>
    </row>
    <row r="329" spans="1:15" s="643" customFormat="1">
      <c r="A329" s="1389"/>
      <c r="B329" s="203"/>
      <c r="C329" s="159" t="s">
        <v>426</v>
      </c>
      <c r="D329" s="203" t="s">
        <v>218</v>
      </c>
      <c r="E329" s="45"/>
      <c r="F329" s="82">
        <f>1.00829</f>
        <v>1.0082899999999999</v>
      </c>
      <c r="G329" s="81"/>
      <c r="H329" s="77">
        <f t="shared" si="63"/>
        <v>0</v>
      </c>
      <c r="I329" s="81"/>
      <c r="J329" s="77"/>
      <c r="K329" s="81"/>
      <c r="L329" s="77"/>
      <c r="M329" s="1252">
        <f t="shared" si="62"/>
        <v>0</v>
      </c>
      <c r="N329" s="1255"/>
      <c r="O329" s="1256"/>
    </row>
    <row r="330" spans="1:15" s="643" customFormat="1">
      <c r="A330" s="1389"/>
      <c r="B330" s="203"/>
      <c r="C330" s="159" t="s">
        <v>466</v>
      </c>
      <c r="D330" s="203" t="s">
        <v>218</v>
      </c>
      <c r="E330" s="45"/>
      <c r="F330" s="82">
        <f>0.08883</f>
        <v>8.8830000000000006E-2</v>
      </c>
      <c r="G330" s="81"/>
      <c r="H330" s="77">
        <f t="shared" si="63"/>
        <v>0</v>
      </c>
      <c r="I330" s="81"/>
      <c r="J330" s="77"/>
      <c r="K330" s="81"/>
      <c r="L330" s="77"/>
      <c r="M330" s="1252">
        <f t="shared" si="62"/>
        <v>0</v>
      </c>
      <c r="N330" s="1255"/>
      <c r="O330" s="1256"/>
    </row>
    <row r="331" spans="1:15" s="643" customFormat="1" ht="47.25">
      <c r="A331" s="1389" t="s">
        <v>1707</v>
      </c>
      <c r="B331" s="75" t="s">
        <v>244</v>
      </c>
      <c r="C331" s="156" t="s">
        <v>1636</v>
      </c>
      <c r="D331" s="75" t="s">
        <v>4</v>
      </c>
      <c r="E331" s="45"/>
      <c r="F331" s="83">
        <v>3.25</v>
      </c>
      <c r="G331" s="81"/>
      <c r="H331" s="77"/>
      <c r="I331" s="81"/>
      <c r="J331" s="77"/>
      <c r="K331" s="81"/>
      <c r="L331" s="77"/>
      <c r="M331" s="1252"/>
      <c r="N331" s="1255"/>
      <c r="O331" s="1256"/>
    </row>
    <row r="332" spans="1:15" s="643" customFormat="1">
      <c r="A332" s="1389"/>
      <c r="B332" s="75"/>
      <c r="C332" s="157" t="s">
        <v>1789</v>
      </c>
      <c r="D332" s="203" t="s">
        <v>4</v>
      </c>
      <c r="E332" s="45">
        <v>1</v>
      </c>
      <c r="F332" s="45">
        <f>E332*F331</f>
        <v>3.25</v>
      </c>
      <c r="G332" s="81"/>
      <c r="H332" s="77"/>
      <c r="I332" s="637"/>
      <c r="J332" s="77">
        <f>F332*I332</f>
        <v>0</v>
      </c>
      <c r="K332" s="81"/>
      <c r="L332" s="77"/>
      <c r="M332" s="1252">
        <f t="shared" ref="M332" si="64">H332+J332+L332</f>
        <v>0</v>
      </c>
      <c r="N332" s="1255"/>
      <c r="O332" s="1256"/>
    </row>
    <row r="333" spans="1:15" s="643" customFormat="1">
      <c r="A333" s="1389"/>
      <c r="B333" s="75"/>
      <c r="C333" s="160" t="s">
        <v>14</v>
      </c>
      <c r="D333" s="46" t="s">
        <v>11</v>
      </c>
      <c r="E333" s="45">
        <v>0.86</v>
      </c>
      <c r="F333" s="45">
        <f>E333*F331</f>
        <v>2.7949999999999999</v>
      </c>
      <c r="G333" s="81"/>
      <c r="H333" s="77"/>
      <c r="I333" s="81"/>
      <c r="J333" s="77"/>
      <c r="K333" s="81"/>
      <c r="L333" s="77">
        <f>F333*K333</f>
        <v>0</v>
      </c>
      <c r="M333" s="1252">
        <f t="shared" ref="M333:M339" si="65">H333+J333+L333</f>
        <v>0</v>
      </c>
      <c r="N333" s="1255"/>
      <c r="O333" s="1256"/>
    </row>
    <row r="334" spans="1:15" s="643" customFormat="1">
      <c r="A334" s="1389"/>
      <c r="B334" s="203"/>
      <c r="C334" s="157" t="s">
        <v>91</v>
      </c>
      <c r="D334" s="203" t="s">
        <v>319</v>
      </c>
      <c r="E334" s="45">
        <f>101.5*0.01</f>
        <v>1.0150000000000001</v>
      </c>
      <c r="F334" s="45">
        <f>E334*F331</f>
        <v>3.2987500000000005</v>
      </c>
      <c r="G334" s="81"/>
      <c r="H334" s="77">
        <f t="shared" ref="H334:H339" si="66">F334*G334</f>
        <v>0</v>
      </c>
      <c r="I334" s="81"/>
      <c r="J334" s="77"/>
      <c r="K334" s="81"/>
      <c r="L334" s="77"/>
      <c r="M334" s="1252">
        <f t="shared" si="65"/>
        <v>0</v>
      </c>
      <c r="N334" s="1255"/>
      <c r="O334" s="1256"/>
    </row>
    <row r="335" spans="1:15" s="643" customFormat="1">
      <c r="A335" s="1389"/>
      <c r="B335" s="203"/>
      <c r="C335" s="157" t="s">
        <v>465</v>
      </c>
      <c r="D335" s="203" t="s">
        <v>234</v>
      </c>
      <c r="E335" s="45">
        <f>137*0.01</f>
        <v>1.37</v>
      </c>
      <c r="F335" s="45">
        <f>E335*F331</f>
        <v>4.4525000000000006</v>
      </c>
      <c r="G335" s="81"/>
      <c r="H335" s="77">
        <f t="shared" si="66"/>
        <v>0</v>
      </c>
      <c r="I335" s="81"/>
      <c r="J335" s="77"/>
      <c r="K335" s="81"/>
      <c r="L335" s="77"/>
      <c r="M335" s="1252">
        <f t="shared" si="65"/>
        <v>0</v>
      </c>
      <c r="N335" s="1255"/>
      <c r="O335" s="1256"/>
    </row>
    <row r="336" spans="1:15" s="643" customFormat="1">
      <c r="A336" s="1389"/>
      <c r="B336" s="203"/>
      <c r="C336" s="157" t="s">
        <v>222</v>
      </c>
      <c r="D336" s="203" t="s">
        <v>319</v>
      </c>
      <c r="E336" s="278">
        <f>(0.84+2.56+0.4)/100</f>
        <v>3.7999999999999999E-2</v>
      </c>
      <c r="F336" s="45">
        <f>E336*F331</f>
        <v>0.1235</v>
      </c>
      <c r="G336" s="81"/>
      <c r="H336" s="77">
        <f t="shared" si="66"/>
        <v>0</v>
      </c>
      <c r="I336" s="81"/>
      <c r="J336" s="77"/>
      <c r="K336" s="81"/>
      <c r="L336" s="77"/>
      <c r="M336" s="1252">
        <f t="shared" si="65"/>
        <v>0</v>
      </c>
      <c r="N336" s="1255"/>
      <c r="O336" s="1256"/>
    </row>
    <row r="337" spans="1:15" s="643" customFormat="1">
      <c r="A337" s="1389"/>
      <c r="B337" s="75"/>
      <c r="C337" s="157" t="s">
        <v>26</v>
      </c>
      <c r="D337" s="203" t="s">
        <v>11</v>
      </c>
      <c r="E337" s="45">
        <v>0.51</v>
      </c>
      <c r="F337" s="45">
        <f>E337*F331</f>
        <v>1.6575</v>
      </c>
      <c r="G337" s="81"/>
      <c r="H337" s="77">
        <f t="shared" si="66"/>
        <v>0</v>
      </c>
      <c r="I337" s="81"/>
      <c r="J337" s="77"/>
      <c r="K337" s="81"/>
      <c r="L337" s="77"/>
      <c r="M337" s="1252">
        <f t="shared" si="65"/>
        <v>0</v>
      </c>
      <c r="N337" s="1255"/>
      <c r="O337" s="1256"/>
    </row>
    <row r="338" spans="1:15" s="643" customFormat="1">
      <c r="A338" s="1389"/>
      <c r="B338" s="203"/>
      <c r="C338" s="159" t="s">
        <v>426</v>
      </c>
      <c r="D338" s="203" t="s">
        <v>218</v>
      </c>
      <c r="E338" s="45"/>
      <c r="F338" s="82">
        <f>0.54276</f>
        <v>0.54276000000000002</v>
      </c>
      <c r="G338" s="81"/>
      <c r="H338" s="77">
        <f t="shared" si="66"/>
        <v>0</v>
      </c>
      <c r="I338" s="81"/>
      <c r="J338" s="77"/>
      <c r="K338" s="81"/>
      <c r="L338" s="77"/>
      <c r="M338" s="1252">
        <f t="shared" si="65"/>
        <v>0</v>
      </c>
      <c r="N338" s="1255"/>
      <c r="O338" s="1256"/>
    </row>
    <row r="339" spans="1:15" s="643" customFormat="1">
      <c r="A339" s="1389"/>
      <c r="B339" s="203"/>
      <c r="C339" s="159" t="s">
        <v>466</v>
      </c>
      <c r="D339" s="203" t="s">
        <v>218</v>
      </c>
      <c r="E339" s="45"/>
      <c r="F339" s="82">
        <f>0.04637</f>
        <v>4.6370000000000001E-2</v>
      </c>
      <c r="G339" s="81"/>
      <c r="H339" s="77">
        <f t="shared" si="66"/>
        <v>0</v>
      </c>
      <c r="I339" s="81"/>
      <c r="J339" s="77"/>
      <c r="K339" s="81"/>
      <c r="L339" s="77"/>
      <c r="M339" s="1252">
        <f t="shared" si="65"/>
        <v>0</v>
      </c>
      <c r="N339" s="1255"/>
      <c r="O339" s="1256"/>
    </row>
    <row r="340" spans="1:15" s="643" customFormat="1" ht="31.5">
      <c r="A340" s="1183" t="s">
        <v>118</v>
      </c>
      <c r="B340" s="75"/>
      <c r="C340" s="156" t="s">
        <v>1637</v>
      </c>
      <c r="D340" s="203"/>
      <c r="E340" s="45"/>
      <c r="F340" s="83"/>
      <c r="G340" s="81"/>
      <c r="H340" s="77"/>
      <c r="I340" s="81"/>
      <c r="J340" s="77"/>
      <c r="K340" s="81"/>
      <c r="L340" s="77"/>
      <c r="M340" s="1252"/>
      <c r="N340" s="1255"/>
      <c r="O340" s="1256"/>
    </row>
    <row r="341" spans="1:15" s="643" customFormat="1" ht="31.5">
      <c r="A341" s="1410" t="s">
        <v>478</v>
      </c>
      <c r="B341" s="44" t="s">
        <v>252</v>
      </c>
      <c r="C341" s="152" t="s">
        <v>1639</v>
      </c>
      <c r="D341" s="1190" t="s">
        <v>318</v>
      </c>
      <c r="E341" s="20"/>
      <c r="F341" s="20">
        <v>26.16</v>
      </c>
      <c r="G341" s="79"/>
      <c r="H341" s="77"/>
      <c r="I341" s="79"/>
      <c r="J341" s="77"/>
      <c r="K341" s="79"/>
      <c r="L341" s="77"/>
      <c r="M341" s="1252"/>
      <c r="N341" s="1255"/>
      <c r="O341" s="1256"/>
    </row>
    <row r="342" spans="1:15" s="643" customFormat="1">
      <c r="A342" s="1411"/>
      <c r="B342" s="44"/>
      <c r="C342" s="142" t="s">
        <v>67</v>
      </c>
      <c r="D342" s="1189" t="s">
        <v>109</v>
      </c>
      <c r="E342" s="1235">
        <v>3.52</v>
      </c>
      <c r="F342" s="1235">
        <f>E342*F341</f>
        <v>92.083200000000005</v>
      </c>
      <c r="G342" s="87"/>
      <c r="H342" s="448"/>
      <c r="I342" s="87"/>
      <c r="J342" s="448">
        <f>F342*I342</f>
        <v>0</v>
      </c>
      <c r="K342" s="87"/>
      <c r="L342" s="448"/>
      <c r="M342" s="1251">
        <f>H342+J342+L342</f>
        <v>0</v>
      </c>
      <c r="N342" s="1255"/>
      <c r="O342" s="1256"/>
    </row>
    <row r="343" spans="1:15" s="643" customFormat="1">
      <c r="A343" s="1411"/>
      <c r="B343" s="44"/>
      <c r="C343" s="128" t="s">
        <v>14</v>
      </c>
      <c r="D343" s="635" t="s">
        <v>11</v>
      </c>
      <c r="E343" s="1235">
        <v>1.06</v>
      </c>
      <c r="F343" s="1235">
        <f>E343*F341</f>
        <v>27.729600000000001</v>
      </c>
      <c r="G343" s="87"/>
      <c r="H343" s="448"/>
      <c r="I343" s="87"/>
      <c r="J343" s="448"/>
      <c r="K343" s="87"/>
      <c r="L343" s="448">
        <f>F343*K343</f>
        <v>0</v>
      </c>
      <c r="M343" s="1251">
        <f>H343+J343+L343</f>
        <v>0</v>
      </c>
      <c r="N343" s="1255"/>
      <c r="O343" s="1256"/>
    </row>
    <row r="344" spans="1:15" s="643" customFormat="1">
      <c r="A344" s="1411"/>
      <c r="B344" s="44"/>
      <c r="C344" s="142" t="s">
        <v>220</v>
      </c>
      <c r="D344" s="1189" t="s">
        <v>319</v>
      </c>
      <c r="E344" s="1235">
        <f>0.18+0.09+0.97</f>
        <v>1.24</v>
      </c>
      <c r="F344" s="1235">
        <f>E344*F341</f>
        <v>32.438400000000001</v>
      </c>
      <c r="G344" s="87"/>
      <c r="H344" s="448">
        <f>F344*G344</f>
        <v>0</v>
      </c>
      <c r="I344" s="87"/>
      <c r="J344" s="448"/>
      <c r="K344" s="87"/>
      <c r="L344" s="448"/>
      <c r="M344" s="1251">
        <f>H344+J344+L344</f>
        <v>0</v>
      </c>
      <c r="N344" s="1255"/>
      <c r="O344" s="1256"/>
    </row>
    <row r="345" spans="1:15" s="643" customFormat="1">
      <c r="A345" s="1412"/>
      <c r="B345" s="44"/>
      <c r="C345" s="128" t="s">
        <v>26</v>
      </c>
      <c r="D345" s="144" t="s">
        <v>11</v>
      </c>
      <c r="E345" s="1235">
        <v>0.02</v>
      </c>
      <c r="F345" s="1235">
        <f>E345*F341</f>
        <v>0.5232</v>
      </c>
      <c r="G345" s="87"/>
      <c r="H345" s="448">
        <f>F345*G345</f>
        <v>0</v>
      </c>
      <c r="I345" s="87"/>
      <c r="J345" s="448"/>
      <c r="K345" s="87"/>
      <c r="L345" s="448"/>
      <c r="M345" s="1251">
        <f>H345+J345+L345</f>
        <v>0</v>
      </c>
      <c r="N345" s="1255"/>
      <c r="O345" s="1256"/>
    </row>
    <row r="346" spans="1:15" s="643" customFormat="1" ht="31.5">
      <c r="A346" s="1421" t="s">
        <v>271</v>
      </c>
      <c r="B346" s="75" t="s">
        <v>407</v>
      </c>
      <c r="C346" s="156" t="s">
        <v>1656</v>
      </c>
      <c r="D346" s="75" t="s">
        <v>318</v>
      </c>
      <c r="E346" s="83"/>
      <c r="F346" s="83">
        <v>22.89</v>
      </c>
      <c r="G346" s="79"/>
      <c r="H346" s="77"/>
      <c r="I346" s="79"/>
      <c r="J346" s="77"/>
      <c r="K346" s="79"/>
      <c r="L346" s="77"/>
      <c r="M346" s="1252"/>
      <c r="N346" s="1255"/>
      <c r="O346" s="1256"/>
    </row>
    <row r="347" spans="1:15" s="643" customFormat="1">
      <c r="A347" s="1421"/>
      <c r="B347" s="636"/>
      <c r="C347" s="641" t="s">
        <v>1782</v>
      </c>
      <c r="D347" s="694" t="s">
        <v>4</v>
      </c>
      <c r="E347" s="639">
        <v>1</v>
      </c>
      <c r="F347" s="639">
        <f>E347*F346</f>
        <v>22.89</v>
      </c>
      <c r="G347" s="637"/>
      <c r="H347" s="448"/>
      <c r="I347" s="637"/>
      <c r="J347" s="448">
        <f>F347*I347</f>
        <v>0</v>
      </c>
      <c r="K347" s="637"/>
      <c r="L347" s="448"/>
      <c r="M347" s="1251">
        <f>H347+J347+L347</f>
        <v>0</v>
      </c>
      <c r="N347" s="1255"/>
      <c r="O347" s="1256"/>
    </row>
    <row r="348" spans="1:15" s="643" customFormat="1">
      <c r="A348" s="1421"/>
      <c r="B348" s="636"/>
      <c r="C348" s="128" t="s">
        <v>14</v>
      </c>
      <c r="D348" s="635" t="s">
        <v>11</v>
      </c>
      <c r="E348" s="639">
        <v>0.28299999999999997</v>
      </c>
      <c r="F348" s="639">
        <f>E348*F346</f>
        <v>6.4778699999999994</v>
      </c>
      <c r="G348" s="637"/>
      <c r="H348" s="448"/>
      <c r="I348" s="637"/>
      <c r="J348" s="448"/>
      <c r="K348" s="637"/>
      <c r="L348" s="448">
        <f>F348*K348</f>
        <v>0</v>
      </c>
      <c r="M348" s="1251">
        <f>H348+J348+L348</f>
        <v>0</v>
      </c>
      <c r="N348" s="1255"/>
      <c r="O348" s="1256"/>
    </row>
    <row r="349" spans="1:15" s="643" customFormat="1">
      <c r="A349" s="1421"/>
      <c r="B349" s="636"/>
      <c r="C349" s="641" t="s">
        <v>1739</v>
      </c>
      <c r="D349" s="694" t="s">
        <v>319</v>
      </c>
      <c r="E349" s="639">
        <v>1.02</v>
      </c>
      <c r="F349" s="639">
        <f>E349*F346</f>
        <v>23.347799999999999</v>
      </c>
      <c r="G349" s="637"/>
      <c r="H349" s="448">
        <f>F349*G349</f>
        <v>0</v>
      </c>
      <c r="I349" s="637"/>
      <c r="J349" s="448"/>
      <c r="K349" s="637"/>
      <c r="L349" s="448"/>
      <c r="M349" s="1251">
        <f>H349+J349+L349</f>
        <v>0</v>
      </c>
      <c r="N349" s="1255"/>
      <c r="O349" s="1256"/>
    </row>
    <row r="350" spans="1:15" s="643" customFormat="1">
      <c r="A350" s="1421"/>
      <c r="B350" s="636"/>
      <c r="C350" s="128" t="s">
        <v>26</v>
      </c>
      <c r="D350" s="144" t="s">
        <v>11</v>
      </c>
      <c r="E350" s="639">
        <v>0.62</v>
      </c>
      <c r="F350" s="639">
        <f>E350*F346</f>
        <v>14.191800000000001</v>
      </c>
      <c r="G350" s="637"/>
      <c r="H350" s="448">
        <f>F350*G350</f>
        <v>0</v>
      </c>
      <c r="I350" s="637"/>
      <c r="J350" s="448"/>
      <c r="K350" s="637"/>
      <c r="L350" s="448"/>
      <c r="M350" s="1251">
        <f>H350+J350+L350</f>
        <v>0</v>
      </c>
      <c r="N350" s="1255"/>
      <c r="O350" s="1256"/>
    </row>
    <row r="351" spans="1:15" s="643" customFormat="1" ht="31.5">
      <c r="A351" s="1387" t="s">
        <v>479</v>
      </c>
      <c r="B351" s="75" t="s">
        <v>231</v>
      </c>
      <c r="C351" s="156" t="s">
        <v>1641</v>
      </c>
      <c r="D351" s="75" t="s">
        <v>318</v>
      </c>
      <c r="E351" s="83"/>
      <c r="F351" s="83">
        <v>22.89</v>
      </c>
      <c r="G351" s="79"/>
      <c r="H351" s="77"/>
      <c r="I351" s="79"/>
      <c r="J351" s="77"/>
      <c r="K351" s="79"/>
      <c r="L351" s="77"/>
      <c r="M351" s="1252"/>
      <c r="N351" s="1255"/>
      <c r="O351" s="1256"/>
    </row>
    <row r="352" spans="1:15" s="643" customFormat="1">
      <c r="A352" s="1388"/>
      <c r="B352" s="75"/>
      <c r="C352" s="157" t="s">
        <v>1791</v>
      </c>
      <c r="D352" s="203" t="s">
        <v>4</v>
      </c>
      <c r="E352" s="45">
        <v>1</v>
      </c>
      <c r="F352" s="45">
        <f>E352*F351</f>
        <v>22.89</v>
      </c>
      <c r="G352" s="81"/>
      <c r="H352" s="77"/>
      <c r="I352" s="637"/>
      <c r="J352" s="77">
        <f>F352*I352</f>
        <v>0</v>
      </c>
      <c r="K352" s="81"/>
      <c r="L352" s="77"/>
      <c r="M352" s="1252">
        <f t="shared" ref="M352:M359" si="67">H352+J352+L352</f>
        <v>0</v>
      </c>
      <c r="N352" s="1255"/>
      <c r="O352" s="1256"/>
    </row>
    <row r="353" spans="1:15" s="643" customFormat="1">
      <c r="A353" s="1388"/>
      <c r="B353" s="75"/>
      <c r="C353" s="160" t="s">
        <v>14</v>
      </c>
      <c r="D353" s="46" t="s">
        <v>11</v>
      </c>
      <c r="E353" s="45">
        <f>81*0.01</f>
        <v>0.81</v>
      </c>
      <c r="F353" s="45">
        <f>E353*F351</f>
        <v>18.540900000000001</v>
      </c>
      <c r="G353" s="81"/>
      <c r="H353" s="77"/>
      <c r="I353" s="81"/>
      <c r="J353" s="77"/>
      <c r="K353" s="81"/>
      <c r="L353" s="77">
        <f>F353*K353</f>
        <v>0</v>
      </c>
      <c r="M353" s="1252">
        <f t="shared" si="67"/>
        <v>0</v>
      </c>
      <c r="N353" s="1255"/>
      <c r="O353" s="1256"/>
    </row>
    <row r="354" spans="1:15" s="643" customFormat="1">
      <c r="A354" s="1388"/>
      <c r="B354" s="203"/>
      <c r="C354" s="157" t="s">
        <v>91</v>
      </c>
      <c r="D354" s="203" t="s">
        <v>319</v>
      </c>
      <c r="E354" s="45">
        <f>101.5*0.01</f>
        <v>1.0150000000000001</v>
      </c>
      <c r="F354" s="45">
        <f>E354*F351</f>
        <v>23.233350000000005</v>
      </c>
      <c r="G354" s="81"/>
      <c r="H354" s="77">
        <f t="shared" ref="H354:H359" si="68">F354*G354</f>
        <v>0</v>
      </c>
      <c r="I354" s="81"/>
      <c r="J354" s="77"/>
      <c r="K354" s="81"/>
      <c r="L354" s="77"/>
      <c r="M354" s="1252">
        <f t="shared" si="67"/>
        <v>0</v>
      </c>
      <c r="N354" s="1255"/>
      <c r="O354" s="1256"/>
    </row>
    <row r="355" spans="1:15" s="643" customFormat="1">
      <c r="A355" s="1388"/>
      <c r="B355" s="203"/>
      <c r="C355" s="157" t="s">
        <v>465</v>
      </c>
      <c r="D355" s="203" t="s">
        <v>234</v>
      </c>
      <c r="E355" s="45">
        <f>137*0.01</f>
        <v>1.37</v>
      </c>
      <c r="F355" s="45">
        <f>E355*F351</f>
        <v>31.359300000000005</v>
      </c>
      <c r="G355" s="81"/>
      <c r="H355" s="77">
        <f t="shared" si="68"/>
        <v>0</v>
      </c>
      <c r="I355" s="81"/>
      <c r="J355" s="77"/>
      <c r="K355" s="81"/>
      <c r="L355" s="77"/>
      <c r="M355" s="1252">
        <f t="shared" si="67"/>
        <v>0</v>
      </c>
      <c r="N355" s="1255"/>
      <c r="O355" s="1256"/>
    </row>
    <row r="356" spans="1:15" s="643" customFormat="1">
      <c r="A356" s="1388"/>
      <c r="B356" s="203"/>
      <c r="C356" s="157" t="s">
        <v>222</v>
      </c>
      <c r="D356" s="203" t="s">
        <v>319</v>
      </c>
      <c r="E356" s="45">
        <f>(0.84+2.56+0.26)/100</f>
        <v>3.6600000000000001E-2</v>
      </c>
      <c r="F356" s="45">
        <f>E356*F351</f>
        <v>0.83777400000000002</v>
      </c>
      <c r="G356" s="81"/>
      <c r="H356" s="77">
        <f t="shared" si="68"/>
        <v>0</v>
      </c>
      <c r="I356" s="81"/>
      <c r="J356" s="77"/>
      <c r="K356" s="81"/>
      <c r="L356" s="77"/>
      <c r="M356" s="1252">
        <f t="shared" si="67"/>
        <v>0</v>
      </c>
      <c r="N356" s="1255"/>
      <c r="O356" s="1256"/>
    </row>
    <row r="357" spans="1:15" s="643" customFormat="1">
      <c r="A357" s="1388"/>
      <c r="B357" s="75"/>
      <c r="C357" s="157" t="s">
        <v>26</v>
      </c>
      <c r="D357" s="203" t="s">
        <v>11</v>
      </c>
      <c r="E357" s="45">
        <v>0.39</v>
      </c>
      <c r="F357" s="45">
        <f>E357*F351</f>
        <v>8.9271000000000011</v>
      </c>
      <c r="G357" s="81"/>
      <c r="H357" s="77">
        <f t="shared" si="68"/>
        <v>0</v>
      </c>
      <c r="I357" s="81"/>
      <c r="J357" s="77"/>
      <c r="K357" s="81"/>
      <c r="L357" s="77"/>
      <c r="M357" s="1252">
        <f t="shared" si="67"/>
        <v>0</v>
      </c>
      <c r="N357" s="1255"/>
      <c r="O357" s="1256"/>
    </row>
    <row r="358" spans="1:15" s="643" customFormat="1">
      <c r="A358" s="1388"/>
      <c r="B358" s="203"/>
      <c r="C358" s="159" t="s">
        <v>426</v>
      </c>
      <c r="D358" s="203" t="s">
        <v>218</v>
      </c>
      <c r="E358" s="45"/>
      <c r="F358" s="82">
        <f>1.31327</f>
        <v>1.3132699999999999</v>
      </c>
      <c r="G358" s="81"/>
      <c r="H358" s="77">
        <f t="shared" si="68"/>
        <v>0</v>
      </c>
      <c r="I358" s="81"/>
      <c r="J358" s="77"/>
      <c r="K358" s="81"/>
      <c r="L358" s="77"/>
      <c r="M358" s="1252">
        <f t="shared" si="67"/>
        <v>0</v>
      </c>
      <c r="N358" s="1255"/>
      <c r="O358" s="1256"/>
    </row>
    <row r="359" spans="1:15" s="643" customFormat="1" hidden="1">
      <c r="A359" s="1399"/>
      <c r="B359" s="203"/>
      <c r="C359" s="159" t="s">
        <v>466</v>
      </c>
      <c r="D359" s="203" t="s">
        <v>218</v>
      </c>
      <c r="E359" s="45"/>
      <c r="F359" s="82">
        <f>0</f>
        <v>0</v>
      </c>
      <c r="G359" s="81">
        <v>2560</v>
      </c>
      <c r="H359" s="77">
        <f t="shared" si="68"/>
        <v>0</v>
      </c>
      <c r="I359" s="81"/>
      <c r="J359" s="77"/>
      <c r="K359" s="81"/>
      <c r="L359" s="77"/>
      <c r="M359" s="1252">
        <f t="shared" si="67"/>
        <v>0</v>
      </c>
      <c r="N359" s="1255"/>
      <c r="O359" s="1256"/>
    </row>
    <row r="360" spans="1:15" s="643" customFormat="1" ht="31.5">
      <c r="A360" s="1183" t="s">
        <v>272</v>
      </c>
      <c r="B360" s="75"/>
      <c r="C360" s="156" t="s">
        <v>1647</v>
      </c>
      <c r="D360" s="203"/>
      <c r="E360" s="45"/>
      <c r="F360" s="83"/>
      <c r="G360" s="81"/>
      <c r="H360" s="77"/>
      <c r="I360" s="81"/>
      <c r="J360" s="77"/>
      <c r="K360" s="81"/>
      <c r="L360" s="77"/>
      <c r="M360" s="1252"/>
      <c r="N360" s="1255"/>
      <c r="O360" s="1256"/>
    </row>
    <row r="361" spans="1:15" s="643" customFormat="1" ht="31.5">
      <c r="A361" s="1410" t="s">
        <v>1705</v>
      </c>
      <c r="B361" s="44" t="s">
        <v>252</v>
      </c>
      <c r="C361" s="152" t="s">
        <v>1639</v>
      </c>
      <c r="D361" s="1190" t="s">
        <v>318</v>
      </c>
      <c r="E361" s="20"/>
      <c r="F361" s="20">
        <v>25.19</v>
      </c>
      <c r="G361" s="79"/>
      <c r="H361" s="77"/>
      <c r="I361" s="79"/>
      <c r="J361" s="77"/>
      <c r="K361" s="79"/>
      <c r="L361" s="77"/>
      <c r="M361" s="1252"/>
      <c r="N361" s="1255"/>
      <c r="O361" s="1256"/>
    </row>
    <row r="362" spans="1:15" s="643" customFormat="1">
      <c r="A362" s="1411"/>
      <c r="B362" s="44"/>
      <c r="C362" s="142" t="s">
        <v>67</v>
      </c>
      <c r="D362" s="1189" t="s">
        <v>109</v>
      </c>
      <c r="E362" s="1235">
        <v>3.52</v>
      </c>
      <c r="F362" s="1235">
        <f>E362*F361</f>
        <v>88.668800000000005</v>
      </c>
      <c r="G362" s="87"/>
      <c r="H362" s="448"/>
      <c r="I362" s="87"/>
      <c r="J362" s="448">
        <f>F362*I362</f>
        <v>0</v>
      </c>
      <c r="K362" s="87"/>
      <c r="L362" s="448"/>
      <c r="M362" s="1251">
        <f>H362+J362+L362</f>
        <v>0</v>
      </c>
      <c r="N362" s="1255"/>
      <c r="O362" s="1256"/>
    </row>
    <row r="363" spans="1:15" s="643" customFormat="1">
      <c r="A363" s="1411"/>
      <c r="B363" s="44"/>
      <c r="C363" s="128" t="s">
        <v>14</v>
      </c>
      <c r="D363" s="635" t="s">
        <v>11</v>
      </c>
      <c r="E363" s="1235">
        <v>1.06</v>
      </c>
      <c r="F363" s="1235">
        <f>E363*F361</f>
        <v>26.701400000000003</v>
      </c>
      <c r="G363" s="87"/>
      <c r="H363" s="448"/>
      <c r="I363" s="87"/>
      <c r="J363" s="448"/>
      <c r="K363" s="87"/>
      <c r="L363" s="448">
        <f>F363*K363</f>
        <v>0</v>
      </c>
      <c r="M363" s="1251">
        <f>H363+J363+L363</f>
        <v>0</v>
      </c>
      <c r="N363" s="1255"/>
      <c r="O363" s="1256"/>
    </row>
    <row r="364" spans="1:15" s="643" customFormat="1">
      <c r="A364" s="1411"/>
      <c r="B364" s="44"/>
      <c r="C364" s="142" t="s">
        <v>220</v>
      </c>
      <c r="D364" s="1189" t="s">
        <v>319</v>
      </c>
      <c r="E364" s="1235">
        <f>0.18+0.09+0.97</f>
        <v>1.24</v>
      </c>
      <c r="F364" s="1235">
        <f>E364*F361</f>
        <v>31.235600000000002</v>
      </c>
      <c r="G364" s="87"/>
      <c r="H364" s="448">
        <f>F364*G364</f>
        <v>0</v>
      </c>
      <c r="I364" s="87"/>
      <c r="J364" s="448"/>
      <c r="K364" s="87"/>
      <c r="L364" s="448"/>
      <c r="M364" s="1251">
        <f>H364+J364+L364</f>
        <v>0</v>
      </c>
      <c r="N364" s="1255"/>
      <c r="O364" s="1256"/>
    </row>
    <row r="365" spans="1:15" s="643" customFormat="1">
      <c r="A365" s="1412"/>
      <c r="B365" s="44"/>
      <c r="C365" s="128" t="s">
        <v>26</v>
      </c>
      <c r="D365" s="144" t="s">
        <v>11</v>
      </c>
      <c r="E365" s="1235">
        <v>0.02</v>
      </c>
      <c r="F365" s="1235">
        <f>E365*F361</f>
        <v>0.50380000000000003</v>
      </c>
      <c r="G365" s="87"/>
      <c r="H365" s="448">
        <f>F365*G365</f>
        <v>0</v>
      </c>
      <c r="I365" s="87"/>
      <c r="J365" s="448"/>
      <c r="K365" s="87"/>
      <c r="L365" s="448"/>
      <c r="M365" s="1251">
        <f>H365+J365+L365</f>
        <v>0</v>
      </c>
      <c r="N365" s="1255"/>
      <c r="O365" s="1256"/>
    </row>
    <row r="366" spans="1:15" s="643" customFormat="1" ht="31.5">
      <c r="A366" s="1421" t="s">
        <v>1704</v>
      </c>
      <c r="B366" s="75" t="s">
        <v>407</v>
      </c>
      <c r="C366" s="156" t="s">
        <v>1656</v>
      </c>
      <c r="D366" s="75" t="s">
        <v>318</v>
      </c>
      <c r="E366" s="83"/>
      <c r="F366" s="83">
        <v>22.04</v>
      </c>
      <c r="G366" s="79"/>
      <c r="H366" s="77"/>
      <c r="I366" s="79"/>
      <c r="J366" s="77"/>
      <c r="K366" s="79"/>
      <c r="L366" s="77"/>
      <c r="M366" s="1252"/>
      <c r="N366" s="1255"/>
      <c r="O366" s="1256"/>
    </row>
    <row r="367" spans="1:15" s="643" customFormat="1">
      <c r="A367" s="1421"/>
      <c r="B367" s="636"/>
      <c r="C367" s="641" t="s">
        <v>1782</v>
      </c>
      <c r="D367" s="694" t="s">
        <v>4</v>
      </c>
      <c r="E367" s="639">
        <v>1</v>
      </c>
      <c r="F367" s="639">
        <f>E367*F366</f>
        <v>22.04</v>
      </c>
      <c r="G367" s="637"/>
      <c r="H367" s="448"/>
      <c r="I367" s="637"/>
      <c r="J367" s="448">
        <f>F367*I367</f>
        <v>0</v>
      </c>
      <c r="K367" s="637"/>
      <c r="L367" s="448"/>
      <c r="M367" s="1251">
        <f>H367+J367+L367</f>
        <v>0</v>
      </c>
      <c r="N367" s="1255"/>
      <c r="O367" s="1256"/>
    </row>
    <row r="368" spans="1:15" s="643" customFormat="1">
      <c r="A368" s="1421"/>
      <c r="B368" s="636"/>
      <c r="C368" s="128" t="s">
        <v>14</v>
      </c>
      <c r="D368" s="635" t="s">
        <v>11</v>
      </c>
      <c r="E368" s="639">
        <v>0.28299999999999997</v>
      </c>
      <c r="F368" s="639">
        <f>E368*F366</f>
        <v>6.2373199999999995</v>
      </c>
      <c r="G368" s="637"/>
      <c r="H368" s="448"/>
      <c r="I368" s="637"/>
      <c r="J368" s="448"/>
      <c r="K368" s="637"/>
      <c r="L368" s="448">
        <f>F368*K368</f>
        <v>0</v>
      </c>
      <c r="M368" s="1251">
        <f>H368+J368+L368</f>
        <v>0</v>
      </c>
      <c r="N368" s="1255"/>
      <c r="O368" s="1256"/>
    </row>
    <row r="369" spans="1:15" s="643" customFormat="1">
      <c r="A369" s="1421"/>
      <c r="B369" s="636"/>
      <c r="C369" s="641" t="s">
        <v>1739</v>
      </c>
      <c r="D369" s="694" t="s">
        <v>319</v>
      </c>
      <c r="E369" s="639">
        <v>1.02</v>
      </c>
      <c r="F369" s="639">
        <f>E369*F366</f>
        <v>22.480799999999999</v>
      </c>
      <c r="G369" s="637"/>
      <c r="H369" s="448">
        <f>F369*G369</f>
        <v>0</v>
      </c>
      <c r="I369" s="637"/>
      <c r="J369" s="448"/>
      <c r="K369" s="637"/>
      <c r="L369" s="448"/>
      <c r="M369" s="1251">
        <f>H369+J369+L369</f>
        <v>0</v>
      </c>
      <c r="N369" s="1255"/>
      <c r="O369" s="1256"/>
    </row>
    <row r="370" spans="1:15" s="643" customFormat="1">
      <c r="A370" s="1421"/>
      <c r="B370" s="636"/>
      <c r="C370" s="128" t="s">
        <v>26</v>
      </c>
      <c r="D370" s="144" t="s">
        <v>11</v>
      </c>
      <c r="E370" s="639">
        <v>0.62</v>
      </c>
      <c r="F370" s="639">
        <f>E370*F366</f>
        <v>13.6648</v>
      </c>
      <c r="G370" s="637"/>
      <c r="H370" s="448">
        <f>F370*G370</f>
        <v>0</v>
      </c>
      <c r="I370" s="637"/>
      <c r="J370" s="448"/>
      <c r="K370" s="637"/>
      <c r="L370" s="448"/>
      <c r="M370" s="1251">
        <f>H370+J370+L370</f>
        <v>0</v>
      </c>
      <c r="N370" s="1255"/>
      <c r="O370" s="1256"/>
    </row>
    <row r="371" spans="1:15" s="643" customFormat="1" ht="31.5">
      <c r="A371" s="1387" t="s">
        <v>1708</v>
      </c>
      <c r="B371" s="75" t="s">
        <v>231</v>
      </c>
      <c r="C371" s="156" t="s">
        <v>1648</v>
      </c>
      <c r="D371" s="75" t="s">
        <v>318</v>
      </c>
      <c r="E371" s="83"/>
      <c r="F371" s="83">
        <v>35.26</v>
      </c>
      <c r="G371" s="79"/>
      <c r="H371" s="77"/>
      <c r="I371" s="79"/>
      <c r="J371" s="77"/>
      <c r="K371" s="79"/>
      <c r="L371" s="77"/>
      <c r="M371" s="1252"/>
      <c r="N371" s="1255"/>
      <c r="O371" s="1256"/>
    </row>
    <row r="372" spans="1:15" s="643" customFormat="1">
      <c r="A372" s="1388"/>
      <c r="B372" s="75"/>
      <c r="C372" s="157" t="s">
        <v>1791</v>
      </c>
      <c r="D372" s="203" t="s">
        <v>4</v>
      </c>
      <c r="E372" s="45">
        <v>1</v>
      </c>
      <c r="F372" s="45">
        <f>E372*F371</f>
        <v>35.26</v>
      </c>
      <c r="G372" s="81"/>
      <c r="H372" s="77"/>
      <c r="I372" s="637"/>
      <c r="J372" s="77">
        <f>F372*I372</f>
        <v>0</v>
      </c>
      <c r="K372" s="81"/>
      <c r="L372" s="77"/>
      <c r="M372" s="1252">
        <f t="shared" ref="M372" si="69">H372+J372+L372</f>
        <v>0</v>
      </c>
      <c r="N372" s="1255"/>
      <c r="O372" s="1256"/>
    </row>
    <row r="373" spans="1:15" s="643" customFormat="1">
      <c r="A373" s="1388"/>
      <c r="B373" s="75"/>
      <c r="C373" s="160" t="s">
        <v>14</v>
      </c>
      <c r="D373" s="46" t="s">
        <v>11</v>
      </c>
      <c r="E373" s="45">
        <f>81*0.01</f>
        <v>0.81</v>
      </c>
      <c r="F373" s="45">
        <f>E373*F371</f>
        <v>28.560600000000001</v>
      </c>
      <c r="G373" s="81"/>
      <c r="H373" s="77"/>
      <c r="I373" s="81"/>
      <c r="J373" s="77"/>
      <c r="K373" s="81"/>
      <c r="L373" s="77">
        <f>F373*K373</f>
        <v>0</v>
      </c>
      <c r="M373" s="1252">
        <f t="shared" ref="M373:M379" si="70">H373+J373+L373</f>
        <v>0</v>
      </c>
      <c r="N373" s="1255"/>
      <c r="O373" s="1256"/>
    </row>
    <row r="374" spans="1:15" s="643" customFormat="1">
      <c r="A374" s="1388"/>
      <c r="B374" s="203"/>
      <c r="C374" s="157" t="s">
        <v>91</v>
      </c>
      <c r="D374" s="203" t="s">
        <v>319</v>
      </c>
      <c r="E374" s="45">
        <f>101.5*0.01</f>
        <v>1.0150000000000001</v>
      </c>
      <c r="F374" s="45">
        <f>E374*F371</f>
        <v>35.788900000000005</v>
      </c>
      <c r="G374" s="81"/>
      <c r="H374" s="77">
        <f t="shared" ref="H374:H379" si="71">F374*G374</f>
        <v>0</v>
      </c>
      <c r="I374" s="81"/>
      <c r="J374" s="77"/>
      <c r="K374" s="81"/>
      <c r="L374" s="77"/>
      <c r="M374" s="1252">
        <f t="shared" si="70"/>
        <v>0</v>
      </c>
      <c r="N374" s="1255"/>
      <c r="O374" s="1256"/>
    </row>
    <row r="375" spans="1:15" s="643" customFormat="1">
      <c r="A375" s="1388"/>
      <c r="B375" s="203"/>
      <c r="C375" s="157" t="s">
        <v>465</v>
      </c>
      <c r="D375" s="203" t="s">
        <v>234</v>
      </c>
      <c r="E375" s="45">
        <f>137*0.01</f>
        <v>1.37</v>
      </c>
      <c r="F375" s="45">
        <f>E375*F371</f>
        <v>48.306200000000004</v>
      </c>
      <c r="G375" s="81"/>
      <c r="H375" s="77">
        <f t="shared" si="71"/>
        <v>0</v>
      </c>
      <c r="I375" s="81"/>
      <c r="J375" s="77"/>
      <c r="K375" s="81"/>
      <c r="L375" s="77"/>
      <c r="M375" s="1252">
        <f t="shared" si="70"/>
        <v>0</v>
      </c>
      <c r="N375" s="1255"/>
      <c r="O375" s="1256"/>
    </row>
    <row r="376" spans="1:15" s="643" customFormat="1">
      <c r="A376" s="1388"/>
      <c r="B376" s="203"/>
      <c r="C376" s="157" t="s">
        <v>222</v>
      </c>
      <c r="D376" s="203" t="s">
        <v>319</v>
      </c>
      <c r="E376" s="45">
        <f>(0.84+2.56+0.26)/100</f>
        <v>3.6600000000000001E-2</v>
      </c>
      <c r="F376" s="45">
        <f>E376*F371</f>
        <v>1.290516</v>
      </c>
      <c r="G376" s="81"/>
      <c r="H376" s="77">
        <f t="shared" si="71"/>
        <v>0</v>
      </c>
      <c r="I376" s="81"/>
      <c r="J376" s="77"/>
      <c r="K376" s="81"/>
      <c r="L376" s="77"/>
      <c r="M376" s="1252">
        <f t="shared" si="70"/>
        <v>0</v>
      </c>
      <c r="N376" s="1255"/>
      <c r="O376" s="1256"/>
    </row>
    <row r="377" spans="1:15" s="643" customFormat="1">
      <c r="A377" s="1388"/>
      <c r="B377" s="75"/>
      <c r="C377" s="157" t="s">
        <v>26</v>
      </c>
      <c r="D377" s="203" t="s">
        <v>11</v>
      </c>
      <c r="E377" s="45">
        <v>0.39</v>
      </c>
      <c r="F377" s="45">
        <f>E377*F371</f>
        <v>13.7514</v>
      </c>
      <c r="G377" s="81"/>
      <c r="H377" s="77">
        <f t="shared" si="71"/>
        <v>0</v>
      </c>
      <c r="I377" s="81"/>
      <c r="J377" s="77"/>
      <c r="K377" s="81"/>
      <c r="L377" s="77"/>
      <c r="M377" s="1252">
        <f t="shared" si="70"/>
        <v>0</v>
      </c>
      <c r="N377" s="1255"/>
      <c r="O377" s="1256"/>
    </row>
    <row r="378" spans="1:15" s="643" customFormat="1">
      <c r="A378" s="1388"/>
      <c r="B378" s="203"/>
      <c r="C378" s="159" t="s">
        <v>426</v>
      </c>
      <c r="D378" s="203" t="s">
        <v>218</v>
      </c>
      <c r="E378" s="45"/>
      <c r="F378" s="82">
        <f>2.52503</f>
        <v>2.5250300000000001</v>
      </c>
      <c r="G378" s="81"/>
      <c r="H378" s="77">
        <f t="shared" si="71"/>
        <v>0</v>
      </c>
      <c r="I378" s="81"/>
      <c r="J378" s="77"/>
      <c r="K378" s="81"/>
      <c r="L378" s="77"/>
      <c r="M378" s="1252">
        <f t="shared" si="70"/>
        <v>0</v>
      </c>
      <c r="N378" s="1255"/>
      <c r="O378" s="1256"/>
    </row>
    <row r="379" spans="1:15" s="643" customFormat="1">
      <c r="A379" s="1399"/>
      <c r="B379" s="203"/>
      <c r="C379" s="159" t="s">
        <v>466</v>
      </c>
      <c r="D379" s="203" t="s">
        <v>218</v>
      </c>
      <c r="E379" s="45"/>
      <c r="F379" s="82">
        <f>0.27216</f>
        <v>0.27216000000000001</v>
      </c>
      <c r="G379" s="81"/>
      <c r="H379" s="77">
        <f t="shared" si="71"/>
        <v>0</v>
      </c>
      <c r="I379" s="81"/>
      <c r="J379" s="77"/>
      <c r="K379" s="81"/>
      <c r="L379" s="77"/>
      <c r="M379" s="1252">
        <f t="shared" si="70"/>
        <v>0</v>
      </c>
      <c r="N379" s="1255"/>
      <c r="O379" s="1256"/>
    </row>
    <row r="380" spans="1:15" s="643" customFormat="1" ht="31.5">
      <c r="A380" s="1393" t="s">
        <v>435</v>
      </c>
      <c r="B380" s="42" t="s">
        <v>1663</v>
      </c>
      <c r="C380" s="163" t="s">
        <v>1662</v>
      </c>
      <c r="D380" s="42" t="s">
        <v>4</v>
      </c>
      <c r="E380" s="707"/>
      <c r="F380" s="707">
        <v>17.05</v>
      </c>
      <c r="G380" s="87"/>
      <c r="H380" s="448"/>
      <c r="I380" s="87"/>
      <c r="J380" s="448"/>
      <c r="K380" s="87"/>
      <c r="L380" s="448"/>
      <c r="M380" s="1252"/>
      <c r="N380" s="1255"/>
      <c r="O380" s="1256"/>
    </row>
    <row r="381" spans="1:15" s="643" customFormat="1">
      <c r="A381" s="1394"/>
      <c r="B381" s="42"/>
      <c r="C381" s="641" t="s">
        <v>1792</v>
      </c>
      <c r="D381" s="694" t="s">
        <v>4</v>
      </c>
      <c r="E381" s="639">
        <v>1.32</v>
      </c>
      <c r="F381" s="639">
        <f>E381*F380</f>
        <v>22.506</v>
      </c>
      <c r="G381" s="637"/>
      <c r="H381" s="448"/>
      <c r="I381" s="637"/>
      <c r="J381" s="448">
        <f>F381*I381</f>
        <v>0</v>
      </c>
      <c r="K381" s="637"/>
      <c r="L381" s="448"/>
      <c r="M381" s="1252">
        <f t="shared" ref="M381:M390" si="72">H381+J381+L381</f>
        <v>0</v>
      </c>
      <c r="N381" s="1255"/>
      <c r="O381" s="1256"/>
    </row>
    <row r="382" spans="1:15" s="643" customFormat="1">
      <c r="A382" s="1394"/>
      <c r="B382" s="42"/>
      <c r="C382" s="131" t="s">
        <v>14</v>
      </c>
      <c r="D382" s="46" t="s">
        <v>11</v>
      </c>
      <c r="E382" s="639">
        <v>1.43</v>
      </c>
      <c r="F382" s="639">
        <f>E382*F380</f>
        <v>24.381499999999999</v>
      </c>
      <c r="G382" s="637"/>
      <c r="H382" s="448"/>
      <c r="I382" s="637"/>
      <c r="J382" s="448"/>
      <c r="K382" s="637"/>
      <c r="L382" s="448">
        <f>F382*K382</f>
        <v>0</v>
      </c>
      <c r="M382" s="1252">
        <f t="shared" si="72"/>
        <v>0</v>
      </c>
      <c r="N382" s="1255"/>
      <c r="O382" s="1256"/>
    </row>
    <row r="383" spans="1:15" s="643" customFormat="1">
      <c r="A383" s="1394"/>
      <c r="B383" s="42"/>
      <c r="C383" s="641" t="s">
        <v>91</v>
      </c>
      <c r="D383" s="694" t="s">
        <v>319</v>
      </c>
      <c r="E383" s="639">
        <v>1</v>
      </c>
      <c r="F383" s="639">
        <f>E383*F380</f>
        <v>17.05</v>
      </c>
      <c r="G383" s="637"/>
      <c r="H383" s="448">
        <f t="shared" ref="H383:H390" si="73">F383*G383</f>
        <v>0</v>
      </c>
      <c r="I383" s="637"/>
      <c r="J383" s="448"/>
      <c r="K383" s="637"/>
      <c r="L383" s="448"/>
      <c r="M383" s="1252">
        <f t="shared" si="72"/>
        <v>0</v>
      </c>
      <c r="N383" s="1255"/>
      <c r="O383" s="1256"/>
    </row>
    <row r="384" spans="1:15" s="643" customFormat="1">
      <c r="A384" s="1394"/>
      <c r="B384" s="42"/>
      <c r="C384" s="166" t="s">
        <v>465</v>
      </c>
      <c r="D384" s="694" t="s">
        <v>234</v>
      </c>
      <c r="E384" s="639">
        <v>2.64</v>
      </c>
      <c r="F384" s="639">
        <f>E384*F380</f>
        <v>45.012</v>
      </c>
      <c r="G384" s="637"/>
      <c r="H384" s="448">
        <f t="shared" si="73"/>
        <v>0</v>
      </c>
      <c r="I384" s="637"/>
      <c r="J384" s="448"/>
      <c r="K384" s="637"/>
      <c r="L384" s="448"/>
      <c r="M384" s="1252">
        <f t="shared" si="72"/>
        <v>0</v>
      </c>
      <c r="N384" s="1255"/>
      <c r="O384" s="1256"/>
    </row>
    <row r="385" spans="1:15" s="643" customFormat="1">
      <c r="A385" s="1394"/>
      <c r="B385" s="42"/>
      <c r="C385" s="641" t="s">
        <v>222</v>
      </c>
      <c r="D385" s="694" t="s">
        <v>319</v>
      </c>
      <c r="E385" s="639">
        <f>(0.49+5.49)/100</f>
        <v>5.9800000000000006E-2</v>
      </c>
      <c r="F385" s="639">
        <f>E385*F380</f>
        <v>1.0195900000000002</v>
      </c>
      <c r="G385" s="637"/>
      <c r="H385" s="448">
        <f t="shared" si="73"/>
        <v>0</v>
      </c>
      <c r="I385" s="637"/>
      <c r="J385" s="448"/>
      <c r="K385" s="637"/>
      <c r="L385" s="448"/>
      <c r="M385" s="1252">
        <f t="shared" si="72"/>
        <v>0</v>
      </c>
      <c r="N385" s="1255"/>
      <c r="O385" s="1256"/>
    </row>
    <row r="386" spans="1:15" s="643" customFormat="1">
      <c r="A386" s="1394"/>
      <c r="B386" s="42"/>
      <c r="C386" s="641" t="s">
        <v>246</v>
      </c>
      <c r="D386" s="694" t="s">
        <v>6</v>
      </c>
      <c r="E386" s="639">
        <v>3.2</v>
      </c>
      <c r="F386" s="639">
        <f>F380*E386</f>
        <v>54.56</v>
      </c>
      <c r="G386" s="637"/>
      <c r="H386" s="448">
        <f t="shared" si="73"/>
        <v>0</v>
      </c>
      <c r="I386" s="637"/>
      <c r="J386" s="448"/>
      <c r="K386" s="637"/>
      <c r="L386" s="448"/>
      <c r="M386" s="1252">
        <f t="shared" si="72"/>
        <v>0</v>
      </c>
      <c r="N386" s="1255"/>
      <c r="O386" s="1256"/>
    </row>
    <row r="387" spans="1:15" s="643" customFormat="1">
      <c r="A387" s="1394"/>
      <c r="B387" s="42"/>
      <c r="C387" s="641" t="s">
        <v>70</v>
      </c>
      <c r="D387" s="694" t="s">
        <v>6</v>
      </c>
      <c r="E387" s="639">
        <v>4.0999999999999996</v>
      </c>
      <c r="F387" s="639">
        <f>F380*E387</f>
        <v>69.905000000000001</v>
      </c>
      <c r="G387" s="637"/>
      <c r="H387" s="448">
        <f t="shared" si="73"/>
        <v>0</v>
      </c>
      <c r="I387" s="637"/>
      <c r="J387" s="448"/>
      <c r="K387" s="637"/>
      <c r="L387" s="448"/>
      <c r="M387" s="1252">
        <f t="shared" si="72"/>
        <v>0</v>
      </c>
      <c r="N387" s="1255"/>
      <c r="O387" s="1256"/>
    </row>
    <row r="388" spans="1:15" s="643" customFormat="1">
      <c r="A388" s="1394"/>
      <c r="B388" s="42"/>
      <c r="C388" s="641" t="s">
        <v>26</v>
      </c>
      <c r="D388" s="694" t="s">
        <v>11</v>
      </c>
      <c r="E388" s="639">
        <v>0.41</v>
      </c>
      <c r="F388" s="639">
        <f>E388*F380</f>
        <v>6.9904999999999999</v>
      </c>
      <c r="G388" s="637"/>
      <c r="H388" s="448">
        <f t="shared" si="73"/>
        <v>0</v>
      </c>
      <c r="I388" s="637"/>
      <c r="J388" s="448"/>
      <c r="K388" s="637"/>
      <c r="L388" s="448"/>
      <c r="M388" s="1252">
        <f t="shared" si="72"/>
        <v>0</v>
      </c>
      <c r="N388" s="1255"/>
      <c r="O388" s="1256"/>
    </row>
    <row r="389" spans="1:15" s="643" customFormat="1">
      <c r="A389" s="1394"/>
      <c r="B389" s="42"/>
      <c r="C389" s="642" t="s">
        <v>426</v>
      </c>
      <c r="D389" s="694" t="s">
        <v>218</v>
      </c>
      <c r="E389" s="639"/>
      <c r="F389" s="640">
        <f>1.52724+0.65542</f>
        <v>2.1826599999999998</v>
      </c>
      <c r="G389" s="637"/>
      <c r="H389" s="448">
        <f t="shared" si="73"/>
        <v>0</v>
      </c>
      <c r="I389" s="637"/>
      <c r="J389" s="448"/>
      <c r="K389" s="637"/>
      <c r="L389" s="448"/>
      <c r="M389" s="1252">
        <f t="shared" si="72"/>
        <v>0</v>
      </c>
      <c r="N389" s="1255"/>
      <c r="O389" s="1256"/>
    </row>
    <row r="390" spans="1:15" s="643" customFormat="1">
      <c r="A390" s="1395"/>
      <c r="B390" s="42"/>
      <c r="C390" s="642" t="s">
        <v>447</v>
      </c>
      <c r="D390" s="694" t="s">
        <v>218</v>
      </c>
      <c r="E390" s="639"/>
      <c r="F390" s="640">
        <f>0.05141</f>
        <v>5.1409999999999997E-2</v>
      </c>
      <c r="G390" s="637"/>
      <c r="H390" s="448">
        <f t="shared" si="73"/>
        <v>0</v>
      </c>
      <c r="I390" s="637"/>
      <c r="J390" s="448"/>
      <c r="K390" s="637"/>
      <c r="L390" s="448"/>
      <c r="M390" s="1252">
        <f t="shared" si="72"/>
        <v>0</v>
      </c>
      <c r="N390" s="1255"/>
      <c r="O390" s="1256"/>
    </row>
    <row r="391" spans="1:15" s="643" customFormat="1">
      <c r="A391" s="1185" t="s">
        <v>421</v>
      </c>
      <c r="B391" s="46"/>
      <c r="C391" s="163" t="s">
        <v>1650</v>
      </c>
      <c r="D391" s="46"/>
      <c r="E391" s="84"/>
      <c r="F391" s="346"/>
      <c r="G391" s="341"/>
      <c r="H391" s="77"/>
      <c r="I391" s="80"/>
      <c r="J391" s="77"/>
      <c r="K391" s="80"/>
      <c r="L391" s="77"/>
      <c r="M391" s="1252"/>
      <c r="N391" s="1255"/>
      <c r="O391" s="1256"/>
    </row>
    <row r="392" spans="1:15" s="643" customFormat="1" ht="31.5">
      <c r="A392" s="1410" t="s">
        <v>1709</v>
      </c>
      <c r="B392" s="44" t="s">
        <v>252</v>
      </c>
      <c r="C392" s="152" t="s">
        <v>1654</v>
      </c>
      <c r="D392" s="1190" t="s">
        <v>318</v>
      </c>
      <c r="E392" s="20"/>
      <c r="F392" s="20">
        <v>3.72</v>
      </c>
      <c r="G392" s="79"/>
      <c r="H392" s="77"/>
      <c r="I392" s="79"/>
      <c r="J392" s="77"/>
      <c r="K392" s="79"/>
      <c r="L392" s="77"/>
      <c r="M392" s="1252"/>
      <c r="N392" s="1255"/>
      <c r="O392" s="1256"/>
    </row>
    <row r="393" spans="1:15" s="643" customFormat="1">
      <c r="A393" s="1411"/>
      <c r="B393" s="44"/>
      <c r="C393" s="142" t="s">
        <v>67</v>
      </c>
      <c r="D393" s="1189" t="s">
        <v>109</v>
      </c>
      <c r="E393" s="1235">
        <v>3.52</v>
      </c>
      <c r="F393" s="1235">
        <f>E393*F392</f>
        <v>13.0944</v>
      </c>
      <c r="G393" s="87"/>
      <c r="H393" s="448"/>
      <c r="I393" s="87"/>
      <c r="J393" s="448">
        <f>F393*I393</f>
        <v>0</v>
      </c>
      <c r="K393" s="87"/>
      <c r="L393" s="448"/>
      <c r="M393" s="1251">
        <f>H393+J393+L393</f>
        <v>0</v>
      </c>
      <c r="N393" s="1255"/>
      <c r="O393" s="1256"/>
    </row>
    <row r="394" spans="1:15" s="643" customFormat="1">
      <c r="A394" s="1411"/>
      <c r="B394" s="44"/>
      <c r="C394" s="128" t="s">
        <v>14</v>
      </c>
      <c r="D394" s="635" t="s">
        <v>11</v>
      </c>
      <c r="E394" s="1235">
        <v>1.06</v>
      </c>
      <c r="F394" s="1235">
        <f>E394*F392</f>
        <v>3.9432000000000005</v>
      </c>
      <c r="G394" s="87"/>
      <c r="H394" s="448"/>
      <c r="I394" s="87"/>
      <c r="J394" s="448"/>
      <c r="K394" s="87"/>
      <c r="L394" s="448">
        <f>F394*K394</f>
        <v>0</v>
      </c>
      <c r="M394" s="1251">
        <f>H394+J394+L394</f>
        <v>0</v>
      </c>
      <c r="N394" s="1255"/>
      <c r="O394" s="1256"/>
    </row>
    <row r="395" spans="1:15" s="643" customFormat="1">
      <c r="A395" s="1411"/>
      <c r="B395" s="44"/>
      <c r="C395" s="142" t="s">
        <v>220</v>
      </c>
      <c r="D395" s="1189" t="s">
        <v>319</v>
      </c>
      <c r="E395" s="1235">
        <f>0.18+0.09+0.97</f>
        <v>1.24</v>
      </c>
      <c r="F395" s="1235">
        <f>E395*F392</f>
        <v>4.6128</v>
      </c>
      <c r="G395" s="87"/>
      <c r="H395" s="448">
        <f>F395*G395</f>
        <v>0</v>
      </c>
      <c r="I395" s="87"/>
      <c r="J395" s="448"/>
      <c r="K395" s="87"/>
      <c r="L395" s="448"/>
      <c r="M395" s="1251">
        <f>H395+J395+L395</f>
        <v>0</v>
      </c>
      <c r="N395" s="1255"/>
      <c r="O395" s="1256"/>
    </row>
    <row r="396" spans="1:15" s="643" customFormat="1">
      <c r="A396" s="1412"/>
      <c r="B396" s="44"/>
      <c r="C396" s="128" t="s">
        <v>26</v>
      </c>
      <c r="D396" s="144" t="s">
        <v>11</v>
      </c>
      <c r="E396" s="1235">
        <v>0.02</v>
      </c>
      <c r="F396" s="1235">
        <f>E396*F392</f>
        <v>7.4400000000000008E-2</v>
      </c>
      <c r="G396" s="87"/>
      <c r="H396" s="448">
        <f>F396*G396</f>
        <v>0</v>
      </c>
      <c r="I396" s="87"/>
      <c r="J396" s="448"/>
      <c r="K396" s="87"/>
      <c r="L396" s="448"/>
      <c r="M396" s="1251">
        <f>H396+J396+L396</f>
        <v>0</v>
      </c>
      <c r="N396" s="1255"/>
      <c r="O396" s="1256"/>
    </row>
    <row r="397" spans="1:15" s="643" customFormat="1" ht="31.5">
      <c r="A397" s="1421" t="s">
        <v>1710</v>
      </c>
      <c r="B397" s="75" t="s">
        <v>407</v>
      </c>
      <c r="C397" s="156" t="s">
        <v>1655</v>
      </c>
      <c r="D397" s="75" t="s">
        <v>318</v>
      </c>
      <c r="E397" s="83"/>
      <c r="F397" s="83">
        <v>3.26</v>
      </c>
      <c r="G397" s="79"/>
      <c r="H397" s="77"/>
      <c r="I397" s="79"/>
      <c r="J397" s="77"/>
      <c r="K397" s="79"/>
      <c r="L397" s="77"/>
      <c r="M397" s="1252"/>
      <c r="N397" s="1255"/>
      <c r="O397" s="1256"/>
    </row>
    <row r="398" spans="1:15" s="643" customFormat="1">
      <c r="A398" s="1421"/>
      <c r="B398" s="636"/>
      <c r="C398" s="641" t="s">
        <v>1782</v>
      </c>
      <c r="D398" s="694" t="s">
        <v>4</v>
      </c>
      <c r="E398" s="639">
        <v>1</v>
      </c>
      <c r="F398" s="639">
        <f>E398*F397</f>
        <v>3.26</v>
      </c>
      <c r="G398" s="637"/>
      <c r="H398" s="448"/>
      <c r="I398" s="637"/>
      <c r="J398" s="448">
        <f>F398*I398</f>
        <v>0</v>
      </c>
      <c r="K398" s="637"/>
      <c r="L398" s="448"/>
      <c r="M398" s="1251">
        <f>H398+J398+L398</f>
        <v>0</v>
      </c>
      <c r="N398" s="1255"/>
      <c r="O398" s="1256"/>
    </row>
    <row r="399" spans="1:15" s="643" customFormat="1">
      <c r="A399" s="1421"/>
      <c r="B399" s="636"/>
      <c r="C399" s="128" t="s">
        <v>14</v>
      </c>
      <c r="D399" s="635" t="s">
        <v>11</v>
      </c>
      <c r="E399" s="639">
        <v>0.28299999999999997</v>
      </c>
      <c r="F399" s="639">
        <f>E399*F397</f>
        <v>0.92257999999999984</v>
      </c>
      <c r="G399" s="637"/>
      <c r="H399" s="448"/>
      <c r="I399" s="637"/>
      <c r="J399" s="448"/>
      <c r="K399" s="637"/>
      <c r="L399" s="448">
        <f>F399*K399</f>
        <v>0</v>
      </c>
      <c r="M399" s="1251">
        <f>H399+J399+L399</f>
        <v>0</v>
      </c>
      <c r="N399" s="1255"/>
      <c r="O399" s="1256"/>
    </row>
    <row r="400" spans="1:15" s="643" customFormat="1">
      <c r="A400" s="1421"/>
      <c r="B400" s="636"/>
      <c r="C400" s="641" t="s">
        <v>1739</v>
      </c>
      <c r="D400" s="694" t="s">
        <v>319</v>
      </c>
      <c r="E400" s="639">
        <v>1.02</v>
      </c>
      <c r="F400" s="639">
        <f>E400*F397</f>
        <v>3.3251999999999997</v>
      </c>
      <c r="G400" s="637"/>
      <c r="H400" s="448">
        <f>F400*G400</f>
        <v>0</v>
      </c>
      <c r="I400" s="637"/>
      <c r="J400" s="448"/>
      <c r="K400" s="637"/>
      <c r="L400" s="448"/>
      <c r="M400" s="1251">
        <f>H400+J400+L400</f>
        <v>0</v>
      </c>
      <c r="N400" s="1255"/>
      <c r="O400" s="1256"/>
    </row>
    <row r="401" spans="1:15" s="643" customFormat="1">
      <c r="A401" s="1421"/>
      <c r="B401" s="636"/>
      <c r="C401" s="128" t="s">
        <v>26</v>
      </c>
      <c r="D401" s="144" t="s">
        <v>11</v>
      </c>
      <c r="E401" s="639">
        <v>0.62</v>
      </c>
      <c r="F401" s="639">
        <f>E401*F397</f>
        <v>2.0211999999999999</v>
      </c>
      <c r="G401" s="637"/>
      <c r="H401" s="448">
        <f>F401*G401</f>
        <v>0</v>
      </c>
      <c r="I401" s="637"/>
      <c r="J401" s="448"/>
      <c r="K401" s="637"/>
      <c r="L401" s="448"/>
      <c r="M401" s="1251">
        <f>H401+J401+L401</f>
        <v>0</v>
      </c>
      <c r="N401" s="1255"/>
      <c r="O401" s="1256"/>
    </row>
    <row r="402" spans="1:15" s="643" customFormat="1" ht="31.5">
      <c r="A402" s="1387" t="s">
        <v>1711</v>
      </c>
      <c r="B402" s="1190" t="s">
        <v>439</v>
      </c>
      <c r="C402" s="156" t="s">
        <v>1649</v>
      </c>
      <c r="D402" s="75" t="s">
        <v>318</v>
      </c>
      <c r="E402" s="83"/>
      <c r="F402" s="83">
        <v>22.47</v>
      </c>
      <c r="G402" s="79"/>
      <c r="H402" s="77"/>
      <c r="I402" s="81"/>
      <c r="J402" s="77"/>
      <c r="K402" s="81"/>
      <c r="L402" s="77"/>
      <c r="M402" s="1252"/>
      <c r="N402" s="1255"/>
      <c r="O402" s="1256"/>
    </row>
    <row r="403" spans="1:15" s="643" customFormat="1">
      <c r="A403" s="1388"/>
      <c r="B403" s="1190"/>
      <c r="C403" s="157" t="s">
        <v>1793</v>
      </c>
      <c r="D403" s="203" t="s">
        <v>4</v>
      </c>
      <c r="E403" s="45">
        <v>1</v>
      </c>
      <c r="F403" s="45">
        <f>E403*F402</f>
        <v>22.47</v>
      </c>
      <c r="G403" s="81"/>
      <c r="H403" s="77"/>
      <c r="I403" s="637"/>
      <c r="J403" s="77">
        <f>F403*I403</f>
        <v>0</v>
      </c>
      <c r="K403" s="81"/>
      <c r="L403" s="77"/>
      <c r="M403" s="1252">
        <f t="shared" ref="M403:M411" si="74">H403+J403+L403</f>
        <v>0</v>
      </c>
      <c r="N403" s="1255"/>
      <c r="O403" s="1256"/>
    </row>
    <row r="404" spans="1:15" s="643" customFormat="1">
      <c r="A404" s="1388"/>
      <c r="B404" s="1190"/>
      <c r="C404" s="160" t="s">
        <v>14</v>
      </c>
      <c r="D404" s="203" t="s">
        <v>11</v>
      </c>
      <c r="E404" s="45">
        <v>1.32</v>
      </c>
      <c r="F404" s="45">
        <f>E404*F402</f>
        <v>29.660399999999999</v>
      </c>
      <c r="G404" s="81"/>
      <c r="H404" s="77"/>
      <c r="I404" s="81"/>
      <c r="J404" s="77"/>
      <c r="K404" s="81"/>
      <c r="L404" s="77">
        <f>F404*K404</f>
        <v>0</v>
      </c>
      <c r="M404" s="1252">
        <f t="shared" si="74"/>
        <v>0</v>
      </c>
      <c r="N404" s="1255"/>
      <c r="O404" s="1256"/>
    </row>
    <row r="405" spans="1:15" s="643" customFormat="1">
      <c r="A405" s="1388"/>
      <c r="B405" s="203"/>
      <c r="C405" s="157" t="s">
        <v>91</v>
      </c>
      <c r="D405" s="203" t="s">
        <v>319</v>
      </c>
      <c r="E405" s="45">
        <f>101.5*0.01</f>
        <v>1.0150000000000001</v>
      </c>
      <c r="F405" s="45">
        <f>E405*F402</f>
        <v>22.80705</v>
      </c>
      <c r="G405" s="81"/>
      <c r="H405" s="77">
        <f t="shared" ref="H405:H411" si="75">F405*G405</f>
        <v>0</v>
      </c>
      <c r="I405" s="81"/>
      <c r="J405" s="77"/>
      <c r="K405" s="81"/>
      <c r="L405" s="77"/>
      <c r="M405" s="1252">
        <f t="shared" si="74"/>
        <v>0</v>
      </c>
      <c r="N405" s="1255"/>
      <c r="O405" s="1256"/>
    </row>
    <row r="406" spans="1:15" s="643" customFormat="1">
      <c r="A406" s="1388"/>
      <c r="B406" s="203"/>
      <c r="C406" s="157" t="s">
        <v>464</v>
      </c>
      <c r="D406" s="203" t="s">
        <v>234</v>
      </c>
      <c r="E406" s="45">
        <f>229*0.01</f>
        <v>2.29</v>
      </c>
      <c r="F406" s="45">
        <f>E406*F402</f>
        <v>51.456299999999999</v>
      </c>
      <c r="G406" s="81"/>
      <c r="H406" s="77">
        <f t="shared" si="75"/>
        <v>0</v>
      </c>
      <c r="I406" s="81"/>
      <c r="J406" s="77"/>
      <c r="K406" s="81"/>
      <c r="L406" s="77"/>
      <c r="M406" s="1252">
        <f t="shared" si="74"/>
        <v>0</v>
      </c>
      <c r="N406" s="1255"/>
      <c r="O406" s="1256"/>
    </row>
    <row r="407" spans="1:15" s="643" customFormat="1">
      <c r="A407" s="1388"/>
      <c r="B407" s="203"/>
      <c r="C407" s="157" t="s">
        <v>222</v>
      </c>
      <c r="D407" s="203" t="s">
        <v>319</v>
      </c>
      <c r="E407" s="45">
        <f>(1.4+4.29+0.34)*0.01</f>
        <v>6.0299999999999992E-2</v>
      </c>
      <c r="F407" s="45">
        <f>F402*E407</f>
        <v>1.3549409999999997</v>
      </c>
      <c r="G407" s="81"/>
      <c r="H407" s="77">
        <f t="shared" si="75"/>
        <v>0</v>
      </c>
      <c r="I407" s="81"/>
      <c r="J407" s="77"/>
      <c r="K407" s="81"/>
      <c r="L407" s="77"/>
      <c r="M407" s="1252">
        <f t="shared" si="74"/>
        <v>0</v>
      </c>
      <c r="N407" s="1255"/>
      <c r="O407" s="1256"/>
    </row>
    <row r="408" spans="1:15" s="643" customFormat="1">
      <c r="A408" s="1388"/>
      <c r="B408" s="203"/>
      <c r="C408" s="157" t="s">
        <v>70</v>
      </c>
      <c r="D408" s="204" t="s">
        <v>6</v>
      </c>
      <c r="E408" s="85">
        <v>2.5</v>
      </c>
      <c r="F408" s="85">
        <f>E408*F402</f>
        <v>56.174999999999997</v>
      </c>
      <c r="G408" s="86"/>
      <c r="H408" s="77">
        <f t="shared" si="75"/>
        <v>0</v>
      </c>
      <c r="I408" s="86"/>
      <c r="J408" s="77"/>
      <c r="K408" s="86"/>
      <c r="L408" s="77"/>
      <c r="M408" s="1252">
        <f t="shared" si="74"/>
        <v>0</v>
      </c>
      <c r="N408" s="1255"/>
      <c r="O408" s="1256"/>
    </row>
    <row r="409" spans="1:15" s="643" customFormat="1">
      <c r="A409" s="1388"/>
      <c r="B409" s="203"/>
      <c r="C409" s="157" t="s">
        <v>26</v>
      </c>
      <c r="D409" s="204" t="s">
        <v>11</v>
      </c>
      <c r="E409" s="85">
        <v>1.2</v>
      </c>
      <c r="F409" s="85">
        <f>E409*F402</f>
        <v>26.963999999999999</v>
      </c>
      <c r="G409" s="86"/>
      <c r="H409" s="77">
        <f t="shared" si="75"/>
        <v>0</v>
      </c>
      <c r="I409" s="86"/>
      <c r="J409" s="77"/>
      <c r="K409" s="86"/>
      <c r="L409" s="77"/>
      <c r="M409" s="1252">
        <f t="shared" si="74"/>
        <v>0</v>
      </c>
      <c r="N409" s="1255"/>
      <c r="O409" s="1256"/>
    </row>
    <row r="410" spans="1:15" s="643" customFormat="1">
      <c r="A410" s="1388"/>
      <c r="B410" s="203"/>
      <c r="C410" s="159" t="s">
        <v>426</v>
      </c>
      <c r="D410" s="203" t="s">
        <v>218</v>
      </c>
      <c r="E410" s="45"/>
      <c r="F410" s="82">
        <f>0.46515+0.59474+0.24357+0.2537+0.14421</f>
        <v>1.70137</v>
      </c>
      <c r="G410" s="80"/>
      <c r="H410" s="77">
        <f t="shared" si="75"/>
        <v>0</v>
      </c>
      <c r="I410" s="81"/>
      <c r="J410" s="77"/>
      <c r="K410" s="81"/>
      <c r="L410" s="77"/>
      <c r="M410" s="1252">
        <f t="shared" si="74"/>
        <v>0</v>
      </c>
      <c r="N410" s="1255"/>
      <c r="O410" s="1256"/>
    </row>
    <row r="411" spans="1:15" s="643" customFormat="1">
      <c r="A411" s="1399"/>
      <c r="B411" s="203"/>
      <c r="C411" s="159" t="s">
        <v>427</v>
      </c>
      <c r="D411" s="203" t="s">
        <v>218</v>
      </c>
      <c r="E411" s="45"/>
      <c r="F411" s="82">
        <f>0.24158+0.24671</f>
        <v>0.48829</v>
      </c>
      <c r="G411" s="341"/>
      <c r="H411" s="77">
        <f t="shared" si="75"/>
        <v>0</v>
      </c>
      <c r="I411" s="81"/>
      <c r="J411" s="77"/>
      <c r="K411" s="81"/>
      <c r="L411" s="77"/>
      <c r="M411" s="1252">
        <f t="shared" si="74"/>
        <v>0</v>
      </c>
      <c r="N411" s="1255"/>
      <c r="O411" s="1256"/>
    </row>
    <row r="412" spans="1:15" s="643" customFormat="1" ht="31.5">
      <c r="A412" s="1183" t="s">
        <v>436</v>
      </c>
      <c r="B412" s="203"/>
      <c r="C412" s="163" t="s">
        <v>1712</v>
      </c>
      <c r="D412" s="203"/>
      <c r="E412" s="45"/>
      <c r="F412" s="82"/>
      <c r="G412" s="341"/>
      <c r="H412" s="77"/>
      <c r="I412" s="81"/>
      <c r="J412" s="77"/>
      <c r="K412" s="81"/>
      <c r="L412" s="77"/>
      <c r="M412" s="1252"/>
      <c r="N412" s="1255"/>
      <c r="O412" s="1256"/>
    </row>
    <row r="413" spans="1:15" s="643" customFormat="1" ht="47.25">
      <c r="A413" s="1387" t="s">
        <v>1713</v>
      </c>
      <c r="B413" s="1190" t="s">
        <v>439</v>
      </c>
      <c r="C413" s="156" t="s">
        <v>1664</v>
      </c>
      <c r="D413" s="75" t="s">
        <v>318</v>
      </c>
      <c r="E413" s="83"/>
      <c r="F413" s="83">
        <v>1</v>
      </c>
      <c r="G413" s="81"/>
      <c r="H413" s="77"/>
      <c r="I413" s="81"/>
      <c r="J413" s="77"/>
      <c r="K413" s="81"/>
      <c r="L413" s="77"/>
      <c r="M413" s="1252"/>
      <c r="N413" s="1255"/>
      <c r="O413" s="1256"/>
    </row>
    <row r="414" spans="1:15" s="643" customFormat="1">
      <c r="A414" s="1388"/>
      <c r="B414" s="1190"/>
      <c r="C414" s="157" t="s">
        <v>1793</v>
      </c>
      <c r="D414" s="203" t="s">
        <v>4</v>
      </c>
      <c r="E414" s="45">
        <v>1</v>
      </c>
      <c r="F414" s="45">
        <f>E414*F413</f>
        <v>1</v>
      </c>
      <c r="G414" s="81"/>
      <c r="H414" s="77"/>
      <c r="I414" s="637"/>
      <c r="J414" s="77">
        <f>F414*I414</f>
        <v>0</v>
      </c>
      <c r="K414" s="81"/>
      <c r="L414" s="77"/>
      <c r="M414" s="1252">
        <f t="shared" ref="M414:M422" si="76">H414+J414+L414</f>
        <v>0</v>
      </c>
      <c r="N414" s="1255"/>
      <c r="O414" s="1256"/>
    </row>
    <row r="415" spans="1:15" s="643" customFormat="1">
      <c r="A415" s="1388"/>
      <c r="B415" s="1190"/>
      <c r="C415" s="160" t="s">
        <v>14</v>
      </c>
      <c r="D415" s="203" t="s">
        <v>11</v>
      </c>
      <c r="E415" s="45">
        <v>1.32</v>
      </c>
      <c r="F415" s="45">
        <f>E415*F413</f>
        <v>1.32</v>
      </c>
      <c r="G415" s="81"/>
      <c r="H415" s="77"/>
      <c r="I415" s="81"/>
      <c r="J415" s="77"/>
      <c r="K415" s="81"/>
      <c r="L415" s="77">
        <f>F415*K415</f>
        <v>0</v>
      </c>
      <c r="M415" s="1252">
        <f t="shared" si="76"/>
        <v>0</v>
      </c>
      <c r="N415" s="1255"/>
      <c r="O415" s="1256"/>
    </row>
    <row r="416" spans="1:15" s="643" customFormat="1">
      <c r="A416" s="1388"/>
      <c r="B416" s="203"/>
      <c r="C416" s="157" t="s">
        <v>91</v>
      </c>
      <c r="D416" s="203" t="s">
        <v>319</v>
      </c>
      <c r="E416" s="45">
        <f>101.5*0.01</f>
        <v>1.0150000000000001</v>
      </c>
      <c r="F416" s="45">
        <f>E416*F413</f>
        <v>1.0150000000000001</v>
      </c>
      <c r="G416" s="81"/>
      <c r="H416" s="77">
        <f t="shared" ref="H416:H422" si="77">F416*G416</f>
        <v>0</v>
      </c>
      <c r="I416" s="81"/>
      <c r="J416" s="77"/>
      <c r="K416" s="81"/>
      <c r="L416" s="77"/>
      <c r="M416" s="1252">
        <f t="shared" si="76"/>
        <v>0</v>
      </c>
      <c r="N416" s="1255"/>
      <c r="O416" s="1256"/>
    </row>
    <row r="417" spans="1:15" s="643" customFormat="1">
      <c r="A417" s="1388"/>
      <c r="B417" s="203"/>
      <c r="C417" s="157" t="s">
        <v>464</v>
      </c>
      <c r="D417" s="203" t="s">
        <v>234</v>
      </c>
      <c r="E417" s="45">
        <f>229*0.01</f>
        <v>2.29</v>
      </c>
      <c r="F417" s="45">
        <f>E417*F413</f>
        <v>2.29</v>
      </c>
      <c r="G417" s="81"/>
      <c r="H417" s="77">
        <f t="shared" si="77"/>
        <v>0</v>
      </c>
      <c r="I417" s="81"/>
      <c r="J417" s="77"/>
      <c r="K417" s="81"/>
      <c r="L417" s="77"/>
      <c r="M417" s="1252">
        <f t="shared" si="76"/>
        <v>0</v>
      </c>
      <c r="N417" s="1255"/>
      <c r="O417" s="1256"/>
    </row>
    <row r="418" spans="1:15" s="643" customFormat="1">
      <c r="A418" s="1388"/>
      <c r="B418" s="203"/>
      <c r="C418" s="157" t="s">
        <v>222</v>
      </c>
      <c r="D418" s="203" t="s">
        <v>319</v>
      </c>
      <c r="E418" s="45">
        <f>(1.4+4.29+0.34)*0.01</f>
        <v>6.0299999999999992E-2</v>
      </c>
      <c r="F418" s="45">
        <f>F413*E418</f>
        <v>6.0299999999999992E-2</v>
      </c>
      <c r="G418" s="81"/>
      <c r="H418" s="77">
        <f t="shared" si="77"/>
        <v>0</v>
      </c>
      <c r="I418" s="81"/>
      <c r="J418" s="77"/>
      <c r="K418" s="81"/>
      <c r="L418" s="77"/>
      <c r="M418" s="1252">
        <f t="shared" si="76"/>
        <v>0</v>
      </c>
      <c r="N418" s="1255"/>
      <c r="O418" s="1256"/>
    </row>
    <row r="419" spans="1:15" s="643" customFormat="1">
      <c r="A419" s="1388"/>
      <c r="B419" s="203"/>
      <c r="C419" s="157" t="s">
        <v>70</v>
      </c>
      <c r="D419" s="204" t="s">
        <v>6</v>
      </c>
      <c r="E419" s="85">
        <v>2.5</v>
      </c>
      <c r="F419" s="85">
        <f>E419*F413</f>
        <v>2.5</v>
      </c>
      <c r="G419" s="86"/>
      <c r="H419" s="77">
        <f t="shared" si="77"/>
        <v>0</v>
      </c>
      <c r="I419" s="86"/>
      <c r="J419" s="77"/>
      <c r="K419" s="86"/>
      <c r="L419" s="77"/>
      <c r="M419" s="1252">
        <f t="shared" si="76"/>
        <v>0</v>
      </c>
      <c r="N419" s="1255"/>
      <c r="O419" s="1256"/>
    </row>
    <row r="420" spans="1:15" s="643" customFormat="1">
      <c r="A420" s="1388"/>
      <c r="B420" s="203"/>
      <c r="C420" s="157" t="s">
        <v>26</v>
      </c>
      <c r="D420" s="204" t="s">
        <v>11</v>
      </c>
      <c r="E420" s="85">
        <v>1.2</v>
      </c>
      <c r="F420" s="85">
        <f>E420*F413</f>
        <v>1.2</v>
      </c>
      <c r="G420" s="86"/>
      <c r="H420" s="77">
        <f t="shared" si="77"/>
        <v>0</v>
      </c>
      <c r="I420" s="86"/>
      <c r="J420" s="77"/>
      <c r="K420" s="86"/>
      <c r="L420" s="77"/>
      <c r="M420" s="1252">
        <f t="shared" si="76"/>
        <v>0</v>
      </c>
      <c r="N420" s="1255"/>
      <c r="O420" s="1256"/>
    </row>
    <row r="421" spans="1:15" s="643" customFormat="1" hidden="1">
      <c r="A421" s="1388"/>
      <c r="B421" s="203"/>
      <c r="C421" s="159" t="s">
        <v>426</v>
      </c>
      <c r="D421" s="203" t="s">
        <v>218</v>
      </c>
      <c r="E421" s="45"/>
      <c r="F421" s="82">
        <f>0</f>
        <v>0</v>
      </c>
      <c r="G421" s="80">
        <v>2458</v>
      </c>
      <c r="H421" s="77">
        <f t="shared" si="77"/>
        <v>0</v>
      </c>
      <c r="I421" s="81"/>
      <c r="J421" s="77"/>
      <c r="K421" s="81"/>
      <c r="L421" s="77"/>
      <c r="M421" s="1252">
        <f t="shared" si="76"/>
        <v>0</v>
      </c>
      <c r="N421" s="1255"/>
      <c r="O421" s="1256"/>
    </row>
    <row r="422" spans="1:15" s="643" customFormat="1" hidden="1">
      <c r="A422" s="1388"/>
      <c r="B422" s="203"/>
      <c r="C422" s="159" t="s">
        <v>427</v>
      </c>
      <c r="D422" s="203" t="s">
        <v>218</v>
      </c>
      <c r="E422" s="45"/>
      <c r="F422" s="82">
        <f>0</f>
        <v>0</v>
      </c>
      <c r="G422" s="341">
        <v>2560</v>
      </c>
      <c r="H422" s="77">
        <f t="shared" si="77"/>
        <v>0</v>
      </c>
      <c r="I422" s="81"/>
      <c r="J422" s="77"/>
      <c r="K422" s="81"/>
      <c r="L422" s="77"/>
      <c r="M422" s="1252">
        <f t="shared" si="76"/>
        <v>0</v>
      </c>
      <c r="N422" s="1255"/>
      <c r="O422" s="1256"/>
    </row>
    <row r="423" spans="1:15" s="643" customFormat="1" ht="47.25">
      <c r="A423" s="1389" t="s">
        <v>1714</v>
      </c>
      <c r="B423" s="1190" t="s">
        <v>439</v>
      </c>
      <c r="C423" s="156" t="s">
        <v>1665</v>
      </c>
      <c r="D423" s="75" t="s">
        <v>318</v>
      </c>
      <c r="E423" s="83"/>
      <c r="F423" s="83">
        <v>8.39</v>
      </c>
      <c r="G423" s="81"/>
      <c r="H423" s="77"/>
      <c r="I423" s="81"/>
      <c r="J423" s="77"/>
      <c r="K423" s="81"/>
      <c r="L423" s="77"/>
      <c r="M423" s="1252"/>
      <c r="N423" s="1255"/>
      <c r="O423" s="1256"/>
    </row>
    <row r="424" spans="1:15" s="643" customFormat="1">
      <c r="A424" s="1389"/>
      <c r="B424" s="1190"/>
      <c r="C424" s="157" t="s">
        <v>1793</v>
      </c>
      <c r="D424" s="203" t="s">
        <v>4</v>
      </c>
      <c r="E424" s="45">
        <v>1</v>
      </c>
      <c r="F424" s="45">
        <f>E424*F423</f>
        <v>8.39</v>
      </c>
      <c r="G424" s="81"/>
      <c r="H424" s="77"/>
      <c r="I424" s="637"/>
      <c r="J424" s="77">
        <f>F424*I424</f>
        <v>0</v>
      </c>
      <c r="K424" s="81"/>
      <c r="L424" s="77"/>
      <c r="M424" s="1252">
        <f t="shared" ref="M424:M432" si="78">H424+J424+L424</f>
        <v>0</v>
      </c>
      <c r="N424" s="1255"/>
      <c r="O424" s="1256"/>
    </row>
    <row r="425" spans="1:15" s="643" customFormat="1">
      <c r="A425" s="1389"/>
      <c r="B425" s="1190"/>
      <c r="C425" s="160" t="s">
        <v>14</v>
      </c>
      <c r="D425" s="203" t="s">
        <v>11</v>
      </c>
      <c r="E425" s="45">
        <v>1.32</v>
      </c>
      <c r="F425" s="45">
        <f>E425*F423</f>
        <v>11.074800000000002</v>
      </c>
      <c r="G425" s="81"/>
      <c r="H425" s="77"/>
      <c r="I425" s="81"/>
      <c r="J425" s="77"/>
      <c r="K425" s="81"/>
      <c r="L425" s="77">
        <f>F425*K425</f>
        <v>0</v>
      </c>
      <c r="M425" s="1252">
        <f t="shared" si="78"/>
        <v>0</v>
      </c>
      <c r="N425" s="1255"/>
      <c r="O425" s="1256"/>
    </row>
    <row r="426" spans="1:15" s="643" customFormat="1">
      <c r="A426" s="1389"/>
      <c r="B426" s="203"/>
      <c r="C426" s="157" t="s">
        <v>91</v>
      </c>
      <c r="D426" s="203" t="s">
        <v>319</v>
      </c>
      <c r="E426" s="45">
        <f>101.5*0.01</f>
        <v>1.0150000000000001</v>
      </c>
      <c r="F426" s="45">
        <f>E426*F423</f>
        <v>8.5158500000000021</v>
      </c>
      <c r="G426" s="81"/>
      <c r="H426" s="77">
        <f t="shared" ref="H426:H432" si="79">F426*G426</f>
        <v>0</v>
      </c>
      <c r="I426" s="81"/>
      <c r="J426" s="77"/>
      <c r="K426" s="81"/>
      <c r="L426" s="77"/>
      <c r="M426" s="1252">
        <f t="shared" si="78"/>
        <v>0</v>
      </c>
      <c r="N426" s="1255"/>
      <c r="O426" s="1256"/>
    </row>
    <row r="427" spans="1:15" s="643" customFormat="1">
      <c r="A427" s="1389"/>
      <c r="B427" s="203"/>
      <c r="C427" s="157" t="s">
        <v>464</v>
      </c>
      <c r="D427" s="203" t="s">
        <v>234</v>
      </c>
      <c r="E427" s="45">
        <f>229*0.01</f>
        <v>2.29</v>
      </c>
      <c r="F427" s="45">
        <f>E427*F423</f>
        <v>19.213100000000001</v>
      </c>
      <c r="G427" s="81"/>
      <c r="H427" s="77">
        <f t="shared" si="79"/>
        <v>0</v>
      </c>
      <c r="I427" s="81"/>
      <c r="J427" s="77"/>
      <c r="K427" s="81"/>
      <c r="L427" s="77"/>
      <c r="M427" s="1252">
        <f t="shared" si="78"/>
        <v>0</v>
      </c>
      <c r="N427" s="1255"/>
      <c r="O427" s="1256"/>
    </row>
    <row r="428" spans="1:15" s="643" customFormat="1">
      <c r="A428" s="1389"/>
      <c r="B428" s="203"/>
      <c r="C428" s="157" t="s">
        <v>222</v>
      </c>
      <c r="D428" s="203" t="s">
        <v>319</v>
      </c>
      <c r="E428" s="45">
        <f>(1.4+4.29+0.34)*0.01</f>
        <v>6.0299999999999992E-2</v>
      </c>
      <c r="F428" s="45">
        <f>F423*E428</f>
        <v>0.50591699999999995</v>
      </c>
      <c r="G428" s="81"/>
      <c r="H428" s="77">
        <f t="shared" si="79"/>
        <v>0</v>
      </c>
      <c r="I428" s="81"/>
      <c r="J428" s="77"/>
      <c r="K428" s="81"/>
      <c r="L428" s="77"/>
      <c r="M428" s="1252">
        <f t="shared" si="78"/>
        <v>0</v>
      </c>
      <c r="N428" s="1255"/>
      <c r="O428" s="1256"/>
    </row>
    <row r="429" spans="1:15" s="643" customFormat="1">
      <c r="A429" s="1389"/>
      <c r="B429" s="203"/>
      <c r="C429" s="157" t="s">
        <v>70</v>
      </c>
      <c r="D429" s="204" t="s">
        <v>6</v>
      </c>
      <c r="E429" s="85">
        <v>2.5</v>
      </c>
      <c r="F429" s="85">
        <f>E429*F423</f>
        <v>20.975000000000001</v>
      </c>
      <c r="G429" s="86"/>
      <c r="H429" s="77">
        <f t="shared" si="79"/>
        <v>0</v>
      </c>
      <c r="I429" s="86"/>
      <c r="J429" s="77"/>
      <c r="K429" s="86"/>
      <c r="L429" s="77"/>
      <c r="M429" s="1252">
        <f t="shared" si="78"/>
        <v>0</v>
      </c>
      <c r="N429" s="1255"/>
      <c r="O429" s="1256"/>
    </row>
    <row r="430" spans="1:15" s="643" customFormat="1">
      <c r="A430" s="1389"/>
      <c r="B430" s="203"/>
      <c r="C430" s="157" t="s">
        <v>26</v>
      </c>
      <c r="D430" s="204" t="s">
        <v>11</v>
      </c>
      <c r="E430" s="85">
        <v>1.2</v>
      </c>
      <c r="F430" s="85">
        <f>E430*F423</f>
        <v>10.068</v>
      </c>
      <c r="G430" s="86"/>
      <c r="H430" s="77">
        <f t="shared" si="79"/>
        <v>0</v>
      </c>
      <c r="I430" s="86"/>
      <c r="J430" s="77"/>
      <c r="K430" s="86"/>
      <c r="L430" s="77"/>
      <c r="M430" s="1252">
        <f t="shared" si="78"/>
        <v>0</v>
      </c>
      <c r="N430" s="1255"/>
      <c r="O430" s="1256"/>
    </row>
    <row r="431" spans="1:15" s="643" customFormat="1">
      <c r="A431" s="1389"/>
      <c r="B431" s="203"/>
      <c r="C431" s="159" t="s">
        <v>426</v>
      </c>
      <c r="D431" s="203" t="s">
        <v>218</v>
      </c>
      <c r="E431" s="45"/>
      <c r="F431" s="82">
        <f>0.71541</f>
        <v>0.71540999999999999</v>
      </c>
      <c r="G431" s="80"/>
      <c r="H431" s="77">
        <f t="shared" si="79"/>
        <v>0</v>
      </c>
      <c r="I431" s="81"/>
      <c r="J431" s="77"/>
      <c r="K431" s="81"/>
      <c r="L431" s="77"/>
      <c r="M431" s="1252">
        <f t="shared" si="78"/>
        <v>0</v>
      </c>
      <c r="N431" s="1255"/>
      <c r="O431" s="1256"/>
    </row>
    <row r="432" spans="1:15" s="643" customFormat="1" hidden="1">
      <c r="A432" s="1389"/>
      <c r="B432" s="203"/>
      <c r="C432" s="159" t="s">
        <v>427</v>
      </c>
      <c r="D432" s="203" t="s">
        <v>218</v>
      </c>
      <c r="E432" s="45"/>
      <c r="F432" s="82">
        <f>0</f>
        <v>0</v>
      </c>
      <c r="G432" s="341">
        <v>2560</v>
      </c>
      <c r="H432" s="77">
        <f t="shared" si="79"/>
        <v>0</v>
      </c>
      <c r="I432" s="81"/>
      <c r="J432" s="77"/>
      <c r="K432" s="81"/>
      <c r="L432" s="77"/>
      <c r="M432" s="1252">
        <f t="shared" si="78"/>
        <v>0</v>
      </c>
      <c r="N432" s="1255"/>
      <c r="O432" s="1256"/>
    </row>
    <row r="433" spans="1:15" s="643" customFormat="1" ht="47.25">
      <c r="A433" s="1389" t="s">
        <v>1715</v>
      </c>
      <c r="B433" s="1190" t="s">
        <v>439</v>
      </c>
      <c r="C433" s="156" t="s">
        <v>1666</v>
      </c>
      <c r="D433" s="75" t="s">
        <v>318</v>
      </c>
      <c r="E433" s="83"/>
      <c r="F433" s="83">
        <v>6</v>
      </c>
      <c r="G433" s="81"/>
      <c r="H433" s="77"/>
      <c r="I433" s="81"/>
      <c r="J433" s="77"/>
      <c r="K433" s="81"/>
      <c r="L433" s="77"/>
      <c r="M433" s="1252"/>
      <c r="N433" s="1255"/>
      <c r="O433" s="1256"/>
    </row>
    <row r="434" spans="1:15" s="643" customFormat="1">
      <c r="A434" s="1389"/>
      <c r="B434" s="1232"/>
      <c r="C434" s="157" t="s">
        <v>1793</v>
      </c>
      <c r="D434" s="203" t="s">
        <v>4</v>
      </c>
      <c r="E434" s="45">
        <v>1</v>
      </c>
      <c r="F434" s="45">
        <f>E434*F433</f>
        <v>6</v>
      </c>
      <c r="G434" s="81"/>
      <c r="H434" s="77"/>
      <c r="I434" s="637"/>
      <c r="J434" s="77">
        <f>F434*I434</f>
        <v>0</v>
      </c>
      <c r="K434" s="81"/>
      <c r="L434" s="77"/>
      <c r="M434" s="1252">
        <f t="shared" ref="M434" si="80">H434+J434+L434</f>
        <v>0</v>
      </c>
      <c r="N434" s="1255"/>
      <c r="O434" s="1256"/>
    </row>
    <row r="435" spans="1:15" s="643" customFormat="1">
      <c r="A435" s="1389"/>
      <c r="B435" s="1190"/>
      <c r="C435" s="160" t="s">
        <v>14</v>
      </c>
      <c r="D435" s="203" t="s">
        <v>11</v>
      </c>
      <c r="E435" s="45">
        <v>1.32</v>
      </c>
      <c r="F435" s="45">
        <f>E435*F433</f>
        <v>7.92</v>
      </c>
      <c r="G435" s="81"/>
      <c r="H435" s="77"/>
      <c r="I435" s="81"/>
      <c r="J435" s="77"/>
      <c r="K435" s="81"/>
      <c r="L435" s="77">
        <f>F435*K435</f>
        <v>0</v>
      </c>
      <c r="M435" s="1252">
        <f t="shared" ref="M435:M442" si="81">H435+J435+L435</f>
        <v>0</v>
      </c>
      <c r="N435" s="1255"/>
      <c r="O435" s="1256"/>
    </row>
    <row r="436" spans="1:15" s="643" customFormat="1">
      <c r="A436" s="1389"/>
      <c r="B436" s="203"/>
      <c r="C436" s="157" t="s">
        <v>91</v>
      </c>
      <c r="D436" s="203" t="s">
        <v>319</v>
      </c>
      <c r="E436" s="45">
        <f>101.5*0.01</f>
        <v>1.0150000000000001</v>
      </c>
      <c r="F436" s="45">
        <f>E436*F433</f>
        <v>6.0900000000000007</v>
      </c>
      <c r="G436" s="81"/>
      <c r="H436" s="77">
        <f t="shared" ref="H436:H442" si="82">F436*G436</f>
        <v>0</v>
      </c>
      <c r="I436" s="81"/>
      <c r="J436" s="77"/>
      <c r="K436" s="81"/>
      <c r="L436" s="77"/>
      <c r="M436" s="1252">
        <f t="shared" si="81"/>
        <v>0</v>
      </c>
      <c r="N436" s="1255"/>
      <c r="O436" s="1256"/>
    </row>
    <row r="437" spans="1:15" s="643" customFormat="1">
      <c r="A437" s="1389"/>
      <c r="B437" s="203"/>
      <c r="C437" s="157" t="s">
        <v>464</v>
      </c>
      <c r="D437" s="203" t="s">
        <v>234</v>
      </c>
      <c r="E437" s="45">
        <f>229*0.01</f>
        <v>2.29</v>
      </c>
      <c r="F437" s="45">
        <f>E437*F433</f>
        <v>13.74</v>
      </c>
      <c r="G437" s="81"/>
      <c r="H437" s="77">
        <f t="shared" si="82"/>
        <v>0</v>
      </c>
      <c r="I437" s="81"/>
      <c r="J437" s="77"/>
      <c r="K437" s="81"/>
      <c r="L437" s="77"/>
      <c r="M437" s="1252">
        <f t="shared" si="81"/>
        <v>0</v>
      </c>
      <c r="N437" s="1255"/>
      <c r="O437" s="1256"/>
    </row>
    <row r="438" spans="1:15" s="643" customFormat="1">
      <c r="A438" s="1389"/>
      <c r="B438" s="203"/>
      <c r="C438" s="157" t="s">
        <v>222</v>
      </c>
      <c r="D438" s="203" t="s">
        <v>319</v>
      </c>
      <c r="E438" s="45">
        <f>(1.4+4.29+0.34)*0.01</f>
        <v>6.0299999999999992E-2</v>
      </c>
      <c r="F438" s="45">
        <f>F433*E438</f>
        <v>0.36179999999999995</v>
      </c>
      <c r="G438" s="81"/>
      <c r="H438" s="77">
        <f t="shared" si="82"/>
        <v>0</v>
      </c>
      <c r="I438" s="81"/>
      <c r="J438" s="77"/>
      <c r="K438" s="81"/>
      <c r="L438" s="77"/>
      <c r="M438" s="1252">
        <f t="shared" si="81"/>
        <v>0</v>
      </c>
      <c r="N438" s="1255"/>
      <c r="O438" s="1256"/>
    </row>
    <row r="439" spans="1:15" s="643" customFormat="1">
      <c r="A439" s="1389"/>
      <c r="B439" s="203"/>
      <c r="C439" s="157" t="s">
        <v>70</v>
      </c>
      <c r="D439" s="204" t="s">
        <v>6</v>
      </c>
      <c r="E439" s="85">
        <v>2.5</v>
      </c>
      <c r="F439" s="85">
        <f>E439*F433</f>
        <v>15</v>
      </c>
      <c r="G439" s="86"/>
      <c r="H439" s="77">
        <f t="shared" si="82"/>
        <v>0</v>
      </c>
      <c r="I439" s="86"/>
      <c r="J439" s="77"/>
      <c r="K439" s="86"/>
      <c r="L439" s="77"/>
      <c r="M439" s="1252">
        <f t="shared" si="81"/>
        <v>0</v>
      </c>
      <c r="N439" s="1255"/>
      <c r="O439" s="1256"/>
    </row>
    <row r="440" spans="1:15" s="643" customFormat="1">
      <c r="A440" s="1389"/>
      <c r="B440" s="203"/>
      <c r="C440" s="157" t="s">
        <v>26</v>
      </c>
      <c r="D440" s="204" t="s">
        <v>11</v>
      </c>
      <c r="E440" s="85">
        <v>1.2</v>
      </c>
      <c r="F440" s="85">
        <f>E440*F433</f>
        <v>7.1999999999999993</v>
      </c>
      <c r="G440" s="86"/>
      <c r="H440" s="77">
        <f t="shared" si="82"/>
        <v>0</v>
      </c>
      <c r="I440" s="86"/>
      <c r="J440" s="77"/>
      <c r="K440" s="86"/>
      <c r="L440" s="77"/>
      <c r="M440" s="1252">
        <f t="shared" si="81"/>
        <v>0</v>
      </c>
      <c r="N440" s="1255"/>
      <c r="O440" s="1256"/>
    </row>
    <row r="441" spans="1:15" s="643" customFormat="1" hidden="1">
      <c r="A441" s="1389"/>
      <c r="B441" s="203"/>
      <c r="C441" s="159" t="s">
        <v>426</v>
      </c>
      <c r="D441" s="203" t="s">
        <v>218</v>
      </c>
      <c r="E441" s="45"/>
      <c r="F441" s="82">
        <f>0</f>
        <v>0</v>
      </c>
      <c r="G441" s="80">
        <v>2458</v>
      </c>
      <c r="H441" s="77">
        <f t="shared" si="82"/>
        <v>0</v>
      </c>
      <c r="I441" s="81"/>
      <c r="J441" s="77"/>
      <c r="K441" s="81"/>
      <c r="L441" s="77"/>
      <c r="M441" s="1252">
        <f t="shared" si="81"/>
        <v>0</v>
      </c>
      <c r="N441" s="1255"/>
      <c r="O441" s="1256"/>
    </row>
    <row r="442" spans="1:15" s="643" customFormat="1" hidden="1">
      <c r="A442" s="1389"/>
      <c r="B442" s="203"/>
      <c r="C442" s="159" t="s">
        <v>427</v>
      </c>
      <c r="D442" s="203" t="s">
        <v>218</v>
      </c>
      <c r="E442" s="45"/>
      <c r="F442" s="82">
        <f>0</f>
        <v>0</v>
      </c>
      <c r="G442" s="341">
        <v>2560</v>
      </c>
      <c r="H442" s="77">
        <f t="shared" si="82"/>
        <v>0</v>
      </c>
      <c r="I442" s="81"/>
      <c r="J442" s="77"/>
      <c r="K442" s="81"/>
      <c r="L442" s="77"/>
      <c r="M442" s="1252">
        <f t="shared" si="81"/>
        <v>0</v>
      </c>
      <c r="N442" s="1255"/>
      <c r="O442" s="1256"/>
    </row>
    <row r="443" spans="1:15" s="643" customFormat="1" ht="47.25">
      <c r="A443" s="1389" t="s">
        <v>1716</v>
      </c>
      <c r="B443" s="1190" t="s">
        <v>439</v>
      </c>
      <c r="C443" s="156" t="s">
        <v>1667</v>
      </c>
      <c r="D443" s="75" t="s">
        <v>318</v>
      </c>
      <c r="E443" s="83"/>
      <c r="F443" s="83">
        <v>58.9</v>
      </c>
      <c r="G443" s="81"/>
      <c r="H443" s="77"/>
      <c r="I443" s="81"/>
      <c r="J443" s="77"/>
      <c r="K443" s="81"/>
      <c r="L443" s="77"/>
      <c r="M443" s="1252"/>
      <c r="N443" s="1255"/>
      <c r="O443" s="1256"/>
    </row>
    <row r="444" spans="1:15" s="643" customFormat="1">
      <c r="A444" s="1389"/>
      <c r="B444" s="1232"/>
      <c r="C444" s="157" t="s">
        <v>1793</v>
      </c>
      <c r="D444" s="203" t="s">
        <v>4</v>
      </c>
      <c r="E444" s="45">
        <v>1</v>
      </c>
      <c r="F444" s="45">
        <f>E444*F443</f>
        <v>58.9</v>
      </c>
      <c r="G444" s="81"/>
      <c r="H444" s="77"/>
      <c r="I444" s="637"/>
      <c r="J444" s="77">
        <f>F444*I444</f>
        <v>0</v>
      </c>
      <c r="K444" s="81"/>
      <c r="L444" s="77"/>
      <c r="M444" s="1252">
        <f t="shared" ref="M444" si="83">H444+J444+L444</f>
        <v>0</v>
      </c>
      <c r="N444" s="1255"/>
      <c r="O444" s="1256"/>
    </row>
    <row r="445" spans="1:15" s="643" customFormat="1">
      <c r="A445" s="1389"/>
      <c r="B445" s="1190"/>
      <c r="C445" s="160" t="s">
        <v>14</v>
      </c>
      <c r="D445" s="203" t="s">
        <v>11</v>
      </c>
      <c r="E445" s="45">
        <v>1.32</v>
      </c>
      <c r="F445" s="45">
        <f>E445*F443</f>
        <v>77.748000000000005</v>
      </c>
      <c r="G445" s="81"/>
      <c r="H445" s="77"/>
      <c r="I445" s="81"/>
      <c r="J445" s="77"/>
      <c r="K445" s="81"/>
      <c r="L445" s="77">
        <f>F445*K445</f>
        <v>0</v>
      </c>
      <c r="M445" s="1252">
        <f t="shared" ref="M445:M452" si="84">H445+J445+L445</f>
        <v>0</v>
      </c>
      <c r="N445" s="1255"/>
      <c r="O445" s="1256"/>
    </row>
    <row r="446" spans="1:15" s="643" customFormat="1">
      <c r="A446" s="1389"/>
      <c r="B446" s="203"/>
      <c r="C446" s="157" t="s">
        <v>91</v>
      </c>
      <c r="D446" s="203" t="s">
        <v>319</v>
      </c>
      <c r="E446" s="45">
        <f>101.5*0.01</f>
        <v>1.0150000000000001</v>
      </c>
      <c r="F446" s="45">
        <f>E446*F443</f>
        <v>59.783500000000004</v>
      </c>
      <c r="G446" s="81"/>
      <c r="H446" s="77">
        <f t="shared" ref="H446:H452" si="85">F446*G446</f>
        <v>0</v>
      </c>
      <c r="I446" s="81"/>
      <c r="J446" s="77"/>
      <c r="K446" s="81"/>
      <c r="L446" s="77"/>
      <c r="M446" s="1252">
        <f t="shared" si="84"/>
        <v>0</v>
      </c>
      <c r="N446" s="1255"/>
      <c r="O446" s="1256"/>
    </row>
    <row r="447" spans="1:15" s="643" customFormat="1">
      <c r="A447" s="1389"/>
      <c r="B447" s="203"/>
      <c r="C447" s="157" t="s">
        <v>464</v>
      </c>
      <c r="D447" s="203" t="s">
        <v>234</v>
      </c>
      <c r="E447" s="45">
        <f>229*0.01</f>
        <v>2.29</v>
      </c>
      <c r="F447" s="45">
        <f>E447*F443</f>
        <v>134.881</v>
      </c>
      <c r="G447" s="81"/>
      <c r="H447" s="77">
        <f t="shared" si="85"/>
        <v>0</v>
      </c>
      <c r="I447" s="81"/>
      <c r="J447" s="77"/>
      <c r="K447" s="81"/>
      <c r="L447" s="77"/>
      <c r="M447" s="1252">
        <f t="shared" si="84"/>
        <v>0</v>
      </c>
      <c r="N447" s="1255"/>
      <c r="O447" s="1256"/>
    </row>
    <row r="448" spans="1:15" s="643" customFormat="1">
      <c r="A448" s="1389"/>
      <c r="B448" s="203"/>
      <c r="C448" s="157" t="s">
        <v>222</v>
      </c>
      <c r="D448" s="203" t="s">
        <v>319</v>
      </c>
      <c r="E448" s="45">
        <f>(1.4+4.29+0.34)*0.01</f>
        <v>6.0299999999999992E-2</v>
      </c>
      <c r="F448" s="45">
        <f>F443*E448</f>
        <v>3.5516699999999997</v>
      </c>
      <c r="G448" s="81"/>
      <c r="H448" s="77">
        <f t="shared" si="85"/>
        <v>0</v>
      </c>
      <c r="I448" s="81"/>
      <c r="J448" s="77"/>
      <c r="K448" s="81"/>
      <c r="L448" s="77"/>
      <c r="M448" s="1252">
        <f t="shared" si="84"/>
        <v>0</v>
      </c>
      <c r="N448" s="1255"/>
      <c r="O448" s="1256"/>
    </row>
    <row r="449" spans="1:15" s="643" customFormat="1">
      <c r="A449" s="1389"/>
      <c r="B449" s="203"/>
      <c r="C449" s="157" t="s">
        <v>70</v>
      </c>
      <c r="D449" s="204" t="s">
        <v>6</v>
      </c>
      <c r="E449" s="85">
        <v>2.5</v>
      </c>
      <c r="F449" s="85">
        <f>E449*F443</f>
        <v>147.25</v>
      </c>
      <c r="G449" s="86"/>
      <c r="H449" s="77">
        <f t="shared" si="85"/>
        <v>0</v>
      </c>
      <c r="I449" s="86"/>
      <c r="J449" s="77"/>
      <c r="K449" s="86"/>
      <c r="L449" s="77"/>
      <c r="M449" s="1252">
        <f t="shared" si="84"/>
        <v>0</v>
      </c>
      <c r="N449" s="1255"/>
      <c r="O449" s="1256"/>
    </row>
    <row r="450" spans="1:15" s="643" customFormat="1">
      <c r="A450" s="1389"/>
      <c r="B450" s="203"/>
      <c r="C450" s="157" t="s">
        <v>26</v>
      </c>
      <c r="D450" s="204" t="s">
        <v>11</v>
      </c>
      <c r="E450" s="85">
        <v>1.2</v>
      </c>
      <c r="F450" s="85">
        <f>E450*F443</f>
        <v>70.679999999999993</v>
      </c>
      <c r="G450" s="86"/>
      <c r="H450" s="77">
        <f t="shared" si="85"/>
        <v>0</v>
      </c>
      <c r="I450" s="86"/>
      <c r="J450" s="77"/>
      <c r="K450" s="86"/>
      <c r="L450" s="77"/>
      <c r="M450" s="1252">
        <f t="shared" si="84"/>
        <v>0</v>
      </c>
      <c r="N450" s="1255"/>
      <c r="O450" s="1256"/>
    </row>
    <row r="451" spans="1:15" s="643" customFormat="1">
      <c r="A451" s="1389"/>
      <c r="B451" s="203"/>
      <c r="C451" s="159" t="s">
        <v>426</v>
      </c>
      <c r="D451" s="203" t="s">
        <v>218</v>
      </c>
      <c r="E451" s="45"/>
      <c r="F451" s="82">
        <f>4.80654</f>
        <v>4.80654</v>
      </c>
      <c r="G451" s="80"/>
      <c r="H451" s="77">
        <f t="shared" si="85"/>
        <v>0</v>
      </c>
      <c r="I451" s="81"/>
      <c r="J451" s="77"/>
      <c r="K451" s="81"/>
      <c r="L451" s="77"/>
      <c r="M451" s="1252">
        <f t="shared" si="84"/>
        <v>0</v>
      </c>
      <c r="N451" s="1255"/>
      <c r="O451" s="1256"/>
    </row>
    <row r="452" spans="1:15" s="643" customFormat="1" hidden="1">
      <c r="A452" s="1389"/>
      <c r="B452" s="203"/>
      <c r="C452" s="159" t="s">
        <v>427</v>
      </c>
      <c r="D452" s="203" t="s">
        <v>218</v>
      </c>
      <c r="E452" s="45"/>
      <c r="F452" s="82">
        <f>0</f>
        <v>0</v>
      </c>
      <c r="G452" s="341">
        <v>2560</v>
      </c>
      <c r="H452" s="77">
        <f t="shared" si="85"/>
        <v>0</v>
      </c>
      <c r="I452" s="81"/>
      <c r="J452" s="77"/>
      <c r="K452" s="81"/>
      <c r="L452" s="77"/>
      <c r="M452" s="1252">
        <f t="shared" si="84"/>
        <v>0</v>
      </c>
      <c r="N452" s="1255"/>
      <c r="O452" s="1256"/>
    </row>
    <row r="453" spans="1:15" s="643" customFormat="1" ht="31.5" hidden="1">
      <c r="A453" s="1413" t="s">
        <v>435</v>
      </c>
      <c r="B453" s="42" t="s">
        <v>753</v>
      </c>
      <c r="C453" s="152" t="s">
        <v>459</v>
      </c>
      <c r="D453" s="63" t="s">
        <v>5</v>
      </c>
      <c r="E453" s="554"/>
      <c r="F453" s="20">
        <v>0</v>
      </c>
      <c r="G453" s="146"/>
      <c r="H453" s="77"/>
      <c r="I453" s="77"/>
      <c r="J453" s="77"/>
      <c r="K453" s="77"/>
      <c r="L453" s="77"/>
      <c r="M453" s="1252"/>
      <c r="N453" s="1255"/>
      <c r="O453" s="1256"/>
    </row>
    <row r="454" spans="1:15" s="643" customFormat="1" hidden="1">
      <c r="A454" s="1413"/>
      <c r="B454" s="1142"/>
      <c r="C454" s="154" t="s">
        <v>458</v>
      </c>
      <c r="D454" s="63" t="s">
        <v>5</v>
      </c>
      <c r="E454" s="554">
        <f>(18.8-0.34*3)/100</f>
        <v>0.17780000000000001</v>
      </c>
      <c r="F454" s="78">
        <f>F453*E454</f>
        <v>0</v>
      </c>
      <c r="G454" s="146"/>
      <c r="H454" s="77"/>
      <c r="I454" s="77">
        <v>7.8</v>
      </c>
      <c r="J454" s="77">
        <f>F454*I454</f>
        <v>0</v>
      </c>
      <c r="K454" s="77"/>
      <c r="L454" s="77"/>
      <c r="M454" s="1252">
        <f>H454+J454+L454</f>
        <v>0</v>
      </c>
      <c r="N454" s="1255"/>
      <c r="O454" s="1256"/>
    </row>
    <row r="455" spans="1:15" s="643" customFormat="1" hidden="1">
      <c r="A455" s="1413"/>
      <c r="B455" s="1142"/>
      <c r="C455" s="154" t="s">
        <v>25</v>
      </c>
      <c r="D455" s="63" t="s">
        <v>11</v>
      </c>
      <c r="E455" s="554">
        <f>(0.95-0.23*3)/100</f>
        <v>2.599999999999999E-3</v>
      </c>
      <c r="F455" s="78">
        <f>F453*E455</f>
        <v>0</v>
      </c>
      <c r="G455" s="146"/>
      <c r="H455" s="77"/>
      <c r="I455" s="77"/>
      <c r="J455" s="77"/>
      <c r="K455" s="77">
        <v>4</v>
      </c>
      <c r="L455" s="77">
        <f>F455*K455</f>
        <v>0</v>
      </c>
      <c r="M455" s="1252">
        <f>H455+J455+L455</f>
        <v>0</v>
      </c>
      <c r="N455" s="1255"/>
      <c r="O455" s="1256"/>
    </row>
    <row r="456" spans="1:15" s="643" customFormat="1" hidden="1">
      <c r="A456" s="1413"/>
      <c r="B456" s="1142"/>
      <c r="C456" s="154" t="s">
        <v>1095</v>
      </c>
      <c r="D456" s="63" t="s">
        <v>6</v>
      </c>
      <c r="E456" s="554">
        <v>1</v>
      </c>
      <c r="F456" s="78">
        <f>F453*E456</f>
        <v>0</v>
      </c>
      <c r="G456" s="77">
        <v>10</v>
      </c>
      <c r="H456" s="77">
        <f t="shared" ref="H456" si="86">F456*G456</f>
        <v>0</v>
      </c>
      <c r="I456" s="77"/>
      <c r="J456" s="77"/>
      <c r="K456" s="77"/>
      <c r="L456" s="77"/>
      <c r="M456" s="1252">
        <f>H456+J456+L456</f>
        <v>0</v>
      </c>
      <c r="N456" s="1255"/>
      <c r="O456" s="1256"/>
    </row>
    <row r="457" spans="1:15" s="643" customFormat="1" ht="31.5">
      <c r="A457" s="1390" t="s">
        <v>1717</v>
      </c>
      <c r="B457" s="42" t="s">
        <v>752</v>
      </c>
      <c r="C457" s="151" t="s">
        <v>1551</v>
      </c>
      <c r="D457" s="553" t="s">
        <v>1</v>
      </c>
      <c r="E457" s="554"/>
      <c r="F457" s="20">
        <v>670</v>
      </c>
      <c r="G457" s="146"/>
      <c r="H457" s="77"/>
      <c r="I457" s="77"/>
      <c r="J457" s="77"/>
      <c r="K457" s="77"/>
      <c r="L457" s="77"/>
      <c r="M457" s="1252"/>
      <c r="N457" s="1255"/>
      <c r="O457" s="1256"/>
    </row>
    <row r="458" spans="1:15" s="643" customFormat="1">
      <c r="A458" s="1391"/>
      <c r="B458" s="1142"/>
      <c r="C458" s="150" t="s">
        <v>1794</v>
      </c>
      <c r="D458" s="64" t="s">
        <v>1</v>
      </c>
      <c r="E458" s="277">
        <v>1</v>
      </c>
      <c r="F458" s="282">
        <f>F457*E458</f>
        <v>670</v>
      </c>
      <c r="G458" s="77"/>
      <c r="H458" s="77"/>
      <c r="I458" s="77"/>
      <c r="J458" s="77">
        <f>F458*I458</f>
        <v>0</v>
      </c>
      <c r="K458" s="77"/>
      <c r="L458" s="77"/>
      <c r="M458" s="1252">
        <f>H458+J458+L458</f>
        <v>0</v>
      </c>
      <c r="N458" s="1255"/>
      <c r="O458" s="1256"/>
    </row>
    <row r="459" spans="1:15" s="643" customFormat="1">
      <c r="A459" s="1391"/>
      <c r="B459" s="1142"/>
      <c r="C459" s="150" t="s">
        <v>21</v>
      </c>
      <c r="D459" s="63" t="s">
        <v>11</v>
      </c>
      <c r="E459" s="277">
        <v>2E-3</v>
      </c>
      <c r="F459" s="282">
        <f>F457*E459</f>
        <v>1.34</v>
      </c>
      <c r="G459" s="77"/>
      <c r="H459" s="77"/>
      <c r="I459" s="77"/>
      <c r="J459" s="77"/>
      <c r="K459" s="77"/>
      <c r="L459" s="77">
        <f>F459*K459</f>
        <v>0</v>
      </c>
      <c r="M459" s="1252">
        <f>H459+J459+L459</f>
        <v>0</v>
      </c>
      <c r="N459" s="1255"/>
      <c r="O459" s="1256"/>
    </row>
    <row r="460" spans="1:15" s="643" customFormat="1">
      <c r="A460" s="1391"/>
      <c r="B460" s="1142"/>
      <c r="C460" s="154" t="s">
        <v>1773</v>
      </c>
      <c r="D460" s="63" t="s">
        <v>1</v>
      </c>
      <c r="E460" s="554">
        <v>1.05</v>
      </c>
      <c r="F460" s="78">
        <f>F457*E460</f>
        <v>703.5</v>
      </c>
      <c r="G460" s="77"/>
      <c r="H460" s="77">
        <f t="shared" ref="H460:H461" si="87">F460*G460</f>
        <v>0</v>
      </c>
      <c r="I460" s="77"/>
      <c r="J460" s="77"/>
      <c r="K460" s="77"/>
      <c r="L460" s="77"/>
      <c r="M460" s="1252">
        <f>H460+J460+L460</f>
        <v>0</v>
      </c>
      <c r="N460" s="1255"/>
      <c r="O460" s="1256"/>
    </row>
    <row r="461" spans="1:15" s="643" customFormat="1">
      <c r="A461" s="1392"/>
      <c r="B461" s="1142"/>
      <c r="C461" s="150" t="s">
        <v>19</v>
      </c>
      <c r="D461" s="63" t="s">
        <v>11</v>
      </c>
      <c r="E461" s="277">
        <v>2E-3</v>
      </c>
      <c r="F461" s="282">
        <f>F457*E461</f>
        <v>1.34</v>
      </c>
      <c r="G461" s="77"/>
      <c r="H461" s="77">
        <f t="shared" si="87"/>
        <v>0</v>
      </c>
      <c r="I461" s="77"/>
      <c r="J461" s="77"/>
      <c r="K461" s="77"/>
      <c r="L461" s="77"/>
      <c r="M461" s="1252">
        <f>H461+J461+L461</f>
        <v>0</v>
      </c>
      <c r="N461" s="1255"/>
      <c r="O461" s="1256"/>
    </row>
    <row r="462" spans="1:15" s="643" customFormat="1" ht="27" hidden="1">
      <c r="A462" s="1393" t="s">
        <v>1717</v>
      </c>
      <c r="B462" s="1159" t="s">
        <v>1595</v>
      </c>
      <c r="C462" s="286" t="s">
        <v>1596</v>
      </c>
      <c r="D462" s="1140"/>
      <c r="E462" s="57"/>
      <c r="F462" s="57"/>
      <c r="G462" s="1166"/>
      <c r="H462" s="1166"/>
      <c r="I462" s="1166"/>
      <c r="J462" s="1166"/>
      <c r="K462" s="1166"/>
      <c r="L462" s="1166"/>
      <c r="M462" s="1257"/>
      <c r="N462" s="1255"/>
      <c r="O462" s="1256"/>
    </row>
    <row r="463" spans="1:15" s="643" customFormat="1" hidden="1">
      <c r="A463" s="1394"/>
      <c r="B463" s="1160"/>
      <c r="C463" s="1167" t="s">
        <v>1601</v>
      </c>
      <c r="D463" s="651" t="s">
        <v>7</v>
      </c>
      <c r="E463" s="1168"/>
      <c r="F463" s="57"/>
      <c r="G463" s="1166"/>
      <c r="H463" s="1166"/>
      <c r="I463" s="1166"/>
      <c r="J463" s="1166"/>
      <c r="K463" s="1166"/>
      <c r="L463" s="1166"/>
      <c r="M463" s="1257"/>
      <c r="N463" s="1255"/>
      <c r="O463" s="1256"/>
    </row>
    <row r="464" spans="1:15" s="643" customFormat="1" hidden="1">
      <c r="A464" s="1394"/>
      <c r="B464" s="1160"/>
      <c r="C464" s="1167" t="s">
        <v>1602</v>
      </c>
      <c r="D464" s="651" t="s">
        <v>7</v>
      </c>
      <c r="E464" s="1168"/>
      <c r="F464" s="57"/>
      <c r="G464" s="1166"/>
      <c r="H464" s="1166"/>
      <c r="I464" s="1166"/>
      <c r="J464" s="1166"/>
      <c r="K464" s="1166"/>
      <c r="L464" s="1166"/>
      <c r="M464" s="1257"/>
      <c r="N464" s="1255"/>
      <c r="O464" s="1256"/>
    </row>
    <row r="465" spans="1:15" s="643" customFormat="1" hidden="1">
      <c r="A465" s="1394"/>
      <c r="B465" s="1160"/>
      <c r="C465" s="1167" t="s">
        <v>1603</v>
      </c>
      <c r="D465" s="651" t="s">
        <v>7</v>
      </c>
      <c r="E465" s="1168"/>
      <c r="F465" s="57"/>
      <c r="G465" s="1166"/>
      <c r="H465" s="1166"/>
      <c r="I465" s="1166"/>
      <c r="J465" s="1166"/>
      <c r="K465" s="1166"/>
      <c r="L465" s="1166"/>
      <c r="M465" s="1257"/>
      <c r="N465" s="1255"/>
      <c r="O465" s="1256"/>
    </row>
    <row r="466" spans="1:15" s="643" customFormat="1" hidden="1">
      <c r="A466" s="1394"/>
      <c r="B466" s="1160"/>
      <c r="C466" s="1169" t="s">
        <v>1493</v>
      </c>
      <c r="D466" s="1170" t="s">
        <v>7</v>
      </c>
      <c r="E466" s="1161"/>
      <c r="F466" s="857">
        <f>SUM(E463:E465)</f>
        <v>0</v>
      </c>
      <c r="G466" s="1166"/>
      <c r="H466" s="1166"/>
      <c r="I466" s="1166"/>
      <c r="J466" s="1166"/>
      <c r="K466" s="1166"/>
      <c r="L466" s="1166"/>
      <c r="M466" s="1257"/>
      <c r="N466" s="1255"/>
      <c r="O466" s="1256"/>
    </row>
    <row r="467" spans="1:15" s="643" customFormat="1" hidden="1">
      <c r="A467" s="1394"/>
      <c r="B467" s="1162"/>
      <c r="C467" s="1075" t="s">
        <v>13</v>
      </c>
      <c r="D467" s="1138" t="s">
        <v>15</v>
      </c>
      <c r="E467" s="26">
        <v>39.200000000000003</v>
      </c>
      <c r="F467" s="26">
        <f>F466*E467</f>
        <v>0</v>
      </c>
      <c r="G467" s="1163"/>
      <c r="H467" s="1164"/>
      <c r="I467" s="1163">
        <v>7.8</v>
      </c>
      <c r="J467" s="1164">
        <f>F467*I467</f>
        <v>0</v>
      </c>
      <c r="K467" s="1163"/>
      <c r="L467" s="1164"/>
      <c r="M467" s="1257">
        <f>H467+J467+L467</f>
        <v>0</v>
      </c>
      <c r="N467" s="1255"/>
      <c r="O467" s="1256"/>
    </row>
    <row r="468" spans="1:15" s="643" customFormat="1" hidden="1">
      <c r="A468" s="1394"/>
      <c r="B468" s="1162"/>
      <c r="C468" s="422" t="s">
        <v>14</v>
      </c>
      <c r="D468" s="1138" t="s">
        <v>11</v>
      </c>
      <c r="E468" s="233">
        <v>14.8</v>
      </c>
      <c r="F468" s="233">
        <f>F466*E468</f>
        <v>0</v>
      </c>
      <c r="G468" s="1163"/>
      <c r="H468" s="1164"/>
      <c r="I468" s="1163"/>
      <c r="J468" s="1164"/>
      <c r="K468" s="1163">
        <v>4</v>
      </c>
      <c r="L468" s="1164">
        <f>F468*K468</f>
        <v>0</v>
      </c>
      <c r="M468" s="1257">
        <f>H468+J468+L468</f>
        <v>0</v>
      </c>
      <c r="N468" s="1255"/>
      <c r="O468" s="1256"/>
    </row>
    <row r="469" spans="1:15" s="643" customFormat="1" hidden="1">
      <c r="A469" s="1394"/>
      <c r="B469" s="1162"/>
      <c r="C469" s="1165" t="s">
        <v>1597</v>
      </c>
      <c r="D469" s="1138" t="s">
        <v>7</v>
      </c>
      <c r="E469" s="26">
        <v>1</v>
      </c>
      <c r="F469" s="26"/>
      <c r="G469" s="1163"/>
      <c r="H469" s="1164"/>
      <c r="I469" s="1163"/>
      <c r="J469" s="1164"/>
      <c r="K469" s="1163"/>
      <c r="L469" s="1164"/>
      <c r="M469" s="1257"/>
      <c r="N469" s="1255"/>
      <c r="O469" s="1256"/>
    </row>
    <row r="470" spans="1:15" s="643" customFormat="1" hidden="1">
      <c r="A470" s="1394"/>
      <c r="B470" s="1162"/>
      <c r="C470" s="1075" t="s">
        <v>1598</v>
      </c>
      <c r="D470" s="1138" t="s">
        <v>7</v>
      </c>
      <c r="E470" s="26"/>
      <c r="F470" s="26">
        <f>E463</f>
        <v>0</v>
      </c>
      <c r="G470" s="1163">
        <v>2610</v>
      </c>
      <c r="H470" s="1164">
        <f>F470*G470</f>
        <v>0</v>
      </c>
      <c r="I470" s="1163"/>
      <c r="J470" s="1164"/>
      <c r="K470" s="1163"/>
      <c r="L470" s="1164"/>
      <c r="M470" s="1257">
        <f>H470+J470+L470</f>
        <v>0</v>
      </c>
      <c r="N470" s="1255"/>
      <c r="O470" s="1256"/>
    </row>
    <row r="471" spans="1:15" s="643" customFormat="1" hidden="1">
      <c r="A471" s="1394"/>
      <c r="B471" s="1162"/>
      <c r="C471" s="1075" t="s">
        <v>1599</v>
      </c>
      <c r="D471" s="1138" t="s">
        <v>7</v>
      </c>
      <c r="E471" s="26"/>
      <c r="F471" s="26">
        <f>E464</f>
        <v>0</v>
      </c>
      <c r="G471" s="1163">
        <v>2610</v>
      </c>
      <c r="H471" s="1164">
        <f>F471*G471</f>
        <v>0</v>
      </c>
      <c r="I471" s="1163"/>
      <c r="J471" s="1164"/>
      <c r="K471" s="1163"/>
      <c r="L471" s="1164"/>
      <c r="M471" s="1257">
        <f>H471+J471+L471</f>
        <v>0</v>
      </c>
      <c r="N471" s="1255"/>
      <c r="O471" s="1256"/>
    </row>
    <row r="472" spans="1:15" s="643" customFormat="1" hidden="1">
      <c r="A472" s="1394"/>
      <c r="B472" s="1162"/>
      <c r="C472" s="1075" t="s">
        <v>1600</v>
      </c>
      <c r="D472" s="1138" t="s">
        <v>7</v>
      </c>
      <c r="E472" s="26"/>
      <c r="F472" s="26">
        <f>E465</f>
        <v>0</v>
      </c>
      <c r="G472" s="1163">
        <v>2560</v>
      </c>
      <c r="H472" s="1164">
        <f>F472*G472</f>
        <v>0</v>
      </c>
      <c r="I472" s="1163"/>
      <c r="J472" s="1164"/>
      <c r="K472" s="1163"/>
      <c r="L472" s="1164"/>
      <c r="M472" s="1257">
        <f>H472+J472+L472</f>
        <v>0</v>
      </c>
      <c r="N472" s="1255"/>
      <c r="O472" s="1256"/>
    </row>
    <row r="473" spans="1:15" s="643" customFormat="1" hidden="1">
      <c r="A473" s="1394"/>
      <c r="B473" s="1162"/>
      <c r="C473" s="1075" t="s">
        <v>70</v>
      </c>
      <c r="D473" s="1138" t="s">
        <v>6</v>
      </c>
      <c r="E473" s="26" t="s">
        <v>93</v>
      </c>
      <c r="F473" s="415">
        <v>0</v>
      </c>
      <c r="G473" s="1163">
        <v>4.58</v>
      </c>
      <c r="H473" s="1164">
        <f>F473*G473</f>
        <v>0</v>
      </c>
      <c r="I473" s="1163"/>
      <c r="J473" s="1164"/>
      <c r="K473" s="1163"/>
      <c r="L473" s="1164"/>
      <c r="M473" s="1257">
        <f>H473+J473+L473</f>
        <v>0</v>
      </c>
      <c r="N473" s="1255"/>
      <c r="O473" s="1256"/>
    </row>
    <row r="474" spans="1:15" s="643" customFormat="1" hidden="1">
      <c r="A474" s="1395"/>
      <c r="B474" s="1162"/>
      <c r="C474" s="392" t="s">
        <v>19</v>
      </c>
      <c r="D474" s="1138" t="s">
        <v>11</v>
      </c>
      <c r="E474" s="26">
        <f>0.4</f>
        <v>0.4</v>
      </c>
      <c r="F474" s="26">
        <f>F466*E474</f>
        <v>0</v>
      </c>
      <c r="G474" s="1163">
        <v>4</v>
      </c>
      <c r="H474" s="1164">
        <f>F474*G474</f>
        <v>0</v>
      </c>
      <c r="I474" s="1164"/>
      <c r="J474" s="1164"/>
      <c r="K474" s="1163"/>
      <c r="L474" s="1164"/>
      <c r="M474" s="1257">
        <f>H474+J474+L474</f>
        <v>0</v>
      </c>
      <c r="N474" s="1255"/>
      <c r="O474" s="1256"/>
    </row>
    <row r="475" spans="1:15" s="643" customFormat="1" ht="31.5">
      <c r="A475" s="1389" t="s">
        <v>1767</v>
      </c>
      <c r="B475" s="1190" t="s">
        <v>1669</v>
      </c>
      <c r="C475" s="163" t="s">
        <v>1668</v>
      </c>
      <c r="D475" s="75" t="s">
        <v>318</v>
      </c>
      <c r="E475" s="83"/>
      <c r="F475" s="83">
        <v>80.48</v>
      </c>
      <c r="G475" s="81"/>
      <c r="H475" s="77"/>
      <c r="I475" s="81"/>
      <c r="J475" s="77"/>
      <c r="K475" s="81"/>
      <c r="L475" s="77"/>
      <c r="M475" s="1252"/>
      <c r="N475" s="1255"/>
      <c r="O475" s="1256"/>
    </row>
    <row r="476" spans="1:15" s="643" customFormat="1">
      <c r="A476" s="1389"/>
      <c r="B476" s="1190"/>
      <c r="C476" s="157" t="s">
        <v>1795</v>
      </c>
      <c r="D476" s="203" t="s">
        <v>4</v>
      </c>
      <c r="E476" s="45">
        <v>1</v>
      </c>
      <c r="F476" s="45">
        <f>E476*F475</f>
        <v>80.48</v>
      </c>
      <c r="G476" s="81"/>
      <c r="H476" s="77"/>
      <c r="I476" s="637"/>
      <c r="J476" s="77">
        <f>F476*I476</f>
        <v>0</v>
      </c>
      <c r="K476" s="81"/>
      <c r="L476" s="77"/>
      <c r="M476" s="1252">
        <f t="shared" ref="M476:M485" si="88">H476+J476+L476</f>
        <v>0</v>
      </c>
      <c r="N476" s="1255"/>
      <c r="O476" s="1256"/>
    </row>
    <row r="477" spans="1:15" s="643" customFormat="1">
      <c r="A477" s="1389"/>
      <c r="B477" s="1190"/>
      <c r="C477" s="160" t="s">
        <v>14</v>
      </c>
      <c r="D477" s="203" t="s">
        <v>11</v>
      </c>
      <c r="E477" s="45">
        <v>1</v>
      </c>
      <c r="F477" s="45">
        <f>E477*F475</f>
        <v>80.48</v>
      </c>
      <c r="G477" s="81"/>
      <c r="H477" s="77"/>
      <c r="I477" s="81"/>
      <c r="J477" s="77"/>
      <c r="K477" s="81"/>
      <c r="L477" s="77">
        <f>F477*K477</f>
        <v>0</v>
      </c>
      <c r="M477" s="1252">
        <f t="shared" si="88"/>
        <v>0</v>
      </c>
      <c r="N477" s="1255"/>
      <c r="O477" s="1256"/>
    </row>
    <row r="478" spans="1:15" s="643" customFormat="1">
      <c r="A478" s="1389"/>
      <c r="B478" s="203"/>
      <c r="C478" s="157" t="s">
        <v>91</v>
      </c>
      <c r="D478" s="203" t="s">
        <v>319</v>
      </c>
      <c r="E478" s="45">
        <v>1.0149999999999999</v>
      </c>
      <c r="F478" s="45">
        <f>E478*F475</f>
        <v>81.68719999999999</v>
      </c>
      <c r="G478" s="81"/>
      <c r="H478" s="77">
        <f t="shared" ref="H478:H485" si="89">F478*G478</f>
        <v>0</v>
      </c>
      <c r="I478" s="81"/>
      <c r="J478" s="77"/>
      <c r="K478" s="81"/>
      <c r="L478" s="77"/>
      <c r="M478" s="1252">
        <f t="shared" si="88"/>
        <v>0</v>
      </c>
      <c r="N478" s="1255"/>
      <c r="O478" s="1256"/>
    </row>
    <row r="479" spans="1:15" s="643" customFormat="1">
      <c r="A479" s="1389"/>
      <c r="B479" s="203"/>
      <c r="C479" s="157" t="s">
        <v>464</v>
      </c>
      <c r="D479" s="203" t="s">
        <v>234</v>
      </c>
      <c r="E479" s="45">
        <v>1.32</v>
      </c>
      <c r="F479" s="45">
        <f>E479*F475</f>
        <v>106.23360000000001</v>
      </c>
      <c r="G479" s="81"/>
      <c r="H479" s="77">
        <f t="shared" si="89"/>
        <v>0</v>
      </c>
      <c r="I479" s="81"/>
      <c r="J479" s="77"/>
      <c r="K479" s="81"/>
      <c r="L479" s="77"/>
      <c r="M479" s="1252">
        <f t="shared" si="88"/>
        <v>0</v>
      </c>
      <c r="N479" s="1255"/>
      <c r="O479" s="1256"/>
    </row>
    <row r="480" spans="1:15" s="643" customFormat="1">
      <c r="A480" s="1389"/>
      <c r="B480" s="203"/>
      <c r="C480" s="157" t="s">
        <v>222</v>
      </c>
      <c r="D480" s="203" t="s">
        <v>319</v>
      </c>
      <c r="E480" s="45">
        <f>(0.24+2.75)*0.01</f>
        <v>2.9900000000000003E-2</v>
      </c>
      <c r="F480" s="45">
        <f>F475*E480</f>
        <v>2.4063520000000005</v>
      </c>
      <c r="G480" s="81"/>
      <c r="H480" s="77">
        <f t="shared" si="89"/>
        <v>0</v>
      </c>
      <c r="I480" s="81"/>
      <c r="J480" s="77"/>
      <c r="K480" s="81"/>
      <c r="L480" s="77"/>
      <c r="M480" s="1252">
        <f t="shared" si="88"/>
        <v>0</v>
      </c>
      <c r="N480" s="1255"/>
      <c r="O480" s="1256"/>
    </row>
    <row r="481" spans="1:15" s="643" customFormat="1">
      <c r="A481" s="1389"/>
      <c r="B481" s="203"/>
      <c r="C481" s="157" t="s">
        <v>1670</v>
      </c>
      <c r="D481" s="204" t="s">
        <v>6</v>
      </c>
      <c r="E481" s="85">
        <v>1.6</v>
      </c>
      <c r="F481" s="85">
        <f>F475*E481</f>
        <v>128.768</v>
      </c>
      <c r="G481" s="86"/>
      <c r="H481" s="77">
        <f t="shared" si="89"/>
        <v>0</v>
      </c>
      <c r="I481" s="86"/>
      <c r="J481" s="77"/>
      <c r="K481" s="86"/>
      <c r="L481" s="77"/>
      <c r="M481" s="1252">
        <f t="shared" si="88"/>
        <v>0</v>
      </c>
      <c r="N481" s="1255"/>
      <c r="O481" s="1256"/>
    </row>
    <row r="482" spans="1:15" s="643" customFormat="1">
      <c r="A482" s="1389"/>
      <c r="B482" s="203"/>
      <c r="C482" s="157" t="s">
        <v>70</v>
      </c>
      <c r="D482" s="204" t="s">
        <v>6</v>
      </c>
      <c r="E482" s="85">
        <v>2</v>
      </c>
      <c r="F482" s="85">
        <f>E482*F475</f>
        <v>160.96</v>
      </c>
      <c r="G482" s="86"/>
      <c r="H482" s="77">
        <f t="shared" si="89"/>
        <v>0</v>
      </c>
      <c r="I482" s="86"/>
      <c r="J482" s="77"/>
      <c r="K482" s="86"/>
      <c r="L482" s="77"/>
      <c r="M482" s="1252">
        <f t="shared" si="88"/>
        <v>0</v>
      </c>
      <c r="N482" s="1255"/>
      <c r="O482" s="1256"/>
    </row>
    <row r="483" spans="1:15" s="643" customFormat="1">
      <c r="A483" s="1389"/>
      <c r="B483" s="203"/>
      <c r="C483" s="157" t="s">
        <v>26</v>
      </c>
      <c r="D483" s="204" t="s">
        <v>11</v>
      </c>
      <c r="E483" s="85">
        <v>0.3</v>
      </c>
      <c r="F483" s="85">
        <f>E483*F475</f>
        <v>24.144000000000002</v>
      </c>
      <c r="G483" s="86"/>
      <c r="H483" s="77">
        <f t="shared" si="89"/>
        <v>0</v>
      </c>
      <c r="I483" s="86"/>
      <c r="J483" s="77"/>
      <c r="K483" s="86"/>
      <c r="L483" s="77"/>
      <c r="M483" s="1252">
        <f t="shared" si="88"/>
        <v>0</v>
      </c>
      <c r="N483" s="1255"/>
      <c r="O483" s="1256"/>
    </row>
    <row r="484" spans="1:15" s="643" customFormat="1">
      <c r="A484" s="1389"/>
      <c r="B484" s="203"/>
      <c r="C484" s="159" t="s">
        <v>426</v>
      </c>
      <c r="D484" s="203" t="s">
        <v>218</v>
      </c>
      <c r="E484" s="45"/>
      <c r="F484" s="82">
        <f>11.90713+4.62001+4.86426</f>
        <v>21.391399999999997</v>
      </c>
      <c r="G484" s="80"/>
      <c r="H484" s="77">
        <f t="shared" si="89"/>
        <v>0</v>
      </c>
      <c r="I484" s="81"/>
      <c r="J484" s="77"/>
      <c r="K484" s="81"/>
      <c r="L484" s="77"/>
      <c r="M484" s="1252">
        <f t="shared" si="88"/>
        <v>0</v>
      </c>
      <c r="N484" s="1255"/>
      <c r="O484" s="1256"/>
    </row>
    <row r="485" spans="1:15" s="643" customFormat="1">
      <c r="A485" s="1389"/>
      <c r="B485" s="203"/>
      <c r="C485" s="159" t="s">
        <v>427</v>
      </c>
      <c r="D485" s="203" t="s">
        <v>218</v>
      </c>
      <c r="E485" s="45"/>
      <c r="F485" s="82">
        <f>0.21071+0.17875</f>
        <v>0.38946000000000003</v>
      </c>
      <c r="G485" s="341"/>
      <c r="H485" s="77">
        <f t="shared" si="89"/>
        <v>0</v>
      </c>
      <c r="I485" s="81"/>
      <c r="J485" s="77"/>
      <c r="K485" s="81"/>
      <c r="L485" s="77"/>
      <c r="M485" s="1252">
        <f t="shared" si="88"/>
        <v>0</v>
      </c>
      <c r="N485" s="1255"/>
      <c r="O485" s="1256"/>
    </row>
    <row r="486" spans="1:15" s="643" customFormat="1" ht="31.5">
      <c r="A486" s="1422" t="s">
        <v>1768</v>
      </c>
      <c r="B486" s="75" t="s">
        <v>225</v>
      </c>
      <c r="C486" s="151" t="s">
        <v>1766</v>
      </c>
      <c r="D486" s="75" t="s">
        <v>279</v>
      </c>
      <c r="E486" s="83"/>
      <c r="F486" s="83">
        <v>375</v>
      </c>
      <c r="G486" s="79"/>
      <c r="H486" s="77"/>
      <c r="I486" s="81"/>
      <c r="J486" s="77"/>
      <c r="K486" s="81"/>
      <c r="L486" s="77"/>
      <c r="M486" s="1252"/>
      <c r="N486" s="1255"/>
      <c r="O486" s="1256"/>
    </row>
    <row r="487" spans="1:15" s="643" customFormat="1">
      <c r="A487" s="1422"/>
      <c r="B487" s="75"/>
      <c r="C487" s="153" t="s">
        <v>13</v>
      </c>
      <c r="D487" s="1197" t="s">
        <v>109</v>
      </c>
      <c r="E487" s="282">
        <v>0.33600000000000002</v>
      </c>
      <c r="F487" s="282">
        <f>F486*E487</f>
        <v>126.00000000000001</v>
      </c>
      <c r="G487" s="80"/>
      <c r="H487" s="77"/>
      <c r="I487" s="637"/>
      <c r="J487" s="77">
        <f>F487*I487</f>
        <v>0</v>
      </c>
      <c r="K487" s="81"/>
      <c r="L487" s="77"/>
      <c r="M487" s="1252">
        <f t="shared" ref="M487:M490" si="90">H487+J487+L487</f>
        <v>0</v>
      </c>
      <c r="N487" s="1255"/>
      <c r="O487" s="1256"/>
    </row>
    <row r="488" spans="1:15" s="643" customFormat="1">
      <c r="A488" s="1422"/>
      <c r="B488" s="75"/>
      <c r="C488" s="149" t="s">
        <v>14</v>
      </c>
      <c r="D488" s="635" t="s">
        <v>11</v>
      </c>
      <c r="E488" s="282">
        <v>1.4999999999999999E-2</v>
      </c>
      <c r="F488" s="282">
        <f>F486*E488</f>
        <v>5.625</v>
      </c>
      <c r="G488" s="80"/>
      <c r="H488" s="77"/>
      <c r="I488" s="81"/>
      <c r="J488" s="77"/>
      <c r="K488" s="81"/>
      <c r="L488" s="77">
        <f>F488*K488</f>
        <v>0</v>
      </c>
      <c r="M488" s="1252">
        <f t="shared" si="90"/>
        <v>0</v>
      </c>
      <c r="N488" s="1255"/>
      <c r="O488" s="1256"/>
    </row>
    <row r="489" spans="1:15" s="643" customFormat="1">
      <c r="A489" s="1422"/>
      <c r="B489" s="203"/>
      <c r="C489" s="153" t="s">
        <v>226</v>
      </c>
      <c r="D489" s="1197" t="s">
        <v>113</v>
      </c>
      <c r="E489" s="282">
        <v>2.4</v>
      </c>
      <c r="F489" s="282">
        <f>F486*E489</f>
        <v>900</v>
      </c>
      <c r="G489" s="80"/>
      <c r="H489" s="77">
        <f>F489*G489</f>
        <v>0</v>
      </c>
      <c r="I489" s="81"/>
      <c r="J489" s="77"/>
      <c r="K489" s="81"/>
      <c r="L489" s="77"/>
      <c r="M489" s="1252">
        <f t="shared" si="90"/>
        <v>0</v>
      </c>
      <c r="N489" s="1255"/>
      <c r="O489" s="1256"/>
    </row>
    <row r="490" spans="1:15" s="643" customFormat="1">
      <c r="A490" s="1422"/>
      <c r="B490" s="75"/>
      <c r="C490" s="149" t="s">
        <v>26</v>
      </c>
      <c r="D490" s="144" t="s">
        <v>11</v>
      </c>
      <c r="E490" s="282">
        <v>2.2800000000000001E-2</v>
      </c>
      <c r="F490" s="282">
        <f>E490*F486</f>
        <v>8.5500000000000007</v>
      </c>
      <c r="G490" s="80"/>
      <c r="H490" s="77">
        <f>F490*G490</f>
        <v>0</v>
      </c>
      <c r="I490" s="81"/>
      <c r="J490" s="77"/>
      <c r="K490" s="81"/>
      <c r="L490" s="77"/>
      <c r="M490" s="1252">
        <f t="shared" si="90"/>
        <v>0</v>
      </c>
      <c r="N490" s="1255"/>
      <c r="O490" s="1256"/>
    </row>
    <row r="491" spans="1:15" s="643" customFormat="1" ht="47.25">
      <c r="A491" s="1387" t="s">
        <v>1049</v>
      </c>
      <c r="B491" s="1190" t="s">
        <v>1671</v>
      </c>
      <c r="C491" s="156" t="s">
        <v>1718</v>
      </c>
      <c r="D491" s="75" t="s">
        <v>318</v>
      </c>
      <c r="E491" s="83"/>
      <c r="F491" s="83">
        <v>3.78</v>
      </c>
      <c r="G491" s="81"/>
      <c r="H491" s="77"/>
      <c r="I491" s="81"/>
      <c r="J491" s="77"/>
      <c r="K491" s="81"/>
      <c r="L491" s="77"/>
      <c r="M491" s="1252"/>
      <c r="N491" s="1255"/>
      <c r="O491" s="1256"/>
    </row>
    <row r="492" spans="1:15" s="643" customFormat="1">
      <c r="A492" s="1388"/>
      <c r="B492" s="1190"/>
      <c r="C492" s="157" t="s">
        <v>1796</v>
      </c>
      <c r="D492" s="203" t="s">
        <v>4</v>
      </c>
      <c r="E492" s="45">
        <v>1</v>
      </c>
      <c r="F492" s="45">
        <f>E492*F491</f>
        <v>3.78</v>
      </c>
      <c r="G492" s="81"/>
      <c r="H492" s="77"/>
      <c r="I492" s="637"/>
      <c r="J492" s="77">
        <f>F492*I492</f>
        <v>0</v>
      </c>
      <c r="K492" s="81"/>
      <c r="L492" s="77"/>
      <c r="M492" s="1252">
        <f t="shared" ref="M492:M500" si="91">H492+J492+L492</f>
        <v>0</v>
      </c>
      <c r="N492" s="1255"/>
      <c r="O492" s="1256"/>
    </row>
    <row r="493" spans="1:15" s="643" customFormat="1">
      <c r="A493" s="1388"/>
      <c r="B493" s="1190"/>
      <c r="C493" s="160" t="s">
        <v>14</v>
      </c>
      <c r="D493" s="203" t="s">
        <v>11</v>
      </c>
      <c r="E493" s="45">
        <v>1.1200000000000001</v>
      </c>
      <c r="F493" s="45">
        <f>E493*F491</f>
        <v>4.2336</v>
      </c>
      <c r="G493" s="81"/>
      <c r="H493" s="77"/>
      <c r="I493" s="81"/>
      <c r="J493" s="77"/>
      <c r="K493" s="81"/>
      <c r="L493" s="77">
        <f>F493*K493</f>
        <v>0</v>
      </c>
      <c r="M493" s="1252">
        <f t="shared" si="91"/>
        <v>0</v>
      </c>
      <c r="N493" s="1255"/>
      <c r="O493" s="1256"/>
    </row>
    <row r="494" spans="1:15" s="643" customFormat="1">
      <c r="A494" s="1388"/>
      <c r="B494" s="203"/>
      <c r="C494" s="157" t="s">
        <v>91</v>
      </c>
      <c r="D494" s="203" t="s">
        <v>319</v>
      </c>
      <c r="E494" s="45">
        <v>1.0149999999999999</v>
      </c>
      <c r="F494" s="45">
        <f>E494*F491</f>
        <v>3.8366999999999996</v>
      </c>
      <c r="G494" s="81"/>
      <c r="H494" s="77">
        <f t="shared" ref="H494:H500" si="92">F494*G494</f>
        <v>0</v>
      </c>
      <c r="I494" s="81"/>
      <c r="J494" s="77"/>
      <c r="K494" s="81"/>
      <c r="L494" s="77"/>
      <c r="M494" s="1252">
        <f t="shared" si="91"/>
        <v>0</v>
      </c>
      <c r="N494" s="1255"/>
      <c r="O494" s="1256"/>
    </row>
    <row r="495" spans="1:15" s="643" customFormat="1">
      <c r="A495" s="1388"/>
      <c r="B495" s="203"/>
      <c r="C495" s="157" t="s">
        <v>464</v>
      </c>
      <c r="D495" s="203" t="s">
        <v>234</v>
      </c>
      <c r="E495" s="45">
        <v>2.9</v>
      </c>
      <c r="F495" s="45">
        <f>E495*F491</f>
        <v>10.962</v>
      </c>
      <c r="G495" s="81"/>
      <c r="H495" s="77">
        <f t="shared" si="92"/>
        <v>0</v>
      </c>
      <c r="I495" s="81"/>
      <c r="J495" s="77"/>
      <c r="K495" s="81"/>
      <c r="L495" s="77"/>
      <c r="M495" s="1252">
        <f t="shared" si="91"/>
        <v>0</v>
      </c>
      <c r="N495" s="1255"/>
      <c r="O495" s="1256"/>
    </row>
    <row r="496" spans="1:15" s="643" customFormat="1">
      <c r="A496" s="1388"/>
      <c r="B496" s="203"/>
      <c r="C496" s="157" t="s">
        <v>222</v>
      </c>
      <c r="D496" s="203" t="s">
        <v>319</v>
      </c>
      <c r="E496" s="45">
        <f>(3.78)*0.01</f>
        <v>3.78E-2</v>
      </c>
      <c r="F496" s="45">
        <f>F491*E496</f>
        <v>0.14288399999999998</v>
      </c>
      <c r="G496" s="81"/>
      <c r="H496" s="77">
        <f t="shared" si="92"/>
        <v>0</v>
      </c>
      <c r="I496" s="81"/>
      <c r="J496" s="77"/>
      <c r="K496" s="81"/>
      <c r="L496" s="77"/>
      <c r="M496" s="1252">
        <f t="shared" si="91"/>
        <v>0</v>
      </c>
      <c r="N496" s="1255"/>
      <c r="O496" s="1256"/>
    </row>
    <row r="497" spans="1:15" s="643" customFormat="1">
      <c r="A497" s="1388"/>
      <c r="B497" s="203"/>
      <c r="C497" s="157" t="s">
        <v>70</v>
      </c>
      <c r="D497" s="204" t="s">
        <v>6</v>
      </c>
      <c r="E497" s="85">
        <v>2.2999999999999998</v>
      </c>
      <c r="F497" s="85">
        <f>E497*F491</f>
        <v>8.6939999999999991</v>
      </c>
      <c r="G497" s="86"/>
      <c r="H497" s="77">
        <f t="shared" si="92"/>
        <v>0</v>
      </c>
      <c r="I497" s="86"/>
      <c r="J497" s="77"/>
      <c r="K497" s="86"/>
      <c r="L497" s="77"/>
      <c r="M497" s="1252">
        <f t="shared" si="91"/>
        <v>0</v>
      </c>
      <c r="N497" s="1255"/>
      <c r="O497" s="1256"/>
    </row>
    <row r="498" spans="1:15" s="643" customFormat="1">
      <c r="A498" s="1388"/>
      <c r="B498" s="203"/>
      <c r="C498" s="157" t="s">
        <v>26</v>
      </c>
      <c r="D498" s="204" t="s">
        <v>11</v>
      </c>
      <c r="E498" s="85">
        <v>0.95</v>
      </c>
      <c r="F498" s="85">
        <f>E498*F491</f>
        <v>3.5909999999999997</v>
      </c>
      <c r="G498" s="86"/>
      <c r="H498" s="77">
        <f t="shared" si="92"/>
        <v>0</v>
      </c>
      <c r="I498" s="86"/>
      <c r="J498" s="77"/>
      <c r="K498" s="86"/>
      <c r="L498" s="77"/>
      <c r="M498" s="1252">
        <f t="shared" si="91"/>
        <v>0</v>
      </c>
      <c r="N498" s="1255"/>
      <c r="O498" s="1256"/>
    </row>
    <row r="499" spans="1:15" s="643" customFormat="1">
      <c r="A499" s="1388"/>
      <c r="B499" s="203"/>
      <c r="C499" s="159" t="s">
        <v>426</v>
      </c>
      <c r="D499" s="203" t="s">
        <v>218</v>
      </c>
      <c r="E499" s="45"/>
      <c r="F499" s="82">
        <f>0.2244</f>
        <v>0.22439999999999999</v>
      </c>
      <c r="G499" s="80"/>
      <c r="H499" s="77">
        <f t="shared" si="92"/>
        <v>0</v>
      </c>
      <c r="I499" s="81"/>
      <c r="J499" s="77"/>
      <c r="K499" s="81"/>
      <c r="L499" s="77"/>
      <c r="M499" s="1252">
        <f t="shared" si="91"/>
        <v>0</v>
      </c>
      <c r="N499" s="1255"/>
      <c r="O499" s="1256"/>
    </row>
    <row r="500" spans="1:15" s="643" customFormat="1" hidden="1">
      <c r="A500" s="1399"/>
      <c r="B500" s="203"/>
      <c r="C500" s="159" t="s">
        <v>427</v>
      </c>
      <c r="D500" s="203" t="s">
        <v>218</v>
      </c>
      <c r="E500" s="45"/>
      <c r="F500" s="82">
        <f>0</f>
        <v>0</v>
      </c>
      <c r="G500" s="341">
        <v>2560</v>
      </c>
      <c r="H500" s="77">
        <f t="shared" si="92"/>
        <v>0</v>
      </c>
      <c r="I500" s="81"/>
      <c r="J500" s="77"/>
      <c r="K500" s="81"/>
      <c r="L500" s="77"/>
      <c r="M500" s="1252">
        <f t="shared" si="91"/>
        <v>0</v>
      </c>
      <c r="N500" s="1255"/>
      <c r="O500" s="1256"/>
    </row>
    <row r="501" spans="1:15" s="643" customFormat="1">
      <c r="A501" s="724" t="s">
        <v>1053</v>
      </c>
      <c r="B501" s="203"/>
      <c r="C501" s="633" t="s">
        <v>444</v>
      </c>
      <c r="D501" s="204"/>
      <c r="E501" s="728"/>
      <c r="F501" s="45"/>
      <c r="G501" s="147"/>
      <c r="H501" s="147"/>
      <c r="I501" s="147"/>
      <c r="J501" s="147"/>
      <c r="K501" s="147"/>
      <c r="L501" s="147"/>
      <c r="M501" s="1258"/>
      <c r="N501" s="1255"/>
      <c r="O501" s="1256"/>
    </row>
    <row r="502" spans="1:15" s="643" customFormat="1" ht="31.5">
      <c r="A502" s="1387" t="s">
        <v>1719</v>
      </c>
      <c r="B502" s="303"/>
      <c r="C502" s="156" t="s">
        <v>441</v>
      </c>
      <c r="D502" s="203"/>
      <c r="E502" s="45"/>
      <c r="F502" s="726"/>
      <c r="G502" s="147"/>
      <c r="H502" s="147"/>
      <c r="I502" s="147"/>
      <c r="J502" s="147"/>
      <c r="K502" s="147"/>
      <c r="L502" s="147"/>
      <c r="M502" s="1258"/>
      <c r="N502" s="1255"/>
      <c r="O502" s="1256"/>
    </row>
    <row r="503" spans="1:15" s="643" customFormat="1">
      <c r="A503" s="1388"/>
      <c r="B503" s="303"/>
      <c r="C503" s="650" t="s">
        <v>1672</v>
      </c>
      <c r="D503" s="651" t="s">
        <v>1</v>
      </c>
      <c r="E503" s="648">
        <v>562</v>
      </c>
      <c r="F503" s="726"/>
      <c r="G503" s="147"/>
      <c r="H503" s="147"/>
      <c r="I503" s="147"/>
      <c r="J503" s="147"/>
      <c r="K503" s="147"/>
      <c r="L503" s="147"/>
      <c r="M503" s="1258"/>
      <c r="N503" s="1255"/>
      <c r="O503" s="1256"/>
    </row>
    <row r="504" spans="1:15" s="643" customFormat="1">
      <c r="A504" s="1388"/>
      <c r="B504" s="303"/>
      <c r="C504" s="652"/>
      <c r="D504" s="651" t="s">
        <v>7</v>
      </c>
      <c r="E504" s="648">
        <v>12.645</v>
      </c>
      <c r="F504" s="726"/>
      <c r="G504" s="147"/>
      <c r="H504" s="147"/>
      <c r="I504" s="147"/>
      <c r="J504" s="147"/>
      <c r="K504" s="147"/>
      <c r="L504" s="147"/>
      <c r="M504" s="1258"/>
      <c r="N504" s="1255"/>
      <c r="O504" s="1256"/>
    </row>
    <row r="505" spans="1:15" s="643" customFormat="1">
      <c r="A505" s="1388"/>
      <c r="B505" s="303"/>
      <c r="C505" s="650" t="s">
        <v>1673</v>
      </c>
      <c r="D505" s="651" t="s">
        <v>1</v>
      </c>
      <c r="E505" s="648">
        <v>312</v>
      </c>
      <c r="F505" s="726"/>
      <c r="G505" s="147"/>
      <c r="H505" s="147"/>
      <c r="I505" s="147"/>
      <c r="J505" s="147"/>
      <c r="K505" s="147"/>
      <c r="L505" s="147"/>
      <c r="M505" s="1258"/>
      <c r="N505" s="1255"/>
      <c r="O505" s="1256"/>
    </row>
    <row r="506" spans="1:15" s="643" customFormat="1">
      <c r="A506" s="1388"/>
      <c r="B506" s="303"/>
      <c r="C506" s="652"/>
      <c r="D506" s="651" t="s">
        <v>7</v>
      </c>
      <c r="E506" s="648">
        <v>3.5569999999999999</v>
      </c>
      <c r="F506" s="726"/>
      <c r="G506" s="147"/>
      <c r="H506" s="147"/>
      <c r="I506" s="147"/>
      <c r="J506" s="147"/>
      <c r="K506" s="147"/>
      <c r="L506" s="147"/>
      <c r="M506" s="1258"/>
      <c r="N506" s="1255"/>
      <c r="O506" s="1256"/>
    </row>
    <row r="507" spans="1:15" s="643" customFormat="1">
      <c r="A507" s="1388"/>
      <c r="B507" s="303"/>
      <c r="C507" s="650" t="s">
        <v>1674</v>
      </c>
      <c r="D507" s="651" t="s">
        <v>5</v>
      </c>
      <c r="E507" s="648">
        <v>14.8</v>
      </c>
      <c r="F507" s="726"/>
      <c r="G507" s="147"/>
      <c r="H507" s="147"/>
      <c r="I507" s="147"/>
      <c r="J507" s="147"/>
      <c r="K507" s="147"/>
      <c r="L507" s="147"/>
      <c r="M507" s="1258"/>
      <c r="N507" s="1255"/>
      <c r="O507" s="1256"/>
    </row>
    <row r="508" spans="1:15" s="643" customFormat="1">
      <c r="A508" s="1388"/>
      <c r="B508" s="303"/>
      <c r="C508" s="652"/>
      <c r="D508" s="651" t="s">
        <v>7</v>
      </c>
      <c r="E508" s="648">
        <v>1.1619999999999999</v>
      </c>
      <c r="F508" s="726"/>
      <c r="G508" s="147"/>
      <c r="H508" s="147"/>
      <c r="I508" s="147"/>
      <c r="J508" s="147"/>
      <c r="K508" s="147"/>
      <c r="L508" s="147"/>
      <c r="M508" s="1258"/>
      <c r="N508" s="1255"/>
      <c r="O508" s="1256"/>
    </row>
    <row r="509" spans="1:15" s="643" customFormat="1">
      <c r="A509" s="1388"/>
      <c r="B509" s="645"/>
      <c r="C509" s="653" t="s">
        <v>968</v>
      </c>
      <c r="D509" s="651" t="s">
        <v>2</v>
      </c>
      <c r="E509" s="648">
        <v>96</v>
      </c>
      <c r="F509" s="726"/>
      <c r="G509" s="147"/>
      <c r="H509" s="147"/>
      <c r="I509" s="147"/>
      <c r="J509" s="147"/>
      <c r="K509" s="147"/>
      <c r="L509" s="147"/>
      <c r="M509" s="1258"/>
      <c r="N509" s="1255"/>
      <c r="O509" s="1256"/>
    </row>
    <row r="510" spans="1:15" s="643" customFormat="1">
      <c r="A510" s="1388"/>
      <c r="B510" s="645"/>
      <c r="C510" s="654"/>
      <c r="D510" s="651" t="s">
        <v>7</v>
      </c>
      <c r="E510" s="648">
        <v>0.76800000000000002</v>
      </c>
      <c r="F510" s="726"/>
      <c r="G510" s="147"/>
      <c r="H510" s="147"/>
      <c r="I510" s="147"/>
      <c r="J510" s="147"/>
      <c r="K510" s="147"/>
      <c r="L510" s="147"/>
      <c r="M510" s="1258"/>
      <c r="N510" s="1255"/>
      <c r="O510" s="1256"/>
    </row>
    <row r="511" spans="1:15" s="643" customFormat="1">
      <c r="A511" s="1388"/>
      <c r="B511" s="645"/>
      <c r="C511" s="653" t="s">
        <v>1675</v>
      </c>
      <c r="D511" s="651" t="s">
        <v>2</v>
      </c>
      <c r="E511" s="648">
        <v>96</v>
      </c>
      <c r="F511" s="726"/>
      <c r="G511" s="147"/>
      <c r="H511" s="147"/>
      <c r="I511" s="147"/>
      <c r="J511" s="147"/>
      <c r="K511" s="147"/>
      <c r="L511" s="147"/>
      <c r="M511" s="1258"/>
      <c r="N511" s="1255"/>
      <c r="O511" s="1256"/>
    </row>
    <row r="512" spans="1:15" s="643" customFormat="1">
      <c r="A512" s="1388"/>
      <c r="B512" s="645"/>
      <c r="C512" s="654"/>
      <c r="D512" s="651" t="s">
        <v>7</v>
      </c>
      <c r="E512" s="648">
        <v>0.38400000000000001</v>
      </c>
      <c r="F512" s="726"/>
      <c r="G512" s="147"/>
      <c r="H512" s="147"/>
      <c r="I512" s="147"/>
      <c r="J512" s="147"/>
      <c r="K512" s="147"/>
      <c r="L512" s="147"/>
      <c r="M512" s="1258"/>
      <c r="N512" s="1255"/>
      <c r="O512" s="1256"/>
    </row>
    <row r="513" spans="1:15" s="643" customFormat="1">
      <c r="A513" s="1388"/>
      <c r="B513" s="645"/>
      <c r="C513" s="650" t="s">
        <v>1676</v>
      </c>
      <c r="D513" s="651" t="s">
        <v>1</v>
      </c>
      <c r="E513" s="648">
        <v>3674</v>
      </c>
      <c r="F513" s="726"/>
      <c r="G513" s="147"/>
      <c r="H513" s="147"/>
      <c r="I513" s="147"/>
      <c r="J513" s="147"/>
      <c r="K513" s="147"/>
      <c r="L513" s="147"/>
      <c r="M513" s="1258"/>
      <c r="N513" s="1255"/>
      <c r="O513" s="1256"/>
    </row>
    <row r="514" spans="1:15" s="643" customFormat="1">
      <c r="A514" s="1388"/>
      <c r="B514" s="645"/>
      <c r="C514" s="652"/>
      <c r="D514" s="651" t="s">
        <v>7</v>
      </c>
      <c r="E514" s="648">
        <v>27.335000000000001</v>
      </c>
      <c r="F514" s="726"/>
      <c r="G514" s="147"/>
      <c r="H514" s="147"/>
      <c r="I514" s="147"/>
      <c r="J514" s="147"/>
      <c r="K514" s="147"/>
      <c r="L514" s="147"/>
      <c r="M514" s="1258"/>
      <c r="N514" s="1255"/>
      <c r="O514" s="1256"/>
    </row>
    <row r="515" spans="1:15" s="643" customFormat="1">
      <c r="A515" s="1388"/>
      <c r="B515" s="303"/>
      <c r="C515" s="650" t="s">
        <v>1677</v>
      </c>
      <c r="D515" s="651" t="s">
        <v>1</v>
      </c>
      <c r="E515" s="648">
        <v>631</v>
      </c>
      <c r="F515" s="726"/>
      <c r="G515" s="147"/>
      <c r="H515" s="147"/>
      <c r="I515" s="147"/>
      <c r="J515" s="147"/>
      <c r="K515" s="147"/>
      <c r="L515" s="147"/>
      <c r="M515" s="1258"/>
      <c r="N515" s="1255"/>
      <c r="O515" s="1256"/>
    </row>
    <row r="516" spans="1:15" s="643" customFormat="1">
      <c r="A516" s="1388"/>
      <c r="B516" s="303"/>
      <c r="C516" s="652"/>
      <c r="D516" s="651" t="s">
        <v>7</v>
      </c>
      <c r="E516" s="648">
        <v>7.2569999999999997</v>
      </c>
      <c r="F516" s="726"/>
      <c r="G516" s="147"/>
      <c r="H516" s="147"/>
      <c r="I516" s="147"/>
      <c r="J516" s="147"/>
      <c r="K516" s="147"/>
      <c r="L516" s="147"/>
      <c r="M516" s="1258"/>
      <c r="N516" s="1255"/>
      <c r="O516" s="1256"/>
    </row>
    <row r="517" spans="1:15" s="643" customFormat="1">
      <c r="A517" s="1388"/>
      <c r="B517" s="303"/>
      <c r="C517" s="649" t="s">
        <v>70</v>
      </c>
      <c r="D517" s="647" t="s">
        <v>7</v>
      </c>
      <c r="E517" s="648">
        <f>0.37+0.3+0.145</f>
        <v>0.81499999999999995</v>
      </c>
      <c r="F517" s="726"/>
      <c r="G517" s="147"/>
      <c r="H517" s="147"/>
      <c r="I517" s="147"/>
      <c r="J517" s="147"/>
      <c r="K517" s="147"/>
      <c r="L517" s="147"/>
      <c r="M517" s="1258"/>
      <c r="N517" s="1255"/>
      <c r="O517" s="1256"/>
    </row>
    <row r="518" spans="1:15" s="643" customFormat="1">
      <c r="A518" s="1388"/>
      <c r="B518" s="75" t="s">
        <v>969</v>
      </c>
      <c r="C518" s="655" t="s">
        <v>442</v>
      </c>
      <c r="D518" s="656" t="s">
        <v>7</v>
      </c>
      <c r="E518" s="729"/>
      <c r="F518" s="344">
        <f>E504+E506+E508+E510+E512+E514+E516+E517</f>
        <v>53.922999999999995</v>
      </c>
      <c r="G518" s="328"/>
      <c r="H518" s="340"/>
      <c r="I518" s="343"/>
      <c r="J518" s="340"/>
      <c r="K518" s="343"/>
      <c r="L518" s="1226"/>
      <c r="M518" s="1259"/>
      <c r="N518" s="1255"/>
      <c r="O518" s="1256"/>
    </row>
    <row r="519" spans="1:15" s="643" customFormat="1">
      <c r="A519" s="1388"/>
      <c r="B519" s="447"/>
      <c r="C519" s="148" t="s">
        <v>1797</v>
      </c>
      <c r="D519" s="447" t="s">
        <v>7</v>
      </c>
      <c r="E519" s="1235">
        <v>1</v>
      </c>
      <c r="F519" s="282">
        <f>F518*E519</f>
        <v>53.922999999999995</v>
      </c>
      <c r="G519" s="77"/>
      <c r="H519" s="77"/>
      <c r="I519" s="77"/>
      <c r="J519" s="77">
        <f>F519*I519</f>
        <v>0</v>
      </c>
      <c r="K519" s="77"/>
      <c r="L519" s="77"/>
      <c r="M519" s="1252">
        <f t="shared" ref="M519:M524" si="93">H519+J519+L519</f>
        <v>0</v>
      </c>
      <c r="N519" s="1255"/>
      <c r="O519" s="1256"/>
    </row>
    <row r="520" spans="1:15" s="643" customFormat="1">
      <c r="A520" s="1388"/>
      <c r="B520" s="447" t="s">
        <v>1800</v>
      </c>
      <c r="C520" s="148" t="s">
        <v>1798</v>
      </c>
      <c r="D520" s="447" t="s">
        <v>16</v>
      </c>
      <c r="E520" s="1235">
        <v>1.02</v>
      </c>
      <c r="F520" s="282">
        <f>F518*E520</f>
        <v>55.001459999999994</v>
      </c>
      <c r="G520" s="77"/>
      <c r="H520" s="77"/>
      <c r="I520" s="77"/>
      <c r="J520" s="77"/>
      <c r="K520" s="77"/>
      <c r="L520" s="77">
        <f>F520*K520</f>
        <v>0</v>
      </c>
      <c r="M520" s="1252">
        <f t="shared" si="93"/>
        <v>0</v>
      </c>
      <c r="N520" s="1255"/>
      <c r="O520" s="1256"/>
    </row>
    <row r="521" spans="1:15" s="643" customFormat="1">
      <c r="A521" s="1388"/>
      <c r="B521" s="447" t="s">
        <v>1799</v>
      </c>
      <c r="C521" s="148" t="s">
        <v>443</v>
      </c>
      <c r="D521" s="447" t="s">
        <v>16</v>
      </c>
      <c r="E521" s="1235">
        <v>0.31</v>
      </c>
      <c r="F521" s="282">
        <f>F518*E521</f>
        <v>16.71613</v>
      </c>
      <c r="G521" s="77"/>
      <c r="H521" s="77"/>
      <c r="I521" s="77"/>
      <c r="J521" s="77"/>
      <c r="K521" s="77"/>
      <c r="L521" s="77">
        <f>F521*K521</f>
        <v>0</v>
      </c>
      <c r="M521" s="1252">
        <f t="shared" si="93"/>
        <v>0</v>
      </c>
      <c r="N521" s="1255"/>
      <c r="O521" s="1256"/>
    </row>
    <row r="522" spans="1:15" s="643" customFormat="1">
      <c r="A522" s="1388"/>
      <c r="B522" s="447"/>
      <c r="C522" s="148" t="s">
        <v>14</v>
      </c>
      <c r="D522" s="447" t="s">
        <v>11</v>
      </c>
      <c r="E522" s="1235">
        <v>4.3099999999999996</v>
      </c>
      <c r="F522" s="282">
        <f>F518*E522</f>
        <v>232.40812999999994</v>
      </c>
      <c r="G522" s="77"/>
      <c r="H522" s="77"/>
      <c r="I522" s="77"/>
      <c r="J522" s="77"/>
      <c r="K522" s="77"/>
      <c r="L522" s="77">
        <f>F522*K522</f>
        <v>0</v>
      </c>
      <c r="M522" s="1252">
        <f t="shared" si="93"/>
        <v>0</v>
      </c>
      <c r="N522" s="1255"/>
      <c r="O522" s="1256"/>
    </row>
    <row r="523" spans="1:15" s="643" customFormat="1">
      <c r="A523" s="1388"/>
      <c r="B523" s="447"/>
      <c r="C523" s="148" t="s">
        <v>970</v>
      </c>
      <c r="D523" s="447" t="s">
        <v>6</v>
      </c>
      <c r="E523" s="1235">
        <v>1</v>
      </c>
      <c r="F523" s="282">
        <f>F518*E523</f>
        <v>53.922999999999995</v>
      </c>
      <c r="G523" s="77"/>
      <c r="H523" s="77">
        <f>F523*G523</f>
        <v>0</v>
      </c>
      <c r="I523" s="77"/>
      <c r="J523" s="77"/>
      <c r="K523" s="77"/>
      <c r="L523" s="77"/>
      <c r="M523" s="1252">
        <f t="shared" si="93"/>
        <v>0</v>
      </c>
      <c r="N523" s="1255"/>
      <c r="O523" s="1256"/>
    </row>
    <row r="524" spans="1:15" s="643" customFormat="1">
      <c r="A524" s="1388"/>
      <c r="B524" s="447"/>
      <c r="C524" s="148" t="s">
        <v>971</v>
      </c>
      <c r="D524" s="447" t="s">
        <v>6</v>
      </c>
      <c r="E524" s="1235">
        <v>2</v>
      </c>
      <c r="F524" s="282">
        <f>F518*E524</f>
        <v>107.84599999999999</v>
      </c>
      <c r="G524" s="77"/>
      <c r="H524" s="77">
        <f>F524*G524</f>
        <v>0</v>
      </c>
      <c r="I524" s="77"/>
      <c r="J524" s="77"/>
      <c r="K524" s="77"/>
      <c r="L524" s="77"/>
      <c r="M524" s="1252">
        <f t="shared" si="93"/>
        <v>0</v>
      </c>
      <c r="N524" s="1255"/>
      <c r="O524" s="1256"/>
    </row>
    <row r="525" spans="1:15" s="643" customFormat="1">
      <c r="A525" s="1388"/>
      <c r="B525" s="447"/>
      <c r="C525" s="148" t="s">
        <v>26</v>
      </c>
      <c r="D525" s="447" t="s">
        <v>11</v>
      </c>
      <c r="E525" s="1235">
        <v>2.78</v>
      </c>
      <c r="F525" s="282">
        <f>F518*E525</f>
        <v>149.90593999999999</v>
      </c>
      <c r="G525" s="77"/>
      <c r="H525" s="77">
        <f>F525*G525</f>
        <v>0</v>
      </c>
      <c r="I525" s="77"/>
      <c r="J525" s="77"/>
      <c r="K525" s="77"/>
      <c r="L525" s="77"/>
      <c r="M525" s="1252">
        <f>H525+J525+L525</f>
        <v>0</v>
      </c>
      <c r="N525" s="1255"/>
      <c r="O525" s="1256"/>
    </row>
    <row r="526" spans="1:15" s="643" customFormat="1">
      <c r="A526" s="1388"/>
      <c r="B526" s="447"/>
      <c r="C526" s="287" t="s">
        <v>476</v>
      </c>
      <c r="D526" s="447" t="s">
        <v>7</v>
      </c>
      <c r="E526" s="1235">
        <v>1</v>
      </c>
      <c r="F526" s="282"/>
      <c r="G526" s="77"/>
      <c r="H526" s="77"/>
      <c r="I526" s="77"/>
      <c r="J526" s="77"/>
      <c r="K526" s="77"/>
      <c r="L526" s="77"/>
      <c r="M526" s="1252"/>
      <c r="N526" s="1255"/>
      <c r="O526" s="1256"/>
    </row>
    <row r="527" spans="1:15" s="643" customFormat="1">
      <c r="A527" s="1388"/>
      <c r="B527" s="67"/>
      <c r="C527" s="157" t="s">
        <v>1672</v>
      </c>
      <c r="D527" s="447" t="s">
        <v>7</v>
      </c>
      <c r="E527" s="1235"/>
      <c r="F527" s="282">
        <f>E504</f>
        <v>12.645</v>
      </c>
      <c r="G527" s="77"/>
      <c r="H527" s="77">
        <f>F527*G527</f>
        <v>0</v>
      </c>
      <c r="I527" s="77"/>
      <c r="J527" s="77"/>
      <c r="K527" s="77"/>
      <c r="L527" s="77"/>
      <c r="M527" s="1252">
        <f>H527+J527+L527</f>
        <v>0</v>
      </c>
      <c r="N527" s="1255"/>
      <c r="O527" s="1256"/>
    </row>
    <row r="528" spans="1:15" s="643" customFormat="1">
      <c r="A528" s="1388"/>
      <c r="B528" s="67"/>
      <c r="C528" s="157" t="s">
        <v>1673</v>
      </c>
      <c r="D528" s="447" t="s">
        <v>7</v>
      </c>
      <c r="E528" s="1235"/>
      <c r="F528" s="282">
        <f>E506</f>
        <v>3.5569999999999999</v>
      </c>
      <c r="G528" s="77"/>
      <c r="H528" s="77">
        <f t="shared" ref="H528:H534" si="94">F528*G528</f>
        <v>0</v>
      </c>
      <c r="I528" s="77"/>
      <c r="J528" s="77"/>
      <c r="K528" s="77"/>
      <c r="L528" s="77"/>
      <c r="M528" s="1252">
        <f t="shared" ref="M528:M534" si="95">H528+J528+L528</f>
        <v>0</v>
      </c>
      <c r="N528" s="1255"/>
      <c r="O528" s="1256"/>
    </row>
    <row r="529" spans="1:15" s="643" customFormat="1">
      <c r="A529" s="1388"/>
      <c r="B529" s="67"/>
      <c r="C529" s="157" t="s">
        <v>1674</v>
      </c>
      <c r="D529" s="447" t="s">
        <v>7</v>
      </c>
      <c r="E529" s="1235"/>
      <c r="F529" s="282">
        <f>E508</f>
        <v>1.1619999999999999</v>
      </c>
      <c r="G529" s="77"/>
      <c r="H529" s="77">
        <f t="shared" si="94"/>
        <v>0</v>
      </c>
      <c r="I529" s="77"/>
      <c r="J529" s="77"/>
      <c r="K529" s="77"/>
      <c r="L529" s="77"/>
      <c r="M529" s="1252">
        <f t="shared" si="95"/>
        <v>0</v>
      </c>
      <c r="N529" s="1255"/>
      <c r="O529" s="1256"/>
    </row>
    <row r="530" spans="1:15" s="643" customFormat="1">
      <c r="A530" s="1388"/>
      <c r="B530" s="67"/>
      <c r="C530" s="646" t="s">
        <v>968</v>
      </c>
      <c r="D530" s="447" t="s">
        <v>7</v>
      </c>
      <c r="E530" s="1235"/>
      <c r="F530" s="282">
        <f>E510</f>
        <v>0.76800000000000002</v>
      </c>
      <c r="G530" s="77"/>
      <c r="H530" s="77">
        <f t="shared" si="94"/>
        <v>0</v>
      </c>
      <c r="I530" s="77"/>
      <c r="J530" s="77"/>
      <c r="K530" s="77"/>
      <c r="L530" s="77"/>
      <c r="M530" s="1252">
        <f t="shared" si="95"/>
        <v>0</v>
      </c>
      <c r="N530" s="1255"/>
      <c r="O530" s="1256"/>
    </row>
    <row r="531" spans="1:15" s="643" customFormat="1">
      <c r="A531" s="1388"/>
      <c r="B531" s="67"/>
      <c r="C531" s="646" t="s">
        <v>1675</v>
      </c>
      <c r="D531" s="447" t="s">
        <v>7</v>
      </c>
      <c r="E531" s="1235"/>
      <c r="F531" s="282">
        <f>E512</f>
        <v>0.38400000000000001</v>
      </c>
      <c r="G531" s="77"/>
      <c r="H531" s="77">
        <f t="shared" si="94"/>
        <v>0</v>
      </c>
      <c r="I531" s="77"/>
      <c r="J531" s="77"/>
      <c r="K531" s="77"/>
      <c r="L531" s="77"/>
      <c r="M531" s="1252">
        <f t="shared" si="95"/>
        <v>0</v>
      </c>
      <c r="N531" s="1255"/>
      <c r="O531" s="1256"/>
    </row>
    <row r="532" spans="1:15" s="643" customFormat="1">
      <c r="A532" s="1388"/>
      <c r="B532" s="67"/>
      <c r="C532" s="157" t="s">
        <v>1676</v>
      </c>
      <c r="D532" s="447" t="s">
        <v>7</v>
      </c>
      <c r="E532" s="1235"/>
      <c r="F532" s="282">
        <f>E514</f>
        <v>27.335000000000001</v>
      </c>
      <c r="G532" s="77"/>
      <c r="H532" s="77">
        <f t="shared" si="94"/>
        <v>0</v>
      </c>
      <c r="I532" s="77"/>
      <c r="J532" s="77"/>
      <c r="K532" s="77"/>
      <c r="L532" s="77"/>
      <c r="M532" s="1252">
        <f t="shared" si="95"/>
        <v>0</v>
      </c>
      <c r="N532" s="1255"/>
      <c r="O532" s="1256"/>
    </row>
    <row r="533" spans="1:15" s="643" customFormat="1">
      <c r="A533" s="1388"/>
      <c r="B533" s="67"/>
      <c r="C533" s="157" t="s">
        <v>1677</v>
      </c>
      <c r="D533" s="447" t="s">
        <v>7</v>
      </c>
      <c r="E533" s="1235"/>
      <c r="F533" s="282">
        <f>E516</f>
        <v>7.2569999999999997</v>
      </c>
      <c r="G533" s="77"/>
      <c r="H533" s="77">
        <f t="shared" si="94"/>
        <v>0</v>
      </c>
      <c r="I533" s="77"/>
      <c r="J533" s="77"/>
      <c r="K533" s="77"/>
      <c r="L533" s="77"/>
      <c r="M533" s="1252">
        <f t="shared" si="95"/>
        <v>0</v>
      </c>
      <c r="N533" s="1255"/>
      <c r="O533" s="1256"/>
    </row>
    <row r="534" spans="1:15" s="643" customFormat="1">
      <c r="A534" s="1388"/>
      <c r="B534" s="67"/>
      <c r="C534" s="157" t="s">
        <v>1801</v>
      </c>
      <c r="D534" s="447" t="s">
        <v>7</v>
      </c>
      <c r="E534" s="1235" t="s">
        <v>93</v>
      </c>
      <c r="F534" s="282">
        <f>E517</f>
        <v>0.81499999999999995</v>
      </c>
      <c r="G534" s="77"/>
      <c r="H534" s="77">
        <f t="shared" si="94"/>
        <v>0</v>
      </c>
      <c r="I534" s="77"/>
      <c r="J534" s="77"/>
      <c r="K534" s="77"/>
      <c r="L534" s="77"/>
      <c r="M534" s="1252">
        <f t="shared" si="95"/>
        <v>0</v>
      </c>
      <c r="N534" s="1255"/>
      <c r="O534" s="1256"/>
    </row>
    <row r="535" spans="1:15" s="643" customFormat="1" ht="31.5">
      <c r="A535" s="1401" t="s">
        <v>1720</v>
      </c>
      <c r="B535" s="42" t="s">
        <v>343</v>
      </c>
      <c r="C535" s="287" t="s">
        <v>1108</v>
      </c>
      <c r="D535" s="42" t="s">
        <v>5</v>
      </c>
      <c r="E535" s="1235"/>
      <c r="F535" s="20">
        <f>(0.2+0.1)*2*E503+(0.08+0.08)*2*E505+E507+(0.08+0.05)*2*E513+(0.1+0.1)*2*E515</f>
        <v>1659.4800000000002</v>
      </c>
      <c r="G535" s="77"/>
      <c r="H535" s="77"/>
      <c r="I535" s="77"/>
      <c r="J535" s="77"/>
      <c r="K535" s="77"/>
      <c r="L535" s="77"/>
      <c r="M535" s="1252"/>
      <c r="N535" s="1255"/>
      <c r="O535" s="1256"/>
    </row>
    <row r="536" spans="1:15" s="643" customFormat="1">
      <c r="A536" s="1401"/>
      <c r="B536" s="677"/>
      <c r="C536" s="678" t="s">
        <v>1802</v>
      </c>
      <c r="D536" s="679" t="s">
        <v>5</v>
      </c>
      <c r="E536" s="710">
        <v>1</v>
      </c>
      <c r="F536" s="717">
        <f>F535*E536</f>
        <v>1659.4800000000002</v>
      </c>
      <c r="G536" s="87"/>
      <c r="H536" s="87"/>
      <c r="I536" s="87"/>
      <c r="J536" s="87">
        <f>F536*I536</f>
        <v>0</v>
      </c>
      <c r="K536" s="87"/>
      <c r="L536" s="87"/>
      <c r="M536" s="1260">
        <f>H536+J536+L536</f>
        <v>0</v>
      </c>
      <c r="N536" s="1255"/>
      <c r="O536" s="1256"/>
    </row>
    <row r="537" spans="1:15" s="643" customFormat="1">
      <c r="A537" s="1401"/>
      <c r="B537" s="680"/>
      <c r="C537" s="681" t="s">
        <v>14</v>
      </c>
      <c r="D537" s="682" t="s">
        <v>11</v>
      </c>
      <c r="E537" s="718">
        <f>0.03*0.01</f>
        <v>2.9999999999999997E-4</v>
      </c>
      <c r="F537" s="718">
        <f>F535*E537</f>
        <v>0.49784400000000001</v>
      </c>
      <c r="G537" s="87"/>
      <c r="H537" s="87"/>
      <c r="I537" s="87"/>
      <c r="J537" s="87"/>
      <c r="K537" s="87"/>
      <c r="L537" s="87">
        <f>F537*K537</f>
        <v>0</v>
      </c>
      <c r="M537" s="1260">
        <f>H537+J537+L537</f>
        <v>0</v>
      </c>
      <c r="N537" s="1255"/>
      <c r="O537" s="1256"/>
    </row>
    <row r="538" spans="1:15" s="643" customFormat="1">
      <c r="A538" s="1401"/>
      <c r="B538" s="680"/>
      <c r="C538" s="681" t="s">
        <v>345</v>
      </c>
      <c r="D538" s="683" t="s">
        <v>113</v>
      </c>
      <c r="E538" s="719">
        <v>0.35</v>
      </c>
      <c r="F538" s="719">
        <f>E538*F535</f>
        <v>580.8180000000001</v>
      </c>
      <c r="G538" s="87"/>
      <c r="H538" s="87">
        <f>F538*G538</f>
        <v>0</v>
      </c>
      <c r="I538" s="87"/>
      <c r="J538" s="87"/>
      <c r="K538" s="87"/>
      <c r="L538" s="87"/>
      <c r="M538" s="1260">
        <f>H538+J538+L538</f>
        <v>0</v>
      </c>
      <c r="N538" s="1255"/>
      <c r="O538" s="1256"/>
    </row>
    <row r="539" spans="1:15" s="643" customFormat="1">
      <c r="A539" s="1401"/>
      <c r="B539" s="680"/>
      <c r="C539" s="681" t="s">
        <v>1092</v>
      </c>
      <c r="D539" s="683" t="s">
        <v>113</v>
      </c>
      <c r="E539" s="719">
        <v>2.7E-2</v>
      </c>
      <c r="F539" s="719">
        <f>E539*F535</f>
        <v>44.805960000000006</v>
      </c>
      <c r="G539" s="87"/>
      <c r="H539" s="87">
        <f>F539*G539</f>
        <v>0</v>
      </c>
      <c r="I539" s="87"/>
      <c r="J539" s="87"/>
      <c r="K539" s="87"/>
      <c r="L539" s="87"/>
      <c r="M539" s="1260">
        <f>H539+J539+L539</f>
        <v>0</v>
      </c>
      <c r="N539" s="1255"/>
      <c r="O539" s="1256"/>
    </row>
    <row r="540" spans="1:15" s="643" customFormat="1">
      <c r="A540" s="1401"/>
      <c r="B540" s="680"/>
      <c r="C540" s="681" t="s">
        <v>26</v>
      </c>
      <c r="D540" s="682" t="s">
        <v>11</v>
      </c>
      <c r="E540" s="718">
        <v>1.9E-3</v>
      </c>
      <c r="F540" s="718">
        <f>F535*E540</f>
        <v>3.1530120000000004</v>
      </c>
      <c r="G540" s="87"/>
      <c r="H540" s="87">
        <f>F540*G540</f>
        <v>0</v>
      </c>
      <c r="I540" s="87"/>
      <c r="J540" s="87"/>
      <c r="K540" s="87"/>
      <c r="L540" s="87"/>
      <c r="M540" s="1260">
        <f>H540+J540+L540</f>
        <v>0</v>
      </c>
      <c r="N540" s="1255"/>
      <c r="O540" s="1256"/>
    </row>
    <row r="541" spans="1:15" ht="31.5">
      <c r="A541" s="1117" t="s">
        <v>1060</v>
      </c>
      <c r="B541" s="1124"/>
      <c r="C541" s="634" t="s">
        <v>455</v>
      </c>
      <c r="D541" s="553"/>
      <c r="E541" s="1125"/>
      <c r="F541" s="20"/>
      <c r="G541" s="77"/>
      <c r="H541" s="77"/>
      <c r="I541" s="77"/>
      <c r="J541" s="77"/>
      <c r="K541" s="77"/>
      <c r="L541" s="77"/>
      <c r="M541" s="1252"/>
    </row>
    <row r="542" spans="1:15" ht="31.5">
      <c r="A542" s="1446" t="s">
        <v>1638</v>
      </c>
      <c r="B542" s="43" t="s">
        <v>262</v>
      </c>
      <c r="C542" s="287" t="s">
        <v>1758</v>
      </c>
      <c r="D542" s="42" t="s">
        <v>88</v>
      </c>
      <c r="E542" s="282"/>
      <c r="F542" s="20">
        <f>(1250)/100</f>
        <v>12.5</v>
      </c>
      <c r="G542" s="77"/>
      <c r="H542" s="77"/>
      <c r="I542" s="77"/>
      <c r="J542" s="77"/>
      <c r="K542" s="77"/>
      <c r="L542" s="77"/>
      <c r="M542" s="1252"/>
    </row>
    <row r="543" spans="1:15">
      <c r="A543" s="1446"/>
      <c r="B543" s="701"/>
      <c r="C543" s="148" t="s">
        <v>1803</v>
      </c>
      <c r="D543" s="447" t="s">
        <v>5</v>
      </c>
      <c r="E543" s="282">
        <v>100</v>
      </c>
      <c r="F543" s="282">
        <f>F542*E543</f>
        <v>1250</v>
      </c>
      <c r="G543" s="77"/>
      <c r="H543" s="77"/>
      <c r="I543" s="77"/>
      <c r="J543" s="77">
        <f>F543*I543</f>
        <v>0</v>
      </c>
      <c r="K543" s="77"/>
      <c r="L543" s="77"/>
      <c r="M543" s="1252">
        <f t="shared" ref="M543:M559" si="96">H543+J543+L543</f>
        <v>0</v>
      </c>
    </row>
    <row r="544" spans="1:15">
      <c r="A544" s="1446"/>
      <c r="B544" s="701"/>
      <c r="C544" s="154" t="s">
        <v>21</v>
      </c>
      <c r="D544" s="701" t="s">
        <v>16</v>
      </c>
      <c r="E544" s="282">
        <v>2.64</v>
      </c>
      <c r="F544" s="282">
        <f>F542*E544</f>
        <v>33</v>
      </c>
      <c r="G544" s="77"/>
      <c r="H544" s="77"/>
      <c r="I544" s="77"/>
      <c r="J544" s="77"/>
      <c r="K544" s="77"/>
      <c r="L544" s="77">
        <f>F544*K544</f>
        <v>0</v>
      </c>
      <c r="M544" s="1252">
        <f t="shared" si="96"/>
        <v>0</v>
      </c>
    </row>
    <row r="545" spans="1:15">
      <c r="A545" s="1446"/>
      <c r="B545" s="701"/>
      <c r="C545" s="165" t="s">
        <v>1759</v>
      </c>
      <c r="D545" s="701" t="s">
        <v>5</v>
      </c>
      <c r="E545" s="282">
        <v>130</v>
      </c>
      <c r="F545" s="282">
        <f>F542*E545</f>
        <v>1625</v>
      </c>
      <c r="G545" s="77"/>
      <c r="H545" s="77">
        <f t="shared" ref="H545:H559" si="97">F545*G545</f>
        <v>0</v>
      </c>
      <c r="I545" s="77"/>
      <c r="J545" s="77"/>
      <c r="K545" s="77"/>
      <c r="L545" s="77"/>
      <c r="M545" s="1252">
        <f t="shared" si="96"/>
        <v>0</v>
      </c>
    </row>
    <row r="546" spans="1:15">
      <c r="A546" s="1446"/>
      <c r="B546" s="701"/>
      <c r="C546" s="165" t="s">
        <v>263</v>
      </c>
      <c r="D546" s="701" t="s">
        <v>2</v>
      </c>
      <c r="E546" s="282">
        <v>600</v>
      </c>
      <c r="F546" s="282">
        <f>F542*E546</f>
        <v>7500</v>
      </c>
      <c r="G546" s="77"/>
      <c r="H546" s="77">
        <f t="shared" si="97"/>
        <v>0</v>
      </c>
      <c r="I546" s="77"/>
      <c r="J546" s="77"/>
      <c r="K546" s="77"/>
      <c r="L546" s="77"/>
      <c r="M546" s="1252">
        <f t="shared" si="96"/>
        <v>0</v>
      </c>
    </row>
    <row r="547" spans="1:15">
      <c r="A547" s="1446"/>
      <c r="B547" s="701"/>
      <c r="C547" s="165" t="s">
        <v>112</v>
      </c>
      <c r="D547" s="701" t="s">
        <v>6</v>
      </c>
      <c r="E547" s="282">
        <v>7.9</v>
      </c>
      <c r="F547" s="282">
        <f>F542*E547</f>
        <v>98.75</v>
      </c>
      <c r="G547" s="77"/>
      <c r="H547" s="77">
        <f t="shared" si="97"/>
        <v>0</v>
      </c>
      <c r="I547" s="77"/>
      <c r="J547" s="77"/>
      <c r="K547" s="77"/>
      <c r="L547" s="77"/>
      <c r="M547" s="1252">
        <f t="shared" si="96"/>
        <v>0</v>
      </c>
    </row>
    <row r="548" spans="1:15">
      <c r="A548" s="1446"/>
      <c r="B548" s="701"/>
      <c r="C548" s="165" t="s">
        <v>273</v>
      </c>
      <c r="D548" s="701" t="s">
        <v>7</v>
      </c>
      <c r="E548" s="282">
        <v>0.02</v>
      </c>
      <c r="F548" s="282">
        <f>F542*E548</f>
        <v>0.25</v>
      </c>
      <c r="G548" s="77"/>
      <c r="H548" s="77">
        <f t="shared" si="97"/>
        <v>0</v>
      </c>
      <c r="I548" s="77"/>
      <c r="J548" s="77"/>
      <c r="K548" s="77"/>
      <c r="L548" s="77"/>
      <c r="M548" s="1252">
        <f t="shared" si="96"/>
        <v>0</v>
      </c>
      <c r="O548" s="1250">
        <f>16.5/0.0039</f>
        <v>4230.7692307692314</v>
      </c>
    </row>
    <row r="549" spans="1:15">
      <c r="A549" s="1446"/>
      <c r="B549" s="701"/>
      <c r="C549" s="148" t="s">
        <v>26</v>
      </c>
      <c r="D549" s="447" t="s">
        <v>11</v>
      </c>
      <c r="E549" s="282">
        <v>6.36</v>
      </c>
      <c r="F549" s="282">
        <f>F542*E549</f>
        <v>79.5</v>
      </c>
      <c r="G549" s="77"/>
      <c r="H549" s="77">
        <f t="shared" si="97"/>
        <v>0</v>
      </c>
      <c r="I549" s="77"/>
      <c r="J549" s="77"/>
      <c r="K549" s="77"/>
      <c r="L549" s="77"/>
      <c r="M549" s="1252">
        <f t="shared" si="96"/>
        <v>0</v>
      </c>
    </row>
    <row r="550" spans="1:15">
      <c r="A550" s="1401" t="s">
        <v>1642</v>
      </c>
      <c r="B550" s="42" t="s">
        <v>264</v>
      </c>
      <c r="C550" s="225" t="s">
        <v>1112</v>
      </c>
      <c r="D550" s="42" t="s">
        <v>1</v>
      </c>
      <c r="E550" s="1235"/>
      <c r="F550" s="20">
        <v>72</v>
      </c>
      <c r="G550" s="77"/>
      <c r="H550" s="77"/>
      <c r="I550" s="77"/>
      <c r="J550" s="77"/>
      <c r="K550" s="77"/>
      <c r="L550" s="77"/>
      <c r="M550" s="1252"/>
    </row>
    <row r="551" spans="1:15">
      <c r="A551" s="1401"/>
      <c r="B551" s="447"/>
      <c r="C551" s="154" t="s">
        <v>1804</v>
      </c>
      <c r="D551" s="447" t="s">
        <v>1</v>
      </c>
      <c r="E551" s="554">
        <v>1</v>
      </c>
      <c r="F551" s="282">
        <f>F550*E551</f>
        <v>72</v>
      </c>
      <c r="G551" s="77"/>
      <c r="H551" s="77"/>
      <c r="I551" s="77"/>
      <c r="J551" s="77">
        <f>F551*I551</f>
        <v>0</v>
      </c>
      <c r="K551" s="77"/>
      <c r="L551" s="77"/>
      <c r="M551" s="1252">
        <f t="shared" si="96"/>
        <v>0</v>
      </c>
    </row>
    <row r="552" spans="1:15">
      <c r="A552" s="1401"/>
      <c r="B552" s="447"/>
      <c r="C552" s="154" t="s">
        <v>14</v>
      </c>
      <c r="D552" s="447" t="s">
        <v>11</v>
      </c>
      <c r="E552" s="554">
        <v>4.1000000000000003E-3</v>
      </c>
      <c r="F552" s="282">
        <f>F550*E552</f>
        <v>0.29520000000000002</v>
      </c>
      <c r="G552" s="77"/>
      <c r="H552" s="77"/>
      <c r="I552" s="77"/>
      <c r="J552" s="77"/>
      <c r="K552" s="77"/>
      <c r="L552" s="77">
        <f>F552*K552</f>
        <v>0</v>
      </c>
      <c r="M552" s="1252">
        <f t="shared" si="96"/>
        <v>0</v>
      </c>
    </row>
    <row r="553" spans="1:15">
      <c r="A553" s="1401"/>
      <c r="B553" s="447"/>
      <c r="C553" s="166" t="s">
        <v>265</v>
      </c>
      <c r="D553" s="447" t="s">
        <v>5</v>
      </c>
      <c r="E553" s="1235">
        <v>1.1000000000000001</v>
      </c>
      <c r="F553" s="282">
        <f>F550*E553</f>
        <v>79.2</v>
      </c>
      <c r="G553" s="77"/>
      <c r="H553" s="77">
        <f t="shared" si="97"/>
        <v>0</v>
      </c>
      <c r="I553" s="77"/>
      <c r="J553" s="77"/>
      <c r="K553" s="77"/>
      <c r="L553" s="77"/>
      <c r="M553" s="1252">
        <f t="shared" si="96"/>
        <v>0</v>
      </c>
    </row>
    <row r="554" spans="1:15">
      <c r="A554" s="1401"/>
      <c r="B554" s="447"/>
      <c r="C554" s="166" t="s">
        <v>772</v>
      </c>
      <c r="D554" s="447" t="s">
        <v>12</v>
      </c>
      <c r="E554" s="730">
        <f>F550/0.5*2</f>
        <v>288</v>
      </c>
      <c r="F554" s="282">
        <f>E554</f>
        <v>288</v>
      </c>
      <c r="G554" s="77"/>
      <c r="H554" s="77">
        <f t="shared" si="97"/>
        <v>0</v>
      </c>
      <c r="I554" s="77"/>
      <c r="J554" s="77"/>
      <c r="K554" s="77"/>
      <c r="L554" s="77"/>
      <c r="M554" s="1252">
        <f t="shared" si="96"/>
        <v>0</v>
      </c>
    </row>
    <row r="555" spans="1:15">
      <c r="A555" s="1401"/>
      <c r="B555" s="447"/>
      <c r="C555" s="165" t="s">
        <v>273</v>
      </c>
      <c r="D555" s="63" t="s">
        <v>250</v>
      </c>
      <c r="E555" s="554">
        <v>2.3E-3</v>
      </c>
      <c r="F555" s="282">
        <f>F550*E555</f>
        <v>0.1656</v>
      </c>
      <c r="G555" s="77"/>
      <c r="H555" s="77">
        <f t="shared" si="97"/>
        <v>0</v>
      </c>
      <c r="I555" s="77"/>
      <c r="J555" s="77"/>
      <c r="K555" s="77"/>
      <c r="L555" s="77"/>
      <c r="M555" s="1252">
        <f t="shared" si="96"/>
        <v>0</v>
      </c>
    </row>
    <row r="556" spans="1:15">
      <c r="A556" s="1401"/>
      <c r="B556" s="447"/>
      <c r="C556" s="154" t="s">
        <v>261</v>
      </c>
      <c r="D556" s="63" t="s">
        <v>6</v>
      </c>
      <c r="E556" s="554">
        <v>3.7999999999999999E-2</v>
      </c>
      <c r="F556" s="282">
        <f>F550*E556</f>
        <v>2.7359999999999998</v>
      </c>
      <c r="G556" s="77"/>
      <c r="H556" s="77">
        <f t="shared" si="97"/>
        <v>0</v>
      </c>
      <c r="I556" s="77"/>
      <c r="J556" s="77"/>
      <c r="K556" s="77"/>
      <c r="L556" s="77"/>
      <c r="M556" s="1252">
        <f t="shared" si="96"/>
        <v>0</v>
      </c>
    </row>
    <row r="557" spans="1:15">
      <c r="A557" s="1401"/>
      <c r="B557" s="447"/>
      <c r="C557" s="154" t="s">
        <v>266</v>
      </c>
      <c r="D557" s="63" t="s">
        <v>6</v>
      </c>
      <c r="E557" s="554">
        <v>3.7999999999999999E-2</v>
      </c>
      <c r="F557" s="282">
        <f>F550*E557</f>
        <v>2.7359999999999998</v>
      </c>
      <c r="G557" s="77"/>
      <c r="H557" s="77">
        <f t="shared" si="97"/>
        <v>0</v>
      </c>
      <c r="I557" s="77"/>
      <c r="J557" s="77"/>
      <c r="K557" s="77"/>
      <c r="L557" s="77"/>
      <c r="M557" s="1252">
        <f t="shared" si="96"/>
        <v>0</v>
      </c>
    </row>
    <row r="558" spans="1:15">
      <c r="A558" s="1401"/>
      <c r="B558" s="447"/>
      <c r="C558" s="154" t="s">
        <v>267</v>
      </c>
      <c r="D558" s="63" t="s">
        <v>6</v>
      </c>
      <c r="E558" s="554">
        <v>1.69</v>
      </c>
      <c r="F558" s="282">
        <f>F550*E558</f>
        <v>121.67999999999999</v>
      </c>
      <c r="G558" s="77"/>
      <c r="H558" s="77">
        <f t="shared" si="97"/>
        <v>0</v>
      </c>
      <c r="I558" s="77"/>
      <c r="J558" s="77"/>
      <c r="K558" s="77"/>
      <c r="L558" s="77"/>
      <c r="M558" s="1252">
        <f t="shared" si="96"/>
        <v>0</v>
      </c>
    </row>
    <row r="559" spans="1:15" hidden="1">
      <c r="A559" s="1401"/>
      <c r="B559" s="447"/>
      <c r="C559" s="148" t="s">
        <v>19</v>
      </c>
      <c r="D559" s="447" t="s">
        <v>11</v>
      </c>
      <c r="E559" s="282">
        <v>0</v>
      </c>
      <c r="F559" s="282">
        <f>F550*E559</f>
        <v>0</v>
      </c>
      <c r="G559" s="77">
        <v>4</v>
      </c>
      <c r="H559" s="77">
        <f t="shared" si="97"/>
        <v>0</v>
      </c>
      <c r="I559" s="77"/>
      <c r="J559" s="77"/>
      <c r="K559" s="77"/>
      <c r="L559" s="77"/>
      <c r="M559" s="1252">
        <f t="shared" si="96"/>
        <v>0</v>
      </c>
    </row>
    <row r="560" spans="1:15" ht="31.5">
      <c r="A560" s="1413" t="s">
        <v>1643</v>
      </c>
      <c r="B560" s="44" t="s">
        <v>268</v>
      </c>
      <c r="C560" s="225" t="s">
        <v>991</v>
      </c>
      <c r="D560" s="44" t="s">
        <v>12</v>
      </c>
      <c r="E560" s="1235"/>
      <c r="F560" s="20">
        <v>6</v>
      </c>
      <c r="G560" s="80"/>
      <c r="H560" s="77"/>
      <c r="I560" s="80"/>
      <c r="J560" s="77"/>
      <c r="K560" s="80"/>
      <c r="L560" s="77"/>
      <c r="M560" s="1252"/>
    </row>
    <row r="561" spans="1:13">
      <c r="A561" s="1413"/>
      <c r="B561" s="695"/>
      <c r="C561" s="154" t="s">
        <v>1805</v>
      </c>
      <c r="D561" s="63" t="s">
        <v>2</v>
      </c>
      <c r="E561" s="554">
        <v>1</v>
      </c>
      <c r="F561" s="282">
        <f>F560*E561</f>
        <v>6</v>
      </c>
      <c r="G561" s="80"/>
      <c r="H561" s="77"/>
      <c r="I561" s="80"/>
      <c r="J561" s="77">
        <f>F561*I561</f>
        <v>0</v>
      </c>
      <c r="K561" s="80"/>
      <c r="L561" s="77"/>
      <c r="M561" s="1252">
        <f>H561+J561+L561</f>
        <v>0</v>
      </c>
    </row>
    <row r="562" spans="1:13">
      <c r="A562" s="1413"/>
      <c r="B562" s="695"/>
      <c r="C562" s="154" t="s">
        <v>139</v>
      </c>
      <c r="D562" s="63" t="s">
        <v>11</v>
      </c>
      <c r="E562" s="554">
        <v>0.02</v>
      </c>
      <c r="F562" s="282">
        <f>F560*E562</f>
        <v>0.12</v>
      </c>
      <c r="G562" s="80"/>
      <c r="H562" s="77"/>
      <c r="I562" s="80"/>
      <c r="J562" s="77"/>
      <c r="K562" s="80"/>
      <c r="L562" s="77">
        <f>F562*K562</f>
        <v>0</v>
      </c>
      <c r="M562" s="1252">
        <f>H562+J562+L562</f>
        <v>0</v>
      </c>
    </row>
    <row r="563" spans="1:13">
      <c r="A563" s="1413"/>
      <c r="B563" s="695"/>
      <c r="C563" s="154" t="s">
        <v>269</v>
      </c>
      <c r="D563" s="63" t="s">
        <v>90</v>
      </c>
      <c r="E563" s="554">
        <v>1</v>
      </c>
      <c r="F563" s="282">
        <f>F560*E563</f>
        <v>6</v>
      </c>
      <c r="G563" s="80"/>
      <c r="H563" s="77">
        <f>F563*G563</f>
        <v>0</v>
      </c>
      <c r="I563" s="80"/>
      <c r="J563" s="77"/>
      <c r="K563" s="80"/>
      <c r="L563" s="77"/>
      <c r="M563" s="1252">
        <f>H563+J563+L563</f>
        <v>0</v>
      </c>
    </row>
    <row r="564" spans="1:13">
      <c r="A564" s="1413"/>
      <c r="B564" s="695"/>
      <c r="C564" s="154" t="s">
        <v>23</v>
      </c>
      <c r="D564" s="63" t="s">
        <v>11</v>
      </c>
      <c r="E564" s="554">
        <v>0.28999999999999998</v>
      </c>
      <c r="F564" s="282">
        <f>F560*E564</f>
        <v>1.7399999999999998</v>
      </c>
      <c r="G564" s="80"/>
      <c r="H564" s="77">
        <f>F564*G564</f>
        <v>0</v>
      </c>
      <c r="I564" s="80"/>
      <c r="J564" s="77"/>
      <c r="K564" s="80"/>
      <c r="L564" s="77"/>
      <c r="M564" s="1252">
        <f>H564+J564+L564</f>
        <v>0</v>
      </c>
    </row>
    <row r="565" spans="1:13">
      <c r="A565" s="1413" t="s">
        <v>1721</v>
      </c>
      <c r="B565" s="44" t="s">
        <v>270</v>
      </c>
      <c r="C565" s="225" t="s">
        <v>1113</v>
      </c>
      <c r="D565" s="44" t="s">
        <v>1</v>
      </c>
      <c r="E565" s="1235"/>
      <c r="F565" s="20">
        <f>F560*13</f>
        <v>78</v>
      </c>
      <c r="G565" s="80"/>
      <c r="H565" s="77"/>
      <c r="I565" s="80"/>
      <c r="J565" s="77"/>
      <c r="K565" s="80"/>
      <c r="L565" s="77"/>
      <c r="M565" s="1252"/>
    </row>
    <row r="566" spans="1:13">
      <c r="A566" s="1413"/>
      <c r="B566" s="695"/>
      <c r="C566" s="154" t="s">
        <v>1806</v>
      </c>
      <c r="D566" s="63" t="s">
        <v>1</v>
      </c>
      <c r="E566" s="554">
        <v>1</v>
      </c>
      <c r="F566" s="78">
        <f>F565*E566</f>
        <v>78</v>
      </c>
      <c r="G566" s="80"/>
      <c r="H566" s="77"/>
      <c r="I566" s="80"/>
      <c r="J566" s="77">
        <f>F566*I566</f>
        <v>0</v>
      </c>
      <c r="K566" s="80"/>
      <c r="L566" s="77"/>
      <c r="M566" s="1252">
        <f t="shared" ref="M566:M572" si="98">H566+J566+L566</f>
        <v>0</v>
      </c>
    </row>
    <row r="567" spans="1:13">
      <c r="A567" s="1413"/>
      <c r="B567" s="695"/>
      <c r="C567" s="154" t="s">
        <v>24</v>
      </c>
      <c r="D567" s="63" t="s">
        <v>11</v>
      </c>
      <c r="E567" s="554">
        <v>6.6199999999999995E-2</v>
      </c>
      <c r="F567" s="78">
        <f>F565*E567</f>
        <v>5.1635999999999997</v>
      </c>
      <c r="G567" s="80"/>
      <c r="H567" s="77"/>
      <c r="I567" s="80"/>
      <c r="J567" s="77"/>
      <c r="K567" s="80"/>
      <c r="L567" s="77">
        <f>F567*K567</f>
        <v>0</v>
      </c>
      <c r="M567" s="1252">
        <f t="shared" si="98"/>
        <v>0</v>
      </c>
    </row>
    <row r="568" spans="1:13">
      <c r="A568" s="1413"/>
      <c r="B568" s="695"/>
      <c r="C568" s="154" t="s">
        <v>1114</v>
      </c>
      <c r="D568" s="64" t="s">
        <v>201</v>
      </c>
      <c r="E568" s="554">
        <v>1.05</v>
      </c>
      <c r="F568" s="78">
        <f>F565*E568</f>
        <v>81.900000000000006</v>
      </c>
      <c r="G568" s="80"/>
      <c r="H568" s="77">
        <f>F568*G568</f>
        <v>0</v>
      </c>
      <c r="I568" s="80"/>
      <c r="J568" s="77"/>
      <c r="K568" s="80"/>
      <c r="L568" s="77"/>
      <c r="M568" s="1252">
        <f t="shared" si="98"/>
        <v>0</v>
      </c>
    </row>
    <row r="569" spans="1:13">
      <c r="A569" s="1413"/>
      <c r="B569" s="447"/>
      <c r="C569" s="154" t="s">
        <v>261</v>
      </c>
      <c r="D569" s="63" t="s">
        <v>6</v>
      </c>
      <c r="E569" s="554">
        <v>0.128</v>
      </c>
      <c r="F569" s="78">
        <f>F565*E569</f>
        <v>9.984</v>
      </c>
      <c r="G569" s="80"/>
      <c r="H569" s="77">
        <f>F569*G569</f>
        <v>0</v>
      </c>
      <c r="I569" s="80"/>
      <c r="J569" s="77"/>
      <c r="K569" s="80"/>
      <c r="L569" s="77"/>
      <c r="M569" s="1252">
        <f t="shared" si="98"/>
        <v>0</v>
      </c>
    </row>
    <row r="570" spans="1:13">
      <c r="A570" s="1413"/>
      <c r="B570" s="447"/>
      <c r="C570" s="154" t="s">
        <v>266</v>
      </c>
      <c r="D570" s="63" t="s">
        <v>6</v>
      </c>
      <c r="E570" s="554">
        <v>0.128</v>
      </c>
      <c r="F570" s="78">
        <f>F565*E570</f>
        <v>9.984</v>
      </c>
      <c r="G570" s="80"/>
      <c r="H570" s="77">
        <f>F570*G570</f>
        <v>0</v>
      </c>
      <c r="I570" s="80"/>
      <c r="J570" s="77"/>
      <c r="K570" s="80"/>
      <c r="L570" s="77"/>
      <c r="M570" s="1252">
        <f t="shared" si="98"/>
        <v>0</v>
      </c>
    </row>
    <row r="571" spans="1:13">
      <c r="A571" s="1413"/>
      <c r="B571" s="447"/>
      <c r="C571" s="154" t="s">
        <v>267</v>
      </c>
      <c r="D571" s="63" t="s">
        <v>6</v>
      </c>
      <c r="E571" s="554">
        <v>0.112</v>
      </c>
      <c r="F571" s="78">
        <f>F565*E571</f>
        <v>8.7360000000000007</v>
      </c>
      <c r="G571" s="80"/>
      <c r="H571" s="77">
        <f>F571*G571</f>
        <v>0</v>
      </c>
      <c r="I571" s="80"/>
      <c r="J571" s="77"/>
      <c r="K571" s="80"/>
      <c r="L571" s="77"/>
      <c r="M571" s="1252">
        <f t="shared" si="98"/>
        <v>0</v>
      </c>
    </row>
    <row r="572" spans="1:13">
      <c r="A572" s="1413"/>
      <c r="B572" s="447"/>
      <c r="C572" s="154" t="s">
        <v>23</v>
      </c>
      <c r="D572" s="63" t="s">
        <v>11</v>
      </c>
      <c r="E572" s="554">
        <v>0.13300000000000001</v>
      </c>
      <c r="F572" s="78">
        <f>F565*E572</f>
        <v>10.374000000000001</v>
      </c>
      <c r="G572" s="77"/>
      <c r="H572" s="77">
        <f>F572*G572</f>
        <v>0</v>
      </c>
      <c r="I572" s="77"/>
      <c r="J572" s="77"/>
      <c r="K572" s="77"/>
      <c r="L572" s="77"/>
      <c r="M572" s="1252">
        <f t="shared" si="98"/>
        <v>0</v>
      </c>
    </row>
    <row r="573" spans="1:13" ht="31.5" hidden="1">
      <c r="A573" s="1401" t="s">
        <v>1722</v>
      </c>
      <c r="B573" s="42" t="s">
        <v>22</v>
      </c>
      <c r="C573" s="629" t="s">
        <v>1115</v>
      </c>
      <c r="D573" s="447" t="s">
        <v>5</v>
      </c>
      <c r="E573" s="282">
        <v>0</v>
      </c>
      <c r="F573" s="20">
        <v>0</v>
      </c>
      <c r="G573" s="77"/>
      <c r="H573" s="77"/>
      <c r="I573" s="77"/>
      <c r="J573" s="77"/>
      <c r="K573" s="77"/>
      <c r="L573" s="77"/>
      <c r="M573" s="1252"/>
    </row>
    <row r="574" spans="1:13" hidden="1">
      <c r="A574" s="1401"/>
      <c r="B574" s="447"/>
      <c r="C574" s="154" t="s">
        <v>20</v>
      </c>
      <c r="D574" s="447" t="s">
        <v>15</v>
      </c>
      <c r="E574" s="554">
        <v>0.83</v>
      </c>
      <c r="F574" s="282">
        <f>F573*E574</f>
        <v>0</v>
      </c>
      <c r="G574" s="77"/>
      <c r="H574" s="77"/>
      <c r="I574" s="77">
        <v>7.8</v>
      </c>
      <c r="J574" s="77">
        <f>F574*I574</f>
        <v>0</v>
      </c>
      <c r="K574" s="77"/>
      <c r="L574" s="77"/>
      <c r="M574" s="1252">
        <f>H574+J574+L574</f>
        <v>0</v>
      </c>
    </row>
    <row r="575" spans="1:13" hidden="1">
      <c r="A575" s="1401"/>
      <c r="B575" s="447"/>
      <c r="C575" s="154" t="s">
        <v>14</v>
      </c>
      <c r="D575" s="447" t="s">
        <v>11</v>
      </c>
      <c r="E575" s="554">
        <v>4.1000000000000003E-3</v>
      </c>
      <c r="F575" s="282">
        <f>F573*E575</f>
        <v>0</v>
      </c>
      <c r="G575" s="77"/>
      <c r="H575" s="77"/>
      <c r="I575" s="77"/>
      <c r="J575" s="77"/>
      <c r="K575" s="77">
        <v>4</v>
      </c>
      <c r="L575" s="77">
        <f>F575*K575</f>
        <v>0</v>
      </c>
      <c r="M575" s="1252">
        <f>H575+J575+L575</f>
        <v>0</v>
      </c>
    </row>
    <row r="576" spans="1:13" hidden="1">
      <c r="A576" s="1401"/>
      <c r="B576" s="447"/>
      <c r="C576" s="166" t="s">
        <v>273</v>
      </c>
      <c r="D576" s="447" t="s">
        <v>5</v>
      </c>
      <c r="E576" s="1235">
        <v>1.25</v>
      </c>
      <c r="F576" s="282">
        <f>F573*E576</f>
        <v>0</v>
      </c>
      <c r="G576" s="77">
        <v>15.8</v>
      </c>
      <c r="H576" s="77">
        <f>F576*G576</f>
        <v>0</v>
      </c>
      <c r="I576" s="77"/>
      <c r="J576" s="77"/>
      <c r="K576" s="77"/>
      <c r="L576" s="77"/>
      <c r="M576" s="1252">
        <f>H576+J576+L576</f>
        <v>0</v>
      </c>
    </row>
    <row r="577" spans="1:15" hidden="1">
      <c r="A577" s="1401"/>
      <c r="B577" s="447"/>
      <c r="C577" s="148" t="s">
        <v>263</v>
      </c>
      <c r="D577" s="447" t="s">
        <v>12</v>
      </c>
      <c r="E577" s="1235">
        <v>6</v>
      </c>
      <c r="F577" s="282">
        <f>F573*E577</f>
        <v>0</v>
      </c>
      <c r="G577" s="77">
        <v>0.12</v>
      </c>
      <c r="H577" s="77">
        <f>F577*G577</f>
        <v>0</v>
      </c>
      <c r="I577" s="77"/>
      <c r="J577" s="77"/>
      <c r="K577" s="77"/>
      <c r="L577" s="77"/>
      <c r="M577" s="1252">
        <f>H577+J577+L577</f>
        <v>0</v>
      </c>
    </row>
    <row r="578" spans="1:15" hidden="1">
      <c r="A578" s="1401"/>
      <c r="B578" s="447"/>
      <c r="C578" s="148" t="s">
        <v>19</v>
      </c>
      <c r="D578" s="447" t="s">
        <v>11</v>
      </c>
      <c r="E578" s="1235">
        <v>7.8E-2</v>
      </c>
      <c r="F578" s="282">
        <f>F573*E578</f>
        <v>0</v>
      </c>
      <c r="G578" s="77">
        <v>4</v>
      </c>
      <c r="H578" s="77">
        <f>F578*G578</f>
        <v>0</v>
      </c>
      <c r="I578" s="77"/>
      <c r="J578" s="77"/>
      <c r="K578" s="77"/>
      <c r="L578" s="77"/>
      <c r="M578" s="1252">
        <f>H578+J578+L578</f>
        <v>0</v>
      </c>
    </row>
    <row r="579" spans="1:15">
      <c r="A579" s="1393" t="s">
        <v>1723</v>
      </c>
      <c r="B579" s="42" t="s">
        <v>22</v>
      </c>
      <c r="C579" s="629" t="s">
        <v>973</v>
      </c>
      <c r="D579" s="42" t="s">
        <v>1</v>
      </c>
      <c r="E579" s="730"/>
      <c r="F579" s="707">
        <f>70*4</f>
        <v>280</v>
      </c>
      <c r="G579" s="448"/>
      <c r="H579" s="448"/>
      <c r="I579" s="448"/>
      <c r="J579" s="448"/>
      <c r="K579" s="448"/>
      <c r="L579" s="448"/>
      <c r="M579" s="1251"/>
    </row>
    <row r="580" spans="1:15">
      <c r="A580" s="1394"/>
      <c r="B580" s="447"/>
      <c r="C580" s="166" t="s">
        <v>1807</v>
      </c>
      <c r="D580" s="1227" t="s">
        <v>1</v>
      </c>
      <c r="E580" s="1235">
        <v>1</v>
      </c>
      <c r="F580" s="78">
        <f>F579*E580</f>
        <v>280</v>
      </c>
      <c r="G580" s="87"/>
      <c r="H580" s="448"/>
      <c r="I580" s="448"/>
      <c r="J580" s="448">
        <f>F580*I580</f>
        <v>0</v>
      </c>
      <c r="K580" s="87"/>
      <c r="L580" s="448"/>
      <c r="M580" s="1251">
        <f>H580+J580+L580</f>
        <v>0</v>
      </c>
    </row>
    <row r="581" spans="1:15">
      <c r="A581" s="1394"/>
      <c r="B581" s="447"/>
      <c r="C581" s="166" t="s">
        <v>24</v>
      </c>
      <c r="D581" s="695" t="s">
        <v>11</v>
      </c>
      <c r="E581" s="1235">
        <v>4.1000000000000003E-3</v>
      </c>
      <c r="F581" s="78">
        <f>F579*E581</f>
        <v>1.1480000000000001</v>
      </c>
      <c r="G581" s="87"/>
      <c r="H581" s="448"/>
      <c r="I581" s="87"/>
      <c r="J581" s="448"/>
      <c r="K581" s="448"/>
      <c r="L581" s="448">
        <f>F581*K581</f>
        <v>0</v>
      </c>
      <c r="M581" s="1251">
        <f>H581+J581+L581</f>
        <v>0</v>
      </c>
    </row>
    <row r="582" spans="1:15">
      <c r="A582" s="1394"/>
      <c r="B582" s="447"/>
      <c r="C582" s="148" t="s">
        <v>974</v>
      </c>
      <c r="D582" s="447" t="s">
        <v>1</v>
      </c>
      <c r="E582" s="1235">
        <v>1</v>
      </c>
      <c r="F582" s="1235">
        <f>F579*E582</f>
        <v>280</v>
      </c>
      <c r="G582" s="448"/>
      <c r="H582" s="448">
        <f>F582*G582</f>
        <v>0</v>
      </c>
      <c r="I582" s="448"/>
      <c r="J582" s="448"/>
      <c r="K582" s="448"/>
      <c r="L582" s="448"/>
      <c r="M582" s="1251">
        <f>H582+J582+L582</f>
        <v>0</v>
      </c>
    </row>
    <row r="583" spans="1:15">
      <c r="A583" s="1395"/>
      <c r="B583" s="447"/>
      <c r="C583" s="166" t="s">
        <v>23</v>
      </c>
      <c r="D583" s="695" t="s">
        <v>11</v>
      </c>
      <c r="E583" s="1235">
        <v>7.8E-2</v>
      </c>
      <c r="F583" s="78">
        <f>F579*E583</f>
        <v>21.84</v>
      </c>
      <c r="G583" s="448"/>
      <c r="H583" s="448">
        <f>F583*G583</f>
        <v>0</v>
      </c>
      <c r="I583" s="448"/>
      <c r="J583" s="448"/>
      <c r="K583" s="448"/>
      <c r="L583" s="448"/>
      <c r="M583" s="1251">
        <f>H583+J583+L583</f>
        <v>0</v>
      </c>
    </row>
    <row r="584" spans="1:15" hidden="1">
      <c r="A584" s="1393" t="s">
        <v>1724</v>
      </c>
      <c r="B584" s="40" t="s">
        <v>22</v>
      </c>
      <c r="C584" s="275" t="s">
        <v>1542</v>
      </c>
      <c r="D584" s="40" t="s">
        <v>279</v>
      </c>
      <c r="E584" s="276"/>
      <c r="F584" s="20">
        <v>0</v>
      </c>
      <c r="G584" s="77"/>
      <c r="H584" s="77"/>
      <c r="I584" s="77"/>
      <c r="J584" s="77"/>
      <c r="K584" s="77"/>
      <c r="L584" s="77"/>
      <c r="M584" s="1252"/>
    </row>
    <row r="585" spans="1:15" hidden="1">
      <c r="A585" s="1394"/>
      <c r="B585" s="24"/>
      <c r="C585" s="162" t="s">
        <v>13</v>
      </c>
      <c r="D585" s="46" t="s">
        <v>15</v>
      </c>
      <c r="E585" s="58">
        <v>0.83</v>
      </c>
      <c r="F585" s="282">
        <f>F584*E585</f>
        <v>0</v>
      </c>
      <c r="G585" s="77"/>
      <c r="H585" s="77"/>
      <c r="I585" s="77">
        <v>7.8</v>
      </c>
      <c r="J585" s="77">
        <f>F585*I585</f>
        <v>0</v>
      </c>
      <c r="K585" s="77"/>
      <c r="L585" s="77"/>
      <c r="M585" s="1252">
        <f>H585+J585+L585</f>
        <v>0</v>
      </c>
    </row>
    <row r="586" spans="1:15" hidden="1">
      <c r="A586" s="1394"/>
      <c r="B586" s="46"/>
      <c r="C586" s="160" t="s">
        <v>14</v>
      </c>
      <c r="D586" s="46" t="s">
        <v>11</v>
      </c>
      <c r="E586" s="84">
        <f>0.41/100</f>
        <v>4.0999999999999995E-3</v>
      </c>
      <c r="F586" s="282">
        <f>F584*E586</f>
        <v>0</v>
      </c>
      <c r="G586" s="77"/>
      <c r="H586" s="77"/>
      <c r="I586" s="77"/>
      <c r="J586" s="77"/>
      <c r="K586" s="77">
        <v>4</v>
      </c>
      <c r="L586" s="77">
        <f>F586*K586</f>
        <v>0</v>
      </c>
      <c r="M586" s="1252">
        <f>H586+J586+L586</f>
        <v>0</v>
      </c>
    </row>
    <row r="587" spans="1:15" hidden="1">
      <c r="A587" s="1394"/>
      <c r="B587" s="46"/>
      <c r="C587" s="162" t="s">
        <v>1543</v>
      </c>
      <c r="D587" s="46" t="s">
        <v>5</v>
      </c>
      <c r="E587" s="58">
        <v>1.3</v>
      </c>
      <c r="F587" s="282">
        <f>F584*E587</f>
        <v>0</v>
      </c>
      <c r="G587" s="77">
        <v>15.8</v>
      </c>
      <c r="H587" s="77">
        <f>F587*G587</f>
        <v>0</v>
      </c>
      <c r="I587" s="77"/>
      <c r="J587" s="77"/>
      <c r="K587" s="77"/>
      <c r="L587" s="77"/>
      <c r="M587" s="1252">
        <f>H587+J587+L587</f>
        <v>0</v>
      </c>
    </row>
    <row r="588" spans="1:15" hidden="1">
      <c r="A588" s="1395"/>
      <c r="B588" s="46"/>
      <c r="C588" s="160" t="s">
        <v>26</v>
      </c>
      <c r="D588" s="46" t="s">
        <v>11</v>
      </c>
      <c r="E588" s="84">
        <f>7.8/100</f>
        <v>7.8E-2</v>
      </c>
      <c r="F588" s="282">
        <f>F584*E588</f>
        <v>0</v>
      </c>
      <c r="G588" s="77">
        <v>3.2</v>
      </c>
      <c r="H588" s="77">
        <f>F588*G588</f>
        <v>0</v>
      </c>
      <c r="I588" s="77"/>
      <c r="J588" s="77"/>
      <c r="K588" s="77"/>
      <c r="L588" s="77"/>
      <c r="M588" s="1252">
        <f>H588+J588+L588</f>
        <v>0</v>
      </c>
    </row>
    <row r="589" spans="1:15" s="660" customFormat="1" ht="27">
      <c r="A589" s="1117" t="s">
        <v>300</v>
      </c>
      <c r="B589" s="1124"/>
      <c r="C589" s="634" t="s">
        <v>975</v>
      </c>
      <c r="D589" s="553" t="s">
        <v>5</v>
      </c>
      <c r="E589" s="1125"/>
      <c r="F589" s="20">
        <f>32+18</f>
        <v>50</v>
      </c>
      <c r="G589" s="659"/>
      <c r="H589" s="1225"/>
      <c r="I589" s="659"/>
      <c r="J589" s="1225"/>
      <c r="K589" s="659"/>
      <c r="L589" s="1225"/>
      <c r="M589" s="1261"/>
      <c r="N589" s="1250"/>
      <c r="O589" s="1262" t="s">
        <v>1763</v>
      </c>
    </row>
    <row r="590" spans="1:15" s="660" customFormat="1" ht="47.25">
      <c r="A590" s="1393" t="s">
        <v>1644</v>
      </c>
      <c r="B590" s="44" t="s">
        <v>277</v>
      </c>
      <c r="C590" s="225" t="s">
        <v>1809</v>
      </c>
      <c r="D590" s="1199" t="s">
        <v>5</v>
      </c>
      <c r="E590" s="1234"/>
      <c r="F590" s="707">
        <f>F589</f>
        <v>50</v>
      </c>
      <c r="G590" s="448"/>
      <c r="H590" s="448"/>
      <c r="I590" s="448"/>
      <c r="J590" s="448"/>
      <c r="K590" s="448"/>
      <c r="L590" s="448"/>
      <c r="M590" s="1251"/>
      <c r="N590" s="1250"/>
      <c r="O590" s="1263"/>
    </row>
    <row r="591" spans="1:15" s="660" customFormat="1">
      <c r="A591" s="1394"/>
      <c r="B591" s="447"/>
      <c r="C591" s="148" t="s">
        <v>1808</v>
      </c>
      <c r="D591" s="447" t="s">
        <v>5</v>
      </c>
      <c r="E591" s="1234">
        <v>1</v>
      </c>
      <c r="F591" s="1234">
        <f>F590*E591</f>
        <v>50</v>
      </c>
      <c r="G591" s="448"/>
      <c r="H591" s="448"/>
      <c r="I591" s="448"/>
      <c r="J591" s="448">
        <f>F591*I591</f>
        <v>0</v>
      </c>
      <c r="K591" s="448"/>
      <c r="L591" s="448"/>
      <c r="M591" s="1251">
        <f>H591+J591+L591</f>
        <v>0</v>
      </c>
      <c r="N591" s="1250"/>
      <c r="O591" s="1263"/>
    </row>
    <row r="592" spans="1:15" s="660" customFormat="1">
      <c r="A592" s="1394"/>
      <c r="B592" s="447"/>
      <c r="C592" s="148" t="s">
        <v>25</v>
      </c>
      <c r="D592" s="447" t="s">
        <v>11</v>
      </c>
      <c r="E592" s="1234">
        <f>(0.74+0.05*25)/100</f>
        <v>1.9900000000000001E-2</v>
      </c>
      <c r="F592" s="1234">
        <f>F590*E592</f>
        <v>0.99500000000000011</v>
      </c>
      <c r="G592" s="448"/>
      <c r="H592" s="448"/>
      <c r="I592" s="448"/>
      <c r="J592" s="448"/>
      <c r="K592" s="448"/>
      <c r="L592" s="448">
        <f>F592*K592</f>
        <v>0</v>
      </c>
      <c r="M592" s="1251">
        <f>H592+J592+L592</f>
        <v>0</v>
      </c>
      <c r="N592" s="1250"/>
      <c r="O592" s="1263"/>
    </row>
    <row r="593" spans="1:15" s="660" customFormat="1">
      <c r="A593" s="1394"/>
      <c r="B593" s="447"/>
      <c r="C593" s="148" t="s">
        <v>101</v>
      </c>
      <c r="D593" s="447" t="s">
        <v>4</v>
      </c>
      <c r="E593" s="1234">
        <f>(1.58+0.105*25)/100</f>
        <v>4.2050000000000004E-2</v>
      </c>
      <c r="F593" s="1234">
        <f>F590*E593</f>
        <v>2.1025</v>
      </c>
      <c r="G593" s="448"/>
      <c r="H593" s="448">
        <f>F593*G593</f>
        <v>0</v>
      </c>
      <c r="I593" s="448"/>
      <c r="J593" s="448"/>
      <c r="K593" s="448"/>
      <c r="L593" s="448"/>
      <c r="M593" s="1251">
        <f>H593+J593+L593</f>
        <v>0</v>
      </c>
      <c r="N593" s="1250"/>
      <c r="O593" s="1263"/>
    </row>
    <row r="594" spans="1:15" s="660" customFormat="1">
      <c r="A594" s="1395"/>
      <c r="B594" s="447"/>
      <c r="C594" s="148" t="s">
        <v>19</v>
      </c>
      <c r="D594" s="447" t="s">
        <v>11</v>
      </c>
      <c r="E594" s="1234">
        <v>6.4000000000000001E-2</v>
      </c>
      <c r="F594" s="1234">
        <f>F590*E594</f>
        <v>3.2</v>
      </c>
      <c r="G594" s="448"/>
      <c r="H594" s="448">
        <f>F594*G594</f>
        <v>0</v>
      </c>
      <c r="I594" s="448"/>
      <c r="J594" s="448"/>
      <c r="K594" s="448"/>
      <c r="L594" s="448"/>
      <c r="M594" s="1251">
        <f>H594+J594+L594</f>
        <v>0</v>
      </c>
      <c r="N594" s="1250"/>
      <c r="O594" s="1263"/>
    </row>
    <row r="595" spans="1:15" s="660" customFormat="1">
      <c r="A595" s="1390" t="s">
        <v>1645</v>
      </c>
      <c r="B595" s="661" t="s">
        <v>976</v>
      </c>
      <c r="C595" s="225" t="s">
        <v>1813</v>
      </c>
      <c r="D595" s="44" t="s">
        <v>5</v>
      </c>
      <c r="E595" s="1234"/>
      <c r="F595" s="707">
        <f>F589</f>
        <v>50</v>
      </c>
      <c r="G595" s="1226"/>
      <c r="H595" s="1226"/>
      <c r="I595" s="1226"/>
      <c r="J595" s="1226"/>
      <c r="K595" s="1226"/>
      <c r="L595" s="1226"/>
      <c r="M595" s="1259"/>
      <c r="N595" s="1250"/>
      <c r="O595" s="1263"/>
    </row>
    <row r="596" spans="1:15" s="660" customFormat="1">
      <c r="A596" s="1391"/>
      <c r="B596" s="661"/>
      <c r="C596" s="166" t="s">
        <v>1810</v>
      </c>
      <c r="D596" s="695" t="s">
        <v>5</v>
      </c>
      <c r="E596" s="1235">
        <v>1</v>
      </c>
      <c r="F596" s="1234">
        <f>F595*E596</f>
        <v>50</v>
      </c>
      <c r="G596" s="638"/>
      <c r="H596" s="1226"/>
      <c r="I596" s="448"/>
      <c r="J596" s="448">
        <f>F596*I596</f>
        <v>0</v>
      </c>
      <c r="K596" s="448"/>
      <c r="L596" s="448"/>
      <c r="M596" s="1251">
        <f>H596+J596+L596</f>
        <v>0</v>
      </c>
      <c r="N596" s="1250"/>
      <c r="O596" s="1263"/>
    </row>
    <row r="597" spans="1:15" s="660" customFormat="1">
      <c r="A597" s="1391"/>
      <c r="B597" s="661"/>
      <c r="C597" s="166" t="s">
        <v>25</v>
      </c>
      <c r="D597" s="695" t="s">
        <v>11</v>
      </c>
      <c r="E597" s="1235">
        <v>3.2000000000000002E-3</v>
      </c>
      <c r="F597" s="1234">
        <f>F595*E597</f>
        <v>0.16</v>
      </c>
      <c r="G597" s="87"/>
      <c r="H597" s="448"/>
      <c r="I597" s="448"/>
      <c r="J597" s="448"/>
      <c r="K597" s="448"/>
      <c r="L597" s="448">
        <f>F597*K597</f>
        <v>0</v>
      </c>
      <c r="M597" s="1251">
        <f>H597+J597+L597</f>
        <v>0</v>
      </c>
      <c r="N597" s="1250"/>
      <c r="O597" s="1263"/>
    </row>
    <row r="598" spans="1:15" s="660" customFormat="1">
      <c r="A598" s="1391"/>
      <c r="B598" s="661"/>
      <c r="C598" s="166" t="s">
        <v>1814</v>
      </c>
      <c r="D598" s="695" t="s">
        <v>18</v>
      </c>
      <c r="E598" s="1235">
        <v>1.1100000000000001</v>
      </c>
      <c r="F598" s="1234">
        <f>F595*E598</f>
        <v>55.500000000000007</v>
      </c>
      <c r="G598" s="87"/>
      <c r="H598" s="448">
        <f>F598*G598</f>
        <v>0</v>
      </c>
      <c r="I598" s="448"/>
      <c r="J598" s="448"/>
      <c r="K598" s="448"/>
      <c r="L598" s="448"/>
      <c r="M598" s="1251">
        <f>H598+J598+L598</f>
        <v>0</v>
      </c>
      <c r="N598" s="1250"/>
      <c r="O598" s="1263"/>
    </row>
    <row r="599" spans="1:15" s="660" customFormat="1">
      <c r="A599" s="1391"/>
      <c r="B599" s="661"/>
      <c r="C599" s="166" t="s">
        <v>226</v>
      </c>
      <c r="D599" s="695" t="s">
        <v>6</v>
      </c>
      <c r="E599" s="1235">
        <v>0.5</v>
      </c>
      <c r="F599" s="1234">
        <f>F595*E599</f>
        <v>25</v>
      </c>
      <c r="G599" s="87"/>
      <c r="H599" s="448">
        <f>F599*G599</f>
        <v>0</v>
      </c>
      <c r="I599" s="448"/>
      <c r="J599" s="448"/>
      <c r="K599" s="448"/>
      <c r="L599" s="448"/>
      <c r="M599" s="1251">
        <f>H599+J599+L599</f>
        <v>0</v>
      </c>
      <c r="N599" s="1250"/>
      <c r="O599" s="1263"/>
    </row>
    <row r="600" spans="1:15" s="660" customFormat="1">
      <c r="A600" s="1392"/>
      <c r="B600" s="663"/>
      <c r="C600" s="674" t="s">
        <v>281</v>
      </c>
      <c r="D600" s="693" t="s">
        <v>6</v>
      </c>
      <c r="E600" s="709">
        <v>3.5000000000000003E-2</v>
      </c>
      <c r="F600" s="708">
        <f>F595*E600</f>
        <v>1.7500000000000002</v>
      </c>
      <c r="G600" s="659"/>
      <c r="H600" s="1225">
        <f>F600*G600</f>
        <v>0</v>
      </c>
      <c r="I600" s="659"/>
      <c r="J600" s="1225"/>
      <c r="K600" s="659"/>
      <c r="L600" s="1225"/>
      <c r="M600" s="1261">
        <f>H600+J600+L600</f>
        <v>0</v>
      </c>
      <c r="N600" s="1250"/>
      <c r="O600" s="1263"/>
    </row>
    <row r="601" spans="1:15" s="660" customFormat="1" ht="31.5">
      <c r="A601" s="1390" t="s">
        <v>1646</v>
      </c>
      <c r="B601" s="44" t="s">
        <v>977</v>
      </c>
      <c r="C601" s="139" t="s">
        <v>1770</v>
      </c>
      <c r="D601" s="44" t="s">
        <v>5</v>
      </c>
      <c r="E601" s="1235"/>
      <c r="F601" s="383">
        <f>F589</f>
        <v>50</v>
      </c>
      <c r="G601" s="87"/>
      <c r="H601" s="448"/>
      <c r="I601" s="87"/>
      <c r="J601" s="448"/>
      <c r="K601" s="87"/>
      <c r="L601" s="448"/>
      <c r="M601" s="1251"/>
      <c r="N601" s="1250"/>
      <c r="O601" s="1263"/>
    </row>
    <row r="602" spans="1:15" s="660" customFormat="1">
      <c r="A602" s="1391"/>
      <c r="B602" s="695"/>
      <c r="C602" s="684" t="s">
        <v>1811</v>
      </c>
      <c r="D602" s="695" t="s">
        <v>5</v>
      </c>
      <c r="E602" s="731">
        <v>1</v>
      </c>
      <c r="F602" s="1235">
        <f>F601*E602</f>
        <v>50</v>
      </c>
      <c r="G602" s="87"/>
      <c r="H602" s="448"/>
      <c r="I602" s="637"/>
      <c r="J602" s="448">
        <f>F602*I602</f>
        <v>0</v>
      </c>
      <c r="K602" s="87"/>
      <c r="L602" s="448"/>
      <c r="M602" s="1251">
        <f>H602+J602+L602</f>
        <v>0</v>
      </c>
      <c r="N602" s="1250"/>
      <c r="O602" s="1263"/>
    </row>
    <row r="603" spans="1:15" s="660" customFormat="1">
      <c r="A603" s="1391"/>
      <c r="B603" s="695"/>
      <c r="C603" s="684" t="s">
        <v>21</v>
      </c>
      <c r="D603" s="695" t="s">
        <v>11</v>
      </c>
      <c r="E603" s="731">
        <f>(0.59+0.24*1)/100</f>
        <v>8.3000000000000001E-3</v>
      </c>
      <c r="F603" s="1235">
        <f>F601*E603</f>
        <v>0.41499999999999998</v>
      </c>
      <c r="G603" s="87"/>
      <c r="H603" s="448"/>
      <c r="I603" s="87"/>
      <c r="J603" s="448"/>
      <c r="K603" s="87"/>
      <c r="L603" s="448">
        <f>F603*K603</f>
        <v>0</v>
      </c>
      <c r="M603" s="1251">
        <f>H603+J603+L603</f>
        <v>0</v>
      </c>
      <c r="N603" s="1250"/>
      <c r="O603" s="1263"/>
    </row>
    <row r="604" spans="1:15" s="660" customFormat="1">
      <c r="A604" s="1391"/>
      <c r="B604" s="695"/>
      <c r="C604" s="142" t="s">
        <v>978</v>
      </c>
      <c r="D604" s="695" t="s">
        <v>6</v>
      </c>
      <c r="E604" s="1235">
        <f>(0.0029+0.0014*1)*1000</f>
        <v>4.3</v>
      </c>
      <c r="F604" s="1235">
        <f>F601*E604</f>
        <v>215</v>
      </c>
      <c r="G604" s="87"/>
      <c r="H604" s="448">
        <f>F604*G604</f>
        <v>0</v>
      </c>
      <c r="I604" s="87"/>
      <c r="J604" s="448"/>
      <c r="K604" s="87"/>
      <c r="L604" s="448"/>
      <c r="M604" s="1251">
        <f>H604+J604+L604</f>
        <v>0</v>
      </c>
      <c r="N604" s="1250"/>
      <c r="O604" s="1263"/>
    </row>
    <row r="605" spans="1:15" s="660" customFormat="1">
      <c r="A605" s="1392"/>
      <c r="B605" s="695"/>
      <c r="C605" s="142" t="s">
        <v>19</v>
      </c>
      <c r="D605" s="695" t="s">
        <v>11</v>
      </c>
      <c r="E605" s="1235">
        <v>1.9E-3</v>
      </c>
      <c r="F605" s="1235">
        <f>F601*E605</f>
        <v>9.5000000000000001E-2</v>
      </c>
      <c r="G605" s="87"/>
      <c r="H605" s="448">
        <f>F605*G605</f>
        <v>0</v>
      </c>
      <c r="I605" s="87"/>
      <c r="J605" s="448"/>
      <c r="K605" s="87"/>
      <c r="L605" s="448"/>
      <c r="M605" s="1251">
        <f>H605+J605+L605</f>
        <v>0</v>
      </c>
      <c r="N605" s="1250"/>
      <c r="O605" s="1263"/>
    </row>
    <row r="606" spans="1:15" s="660" customFormat="1" ht="31.5">
      <c r="A606" s="1390" t="s">
        <v>1725</v>
      </c>
      <c r="B606" s="44" t="s">
        <v>979</v>
      </c>
      <c r="C606" s="225" t="s">
        <v>980</v>
      </c>
      <c r="D606" s="44" t="s">
        <v>5</v>
      </c>
      <c r="E606" s="707"/>
      <c r="F606" s="707">
        <f>F589</f>
        <v>50</v>
      </c>
      <c r="G606" s="448"/>
      <c r="H606" s="448"/>
      <c r="I606" s="448"/>
      <c r="J606" s="448"/>
      <c r="K606" s="448"/>
      <c r="L606" s="448"/>
      <c r="M606" s="1251"/>
      <c r="N606" s="1250"/>
      <c r="O606" s="1263"/>
    </row>
    <row r="607" spans="1:15" s="660" customFormat="1">
      <c r="A607" s="1391"/>
      <c r="B607" s="447"/>
      <c r="C607" s="148" t="s">
        <v>1812</v>
      </c>
      <c r="D607" s="447" t="s">
        <v>5</v>
      </c>
      <c r="E607" s="1234">
        <v>1</v>
      </c>
      <c r="F607" s="1234">
        <f>F606*E607</f>
        <v>50</v>
      </c>
      <c r="G607" s="448"/>
      <c r="H607" s="448"/>
      <c r="I607" s="448"/>
      <c r="J607" s="448">
        <f>F607*I607</f>
        <v>0</v>
      </c>
      <c r="K607" s="448"/>
      <c r="L607" s="448"/>
      <c r="M607" s="1251">
        <f t="shared" ref="M607:M614" si="99">H607+J607+L607</f>
        <v>0</v>
      </c>
      <c r="N607" s="1250"/>
      <c r="O607" s="1263"/>
    </row>
    <row r="608" spans="1:15" s="660" customFormat="1">
      <c r="A608" s="1391"/>
      <c r="B608" s="447"/>
      <c r="C608" s="148" t="s">
        <v>25</v>
      </c>
      <c r="D608" s="447" t="s">
        <v>11</v>
      </c>
      <c r="E608" s="1234">
        <v>2.8400000000000002E-2</v>
      </c>
      <c r="F608" s="1234">
        <f>F606*E608</f>
        <v>1.4200000000000002</v>
      </c>
      <c r="G608" s="448"/>
      <c r="H608" s="448"/>
      <c r="I608" s="448"/>
      <c r="J608" s="448"/>
      <c r="K608" s="448"/>
      <c r="L608" s="448">
        <f>F608*K608</f>
        <v>0</v>
      </c>
      <c r="M608" s="1251">
        <f t="shared" si="99"/>
        <v>0</v>
      </c>
      <c r="N608" s="1250"/>
      <c r="O608" s="1263"/>
    </row>
    <row r="609" spans="1:15" s="660" customFormat="1" ht="31.5">
      <c r="A609" s="1391"/>
      <c r="B609" s="695"/>
      <c r="C609" s="1237" t="s">
        <v>1815</v>
      </c>
      <c r="D609" s="695" t="s">
        <v>234</v>
      </c>
      <c r="E609" s="1235">
        <v>1.25</v>
      </c>
      <c r="F609" s="1234">
        <f>F606*E609</f>
        <v>62.5</v>
      </c>
      <c r="G609" s="448"/>
      <c r="H609" s="448">
        <f t="shared" ref="H609:H614" si="100">F609*G609</f>
        <v>0</v>
      </c>
      <c r="I609" s="448"/>
      <c r="J609" s="448"/>
      <c r="K609" s="448"/>
      <c r="L609" s="448"/>
      <c r="M609" s="1251">
        <f t="shared" si="99"/>
        <v>0</v>
      </c>
      <c r="N609" s="1250"/>
      <c r="O609" s="1263"/>
    </row>
    <row r="610" spans="1:15" s="660" customFormat="1" ht="31.5" hidden="1">
      <c r="A610" s="1391"/>
      <c r="B610" s="40"/>
      <c r="C610" s="166" t="s">
        <v>982</v>
      </c>
      <c r="D610" s="24" t="s">
        <v>234</v>
      </c>
      <c r="E610" s="84">
        <v>1.25</v>
      </c>
      <c r="F610" s="84">
        <f>E610*F606</f>
        <v>62.5</v>
      </c>
      <c r="G610" s="448"/>
      <c r="H610" s="664"/>
      <c r="I610" s="664"/>
      <c r="J610" s="664"/>
      <c r="K610" s="664"/>
      <c r="L610" s="664"/>
      <c r="M610" s="1264">
        <f t="shared" si="99"/>
        <v>0</v>
      </c>
      <c r="N610" s="1250"/>
      <c r="O610" s="1263"/>
    </row>
    <row r="611" spans="1:15" s="660" customFormat="1">
      <c r="A611" s="1391"/>
      <c r="B611" s="695"/>
      <c r="C611" s="166" t="s">
        <v>983</v>
      </c>
      <c r="D611" s="695" t="s">
        <v>234</v>
      </c>
      <c r="E611" s="1235">
        <v>1.25</v>
      </c>
      <c r="F611" s="1234">
        <f>F606*E611</f>
        <v>62.5</v>
      </c>
      <c r="G611" s="448"/>
      <c r="H611" s="448">
        <f t="shared" si="100"/>
        <v>0</v>
      </c>
      <c r="I611" s="448"/>
      <c r="J611" s="448"/>
      <c r="K611" s="448"/>
      <c r="L611" s="448"/>
      <c r="M611" s="1251">
        <f t="shared" si="99"/>
        <v>0</v>
      </c>
      <c r="N611" s="1250"/>
      <c r="O611" s="1263"/>
    </row>
    <row r="612" spans="1:15" s="660" customFormat="1">
      <c r="A612" s="1391"/>
      <c r="B612" s="447"/>
      <c r="C612" s="166" t="s">
        <v>984</v>
      </c>
      <c r="D612" s="695" t="s">
        <v>985</v>
      </c>
      <c r="E612" s="1235">
        <v>0.8</v>
      </c>
      <c r="F612" s="1234">
        <f>F606*E612</f>
        <v>40</v>
      </c>
      <c r="G612" s="448"/>
      <c r="H612" s="448">
        <f t="shared" si="100"/>
        <v>0</v>
      </c>
      <c r="I612" s="448"/>
      <c r="J612" s="448"/>
      <c r="K612" s="448"/>
      <c r="L612" s="448"/>
      <c r="M612" s="1251">
        <f t="shared" si="99"/>
        <v>0</v>
      </c>
      <c r="N612" s="1250"/>
      <c r="O612" s="1263"/>
    </row>
    <row r="613" spans="1:15" s="660" customFormat="1">
      <c r="A613" s="1391"/>
      <c r="B613" s="447"/>
      <c r="C613" s="166" t="s">
        <v>273</v>
      </c>
      <c r="D613" s="695" t="s">
        <v>7</v>
      </c>
      <c r="E613" s="1235">
        <v>2.9999999999999997E-4</v>
      </c>
      <c r="F613" s="1234">
        <f>F606*E613</f>
        <v>1.4999999999999999E-2</v>
      </c>
      <c r="G613" s="77"/>
      <c r="H613" s="448">
        <f t="shared" si="100"/>
        <v>0</v>
      </c>
      <c r="I613" s="448"/>
      <c r="J613" s="448"/>
      <c r="K613" s="448"/>
      <c r="L613" s="448"/>
      <c r="M613" s="1251">
        <f t="shared" si="99"/>
        <v>0</v>
      </c>
      <c r="N613" s="1250"/>
      <c r="O613" s="1262">
        <f>16.5/0.0039</f>
        <v>4230.7692307692314</v>
      </c>
    </row>
    <row r="614" spans="1:15" s="660" customFormat="1">
      <c r="A614" s="1392"/>
      <c r="B614" s="1142"/>
      <c r="C614" s="630" t="s">
        <v>26</v>
      </c>
      <c r="D614" s="691" t="s">
        <v>11</v>
      </c>
      <c r="E614" s="708">
        <v>2.06E-2</v>
      </c>
      <c r="F614" s="708">
        <f>F606*E614</f>
        <v>1.03</v>
      </c>
      <c r="G614" s="1225"/>
      <c r="H614" s="1225">
        <f t="shared" si="100"/>
        <v>0</v>
      </c>
      <c r="I614" s="1225"/>
      <c r="J614" s="1225"/>
      <c r="K614" s="1225"/>
      <c r="L614" s="1225"/>
      <c r="M614" s="1261">
        <f t="shared" si="99"/>
        <v>0</v>
      </c>
      <c r="N614" s="1250"/>
      <c r="O614" s="1263"/>
    </row>
    <row r="615" spans="1:15" s="660" customFormat="1" hidden="1">
      <c r="A615" s="1390" t="s">
        <v>1726</v>
      </c>
      <c r="B615" s="44" t="s">
        <v>22</v>
      </c>
      <c r="C615" s="140" t="s">
        <v>987</v>
      </c>
      <c r="D615" s="44" t="s">
        <v>1</v>
      </c>
      <c r="E615" s="707"/>
      <c r="F615" s="707">
        <v>0</v>
      </c>
      <c r="G615" s="448"/>
      <c r="H615" s="448"/>
      <c r="I615" s="448"/>
      <c r="J615" s="448"/>
      <c r="K615" s="448"/>
      <c r="L615" s="448"/>
      <c r="M615" s="1251"/>
      <c r="N615" s="1250"/>
      <c r="O615" s="1263"/>
    </row>
    <row r="616" spans="1:15" s="660" customFormat="1" hidden="1">
      <c r="A616" s="1391"/>
      <c r="B616" s="447"/>
      <c r="C616" s="141"/>
      <c r="D616" s="42" t="s">
        <v>5</v>
      </c>
      <c r="E616" s="707"/>
      <c r="F616" s="707">
        <f>F615*0.5</f>
        <v>0</v>
      </c>
      <c r="G616" s="448"/>
      <c r="H616" s="448"/>
      <c r="I616" s="448"/>
      <c r="J616" s="448"/>
      <c r="K616" s="448"/>
      <c r="L616" s="448"/>
      <c r="M616" s="1251"/>
      <c r="N616" s="1250"/>
      <c r="O616" s="1263"/>
    </row>
    <row r="617" spans="1:15" s="660" customFormat="1" hidden="1">
      <c r="A617" s="1391"/>
      <c r="B617" s="447"/>
      <c r="C617" s="148" t="s">
        <v>20</v>
      </c>
      <c r="D617" s="447" t="s">
        <v>15</v>
      </c>
      <c r="E617" s="1234">
        <v>0.83</v>
      </c>
      <c r="F617" s="1234">
        <f>F616*E617</f>
        <v>0</v>
      </c>
      <c r="G617" s="448"/>
      <c r="H617" s="448"/>
      <c r="I617" s="448">
        <v>7.8</v>
      </c>
      <c r="J617" s="448">
        <f>F617*I617</f>
        <v>0</v>
      </c>
      <c r="K617" s="448"/>
      <c r="L617" s="448"/>
      <c r="M617" s="1251">
        <f>H617+J617+L617</f>
        <v>0</v>
      </c>
      <c r="N617" s="1250"/>
      <c r="O617" s="1263"/>
    </row>
    <row r="618" spans="1:15" s="660" customFormat="1" hidden="1">
      <c r="A618" s="1391"/>
      <c r="B618" s="695"/>
      <c r="C618" s="166" t="s">
        <v>21</v>
      </c>
      <c r="D618" s="695" t="s">
        <v>11</v>
      </c>
      <c r="E618" s="1235">
        <v>4.1000000000000003E-3</v>
      </c>
      <c r="F618" s="1234">
        <f>F616*E618</f>
        <v>0</v>
      </c>
      <c r="G618" s="448"/>
      <c r="H618" s="448"/>
      <c r="I618" s="448"/>
      <c r="J618" s="448"/>
      <c r="K618" s="448">
        <v>4</v>
      </c>
      <c r="L618" s="448">
        <f>F618*K618</f>
        <v>0</v>
      </c>
      <c r="M618" s="1251">
        <f>H618+J618+L618</f>
        <v>0</v>
      </c>
      <c r="N618" s="1250"/>
      <c r="O618" s="1263"/>
    </row>
    <row r="619" spans="1:15" s="660" customFormat="1" hidden="1">
      <c r="A619" s="1391"/>
      <c r="B619" s="695"/>
      <c r="C619" s="166" t="s">
        <v>986</v>
      </c>
      <c r="D619" s="695" t="s">
        <v>5</v>
      </c>
      <c r="E619" s="1235">
        <v>1.3</v>
      </c>
      <c r="F619" s="1234">
        <f>F616*E619</f>
        <v>0</v>
      </c>
      <c r="G619" s="448">
        <v>15.8</v>
      </c>
      <c r="H619" s="448">
        <f>F619*G619</f>
        <v>0</v>
      </c>
      <c r="I619" s="448"/>
      <c r="J619" s="448"/>
      <c r="K619" s="448"/>
      <c r="L619" s="448"/>
      <c r="M619" s="1251">
        <f>H619+J619+L619</f>
        <v>0</v>
      </c>
      <c r="N619" s="1250"/>
      <c r="O619" s="1263"/>
    </row>
    <row r="620" spans="1:15" s="660" customFormat="1" hidden="1">
      <c r="A620" s="1392"/>
      <c r="B620" s="447"/>
      <c r="C620" s="166" t="s">
        <v>19</v>
      </c>
      <c r="D620" s="695" t="s">
        <v>11</v>
      </c>
      <c r="E620" s="1235">
        <v>7.8E-2</v>
      </c>
      <c r="F620" s="1234">
        <f>F616*E620</f>
        <v>0</v>
      </c>
      <c r="G620" s="448">
        <v>4</v>
      </c>
      <c r="H620" s="448">
        <f>F620*G620</f>
        <v>0</v>
      </c>
      <c r="I620" s="448"/>
      <c r="J620" s="448"/>
      <c r="K620" s="448"/>
      <c r="L620" s="448"/>
      <c r="M620" s="1251">
        <f>H620+J620+L620</f>
        <v>0</v>
      </c>
      <c r="N620" s="1250"/>
      <c r="O620" s="1263"/>
    </row>
    <row r="621" spans="1:15" s="660" customFormat="1" ht="31.5" hidden="1">
      <c r="A621" s="1393" t="s">
        <v>1727</v>
      </c>
      <c r="B621" s="42" t="s">
        <v>270</v>
      </c>
      <c r="C621" s="225" t="s">
        <v>1072</v>
      </c>
      <c r="D621" s="447" t="s">
        <v>1</v>
      </c>
      <c r="E621" s="730"/>
      <c r="F621" s="707">
        <v>0</v>
      </c>
      <c r="G621" s="448"/>
      <c r="H621" s="448"/>
      <c r="I621" s="448"/>
      <c r="J621" s="448"/>
      <c r="K621" s="448"/>
      <c r="L621" s="448"/>
      <c r="M621" s="1251"/>
      <c r="N621" s="1250"/>
      <c r="O621" s="1263"/>
    </row>
    <row r="622" spans="1:15" s="660" customFormat="1" hidden="1">
      <c r="A622" s="1394"/>
      <c r="B622" s="447"/>
      <c r="C622" s="166" t="s">
        <v>20</v>
      </c>
      <c r="D622" s="447" t="s">
        <v>15</v>
      </c>
      <c r="E622" s="1235">
        <v>0.74</v>
      </c>
      <c r="F622" s="1235">
        <f>F621*E622</f>
        <v>0</v>
      </c>
      <c r="G622" s="448"/>
      <c r="H622" s="448"/>
      <c r="I622" s="448">
        <v>7.8</v>
      </c>
      <c r="J622" s="448">
        <f>F622*I622</f>
        <v>0</v>
      </c>
      <c r="K622" s="448"/>
      <c r="L622" s="448"/>
      <c r="M622" s="1251">
        <f t="shared" ref="M622:M630" si="101">H622+J622+L622</f>
        <v>0</v>
      </c>
      <c r="N622" s="1250"/>
      <c r="O622" s="1263"/>
    </row>
    <row r="623" spans="1:15" s="660" customFormat="1" hidden="1">
      <c r="A623" s="1394"/>
      <c r="B623" s="447"/>
      <c r="C623" s="166" t="s">
        <v>14</v>
      </c>
      <c r="D623" s="447" t="s">
        <v>11</v>
      </c>
      <c r="E623" s="1235">
        <v>6.6199999999999995E-2</v>
      </c>
      <c r="F623" s="1235">
        <f>F621*E623</f>
        <v>0</v>
      </c>
      <c r="G623" s="448"/>
      <c r="H623" s="448"/>
      <c r="I623" s="448"/>
      <c r="J623" s="448"/>
      <c r="K623" s="448">
        <v>4</v>
      </c>
      <c r="L623" s="448">
        <f>F623*K623</f>
        <v>0</v>
      </c>
      <c r="M623" s="1251">
        <f t="shared" si="101"/>
        <v>0</v>
      </c>
      <c r="N623" s="1250"/>
      <c r="O623" s="1263"/>
    </row>
    <row r="624" spans="1:15" s="660" customFormat="1" hidden="1">
      <c r="A624" s="1394"/>
      <c r="B624" s="447"/>
      <c r="C624" s="166" t="s">
        <v>988</v>
      </c>
      <c r="D624" s="447" t="s">
        <v>1</v>
      </c>
      <c r="E624" s="1235">
        <v>1.1000000000000001</v>
      </c>
      <c r="F624" s="1235">
        <f>F621*E624</f>
        <v>0</v>
      </c>
      <c r="G624" s="448">
        <v>16.2</v>
      </c>
      <c r="H624" s="448">
        <f t="shared" ref="H624:H630" si="102">F624*G624</f>
        <v>0</v>
      </c>
      <c r="I624" s="448"/>
      <c r="J624" s="448"/>
      <c r="K624" s="448"/>
      <c r="L624" s="448"/>
      <c r="M624" s="1251">
        <f t="shared" si="101"/>
        <v>0</v>
      </c>
      <c r="N624" s="1250"/>
      <c r="O624" s="1263"/>
    </row>
    <row r="625" spans="1:15" s="660" customFormat="1" hidden="1">
      <c r="A625" s="1394"/>
      <c r="B625" s="447"/>
      <c r="C625" s="166" t="s">
        <v>989</v>
      </c>
      <c r="D625" s="695" t="s">
        <v>250</v>
      </c>
      <c r="E625" s="1235">
        <v>6.7000000000000002E-3</v>
      </c>
      <c r="F625" s="1234">
        <v>0</v>
      </c>
      <c r="G625" s="448">
        <v>4230</v>
      </c>
      <c r="H625" s="448">
        <f t="shared" si="102"/>
        <v>0</v>
      </c>
      <c r="I625" s="448"/>
      <c r="J625" s="448"/>
      <c r="K625" s="448"/>
      <c r="L625" s="448"/>
      <c r="M625" s="1251">
        <f t="shared" si="101"/>
        <v>0</v>
      </c>
      <c r="N625" s="1250"/>
      <c r="O625" s="1263"/>
    </row>
    <row r="626" spans="1:15" s="660" customFormat="1" hidden="1">
      <c r="A626" s="1394"/>
      <c r="B626" s="447"/>
      <c r="C626" s="166" t="s">
        <v>772</v>
      </c>
      <c r="D626" s="447" t="s">
        <v>12</v>
      </c>
      <c r="E626" s="730">
        <f>F621/0.5*2</f>
        <v>0</v>
      </c>
      <c r="F626" s="1234">
        <f>E626</f>
        <v>0</v>
      </c>
      <c r="G626" s="448">
        <v>3</v>
      </c>
      <c r="H626" s="448">
        <f t="shared" si="102"/>
        <v>0</v>
      </c>
      <c r="I626" s="448"/>
      <c r="J626" s="448"/>
      <c r="K626" s="448"/>
      <c r="L626" s="448"/>
      <c r="M626" s="1251">
        <f t="shared" si="101"/>
        <v>0</v>
      </c>
      <c r="N626" s="1250"/>
      <c r="O626" s="1263"/>
    </row>
    <row r="627" spans="1:15" s="660" customFormat="1" hidden="1">
      <c r="A627" s="1394"/>
      <c r="B627" s="447"/>
      <c r="C627" s="166" t="s">
        <v>261</v>
      </c>
      <c r="D627" s="695" t="s">
        <v>6</v>
      </c>
      <c r="E627" s="1235">
        <v>0.128</v>
      </c>
      <c r="F627" s="1234">
        <f>F621*E627</f>
        <v>0</v>
      </c>
      <c r="G627" s="448">
        <v>2.5</v>
      </c>
      <c r="H627" s="448">
        <f t="shared" si="102"/>
        <v>0</v>
      </c>
      <c r="I627" s="448"/>
      <c r="J627" s="448"/>
      <c r="K627" s="448"/>
      <c r="L627" s="448"/>
      <c r="M627" s="1251">
        <f t="shared" si="101"/>
        <v>0</v>
      </c>
      <c r="N627" s="1250"/>
      <c r="O627" s="1263"/>
    </row>
    <row r="628" spans="1:15" s="660" customFormat="1" hidden="1">
      <c r="A628" s="1394"/>
      <c r="B628" s="447"/>
      <c r="C628" s="166" t="s">
        <v>266</v>
      </c>
      <c r="D628" s="695" t="s">
        <v>6</v>
      </c>
      <c r="E628" s="1235">
        <v>0.128</v>
      </c>
      <c r="F628" s="1234">
        <f>F621*E628</f>
        <v>0</v>
      </c>
      <c r="G628" s="448">
        <v>4.0999999999999996</v>
      </c>
      <c r="H628" s="448">
        <f t="shared" si="102"/>
        <v>0</v>
      </c>
      <c r="I628" s="448"/>
      <c r="J628" s="448"/>
      <c r="K628" s="448"/>
      <c r="L628" s="448"/>
      <c r="M628" s="1251">
        <f t="shared" si="101"/>
        <v>0</v>
      </c>
      <c r="N628" s="1250"/>
      <c r="O628" s="1263"/>
    </row>
    <row r="629" spans="1:15" s="660" customFormat="1" hidden="1">
      <c r="A629" s="1394"/>
      <c r="B629" s="447"/>
      <c r="C629" s="166" t="s">
        <v>267</v>
      </c>
      <c r="D629" s="695" t="s">
        <v>6</v>
      </c>
      <c r="E629" s="1235">
        <v>4.0599999999999996</v>
      </c>
      <c r="F629" s="1235">
        <f>F621*E629</f>
        <v>0</v>
      </c>
      <c r="G629" s="448">
        <v>4.5</v>
      </c>
      <c r="H629" s="448">
        <f t="shared" si="102"/>
        <v>0</v>
      </c>
      <c r="I629" s="448"/>
      <c r="J629" s="448"/>
      <c r="K629" s="448"/>
      <c r="L629" s="448"/>
      <c r="M629" s="1251">
        <f t="shared" si="101"/>
        <v>0</v>
      </c>
      <c r="N629" s="1250"/>
      <c r="O629" s="1263"/>
    </row>
    <row r="630" spans="1:15" s="660" customFormat="1" hidden="1">
      <c r="A630" s="1395"/>
      <c r="B630" s="447"/>
      <c r="C630" s="148" t="s">
        <v>19</v>
      </c>
      <c r="D630" s="447" t="s">
        <v>11</v>
      </c>
      <c r="E630" s="1235">
        <v>0.13300000000000001</v>
      </c>
      <c r="F630" s="1235">
        <f>F621*E630</f>
        <v>0</v>
      </c>
      <c r="G630" s="448">
        <v>4</v>
      </c>
      <c r="H630" s="448">
        <f t="shared" si="102"/>
        <v>0</v>
      </c>
      <c r="I630" s="448"/>
      <c r="J630" s="448"/>
      <c r="K630" s="448"/>
      <c r="L630" s="448"/>
      <c r="M630" s="1251">
        <f t="shared" si="101"/>
        <v>0</v>
      </c>
      <c r="N630" s="1250"/>
      <c r="O630" s="1263"/>
    </row>
    <row r="631" spans="1:15" s="660" customFormat="1" ht="31.5" hidden="1">
      <c r="A631" s="1390" t="s">
        <v>1727</v>
      </c>
      <c r="B631" s="44" t="s">
        <v>990</v>
      </c>
      <c r="C631" s="225" t="s">
        <v>991</v>
      </c>
      <c r="D631" s="695" t="s">
        <v>12</v>
      </c>
      <c r="E631" s="1235"/>
      <c r="F631" s="383">
        <v>0</v>
      </c>
      <c r="G631" s="87"/>
      <c r="H631" s="448"/>
      <c r="I631" s="87"/>
      <c r="J631" s="448"/>
      <c r="K631" s="87"/>
      <c r="L631" s="448"/>
      <c r="M631" s="1251"/>
      <c r="N631" s="1250"/>
      <c r="O631" s="1263"/>
    </row>
    <row r="632" spans="1:15" s="660" customFormat="1" hidden="1">
      <c r="A632" s="1391"/>
      <c r="B632" s="695"/>
      <c r="C632" s="166" t="s">
        <v>20</v>
      </c>
      <c r="D632" s="695" t="s">
        <v>15</v>
      </c>
      <c r="E632" s="1235">
        <v>2.7</v>
      </c>
      <c r="F632" s="1235">
        <f>F631*E632</f>
        <v>0</v>
      </c>
      <c r="G632" s="87"/>
      <c r="H632" s="448"/>
      <c r="I632" s="87">
        <v>6</v>
      </c>
      <c r="J632" s="448">
        <f>F632*I632</f>
        <v>0</v>
      </c>
      <c r="K632" s="87"/>
      <c r="L632" s="448"/>
      <c r="M632" s="1251">
        <f>H632+J632+L632</f>
        <v>0</v>
      </c>
      <c r="N632" s="1250"/>
      <c r="O632" s="1263"/>
    </row>
    <row r="633" spans="1:15" s="660" customFormat="1" hidden="1">
      <c r="A633" s="1391"/>
      <c r="B633" s="695"/>
      <c r="C633" s="166" t="s">
        <v>139</v>
      </c>
      <c r="D633" s="695" t="s">
        <v>11</v>
      </c>
      <c r="E633" s="1235">
        <v>0.45</v>
      </c>
      <c r="F633" s="1235">
        <f>F631*E633</f>
        <v>0</v>
      </c>
      <c r="G633" s="87"/>
      <c r="H633" s="448"/>
      <c r="I633" s="87"/>
      <c r="J633" s="448"/>
      <c r="K633" s="87">
        <v>4</v>
      </c>
      <c r="L633" s="448">
        <f>F633*K633</f>
        <v>0</v>
      </c>
      <c r="M633" s="1251">
        <f>H633+J633+L633</f>
        <v>0</v>
      </c>
      <c r="N633" s="1250"/>
      <c r="O633" s="1263"/>
    </row>
    <row r="634" spans="1:15" s="660" customFormat="1" ht="31.5" hidden="1">
      <c r="A634" s="1391"/>
      <c r="B634" s="695"/>
      <c r="C634" s="166" t="s">
        <v>992</v>
      </c>
      <c r="D634" s="695" t="s">
        <v>90</v>
      </c>
      <c r="E634" s="1235">
        <v>1</v>
      </c>
      <c r="F634" s="1235">
        <f>F631*E634</f>
        <v>0</v>
      </c>
      <c r="G634" s="87">
        <v>20.5</v>
      </c>
      <c r="H634" s="448">
        <f>F634*G634</f>
        <v>0</v>
      </c>
      <c r="I634" s="87"/>
      <c r="J634" s="448"/>
      <c r="K634" s="87"/>
      <c r="L634" s="448"/>
      <c r="M634" s="1251">
        <f>H634+J634+L634</f>
        <v>0</v>
      </c>
      <c r="N634" s="1250"/>
      <c r="O634" s="1263"/>
    </row>
    <row r="635" spans="1:15" s="660" customFormat="1" hidden="1">
      <c r="A635" s="1392"/>
      <c r="B635" s="695"/>
      <c r="C635" s="166" t="s">
        <v>23</v>
      </c>
      <c r="D635" s="695" t="s">
        <v>11</v>
      </c>
      <c r="E635" s="1235">
        <v>0.14000000000000001</v>
      </c>
      <c r="F635" s="1235">
        <f>F631*E635</f>
        <v>0</v>
      </c>
      <c r="G635" s="87">
        <v>4</v>
      </c>
      <c r="H635" s="448">
        <f>F635*G635</f>
        <v>0</v>
      </c>
      <c r="I635" s="87"/>
      <c r="J635" s="448"/>
      <c r="K635" s="87"/>
      <c r="L635" s="448"/>
      <c r="M635" s="1251">
        <f>H635+J635+L635</f>
        <v>0</v>
      </c>
      <c r="N635" s="1250"/>
      <c r="O635" s="1263"/>
    </row>
    <row r="636" spans="1:15" s="660" customFormat="1" hidden="1">
      <c r="A636" s="1390" t="s">
        <v>1728</v>
      </c>
      <c r="B636" s="44" t="s">
        <v>270</v>
      </c>
      <c r="C636" s="225" t="s">
        <v>993</v>
      </c>
      <c r="D636" s="695" t="s">
        <v>124</v>
      </c>
      <c r="E636" s="1235"/>
      <c r="F636" s="383">
        <v>0</v>
      </c>
      <c r="G636" s="87"/>
      <c r="H636" s="448"/>
      <c r="I636" s="87"/>
      <c r="J636" s="448"/>
      <c r="K636" s="87"/>
      <c r="L636" s="448"/>
      <c r="M636" s="1251"/>
      <c r="N636" s="1250"/>
      <c r="O636" s="1263"/>
    </row>
    <row r="637" spans="1:15" s="660" customFormat="1" hidden="1">
      <c r="A637" s="1391"/>
      <c r="B637" s="695"/>
      <c r="C637" s="166" t="s">
        <v>20</v>
      </c>
      <c r="D637" s="695" t="s">
        <v>15</v>
      </c>
      <c r="E637" s="1235">
        <v>0.74</v>
      </c>
      <c r="F637" s="78">
        <f>F636*E637</f>
        <v>0</v>
      </c>
      <c r="G637" s="87"/>
      <c r="H637" s="448"/>
      <c r="I637" s="87">
        <v>7.8</v>
      </c>
      <c r="J637" s="448">
        <f>F637*I637</f>
        <v>0</v>
      </c>
      <c r="K637" s="87"/>
      <c r="L637" s="448"/>
      <c r="M637" s="1251">
        <f t="shared" ref="M637:M643" si="103">H637+J637+L637</f>
        <v>0</v>
      </c>
      <c r="N637" s="1250"/>
      <c r="O637" s="1263"/>
    </row>
    <row r="638" spans="1:15" s="660" customFormat="1" hidden="1">
      <c r="A638" s="1391"/>
      <c r="B638" s="695"/>
      <c r="C638" s="166" t="s">
        <v>24</v>
      </c>
      <c r="D638" s="695" t="s">
        <v>11</v>
      </c>
      <c r="E638" s="1235">
        <v>6.6199999999999995E-2</v>
      </c>
      <c r="F638" s="78">
        <f>F636*E638</f>
        <v>0</v>
      </c>
      <c r="G638" s="87"/>
      <c r="H638" s="448"/>
      <c r="I638" s="87"/>
      <c r="J638" s="448"/>
      <c r="K638" s="87">
        <v>4</v>
      </c>
      <c r="L638" s="448">
        <f>F638*K638</f>
        <v>0</v>
      </c>
      <c r="M638" s="1251">
        <f t="shared" si="103"/>
        <v>0</v>
      </c>
      <c r="N638" s="1250"/>
      <c r="O638" s="1263"/>
    </row>
    <row r="639" spans="1:15" s="660" customFormat="1" hidden="1">
      <c r="A639" s="1391"/>
      <c r="B639" s="695"/>
      <c r="C639" s="166" t="s">
        <v>994</v>
      </c>
      <c r="D639" s="665" t="s">
        <v>201</v>
      </c>
      <c r="E639" s="1235">
        <v>1.05</v>
      </c>
      <c r="F639" s="78">
        <f>F636*E639</f>
        <v>0</v>
      </c>
      <c r="G639" s="87">
        <v>15.4</v>
      </c>
      <c r="H639" s="448">
        <f>F639*G639</f>
        <v>0</v>
      </c>
      <c r="I639" s="87"/>
      <c r="J639" s="448"/>
      <c r="K639" s="87"/>
      <c r="L639" s="448"/>
      <c r="M639" s="1251">
        <f t="shared" si="103"/>
        <v>0</v>
      </c>
      <c r="N639" s="1250"/>
      <c r="O639" s="1263"/>
    </row>
    <row r="640" spans="1:15" s="660" customFormat="1" hidden="1">
      <c r="A640" s="1391"/>
      <c r="B640" s="447"/>
      <c r="C640" s="166" t="s">
        <v>261</v>
      </c>
      <c r="D640" s="695" t="s">
        <v>6</v>
      </c>
      <c r="E640" s="1235">
        <v>0.128</v>
      </c>
      <c r="F640" s="78">
        <f>F636*E640</f>
        <v>0</v>
      </c>
      <c r="G640" s="87">
        <v>2.5</v>
      </c>
      <c r="H640" s="448">
        <f>F640*G640</f>
        <v>0</v>
      </c>
      <c r="I640" s="87"/>
      <c r="J640" s="448"/>
      <c r="K640" s="87"/>
      <c r="L640" s="448"/>
      <c r="M640" s="1251">
        <f t="shared" si="103"/>
        <v>0</v>
      </c>
      <c r="N640" s="1250"/>
      <c r="O640" s="1263"/>
    </row>
    <row r="641" spans="1:15" s="660" customFormat="1" hidden="1">
      <c r="A641" s="1391"/>
      <c r="B641" s="447"/>
      <c r="C641" s="166" t="s">
        <v>266</v>
      </c>
      <c r="D641" s="695" t="s">
        <v>6</v>
      </c>
      <c r="E641" s="1235">
        <v>0.128</v>
      </c>
      <c r="F641" s="78">
        <f>F636*E641</f>
        <v>0</v>
      </c>
      <c r="G641" s="87">
        <v>4.0999999999999996</v>
      </c>
      <c r="H641" s="448">
        <f>F641*G641</f>
        <v>0</v>
      </c>
      <c r="I641" s="87"/>
      <c r="J641" s="448"/>
      <c r="K641" s="87"/>
      <c r="L641" s="448"/>
      <c r="M641" s="1251">
        <f t="shared" si="103"/>
        <v>0</v>
      </c>
      <c r="N641" s="1250"/>
      <c r="O641" s="1263"/>
    </row>
    <row r="642" spans="1:15" s="660" customFormat="1" hidden="1">
      <c r="A642" s="1391"/>
      <c r="B642" s="447"/>
      <c r="C642" s="166" t="s">
        <v>267</v>
      </c>
      <c r="D642" s="695" t="s">
        <v>6</v>
      </c>
      <c r="E642" s="1235">
        <v>0.112</v>
      </c>
      <c r="F642" s="78">
        <f>F636*E642</f>
        <v>0</v>
      </c>
      <c r="G642" s="87">
        <v>4.5</v>
      </c>
      <c r="H642" s="448">
        <f>F642*G642</f>
        <v>0</v>
      </c>
      <c r="I642" s="87"/>
      <c r="J642" s="448"/>
      <c r="K642" s="87"/>
      <c r="L642" s="448"/>
      <c r="M642" s="1251">
        <f t="shared" si="103"/>
        <v>0</v>
      </c>
      <c r="N642" s="1250"/>
      <c r="O642" s="1263"/>
    </row>
    <row r="643" spans="1:15" s="660" customFormat="1" hidden="1">
      <c r="A643" s="1392"/>
      <c r="B643" s="447"/>
      <c r="C643" s="166" t="s">
        <v>23</v>
      </c>
      <c r="D643" s="695" t="s">
        <v>11</v>
      </c>
      <c r="E643" s="1235">
        <v>0.13300000000000001</v>
      </c>
      <c r="F643" s="78">
        <f>F636*E643</f>
        <v>0</v>
      </c>
      <c r="G643" s="448">
        <v>4</v>
      </c>
      <c r="H643" s="448">
        <f>F643*G643</f>
        <v>0</v>
      </c>
      <c r="I643" s="448"/>
      <c r="J643" s="448"/>
      <c r="K643" s="448"/>
      <c r="L643" s="448"/>
      <c r="M643" s="1251">
        <f t="shared" si="103"/>
        <v>0</v>
      </c>
      <c r="N643" s="1250"/>
      <c r="O643" s="1263"/>
    </row>
    <row r="644" spans="1:15" s="660" customFormat="1">
      <c r="A644" s="1186"/>
      <c r="B644" s="1142"/>
      <c r="C644" s="166"/>
      <c r="D644" s="1189"/>
      <c r="E644" s="1235"/>
      <c r="F644" s="657"/>
      <c r="G644" s="448"/>
      <c r="H644" s="448"/>
      <c r="I644" s="448"/>
      <c r="J644" s="448"/>
      <c r="K644" s="448"/>
      <c r="L644" s="448"/>
      <c r="M644" s="1251"/>
      <c r="N644" s="1250"/>
      <c r="O644" s="1263"/>
    </row>
    <row r="645" spans="1:15">
      <c r="A645" s="697" t="s">
        <v>1063</v>
      </c>
      <c r="B645" s="692"/>
      <c r="C645" s="298" t="s">
        <v>1762</v>
      </c>
      <c r="D645" s="1203"/>
      <c r="E645" s="1235"/>
      <c r="F645" s="347"/>
      <c r="G645" s="77"/>
      <c r="H645" s="77"/>
      <c r="I645" s="77"/>
      <c r="J645" s="77"/>
      <c r="K645" s="77"/>
      <c r="L645" s="77"/>
      <c r="M645" s="1252"/>
    </row>
    <row r="646" spans="1:15" ht="31.5">
      <c r="A646" s="1393" t="s">
        <v>1651</v>
      </c>
      <c r="B646" s="41" t="s">
        <v>247</v>
      </c>
      <c r="C646" s="629" t="s">
        <v>1761</v>
      </c>
      <c r="D646" s="65" t="s">
        <v>4</v>
      </c>
      <c r="E646" s="709"/>
      <c r="F646" s="347">
        <v>18.5</v>
      </c>
      <c r="G646" s="77"/>
      <c r="H646" s="77"/>
      <c r="I646" s="77"/>
      <c r="J646" s="77"/>
      <c r="K646" s="77"/>
      <c r="L646" s="77"/>
      <c r="M646" s="1252"/>
    </row>
    <row r="647" spans="1:15">
      <c r="A647" s="1395"/>
      <c r="B647" s="691"/>
      <c r="C647" s="630" t="s">
        <v>13</v>
      </c>
      <c r="D647" s="691" t="s">
        <v>15</v>
      </c>
      <c r="E647" s="709">
        <v>2.06</v>
      </c>
      <c r="F647" s="283">
        <f>F646*E647</f>
        <v>38.11</v>
      </c>
      <c r="G647" s="339"/>
      <c r="H647" s="77"/>
      <c r="I647" s="77"/>
      <c r="J647" s="77">
        <f>F647*I647</f>
        <v>0</v>
      </c>
      <c r="K647" s="77"/>
      <c r="L647" s="77"/>
      <c r="M647" s="1252">
        <f>H647+J647+L647</f>
        <v>0</v>
      </c>
    </row>
    <row r="648" spans="1:15" ht="31.5" hidden="1">
      <c r="A648" s="1393" t="s">
        <v>1652</v>
      </c>
      <c r="B648" s="691"/>
      <c r="C648" s="631" t="s">
        <v>249</v>
      </c>
      <c r="D648" s="553" t="s">
        <v>250</v>
      </c>
      <c r="E648" s="554"/>
      <c r="F648" s="347">
        <v>0</v>
      </c>
      <c r="G648" s="77"/>
      <c r="H648" s="77"/>
      <c r="I648" s="77"/>
      <c r="J648" s="77"/>
      <c r="K648" s="77"/>
      <c r="L648" s="77"/>
      <c r="M648" s="1252"/>
    </row>
    <row r="649" spans="1:15" hidden="1">
      <c r="A649" s="1395"/>
      <c r="B649" s="691"/>
      <c r="C649" s="154" t="s">
        <v>20</v>
      </c>
      <c r="D649" s="63" t="s">
        <v>15</v>
      </c>
      <c r="E649" s="554">
        <v>0.53</v>
      </c>
      <c r="F649" s="283">
        <f>F648*E649</f>
        <v>0</v>
      </c>
      <c r="G649" s="77"/>
      <c r="H649" s="77"/>
      <c r="I649" s="77">
        <v>6</v>
      </c>
      <c r="J649" s="77">
        <f>F649*I649</f>
        <v>0</v>
      </c>
      <c r="K649" s="77"/>
      <c r="L649" s="77"/>
      <c r="M649" s="1252">
        <f>H649+J649+L649</f>
        <v>0</v>
      </c>
    </row>
    <row r="650" spans="1:15" ht="31.5" hidden="1">
      <c r="A650" s="1192" t="s">
        <v>1653</v>
      </c>
      <c r="B650" s="447" t="s">
        <v>1560</v>
      </c>
      <c r="C650" s="629" t="s">
        <v>1418</v>
      </c>
      <c r="D650" s="42" t="s">
        <v>7</v>
      </c>
      <c r="E650" s="554"/>
      <c r="F650" s="347">
        <f>F648</f>
        <v>0</v>
      </c>
      <c r="G650" s="77"/>
      <c r="H650" s="77"/>
      <c r="I650" s="77"/>
      <c r="J650" s="77"/>
      <c r="K650" s="77">
        <v>12.59</v>
      </c>
      <c r="L650" s="77">
        <f>F650*K650</f>
        <v>0</v>
      </c>
      <c r="M650" s="1252">
        <f>H650+J650+L650</f>
        <v>0</v>
      </c>
    </row>
    <row r="651" spans="1:15">
      <c r="A651" s="1393" t="s">
        <v>1729</v>
      </c>
      <c r="B651" s="42" t="s">
        <v>252</v>
      </c>
      <c r="C651" s="287" t="s">
        <v>253</v>
      </c>
      <c r="D651" s="42" t="s">
        <v>4</v>
      </c>
      <c r="E651" s="1235"/>
      <c r="F651" s="20">
        <v>8.52</v>
      </c>
      <c r="G651" s="77"/>
      <c r="H651" s="77"/>
      <c r="I651" s="77"/>
      <c r="J651" s="77"/>
      <c r="K651" s="77"/>
      <c r="L651" s="77"/>
      <c r="M651" s="1252"/>
    </row>
    <row r="652" spans="1:15">
      <c r="A652" s="1394"/>
      <c r="B652" s="447"/>
      <c r="C652" s="148" t="s">
        <v>13</v>
      </c>
      <c r="D652" s="447" t="s">
        <v>15</v>
      </c>
      <c r="E652" s="1235">
        <v>3.52</v>
      </c>
      <c r="F652" s="282">
        <f>F651*E652</f>
        <v>29.990399999999998</v>
      </c>
      <c r="G652" s="77"/>
      <c r="H652" s="77"/>
      <c r="I652" s="77"/>
      <c r="J652" s="77">
        <f>F652*I652</f>
        <v>0</v>
      </c>
      <c r="K652" s="77"/>
      <c r="L652" s="77"/>
      <c r="M652" s="1252">
        <f>H652+J652+L652</f>
        <v>0</v>
      </c>
    </row>
    <row r="653" spans="1:15">
      <c r="A653" s="1394"/>
      <c r="B653" s="447"/>
      <c r="C653" s="148" t="s">
        <v>25</v>
      </c>
      <c r="D653" s="447" t="s">
        <v>11</v>
      </c>
      <c r="E653" s="1235">
        <v>1.06</v>
      </c>
      <c r="F653" s="282">
        <f>F651*E653</f>
        <v>9.0312000000000001</v>
      </c>
      <c r="G653" s="77"/>
      <c r="H653" s="77"/>
      <c r="I653" s="77"/>
      <c r="J653" s="77"/>
      <c r="K653" s="77"/>
      <c r="L653" s="77">
        <f>F653*K653</f>
        <v>0</v>
      </c>
      <c r="M653" s="1252">
        <f>H653+J653+L653</f>
        <v>0</v>
      </c>
    </row>
    <row r="654" spans="1:15">
      <c r="A654" s="1394"/>
      <c r="B654" s="447"/>
      <c r="C654" s="148" t="s">
        <v>220</v>
      </c>
      <c r="D654" s="447" t="s">
        <v>4</v>
      </c>
      <c r="E654" s="1235">
        <f>0.18+0.09+0.97</f>
        <v>1.24</v>
      </c>
      <c r="F654" s="282">
        <f>F651*E654</f>
        <v>10.5648</v>
      </c>
      <c r="G654" s="77"/>
      <c r="H654" s="77">
        <f>F654*G654</f>
        <v>0</v>
      </c>
      <c r="I654" s="77"/>
      <c r="J654" s="77"/>
      <c r="K654" s="77"/>
      <c r="L654" s="77"/>
      <c r="M654" s="1252">
        <f>H654+J654+L654</f>
        <v>0</v>
      </c>
    </row>
    <row r="655" spans="1:15">
      <c r="A655" s="1395"/>
      <c r="B655" s="447"/>
      <c r="C655" s="148" t="s">
        <v>26</v>
      </c>
      <c r="D655" s="447" t="s">
        <v>11</v>
      </c>
      <c r="E655" s="1235">
        <v>0.02</v>
      </c>
      <c r="F655" s="282">
        <f>F651*E655</f>
        <v>0.1704</v>
      </c>
      <c r="G655" s="77"/>
      <c r="H655" s="77">
        <f>F655*G655</f>
        <v>0</v>
      </c>
      <c r="I655" s="77"/>
      <c r="J655" s="77"/>
      <c r="K655" s="77"/>
      <c r="L655" s="77"/>
      <c r="M655" s="1252">
        <f>H655+J655+L655</f>
        <v>0</v>
      </c>
    </row>
    <row r="656" spans="1:15">
      <c r="A656" s="1423" t="s">
        <v>1730</v>
      </c>
      <c r="B656" s="42" t="s">
        <v>254</v>
      </c>
      <c r="C656" s="225" t="s">
        <v>255</v>
      </c>
      <c r="D656" s="1198" t="s">
        <v>88</v>
      </c>
      <c r="E656" s="282"/>
      <c r="F656" s="20">
        <f>70/100</f>
        <v>0.7</v>
      </c>
      <c r="G656" s="80"/>
      <c r="H656" s="77"/>
      <c r="I656" s="80"/>
      <c r="J656" s="77"/>
      <c r="K656" s="77"/>
      <c r="L656" s="77"/>
      <c r="M656" s="1252"/>
    </row>
    <row r="657" spans="1:13">
      <c r="A657" s="1424"/>
      <c r="B657" s="447"/>
      <c r="C657" s="148" t="s">
        <v>13</v>
      </c>
      <c r="D657" s="447" t="s">
        <v>15</v>
      </c>
      <c r="E657" s="1235">
        <v>31.2</v>
      </c>
      <c r="F657" s="282">
        <f>F656*E657</f>
        <v>21.84</v>
      </c>
      <c r="G657" s="77"/>
      <c r="H657" s="77"/>
      <c r="I657" s="77"/>
      <c r="J657" s="77">
        <f>F657*I657</f>
        <v>0</v>
      </c>
      <c r="K657" s="77"/>
      <c r="L657" s="77"/>
      <c r="M657" s="1252">
        <f t="shared" ref="M657:M662" si="104">H657+J657+L657</f>
        <v>0</v>
      </c>
    </row>
    <row r="658" spans="1:13">
      <c r="A658" s="1424"/>
      <c r="B658" s="447"/>
      <c r="C658" s="148" t="s">
        <v>25</v>
      </c>
      <c r="D658" s="447" t="s">
        <v>16</v>
      </c>
      <c r="E658" s="1235">
        <v>1.38</v>
      </c>
      <c r="F658" s="282">
        <f>F656*E658</f>
        <v>0.96599999999999986</v>
      </c>
      <c r="G658" s="77"/>
      <c r="H658" s="77"/>
      <c r="I658" s="77"/>
      <c r="J658" s="77"/>
      <c r="K658" s="77"/>
      <c r="L658" s="77">
        <f>F658*K658</f>
        <v>0</v>
      </c>
      <c r="M658" s="1252">
        <f t="shared" si="104"/>
        <v>0</v>
      </c>
    </row>
    <row r="659" spans="1:13">
      <c r="A659" s="1424"/>
      <c r="B659" s="695"/>
      <c r="C659" s="148" t="s">
        <v>1073</v>
      </c>
      <c r="D659" s="695" t="s">
        <v>256</v>
      </c>
      <c r="E659" s="282">
        <v>112</v>
      </c>
      <c r="F659" s="282">
        <f>F656*E659</f>
        <v>78.399999999999991</v>
      </c>
      <c r="G659" s="80"/>
      <c r="H659" s="77">
        <f>F659*G659</f>
        <v>0</v>
      </c>
      <c r="I659" s="80"/>
      <c r="J659" s="77"/>
      <c r="K659" s="77"/>
      <c r="L659" s="77"/>
      <c r="M659" s="1252">
        <f t="shared" si="104"/>
        <v>0</v>
      </c>
    </row>
    <row r="660" spans="1:13">
      <c r="A660" s="1424"/>
      <c r="B660" s="447"/>
      <c r="C660" s="148" t="s">
        <v>257</v>
      </c>
      <c r="D660" s="702" t="s">
        <v>7</v>
      </c>
      <c r="E660" s="282">
        <v>0.53</v>
      </c>
      <c r="F660" s="282">
        <f>F656*E660</f>
        <v>0.371</v>
      </c>
      <c r="G660" s="80"/>
      <c r="H660" s="77">
        <f>F660*G660</f>
        <v>0</v>
      </c>
      <c r="I660" s="80"/>
      <c r="J660" s="77"/>
      <c r="K660" s="77"/>
      <c r="L660" s="77"/>
      <c r="M660" s="1252">
        <f t="shared" si="104"/>
        <v>0</v>
      </c>
    </row>
    <row r="661" spans="1:13">
      <c r="A661" s="1424"/>
      <c r="B661" s="447"/>
      <c r="C661" s="148" t="s">
        <v>226</v>
      </c>
      <c r="D661" s="702" t="s">
        <v>6</v>
      </c>
      <c r="E661" s="282">
        <v>76</v>
      </c>
      <c r="F661" s="282">
        <f>F656*E661</f>
        <v>53.199999999999996</v>
      </c>
      <c r="G661" s="80"/>
      <c r="H661" s="77">
        <f>F661*G661</f>
        <v>0</v>
      </c>
      <c r="I661" s="80"/>
      <c r="J661" s="77"/>
      <c r="K661" s="77"/>
      <c r="L661" s="77"/>
      <c r="M661" s="1252">
        <f t="shared" si="104"/>
        <v>0</v>
      </c>
    </row>
    <row r="662" spans="1:13">
      <c r="A662" s="1425"/>
      <c r="B662" s="447"/>
      <c r="C662" s="148" t="s">
        <v>26</v>
      </c>
      <c r="D662" s="447" t="s">
        <v>11</v>
      </c>
      <c r="E662" s="1235">
        <v>0.19</v>
      </c>
      <c r="F662" s="282">
        <f>F656*E662</f>
        <v>0.13299999999999998</v>
      </c>
      <c r="G662" s="77"/>
      <c r="H662" s="77">
        <f>F662*G662</f>
        <v>0</v>
      </c>
      <c r="I662" s="77"/>
      <c r="J662" s="77"/>
      <c r="K662" s="77"/>
      <c r="L662" s="77"/>
      <c r="M662" s="1252">
        <f t="shared" si="104"/>
        <v>0</v>
      </c>
    </row>
    <row r="663" spans="1:13">
      <c r="A663" s="1401" t="s">
        <v>1731</v>
      </c>
      <c r="B663" s="42" t="s">
        <v>231</v>
      </c>
      <c r="C663" s="632" t="s">
        <v>1762</v>
      </c>
      <c r="D663" s="44" t="s">
        <v>4</v>
      </c>
      <c r="E663" s="1235"/>
      <c r="F663" s="20">
        <v>9.32</v>
      </c>
      <c r="G663" s="336"/>
      <c r="H663" s="77"/>
      <c r="I663" s="80"/>
      <c r="J663" s="77"/>
      <c r="K663" s="336"/>
      <c r="L663" s="77"/>
      <c r="M663" s="1252"/>
    </row>
    <row r="664" spans="1:13">
      <c r="A664" s="1401"/>
      <c r="B664" s="75"/>
      <c r="C664" s="157" t="s">
        <v>1788</v>
      </c>
      <c r="D664" s="203" t="s">
        <v>4</v>
      </c>
      <c r="E664" s="45">
        <v>1</v>
      </c>
      <c r="F664" s="45">
        <f>E664*F663</f>
        <v>9.32</v>
      </c>
      <c r="G664" s="81"/>
      <c r="H664" s="77"/>
      <c r="I664" s="81"/>
      <c r="J664" s="77">
        <f>F664*I664</f>
        <v>0</v>
      </c>
      <c r="K664" s="81"/>
      <c r="L664" s="77"/>
      <c r="M664" s="1252">
        <f t="shared" ref="M664:M671" si="105">H664+J664+L664</f>
        <v>0</v>
      </c>
    </row>
    <row r="665" spans="1:13">
      <c r="A665" s="1401"/>
      <c r="B665" s="75"/>
      <c r="C665" s="160" t="s">
        <v>14</v>
      </c>
      <c r="D665" s="46" t="s">
        <v>11</v>
      </c>
      <c r="E665" s="45">
        <f>81*0.01</f>
        <v>0.81</v>
      </c>
      <c r="F665" s="45">
        <f>E665*F663</f>
        <v>7.5492000000000008</v>
      </c>
      <c r="G665" s="81"/>
      <c r="H665" s="77"/>
      <c r="I665" s="81"/>
      <c r="J665" s="77"/>
      <c r="K665" s="81"/>
      <c r="L665" s="77">
        <f>F665*K665</f>
        <v>0</v>
      </c>
      <c r="M665" s="1252">
        <f t="shared" si="105"/>
        <v>0</v>
      </c>
    </row>
    <row r="666" spans="1:13">
      <c r="A666" s="1401"/>
      <c r="B666" s="203"/>
      <c r="C666" s="157" t="s">
        <v>91</v>
      </c>
      <c r="D666" s="203" t="s">
        <v>319</v>
      </c>
      <c r="E666" s="45">
        <f>101.5*0.01</f>
        <v>1.0150000000000001</v>
      </c>
      <c r="F666" s="45">
        <f>E666*F663</f>
        <v>9.4598000000000013</v>
      </c>
      <c r="G666" s="81"/>
      <c r="H666" s="77">
        <f t="shared" ref="H666:H671" si="106">F666*G666</f>
        <v>0</v>
      </c>
      <c r="I666" s="81"/>
      <c r="J666" s="77"/>
      <c r="K666" s="81"/>
      <c r="L666" s="77"/>
      <c r="M666" s="1252">
        <f t="shared" si="105"/>
        <v>0</v>
      </c>
    </row>
    <row r="667" spans="1:13">
      <c r="A667" s="1401"/>
      <c r="B667" s="203"/>
      <c r="C667" s="157" t="s">
        <v>465</v>
      </c>
      <c r="D667" s="203" t="s">
        <v>234</v>
      </c>
      <c r="E667" s="45">
        <f>137*0.01</f>
        <v>1.37</v>
      </c>
      <c r="F667" s="45">
        <f>E667*F663</f>
        <v>12.768400000000002</v>
      </c>
      <c r="G667" s="81"/>
      <c r="H667" s="77">
        <f t="shared" si="106"/>
        <v>0</v>
      </c>
      <c r="I667" s="81"/>
      <c r="J667" s="77"/>
      <c r="K667" s="81"/>
      <c r="L667" s="77"/>
      <c r="M667" s="1252">
        <f t="shared" si="105"/>
        <v>0</v>
      </c>
    </row>
    <row r="668" spans="1:13">
      <c r="A668" s="1401"/>
      <c r="B668" s="203"/>
      <c r="C668" s="157" t="s">
        <v>222</v>
      </c>
      <c r="D668" s="203" t="s">
        <v>319</v>
      </c>
      <c r="E668" s="45">
        <f>(0.84+2.56+0.26)/100</f>
        <v>3.6600000000000001E-2</v>
      </c>
      <c r="F668" s="45">
        <f>E668*F663</f>
        <v>0.34111200000000003</v>
      </c>
      <c r="G668" s="81"/>
      <c r="H668" s="77">
        <f t="shared" si="106"/>
        <v>0</v>
      </c>
      <c r="I668" s="81"/>
      <c r="J668" s="77"/>
      <c r="K668" s="81"/>
      <c r="L668" s="77"/>
      <c r="M668" s="1252">
        <f t="shared" si="105"/>
        <v>0</v>
      </c>
    </row>
    <row r="669" spans="1:13">
      <c r="A669" s="1401"/>
      <c r="B669" s="75"/>
      <c r="C669" s="157" t="s">
        <v>26</v>
      </c>
      <c r="D669" s="203" t="s">
        <v>11</v>
      </c>
      <c r="E669" s="45">
        <v>0.39</v>
      </c>
      <c r="F669" s="45">
        <f>E669*F663</f>
        <v>3.6348000000000003</v>
      </c>
      <c r="G669" s="81"/>
      <c r="H669" s="77">
        <f t="shared" si="106"/>
        <v>0</v>
      </c>
      <c r="I669" s="81"/>
      <c r="J669" s="77"/>
      <c r="K669" s="81"/>
      <c r="L669" s="77"/>
      <c r="M669" s="1252">
        <f t="shared" si="105"/>
        <v>0</v>
      </c>
    </row>
    <row r="670" spans="1:13">
      <c r="A670" s="1401"/>
      <c r="B670" s="203"/>
      <c r="C670" s="159" t="s">
        <v>426</v>
      </c>
      <c r="D670" s="203" t="s">
        <v>218</v>
      </c>
      <c r="E670" s="45"/>
      <c r="F670" s="82">
        <v>0.45879999999999999</v>
      </c>
      <c r="G670" s="81"/>
      <c r="H670" s="77">
        <f t="shared" si="106"/>
        <v>0</v>
      </c>
      <c r="I670" s="81"/>
      <c r="J670" s="77"/>
      <c r="K670" s="81"/>
      <c r="L670" s="77"/>
      <c r="M670" s="1252">
        <f t="shared" si="105"/>
        <v>0</v>
      </c>
    </row>
    <row r="671" spans="1:13" hidden="1">
      <c r="A671" s="1401"/>
      <c r="B671" s="203"/>
      <c r="C671" s="159" t="s">
        <v>466</v>
      </c>
      <c r="D671" s="203" t="s">
        <v>218</v>
      </c>
      <c r="E671" s="45"/>
      <c r="F671" s="82">
        <v>0</v>
      </c>
      <c r="G671" s="81">
        <v>2560</v>
      </c>
      <c r="H671" s="77">
        <f t="shared" si="106"/>
        <v>0</v>
      </c>
      <c r="I671" s="81"/>
      <c r="J671" s="77"/>
      <c r="K671" s="81"/>
      <c r="L671" s="77"/>
      <c r="M671" s="1252">
        <f t="shared" si="105"/>
        <v>0</v>
      </c>
    </row>
    <row r="672" spans="1:13" ht="31.5">
      <c r="A672" s="1104"/>
      <c r="B672" s="43"/>
      <c r="C672" s="1107" t="s">
        <v>1539</v>
      </c>
      <c r="D672" s="43"/>
      <c r="E672" s="108"/>
      <c r="F672" s="108"/>
      <c r="G672" s="448"/>
      <c r="H672" s="77"/>
      <c r="I672" s="448"/>
      <c r="J672" s="77"/>
      <c r="K672" s="448"/>
      <c r="L672" s="448"/>
      <c r="M672" s="1251"/>
    </row>
    <row r="673" spans="1:15" ht="31.5">
      <c r="A673" s="1401" t="s">
        <v>429</v>
      </c>
      <c r="B673" s="42" t="s">
        <v>27</v>
      </c>
      <c r="C673" s="287" t="s">
        <v>1546</v>
      </c>
      <c r="D673" s="42" t="s">
        <v>4</v>
      </c>
      <c r="E673" s="1235"/>
      <c r="F673" s="20">
        <v>127.8655</v>
      </c>
      <c r="G673" s="77"/>
      <c r="H673" s="77"/>
      <c r="I673" s="77"/>
      <c r="J673" s="77"/>
      <c r="K673" s="77"/>
      <c r="L673" s="77"/>
      <c r="M673" s="1252"/>
    </row>
    <row r="674" spans="1:15">
      <c r="A674" s="1401"/>
      <c r="B674" s="701"/>
      <c r="C674" s="148" t="s">
        <v>1816</v>
      </c>
      <c r="D674" s="447" t="s">
        <v>12</v>
      </c>
      <c r="E674" s="282">
        <v>1</v>
      </c>
      <c r="F674" s="282">
        <f>F677*E674</f>
        <v>7352.2662499999988</v>
      </c>
      <c r="G674" s="77"/>
      <c r="H674" s="77"/>
      <c r="I674" s="77"/>
      <c r="J674" s="77">
        <f>F674*I674</f>
        <v>0</v>
      </c>
      <c r="K674" s="77"/>
      <c r="L674" s="77"/>
      <c r="M674" s="1252">
        <f>H674+J674+L674</f>
        <v>0</v>
      </c>
      <c r="O674" s="1250">
        <f>J674/F677</f>
        <v>0</v>
      </c>
    </row>
    <row r="675" spans="1:15">
      <c r="A675" s="1401"/>
      <c r="B675" s="701"/>
      <c r="C675" s="165" t="s">
        <v>25</v>
      </c>
      <c r="D675" s="701" t="s">
        <v>16</v>
      </c>
      <c r="E675" s="282">
        <v>0.92</v>
      </c>
      <c r="F675" s="282">
        <f>F673*E675</f>
        <v>117.63626000000001</v>
      </c>
      <c r="G675" s="77"/>
      <c r="H675" s="77"/>
      <c r="I675" s="77"/>
      <c r="J675" s="77"/>
      <c r="K675" s="77"/>
      <c r="L675" s="77">
        <f>F675*K675</f>
        <v>0</v>
      </c>
      <c r="M675" s="1252">
        <f>H675+J675+L675</f>
        <v>0</v>
      </c>
    </row>
    <row r="676" spans="1:15">
      <c r="A676" s="1401"/>
      <c r="B676" s="35"/>
      <c r="C676" s="167" t="s">
        <v>1545</v>
      </c>
      <c r="D676" s="701" t="s">
        <v>4</v>
      </c>
      <c r="E676" s="282">
        <v>0.92</v>
      </c>
      <c r="F676" s="282">
        <f>F673*E676</f>
        <v>117.63626000000001</v>
      </c>
      <c r="G676" s="77"/>
      <c r="H676" s="77"/>
      <c r="I676" s="77"/>
      <c r="J676" s="77"/>
      <c r="K676" s="77"/>
      <c r="L676" s="77"/>
      <c r="M676" s="1252"/>
    </row>
    <row r="677" spans="1:15">
      <c r="A677" s="1401"/>
      <c r="B677" s="447"/>
      <c r="C677" s="168"/>
      <c r="D677" s="447" t="s">
        <v>2</v>
      </c>
      <c r="E677" s="282">
        <f>1/(0.4*0.2*0.2)</f>
        <v>62.499999999999986</v>
      </c>
      <c r="F677" s="282">
        <f>F676*E677</f>
        <v>7352.2662499999988</v>
      </c>
      <c r="G677" s="77"/>
      <c r="H677" s="77">
        <f>F677*G677</f>
        <v>0</v>
      </c>
      <c r="I677" s="77"/>
      <c r="J677" s="77"/>
      <c r="K677" s="77"/>
      <c r="L677" s="77"/>
      <c r="M677" s="1252">
        <f t="shared" ref="M677:M766" si="107">H677+J677+L677</f>
        <v>0</v>
      </c>
    </row>
    <row r="678" spans="1:15">
      <c r="A678" s="1401"/>
      <c r="B678" s="447"/>
      <c r="C678" s="148" t="s">
        <v>100</v>
      </c>
      <c r="D678" s="447" t="s">
        <v>4</v>
      </c>
      <c r="E678" s="282">
        <v>0.11</v>
      </c>
      <c r="F678" s="282">
        <f>F673*E678</f>
        <v>14.065205000000001</v>
      </c>
      <c r="G678" s="77"/>
      <c r="H678" s="77">
        <f>F678*G678</f>
        <v>0</v>
      </c>
      <c r="I678" s="77"/>
      <c r="J678" s="77"/>
      <c r="K678" s="77"/>
      <c r="L678" s="77"/>
      <c r="M678" s="1252">
        <f t="shared" si="107"/>
        <v>0</v>
      </c>
    </row>
    <row r="679" spans="1:15">
      <c r="A679" s="1401"/>
      <c r="B679" s="701"/>
      <c r="C679" s="148" t="s">
        <v>26</v>
      </c>
      <c r="D679" s="447" t="s">
        <v>11</v>
      </c>
      <c r="E679" s="282">
        <v>0.16</v>
      </c>
      <c r="F679" s="282">
        <f>F673*E679</f>
        <v>20.458480000000002</v>
      </c>
      <c r="G679" s="77"/>
      <c r="H679" s="77">
        <f>F679*G679</f>
        <v>0</v>
      </c>
      <c r="I679" s="77"/>
      <c r="J679" s="77"/>
      <c r="K679" s="77"/>
      <c r="L679" s="77"/>
      <c r="M679" s="1252">
        <f t="shared" si="107"/>
        <v>0</v>
      </c>
    </row>
    <row r="680" spans="1:15" ht="31.5">
      <c r="A680" s="1401" t="s">
        <v>430</v>
      </c>
      <c r="B680" s="42" t="s">
        <v>27</v>
      </c>
      <c r="C680" s="287" t="s">
        <v>1592</v>
      </c>
      <c r="D680" s="42" t="s">
        <v>4</v>
      </c>
      <c r="E680" s="1235"/>
      <c r="F680" s="20">
        <v>127.214</v>
      </c>
      <c r="G680" s="77"/>
      <c r="H680" s="77"/>
      <c r="I680" s="77"/>
      <c r="J680" s="77"/>
      <c r="K680" s="77"/>
      <c r="L680" s="77"/>
      <c r="M680" s="1252"/>
    </row>
    <row r="681" spans="1:15">
      <c r="A681" s="1401"/>
      <c r="B681" s="1229"/>
      <c r="C681" s="148" t="s">
        <v>1816</v>
      </c>
      <c r="D681" s="1142" t="s">
        <v>12</v>
      </c>
      <c r="E681" s="282">
        <v>1</v>
      </c>
      <c r="F681" s="282">
        <f>F684*E681</f>
        <v>7314.8049999999994</v>
      </c>
      <c r="G681" s="77"/>
      <c r="H681" s="77"/>
      <c r="I681" s="77"/>
      <c r="J681" s="77">
        <f>F681*I681</f>
        <v>0</v>
      </c>
      <c r="K681" s="77"/>
      <c r="L681" s="77"/>
      <c r="M681" s="1252">
        <f>H681+J681+L681</f>
        <v>0</v>
      </c>
      <c r="O681" s="1250">
        <f>J681/F684</f>
        <v>0</v>
      </c>
    </row>
    <row r="682" spans="1:15">
      <c r="A682" s="1401"/>
      <c r="B682" s="1121"/>
      <c r="C682" s="165" t="s">
        <v>25</v>
      </c>
      <c r="D682" s="1121" t="s">
        <v>16</v>
      </c>
      <c r="E682" s="282">
        <v>0.92</v>
      </c>
      <c r="F682" s="282">
        <f>F680*E682</f>
        <v>117.03688000000001</v>
      </c>
      <c r="G682" s="77"/>
      <c r="H682" s="77"/>
      <c r="I682" s="77"/>
      <c r="J682" s="77"/>
      <c r="K682" s="77"/>
      <c r="L682" s="77">
        <f>F682*K682</f>
        <v>0</v>
      </c>
      <c r="M682" s="1252">
        <f>H682+J682+L682</f>
        <v>0</v>
      </c>
    </row>
    <row r="683" spans="1:15">
      <c r="A683" s="1401"/>
      <c r="B683" s="35"/>
      <c r="C683" s="167" t="s">
        <v>1545</v>
      </c>
      <c r="D683" s="1121" t="s">
        <v>4</v>
      </c>
      <c r="E683" s="282">
        <v>0.92</v>
      </c>
      <c r="F683" s="282">
        <f>F680*E683</f>
        <v>117.03688000000001</v>
      </c>
      <c r="G683" s="77"/>
      <c r="H683" s="77"/>
      <c r="I683" s="77"/>
      <c r="J683" s="77"/>
      <c r="K683" s="77"/>
      <c r="L683" s="77"/>
      <c r="M683" s="1252"/>
    </row>
    <row r="684" spans="1:15">
      <c r="A684" s="1401"/>
      <c r="B684" s="1123"/>
      <c r="C684" s="168"/>
      <c r="D684" s="1123" t="s">
        <v>2</v>
      </c>
      <c r="E684" s="282">
        <f>1/(0.4*0.2*0.2)</f>
        <v>62.499999999999986</v>
      </c>
      <c r="F684" s="282">
        <f>F683*E684</f>
        <v>7314.8049999999994</v>
      </c>
      <c r="G684" s="77"/>
      <c r="H684" s="77">
        <f>F684*G684</f>
        <v>0</v>
      </c>
      <c r="I684" s="77"/>
      <c r="J684" s="77"/>
      <c r="K684" s="77"/>
      <c r="L684" s="77"/>
      <c r="M684" s="1252">
        <f t="shared" ref="M684:M686" si="108">H684+J684+L684</f>
        <v>0</v>
      </c>
    </row>
    <row r="685" spans="1:15">
      <c r="A685" s="1401"/>
      <c r="B685" s="1123"/>
      <c r="C685" s="148" t="s">
        <v>100</v>
      </c>
      <c r="D685" s="1123" t="s">
        <v>4</v>
      </c>
      <c r="E685" s="282">
        <v>0.11</v>
      </c>
      <c r="F685" s="282">
        <f>F680*E685</f>
        <v>13.993539999999999</v>
      </c>
      <c r="G685" s="77"/>
      <c r="H685" s="77">
        <f>F685*G685</f>
        <v>0</v>
      </c>
      <c r="I685" s="77"/>
      <c r="J685" s="77"/>
      <c r="K685" s="77"/>
      <c r="L685" s="77"/>
      <c r="M685" s="1252">
        <f t="shared" si="108"/>
        <v>0</v>
      </c>
    </row>
    <row r="686" spans="1:15">
      <c r="A686" s="1401"/>
      <c r="B686" s="1121"/>
      <c r="C686" s="148" t="s">
        <v>26</v>
      </c>
      <c r="D686" s="1123" t="s">
        <v>11</v>
      </c>
      <c r="E686" s="282">
        <v>0.16</v>
      </c>
      <c r="F686" s="282">
        <f>F680*E686</f>
        <v>20.354240000000001</v>
      </c>
      <c r="G686" s="77"/>
      <c r="H686" s="77">
        <f>F686*G686</f>
        <v>0</v>
      </c>
      <c r="I686" s="77"/>
      <c r="J686" s="77"/>
      <c r="K686" s="77"/>
      <c r="L686" s="77"/>
      <c r="M686" s="1252">
        <f t="shared" si="108"/>
        <v>0</v>
      </c>
    </row>
    <row r="687" spans="1:15" ht="31.5">
      <c r="A687" s="1401" t="s">
        <v>83</v>
      </c>
      <c r="B687" s="42" t="s">
        <v>27</v>
      </c>
      <c r="C687" s="287" t="s">
        <v>1544</v>
      </c>
      <c r="D687" s="42" t="s">
        <v>4</v>
      </c>
      <c r="E687" s="1235"/>
      <c r="F687" s="20">
        <v>18.322500000000002</v>
      </c>
      <c r="G687" s="77"/>
      <c r="H687" s="77"/>
      <c r="I687" s="77"/>
      <c r="J687" s="77"/>
      <c r="K687" s="77"/>
      <c r="L687" s="77"/>
      <c r="M687" s="1252"/>
    </row>
    <row r="688" spans="1:15">
      <c r="A688" s="1401"/>
      <c r="B688" s="1229"/>
      <c r="C688" s="148" t="s">
        <v>1816</v>
      </c>
      <c r="D688" s="1142" t="s">
        <v>12</v>
      </c>
      <c r="E688" s="282">
        <v>1</v>
      </c>
      <c r="F688" s="282">
        <f>F691*E688</f>
        <v>1404.7249999999999</v>
      </c>
      <c r="G688" s="77"/>
      <c r="H688" s="77"/>
      <c r="I688" s="77"/>
      <c r="J688" s="77">
        <f>F688*I688</f>
        <v>0</v>
      </c>
      <c r="K688" s="77"/>
      <c r="L688" s="77"/>
      <c r="M688" s="1252">
        <f>H688+J688+L688</f>
        <v>0</v>
      </c>
      <c r="O688" s="1250">
        <f>J688/F691</f>
        <v>0</v>
      </c>
    </row>
    <row r="689" spans="1:13">
      <c r="A689" s="1401"/>
      <c r="B689" s="1121"/>
      <c r="C689" s="165" t="s">
        <v>25</v>
      </c>
      <c r="D689" s="1121" t="s">
        <v>16</v>
      </c>
      <c r="E689" s="282">
        <v>0.92</v>
      </c>
      <c r="F689" s="282">
        <f>F687*E689</f>
        <v>16.856700000000004</v>
      </c>
      <c r="G689" s="77"/>
      <c r="H689" s="77"/>
      <c r="I689" s="77"/>
      <c r="J689" s="77"/>
      <c r="K689" s="77"/>
      <c r="L689" s="77">
        <f>F689*K689</f>
        <v>0</v>
      </c>
      <c r="M689" s="1252">
        <f>H689+J689+L689</f>
        <v>0</v>
      </c>
    </row>
    <row r="690" spans="1:13">
      <c r="A690" s="1401"/>
      <c r="B690" s="35"/>
      <c r="C690" s="167" t="s">
        <v>1547</v>
      </c>
      <c r="D690" s="1121" t="s">
        <v>4</v>
      </c>
      <c r="E690" s="282">
        <v>0.92</v>
      </c>
      <c r="F690" s="282">
        <f>F687*E690</f>
        <v>16.856700000000004</v>
      </c>
      <c r="G690" s="77"/>
      <c r="H690" s="77"/>
      <c r="I690" s="77"/>
      <c r="J690" s="77"/>
      <c r="K690" s="77"/>
      <c r="L690" s="77"/>
      <c r="M690" s="1252"/>
    </row>
    <row r="691" spans="1:13">
      <c r="A691" s="1401"/>
      <c r="B691" s="1123"/>
      <c r="C691" s="168"/>
      <c r="D691" s="1123" t="s">
        <v>2</v>
      </c>
      <c r="E691" s="282">
        <f>1/(0.4*0.2*0.15)</f>
        <v>83.333333333333314</v>
      </c>
      <c r="F691" s="282">
        <f>F690*E691</f>
        <v>1404.7249999999999</v>
      </c>
      <c r="G691" s="77"/>
      <c r="H691" s="77">
        <f>F691*G691</f>
        <v>0</v>
      </c>
      <c r="I691" s="77"/>
      <c r="J691" s="77"/>
      <c r="K691" s="77"/>
      <c r="L691" s="77"/>
      <c r="M691" s="1252">
        <f t="shared" ref="M691:M693" si="109">H691+J691+L691</f>
        <v>0</v>
      </c>
    </row>
    <row r="692" spans="1:13">
      <c r="A692" s="1401"/>
      <c r="B692" s="1123"/>
      <c r="C692" s="148" t="s">
        <v>100</v>
      </c>
      <c r="D692" s="1123" t="s">
        <v>4</v>
      </c>
      <c r="E692" s="282">
        <v>0.11</v>
      </c>
      <c r="F692" s="282">
        <f>F687*E692</f>
        <v>2.0154750000000003</v>
      </c>
      <c r="G692" s="77"/>
      <c r="H692" s="77">
        <f>F692*G692</f>
        <v>0</v>
      </c>
      <c r="I692" s="77"/>
      <c r="J692" s="77"/>
      <c r="K692" s="77"/>
      <c r="L692" s="77"/>
      <c r="M692" s="1252">
        <f t="shared" si="109"/>
        <v>0</v>
      </c>
    </row>
    <row r="693" spans="1:13">
      <c r="A693" s="1401"/>
      <c r="B693" s="1121"/>
      <c r="C693" s="148" t="s">
        <v>26</v>
      </c>
      <c r="D693" s="1123" t="s">
        <v>11</v>
      </c>
      <c r="E693" s="282">
        <v>0.16</v>
      </c>
      <c r="F693" s="282">
        <f>F687*E693</f>
        <v>2.9316000000000004</v>
      </c>
      <c r="G693" s="77"/>
      <c r="H693" s="77">
        <f>F693*G693</f>
        <v>0</v>
      </c>
      <c r="I693" s="77"/>
      <c r="J693" s="77"/>
      <c r="K693" s="77"/>
      <c r="L693" s="77"/>
      <c r="M693" s="1252">
        <f t="shared" si="109"/>
        <v>0</v>
      </c>
    </row>
    <row r="694" spans="1:13" ht="30.75">
      <c r="A694" s="1401" t="s">
        <v>431</v>
      </c>
      <c r="B694" s="43" t="s">
        <v>1074</v>
      </c>
      <c r="C694" s="287" t="s">
        <v>1071</v>
      </c>
      <c r="D694" s="690" t="s">
        <v>950</v>
      </c>
      <c r="E694" s="347"/>
      <c r="F694" s="20">
        <v>3.4</v>
      </c>
      <c r="G694" s="77"/>
      <c r="H694" s="77"/>
      <c r="I694" s="77"/>
      <c r="J694" s="77"/>
      <c r="K694" s="77"/>
      <c r="L694" s="77"/>
      <c r="M694" s="1252"/>
    </row>
    <row r="695" spans="1:13">
      <c r="A695" s="1401"/>
      <c r="B695" s="701"/>
      <c r="C695" s="148" t="s">
        <v>1817</v>
      </c>
      <c r="D695" s="447" t="s">
        <v>950</v>
      </c>
      <c r="E695" s="282">
        <v>1</v>
      </c>
      <c r="F695" s="282">
        <f>F694*E695</f>
        <v>3.4</v>
      </c>
      <c r="G695" s="77"/>
      <c r="H695" s="77"/>
      <c r="I695" s="77"/>
      <c r="J695" s="77">
        <f>F695*I695</f>
        <v>0</v>
      </c>
      <c r="K695" s="77"/>
      <c r="L695" s="77"/>
      <c r="M695" s="1252">
        <f t="shared" si="107"/>
        <v>0</v>
      </c>
    </row>
    <row r="696" spans="1:13">
      <c r="A696" s="1401"/>
      <c r="B696" s="701"/>
      <c r="C696" s="165" t="s">
        <v>25</v>
      </c>
      <c r="D696" s="701" t="s">
        <v>16</v>
      </c>
      <c r="E696" s="282">
        <v>1.38E-2</v>
      </c>
      <c r="F696" s="282">
        <f>F694*E696</f>
        <v>4.6919999999999996E-2</v>
      </c>
      <c r="G696" s="77"/>
      <c r="H696" s="77"/>
      <c r="I696" s="77"/>
      <c r="J696" s="77"/>
      <c r="K696" s="77"/>
      <c r="L696" s="77">
        <f>F696*K696</f>
        <v>0</v>
      </c>
      <c r="M696" s="1252">
        <f t="shared" si="107"/>
        <v>0</v>
      </c>
    </row>
    <row r="697" spans="1:13">
      <c r="A697" s="1401"/>
      <c r="B697" s="701"/>
      <c r="C697" s="741" t="s">
        <v>1075</v>
      </c>
      <c r="D697" s="67" t="s">
        <v>7</v>
      </c>
      <c r="E697" s="283" t="s">
        <v>93</v>
      </c>
      <c r="F697" s="854">
        <v>3.4</v>
      </c>
      <c r="G697" s="77"/>
      <c r="H697" s="77">
        <f>F697*G697</f>
        <v>0</v>
      </c>
      <c r="I697" s="77"/>
      <c r="J697" s="77"/>
      <c r="K697" s="77"/>
      <c r="L697" s="77"/>
      <c r="M697" s="1252">
        <f>H697+J697+L697</f>
        <v>0</v>
      </c>
    </row>
    <row r="698" spans="1:13" ht="47.25">
      <c r="A698" s="1418" t="s">
        <v>38</v>
      </c>
      <c r="B698" s="43" t="s">
        <v>1076</v>
      </c>
      <c r="C698" s="425" t="s">
        <v>1078</v>
      </c>
      <c r="D698" s="742" t="s">
        <v>5</v>
      </c>
      <c r="E698" s="565"/>
      <c r="F698" s="743">
        <f>F703</f>
        <v>430.07</v>
      </c>
      <c r="G698" s="340"/>
      <c r="H698" s="77"/>
      <c r="I698" s="77"/>
      <c r="J698" s="77"/>
      <c r="K698" s="77"/>
      <c r="L698" s="77"/>
      <c r="M698" s="1252"/>
    </row>
    <row r="699" spans="1:13">
      <c r="A699" s="1419"/>
      <c r="B699" s="43"/>
      <c r="C699" s="165" t="s">
        <v>1818</v>
      </c>
      <c r="D699" s="68" t="s">
        <v>260</v>
      </c>
      <c r="E699" s="565">
        <v>1</v>
      </c>
      <c r="F699" s="17">
        <f>F698*E699</f>
        <v>430.07</v>
      </c>
      <c r="G699" s="77"/>
      <c r="H699" s="77"/>
      <c r="I699" s="77"/>
      <c r="J699" s="77">
        <f>F699*I699</f>
        <v>0</v>
      </c>
      <c r="K699" s="77"/>
      <c r="L699" s="77"/>
      <c r="M699" s="1252">
        <f t="shared" ref="M699:M705" si="110">H699+J699+L699</f>
        <v>0</v>
      </c>
    </row>
    <row r="700" spans="1:13">
      <c r="A700" s="1419"/>
      <c r="B700" s="43" t="s">
        <v>415</v>
      </c>
      <c r="C700" s="165" t="s">
        <v>1077</v>
      </c>
      <c r="D700" s="68" t="s">
        <v>16</v>
      </c>
      <c r="E700" s="565">
        <v>3.6400000000000002E-2</v>
      </c>
      <c r="F700" s="17">
        <f>F698*E700</f>
        <v>15.654548</v>
      </c>
      <c r="G700" s="77"/>
      <c r="H700" s="77"/>
      <c r="I700" s="77"/>
      <c r="J700" s="77"/>
      <c r="K700" s="77"/>
      <c r="L700" s="77">
        <f>F700*K700</f>
        <v>0</v>
      </c>
      <c r="M700" s="1252">
        <f t="shared" si="110"/>
        <v>0</v>
      </c>
    </row>
    <row r="701" spans="1:13">
      <c r="A701" s="1419"/>
      <c r="B701" s="43" t="s">
        <v>1799</v>
      </c>
      <c r="C701" s="165" t="s">
        <v>94</v>
      </c>
      <c r="D701" s="68" t="s">
        <v>16</v>
      </c>
      <c r="E701" s="565">
        <v>0.156</v>
      </c>
      <c r="F701" s="17">
        <f>F698*E701</f>
        <v>67.090919999999997</v>
      </c>
      <c r="G701" s="77"/>
      <c r="H701" s="77"/>
      <c r="I701" s="77"/>
      <c r="J701" s="77"/>
      <c r="K701" s="77"/>
      <c r="L701" s="77">
        <f>F701*K701</f>
        <v>0</v>
      </c>
      <c r="M701" s="1252">
        <f t="shared" si="110"/>
        <v>0</v>
      </c>
    </row>
    <row r="702" spans="1:13">
      <c r="A702" s="1419"/>
      <c r="B702" s="43"/>
      <c r="C702" s="165" t="s">
        <v>14</v>
      </c>
      <c r="D702" s="68" t="s">
        <v>11</v>
      </c>
      <c r="E702" s="565">
        <v>0.34799999999999998</v>
      </c>
      <c r="F702" s="17">
        <f>F698*E702</f>
        <v>149.66435999999999</v>
      </c>
      <c r="G702" s="77"/>
      <c r="H702" s="77"/>
      <c r="I702" s="77"/>
      <c r="J702" s="77"/>
      <c r="K702" s="77"/>
      <c r="L702" s="77">
        <f>F702*K702</f>
        <v>0</v>
      </c>
      <c r="M702" s="1252">
        <f t="shared" si="110"/>
        <v>0</v>
      </c>
    </row>
    <row r="703" spans="1:13" ht="31.5">
      <c r="A703" s="1419"/>
      <c r="B703" s="43"/>
      <c r="C703" s="165" t="s">
        <v>1079</v>
      </c>
      <c r="D703" s="701" t="s">
        <v>5</v>
      </c>
      <c r="E703" s="26"/>
      <c r="F703" s="108">
        <v>430.07</v>
      </c>
      <c r="G703" s="77"/>
      <c r="H703" s="77">
        <f>F703*G703</f>
        <v>0</v>
      </c>
      <c r="I703" s="77"/>
      <c r="J703" s="77"/>
      <c r="K703" s="77"/>
      <c r="L703" s="77"/>
      <c r="M703" s="1252">
        <f t="shared" si="110"/>
        <v>0</v>
      </c>
    </row>
    <row r="704" spans="1:13">
      <c r="A704" s="1419"/>
      <c r="B704" s="43"/>
      <c r="C704" s="165" t="s">
        <v>70</v>
      </c>
      <c r="D704" s="68" t="s">
        <v>6</v>
      </c>
      <c r="E704" s="565">
        <v>0.04</v>
      </c>
      <c r="F704" s="17">
        <f>F698*E704</f>
        <v>17.2028</v>
      </c>
      <c r="G704" s="77"/>
      <c r="H704" s="77">
        <f>F704*G704</f>
        <v>0</v>
      </c>
      <c r="I704" s="77"/>
      <c r="J704" s="77"/>
      <c r="K704" s="77"/>
      <c r="L704" s="77"/>
      <c r="M704" s="1252">
        <f t="shared" si="110"/>
        <v>0</v>
      </c>
    </row>
    <row r="705" spans="1:15">
      <c r="A705" s="1420"/>
      <c r="B705" s="744"/>
      <c r="C705" s="165" t="s">
        <v>19</v>
      </c>
      <c r="D705" s="701" t="s">
        <v>11</v>
      </c>
      <c r="E705" s="26">
        <v>0.65600000000000003</v>
      </c>
      <c r="F705" s="115">
        <f>F698*E705</f>
        <v>282.12592000000001</v>
      </c>
      <c r="G705" s="77"/>
      <c r="H705" s="77">
        <f>F705*G705</f>
        <v>0</v>
      </c>
      <c r="I705" s="77"/>
      <c r="J705" s="77"/>
      <c r="K705" s="77"/>
      <c r="L705" s="77"/>
      <c r="M705" s="1252">
        <f t="shared" si="110"/>
        <v>0</v>
      </c>
    </row>
    <row r="706" spans="1:15" ht="47.25">
      <c r="A706" s="1393" t="s">
        <v>409</v>
      </c>
      <c r="B706" s="42" t="s">
        <v>36</v>
      </c>
      <c r="C706" s="287" t="s">
        <v>1101</v>
      </c>
      <c r="D706" s="690" t="s">
        <v>5</v>
      </c>
      <c r="E706" s="709"/>
      <c r="F706" s="345">
        <f>F710+F711</f>
        <v>45.99</v>
      </c>
      <c r="G706" s="77"/>
      <c r="H706" s="77"/>
      <c r="I706" s="77"/>
      <c r="J706" s="77"/>
      <c r="K706" s="77"/>
      <c r="L706" s="77"/>
      <c r="M706" s="1252"/>
    </row>
    <row r="707" spans="1:15">
      <c r="A707" s="1394"/>
      <c r="B707" s="447"/>
      <c r="C707" s="148" t="s">
        <v>1820</v>
      </c>
      <c r="D707" s="67" t="s">
        <v>260</v>
      </c>
      <c r="E707" s="709">
        <v>1</v>
      </c>
      <c r="F707" s="282">
        <f>F706*E707</f>
        <v>45.99</v>
      </c>
      <c r="G707" s="77"/>
      <c r="H707" s="77"/>
      <c r="I707" s="77"/>
      <c r="J707" s="77">
        <f>F707*I707</f>
        <v>0</v>
      </c>
      <c r="K707" s="77"/>
      <c r="L707" s="77"/>
      <c r="M707" s="1252">
        <f t="shared" si="107"/>
        <v>0</v>
      </c>
    </row>
    <row r="708" spans="1:15">
      <c r="A708" s="1394"/>
      <c r="B708" s="42" t="s">
        <v>1819</v>
      </c>
      <c r="C708" s="148" t="s">
        <v>95</v>
      </c>
      <c r="D708" s="67" t="s">
        <v>16</v>
      </c>
      <c r="E708" s="709">
        <v>2.4E-2</v>
      </c>
      <c r="F708" s="282">
        <f>F706*E708</f>
        <v>1.1037600000000001</v>
      </c>
      <c r="G708" s="77"/>
      <c r="H708" s="77"/>
      <c r="I708" s="77"/>
      <c r="J708" s="77"/>
      <c r="K708" s="77"/>
      <c r="L708" s="77">
        <f>F708*K708</f>
        <v>0</v>
      </c>
      <c r="M708" s="1252">
        <f t="shared" si="107"/>
        <v>0</v>
      </c>
    </row>
    <row r="709" spans="1:15">
      <c r="A709" s="1394"/>
      <c r="B709" s="42" t="s">
        <v>96</v>
      </c>
      <c r="C709" s="148" t="s">
        <v>97</v>
      </c>
      <c r="D709" s="67" t="s">
        <v>16</v>
      </c>
      <c r="E709" s="709">
        <v>0.628</v>
      </c>
      <c r="F709" s="282">
        <f>F706*E709</f>
        <v>28.881720000000001</v>
      </c>
      <c r="G709" s="77"/>
      <c r="H709" s="77"/>
      <c r="I709" s="77"/>
      <c r="J709" s="77"/>
      <c r="K709" s="77"/>
      <c r="L709" s="77">
        <f>F709*K709</f>
        <v>0</v>
      </c>
      <c r="M709" s="1252">
        <f t="shared" si="107"/>
        <v>0</v>
      </c>
    </row>
    <row r="710" spans="1:15" ht="31.5" hidden="1">
      <c r="A710" s="1394"/>
      <c r="B710" s="447"/>
      <c r="C710" s="148" t="s">
        <v>741</v>
      </c>
      <c r="D710" s="67" t="s">
        <v>5</v>
      </c>
      <c r="E710" s="709">
        <v>1</v>
      </c>
      <c r="F710" s="345">
        <v>0</v>
      </c>
      <c r="G710" s="77"/>
      <c r="H710" s="77">
        <f>F711*G710</f>
        <v>0</v>
      </c>
      <c r="I710" s="77"/>
      <c r="J710" s="77"/>
      <c r="K710" s="77"/>
      <c r="L710" s="77"/>
      <c r="M710" s="1252">
        <f t="shared" si="107"/>
        <v>0</v>
      </c>
    </row>
    <row r="711" spans="1:15" ht="47.25">
      <c r="A711" s="1395"/>
      <c r="B711" s="447"/>
      <c r="C711" s="148" t="s">
        <v>1080</v>
      </c>
      <c r="D711" s="67" t="s">
        <v>5</v>
      </c>
      <c r="E711" s="709">
        <v>1</v>
      </c>
      <c r="F711" s="20">
        <v>45.99</v>
      </c>
      <c r="G711" s="77"/>
      <c r="H711" s="77">
        <f>F711*G711</f>
        <v>0</v>
      </c>
      <c r="I711" s="77"/>
      <c r="J711" s="77"/>
      <c r="K711" s="77"/>
      <c r="L711" s="77"/>
      <c r="M711" s="1252">
        <f>H711+J711+L711</f>
        <v>0</v>
      </c>
      <c r="N711" s="1265"/>
    </row>
    <row r="712" spans="1:15" customFormat="1">
      <c r="A712" s="1413" t="s">
        <v>432</v>
      </c>
      <c r="B712" s="40" t="s">
        <v>304</v>
      </c>
      <c r="C712" s="275" t="s">
        <v>306</v>
      </c>
      <c r="D712" s="40" t="s">
        <v>279</v>
      </c>
      <c r="E712" s="58"/>
      <c r="F712" s="383">
        <f>F715*0.3</f>
        <v>53.699999999999996</v>
      </c>
      <c r="G712" s="448"/>
      <c r="H712" s="448"/>
      <c r="I712" s="448"/>
      <c r="J712" s="448"/>
      <c r="K712" s="448"/>
      <c r="L712" s="448"/>
      <c r="M712" s="1251"/>
      <c r="N712" s="1275"/>
      <c r="O712" s="1276"/>
    </row>
    <row r="713" spans="1:15" customFormat="1">
      <c r="A713" s="1413"/>
      <c r="B713" s="262"/>
      <c r="C713" s="162" t="s">
        <v>1870</v>
      </c>
      <c r="D713" s="24" t="s">
        <v>1</v>
      </c>
      <c r="E713" s="84">
        <v>1</v>
      </c>
      <c r="F713" s="1236">
        <f>F715</f>
        <v>179</v>
      </c>
      <c r="G713" s="448"/>
      <c r="H713" s="448"/>
      <c r="I713" s="448"/>
      <c r="J713" s="448">
        <f>F713*I713</f>
        <v>0</v>
      </c>
      <c r="K713" s="448"/>
      <c r="L713" s="448"/>
      <c r="M713" s="1251">
        <f>H713+J713+L713</f>
        <v>0</v>
      </c>
      <c r="N713" s="1275"/>
      <c r="O713" s="1276"/>
    </row>
    <row r="714" spans="1:15" customFormat="1">
      <c r="A714" s="1413"/>
      <c r="B714" s="40"/>
      <c r="C714" s="160" t="s">
        <v>14</v>
      </c>
      <c r="D714" s="46" t="s">
        <v>11</v>
      </c>
      <c r="E714" s="84">
        <f>2.66*0.01</f>
        <v>2.6600000000000002E-2</v>
      </c>
      <c r="F714" s="710">
        <f>F712*E714</f>
        <v>1.42842</v>
      </c>
      <c r="G714" s="448"/>
      <c r="H714" s="448"/>
      <c r="I714" s="448"/>
      <c r="J714" s="448"/>
      <c r="K714" s="448"/>
      <c r="L714" s="448">
        <f>F714*K714</f>
        <v>0</v>
      </c>
      <c r="M714" s="1251">
        <f>H714+J714+L714</f>
        <v>0</v>
      </c>
      <c r="N714" s="1275"/>
      <c r="O714" s="1276"/>
    </row>
    <row r="715" spans="1:15" customFormat="1">
      <c r="A715" s="1413"/>
      <c r="B715" s="42"/>
      <c r="C715" s="148" t="s">
        <v>1045</v>
      </c>
      <c r="D715" s="1142" t="s">
        <v>1</v>
      </c>
      <c r="E715" s="84">
        <v>1</v>
      </c>
      <c r="F715" s="383">
        <v>179</v>
      </c>
      <c r="G715" s="448"/>
      <c r="H715" s="448">
        <f>F715*G715</f>
        <v>0</v>
      </c>
      <c r="I715" s="448"/>
      <c r="J715" s="448"/>
      <c r="K715" s="448"/>
      <c r="L715" s="448"/>
      <c r="M715" s="1251">
        <f>H715+J715+L715</f>
        <v>0</v>
      </c>
      <c r="N715" s="1275"/>
      <c r="O715" s="1276"/>
    </row>
    <row r="716" spans="1:15" customFormat="1">
      <c r="A716" s="1413"/>
      <c r="B716" s="262"/>
      <c r="C716" s="162" t="s">
        <v>305</v>
      </c>
      <c r="D716" s="24" t="s">
        <v>250</v>
      </c>
      <c r="E716" s="84">
        <f>0.3*0.01</f>
        <v>3.0000000000000001E-3</v>
      </c>
      <c r="F716" s="1236">
        <f>E716*F712</f>
        <v>0.16109999999999999</v>
      </c>
      <c r="G716" s="448"/>
      <c r="H716" s="448">
        <f>F716*G716</f>
        <v>0</v>
      </c>
      <c r="I716" s="448"/>
      <c r="J716" s="448"/>
      <c r="K716" s="448"/>
      <c r="L716" s="448"/>
      <c r="M716" s="1251">
        <f>H716+J716+L716</f>
        <v>0</v>
      </c>
      <c r="N716" s="1275"/>
      <c r="O716" s="1276"/>
    </row>
    <row r="717" spans="1:15">
      <c r="A717" s="1423" t="s">
        <v>432</v>
      </c>
      <c r="B717" s="43" t="s">
        <v>102</v>
      </c>
      <c r="C717" s="425" t="s">
        <v>1081</v>
      </c>
      <c r="D717" s="43" t="s">
        <v>5</v>
      </c>
      <c r="E717" s="56"/>
      <c r="F717" s="108">
        <f>F720</f>
        <v>26.7</v>
      </c>
      <c r="G717" s="77"/>
      <c r="H717" s="77"/>
      <c r="I717" s="77"/>
      <c r="J717" s="77"/>
      <c r="K717" s="77"/>
      <c r="L717" s="77"/>
      <c r="M717" s="1252"/>
    </row>
    <row r="718" spans="1:15">
      <c r="A718" s="1424"/>
      <c r="B718" s="701"/>
      <c r="C718" s="165" t="s">
        <v>1821</v>
      </c>
      <c r="D718" s="68" t="s">
        <v>260</v>
      </c>
      <c r="E718" s="56">
        <v>1</v>
      </c>
      <c r="F718" s="17">
        <f>F717*E718</f>
        <v>26.7</v>
      </c>
      <c r="G718" s="77"/>
      <c r="H718" s="77"/>
      <c r="I718" s="77"/>
      <c r="J718" s="77">
        <f>F718*I718</f>
        <v>0</v>
      </c>
      <c r="K718" s="77"/>
      <c r="L718" s="77"/>
      <c r="M718" s="1252">
        <f t="shared" ref="M718:M723" si="111">H718+J718+L718</f>
        <v>0</v>
      </c>
    </row>
    <row r="719" spans="1:15">
      <c r="A719" s="1424"/>
      <c r="B719" s="701"/>
      <c r="C719" s="165" t="s">
        <v>21</v>
      </c>
      <c r="D719" s="68" t="s">
        <v>11</v>
      </c>
      <c r="E719" s="565">
        <v>0.35299999999999998</v>
      </c>
      <c r="F719" s="17">
        <f>F717*E719</f>
        <v>9.4250999999999987</v>
      </c>
      <c r="G719" s="77"/>
      <c r="H719" s="77"/>
      <c r="I719" s="77"/>
      <c r="J719" s="77"/>
      <c r="K719" s="77"/>
      <c r="L719" s="77">
        <f>F719*K719</f>
        <v>0</v>
      </c>
      <c r="M719" s="1252">
        <f t="shared" si="111"/>
        <v>0</v>
      </c>
    </row>
    <row r="720" spans="1:15" ht="31.5">
      <c r="A720" s="1424"/>
      <c r="B720" s="701"/>
      <c r="C720" s="165" t="s">
        <v>1082</v>
      </c>
      <c r="D720" s="68" t="s">
        <v>5</v>
      </c>
      <c r="E720" s="565">
        <v>1</v>
      </c>
      <c r="F720" s="17">
        <v>26.7</v>
      </c>
      <c r="G720" s="77"/>
      <c r="H720" s="77">
        <f>F720*G720</f>
        <v>0</v>
      </c>
      <c r="I720" s="77"/>
      <c r="J720" s="77"/>
      <c r="K720" s="77"/>
      <c r="L720" s="77"/>
      <c r="M720" s="1252">
        <f t="shared" si="111"/>
        <v>0</v>
      </c>
    </row>
    <row r="721" spans="1:13">
      <c r="A721" s="1424"/>
      <c r="B721" s="701"/>
      <c r="C721" s="165" t="s">
        <v>235</v>
      </c>
      <c r="D721" s="68" t="s">
        <v>4</v>
      </c>
      <c r="E721" s="565">
        <v>8.0000000000000004E-4</v>
      </c>
      <c r="F721" s="17">
        <f>F717*E721</f>
        <v>2.1360000000000001E-2</v>
      </c>
      <c r="G721" s="77"/>
      <c r="H721" s="77">
        <f>F721*G721</f>
        <v>0</v>
      </c>
      <c r="I721" s="77"/>
      <c r="J721" s="77"/>
      <c r="K721" s="77"/>
      <c r="L721" s="77"/>
      <c r="M721" s="1252">
        <f t="shared" si="111"/>
        <v>0</v>
      </c>
    </row>
    <row r="722" spans="1:13">
      <c r="A722" s="1424"/>
      <c r="B722" s="701"/>
      <c r="C722" s="165" t="s">
        <v>99</v>
      </c>
      <c r="D722" s="68" t="s">
        <v>5</v>
      </c>
      <c r="E722" s="565">
        <v>0.89</v>
      </c>
      <c r="F722" s="17">
        <f>F717*E722</f>
        <v>23.762999999999998</v>
      </c>
      <c r="G722" s="77"/>
      <c r="H722" s="77">
        <f>F722*G722</f>
        <v>0</v>
      </c>
      <c r="I722" s="77"/>
      <c r="J722" s="77"/>
      <c r="K722" s="77"/>
      <c r="L722" s="77"/>
      <c r="M722" s="1252">
        <f t="shared" si="111"/>
        <v>0</v>
      </c>
    </row>
    <row r="723" spans="1:13">
      <c r="A723" s="1425"/>
      <c r="B723" s="701"/>
      <c r="C723" s="165" t="s">
        <v>19</v>
      </c>
      <c r="D723" s="68" t="s">
        <v>11</v>
      </c>
      <c r="E723" s="565">
        <v>0.27600000000000002</v>
      </c>
      <c r="F723" s="17">
        <f>F717*E723</f>
        <v>7.3692000000000002</v>
      </c>
      <c r="G723" s="77"/>
      <c r="H723" s="77">
        <f>F723*G723</f>
        <v>0</v>
      </c>
      <c r="I723" s="77"/>
      <c r="J723" s="77"/>
      <c r="K723" s="77"/>
      <c r="L723" s="77"/>
      <c r="M723" s="1252">
        <f t="shared" si="111"/>
        <v>0</v>
      </c>
    </row>
    <row r="724" spans="1:13" ht="27">
      <c r="A724" s="1390" t="s">
        <v>39</v>
      </c>
      <c r="B724" s="40" t="s">
        <v>301</v>
      </c>
      <c r="C724" s="275" t="s">
        <v>307</v>
      </c>
      <c r="D724" s="40" t="s">
        <v>279</v>
      </c>
      <c r="E724" s="58"/>
      <c r="F724" s="20">
        <f>F728</f>
        <v>6.82</v>
      </c>
      <c r="G724" s="77"/>
      <c r="H724" s="77"/>
      <c r="I724" s="77"/>
      <c r="J724" s="77"/>
      <c r="K724" s="77"/>
      <c r="L724" s="77"/>
      <c r="M724" s="1252"/>
    </row>
    <row r="725" spans="1:13">
      <c r="A725" s="1391"/>
      <c r="B725" s="24"/>
      <c r="C725" s="162" t="s">
        <v>1822</v>
      </c>
      <c r="D725" s="24" t="s">
        <v>5</v>
      </c>
      <c r="E725" s="84">
        <v>1</v>
      </c>
      <c r="F725" s="282">
        <f>F724*E725</f>
        <v>6.82</v>
      </c>
      <c r="G725" s="77"/>
      <c r="H725" s="77"/>
      <c r="I725" s="77"/>
      <c r="J725" s="77">
        <f>F725*I725</f>
        <v>0</v>
      </c>
      <c r="K725" s="77"/>
      <c r="L725" s="77"/>
      <c r="M725" s="1252">
        <f t="shared" si="107"/>
        <v>0</v>
      </c>
    </row>
    <row r="726" spans="1:13">
      <c r="A726" s="1391"/>
      <c r="B726" s="24" t="s">
        <v>1799</v>
      </c>
      <c r="C726" s="162" t="s">
        <v>94</v>
      </c>
      <c r="D726" s="24" t="s">
        <v>16</v>
      </c>
      <c r="E726" s="84">
        <f>15.1*0.01</f>
        <v>0.151</v>
      </c>
      <c r="F726" s="282">
        <f>E726*F724</f>
        <v>1.02982</v>
      </c>
      <c r="G726" s="77"/>
      <c r="H726" s="77"/>
      <c r="I726" s="77"/>
      <c r="J726" s="77"/>
      <c r="K726" s="77"/>
      <c r="L726" s="77">
        <f>F726*K726</f>
        <v>0</v>
      </c>
      <c r="M726" s="1252">
        <f t="shared" si="107"/>
        <v>0</v>
      </c>
    </row>
    <row r="727" spans="1:13">
      <c r="A727" s="1391"/>
      <c r="B727" s="46"/>
      <c r="C727" s="160" t="s">
        <v>14</v>
      </c>
      <c r="D727" s="46" t="s">
        <v>11</v>
      </c>
      <c r="E727" s="84">
        <f>51.6*0.01</f>
        <v>0.51600000000000001</v>
      </c>
      <c r="F727" s="205">
        <f>F724*E727</f>
        <v>3.51912</v>
      </c>
      <c r="G727" s="77"/>
      <c r="H727" s="77"/>
      <c r="I727" s="77"/>
      <c r="J727" s="77"/>
      <c r="K727" s="77"/>
      <c r="L727" s="77">
        <f>F727*K727</f>
        <v>0</v>
      </c>
      <c r="M727" s="1252">
        <f t="shared" si="107"/>
        <v>0</v>
      </c>
    </row>
    <row r="728" spans="1:13">
      <c r="A728" s="1391"/>
      <c r="B728" s="24"/>
      <c r="C728" s="162" t="s">
        <v>302</v>
      </c>
      <c r="D728" s="24" t="s">
        <v>234</v>
      </c>
      <c r="E728" s="84">
        <v>1</v>
      </c>
      <c r="F728" s="282">
        <v>6.82</v>
      </c>
      <c r="G728" s="77"/>
      <c r="H728" s="77">
        <f>F728*G728</f>
        <v>0</v>
      </c>
      <c r="I728" s="77"/>
      <c r="J728" s="77"/>
      <c r="K728" s="77"/>
      <c r="L728" s="77"/>
      <c r="M728" s="1252">
        <f t="shared" si="107"/>
        <v>0</v>
      </c>
    </row>
    <row r="729" spans="1:13">
      <c r="A729" s="1391"/>
      <c r="B729" s="24"/>
      <c r="C729" s="162" t="s">
        <v>303</v>
      </c>
      <c r="D729" s="24" t="s">
        <v>113</v>
      </c>
      <c r="E729" s="84">
        <f>6*0.01</f>
        <v>0.06</v>
      </c>
      <c r="F729" s="282">
        <f>E729*F724</f>
        <v>0.40920000000000001</v>
      </c>
      <c r="G729" s="77"/>
      <c r="H729" s="77">
        <f>F729*G729</f>
        <v>0</v>
      </c>
      <c r="I729" s="77"/>
      <c r="J729" s="77"/>
      <c r="K729" s="77"/>
      <c r="L729" s="77"/>
      <c r="M729" s="1252">
        <f t="shared" si="107"/>
        <v>0</v>
      </c>
    </row>
    <row r="730" spans="1:13">
      <c r="A730" s="1392"/>
      <c r="B730" s="24"/>
      <c r="C730" s="162" t="s">
        <v>26</v>
      </c>
      <c r="D730" s="24" t="s">
        <v>11</v>
      </c>
      <c r="E730" s="84">
        <f>5.4*0.01</f>
        <v>5.4000000000000006E-2</v>
      </c>
      <c r="F730" s="282">
        <f>E730*F724</f>
        <v>0.36828000000000005</v>
      </c>
      <c r="G730" s="77"/>
      <c r="H730" s="77">
        <f>F730*G730</f>
        <v>0</v>
      </c>
      <c r="I730" s="77"/>
      <c r="J730" s="77"/>
      <c r="K730" s="77"/>
      <c r="L730" s="77"/>
      <c r="M730" s="1252">
        <f t="shared" si="107"/>
        <v>0</v>
      </c>
    </row>
    <row r="731" spans="1:13" ht="31.5">
      <c r="A731" s="1413" t="s">
        <v>64</v>
      </c>
      <c r="B731" s="143" t="s">
        <v>343</v>
      </c>
      <c r="C731" s="627" t="s">
        <v>1769</v>
      </c>
      <c r="D731" s="1200" t="s">
        <v>5</v>
      </c>
      <c r="E731" s="710"/>
      <c r="F731" s="348">
        <f>F724*2</f>
        <v>13.64</v>
      </c>
      <c r="G731" s="77"/>
      <c r="H731" s="77"/>
      <c r="I731" s="77"/>
      <c r="J731" s="77"/>
      <c r="K731" s="77"/>
      <c r="L731" s="77"/>
      <c r="M731" s="1252"/>
    </row>
    <row r="732" spans="1:13">
      <c r="A732" s="1413"/>
      <c r="B732" s="677"/>
      <c r="C732" s="678" t="s">
        <v>1802</v>
      </c>
      <c r="D732" s="679" t="s">
        <v>5</v>
      </c>
      <c r="E732" s="710">
        <v>1</v>
      </c>
      <c r="F732" s="717">
        <f>F731*E732</f>
        <v>13.64</v>
      </c>
      <c r="G732" s="87"/>
      <c r="H732" s="87"/>
      <c r="I732" s="87"/>
      <c r="J732" s="87">
        <f>F732*I732</f>
        <v>0</v>
      </c>
      <c r="K732" s="87"/>
      <c r="L732" s="87"/>
      <c r="M732" s="1260">
        <f>H732+J732+L732</f>
        <v>0</v>
      </c>
    </row>
    <row r="733" spans="1:13">
      <c r="A733" s="1413"/>
      <c r="B733" s="680"/>
      <c r="C733" s="681" t="s">
        <v>14</v>
      </c>
      <c r="D733" s="682" t="s">
        <v>11</v>
      </c>
      <c r="E733" s="718">
        <f>0.03*0.01</f>
        <v>2.9999999999999997E-4</v>
      </c>
      <c r="F733" s="718">
        <f>F731*E733</f>
        <v>4.0920000000000002E-3</v>
      </c>
      <c r="G733" s="87"/>
      <c r="H733" s="87"/>
      <c r="I733" s="87"/>
      <c r="J733" s="87"/>
      <c r="K733" s="87"/>
      <c r="L733" s="87">
        <f>F733*K733</f>
        <v>0</v>
      </c>
      <c r="M733" s="1260">
        <f>H733+J733+L733</f>
        <v>0</v>
      </c>
    </row>
    <row r="734" spans="1:13">
      <c r="A734" s="1413"/>
      <c r="B734" s="680"/>
      <c r="C734" s="681" t="s">
        <v>345</v>
      </c>
      <c r="D734" s="1196" t="s">
        <v>113</v>
      </c>
      <c r="E734" s="719">
        <v>0.35</v>
      </c>
      <c r="F734" s="719">
        <f>E734*F731</f>
        <v>4.774</v>
      </c>
      <c r="G734" s="87"/>
      <c r="H734" s="87">
        <f>F734*G734</f>
        <v>0</v>
      </c>
      <c r="I734" s="87"/>
      <c r="J734" s="87"/>
      <c r="K734" s="87"/>
      <c r="L734" s="87"/>
      <c r="M734" s="1260">
        <f>H734+J734+L734</f>
        <v>0</v>
      </c>
    </row>
    <row r="735" spans="1:13">
      <c r="A735" s="1413"/>
      <c r="B735" s="680"/>
      <c r="C735" s="681" t="s">
        <v>1092</v>
      </c>
      <c r="D735" s="1196" t="s">
        <v>113</v>
      </c>
      <c r="E735" s="719">
        <v>2.7E-2</v>
      </c>
      <c r="F735" s="719">
        <f>E735*F731</f>
        <v>0.36828</v>
      </c>
      <c r="G735" s="87"/>
      <c r="H735" s="87">
        <f>F735*G735</f>
        <v>0</v>
      </c>
      <c r="I735" s="87"/>
      <c r="J735" s="87"/>
      <c r="K735" s="87"/>
      <c r="L735" s="87"/>
      <c r="M735" s="1260">
        <f>H735+J735+L735</f>
        <v>0</v>
      </c>
    </row>
    <row r="736" spans="1:13">
      <c r="A736" s="1413"/>
      <c r="B736" s="680"/>
      <c r="C736" s="681" t="s">
        <v>26</v>
      </c>
      <c r="D736" s="682" t="s">
        <v>11</v>
      </c>
      <c r="E736" s="718">
        <v>1.9E-3</v>
      </c>
      <c r="F736" s="718">
        <f>F731*E736</f>
        <v>2.5916000000000002E-2</v>
      </c>
      <c r="G736" s="87"/>
      <c r="H736" s="87">
        <f>F736*G736</f>
        <v>0</v>
      </c>
      <c r="I736" s="87"/>
      <c r="J736" s="87"/>
      <c r="K736" s="87"/>
      <c r="L736" s="87"/>
      <c r="M736" s="1260">
        <f>H736+J736+L736</f>
        <v>0</v>
      </c>
    </row>
    <row r="737" spans="1:13" hidden="1">
      <c r="A737" s="1390" t="s">
        <v>433</v>
      </c>
      <c r="B737" s="40" t="s">
        <v>304</v>
      </c>
      <c r="C737" s="275" t="s">
        <v>306</v>
      </c>
      <c r="D737" s="40" t="s">
        <v>279</v>
      </c>
      <c r="E737" s="58"/>
      <c r="F737" s="20">
        <f>(F740)*0.3</f>
        <v>0</v>
      </c>
      <c r="G737" s="77"/>
      <c r="H737" s="77"/>
      <c r="I737" s="77"/>
      <c r="J737" s="77"/>
      <c r="K737" s="77"/>
      <c r="L737" s="77"/>
      <c r="M737" s="1252"/>
    </row>
    <row r="738" spans="1:13" hidden="1">
      <c r="A738" s="1391"/>
      <c r="B738" s="24"/>
      <c r="C738" s="162" t="s">
        <v>13</v>
      </c>
      <c r="D738" s="24" t="s">
        <v>295</v>
      </c>
      <c r="E738" s="84">
        <f>59.4*0.01</f>
        <v>0.59399999999999997</v>
      </c>
      <c r="F738" s="282">
        <f>F737*E738</f>
        <v>0</v>
      </c>
      <c r="G738" s="77"/>
      <c r="H738" s="77"/>
      <c r="I738" s="77">
        <v>7.8</v>
      </c>
      <c r="J738" s="77">
        <f>F738*I738</f>
        <v>0</v>
      </c>
      <c r="K738" s="77"/>
      <c r="L738" s="77"/>
      <c r="M738" s="1252">
        <f t="shared" si="107"/>
        <v>0</v>
      </c>
    </row>
    <row r="739" spans="1:13" hidden="1">
      <c r="A739" s="1391"/>
      <c r="B739" s="46"/>
      <c r="C739" s="160" t="s">
        <v>14</v>
      </c>
      <c r="D739" s="46" t="s">
        <v>11</v>
      </c>
      <c r="E739" s="84">
        <f>2.66*0.01</f>
        <v>2.6600000000000002E-2</v>
      </c>
      <c r="F739" s="205">
        <f>F737*E739</f>
        <v>0</v>
      </c>
      <c r="G739" s="77"/>
      <c r="H739" s="77"/>
      <c r="I739" s="77"/>
      <c r="J739" s="77"/>
      <c r="K739" s="77">
        <v>4</v>
      </c>
      <c r="L739" s="77">
        <f>F739*K739</f>
        <v>0</v>
      </c>
      <c r="M739" s="1252">
        <f t="shared" si="107"/>
        <v>0</v>
      </c>
    </row>
    <row r="740" spans="1:13" hidden="1">
      <c r="A740" s="1391"/>
      <c r="B740" s="447"/>
      <c r="C740" s="148" t="s">
        <v>117</v>
      </c>
      <c r="D740" s="701" t="s">
        <v>1</v>
      </c>
      <c r="E740" s="84"/>
      <c r="F740" s="854">
        <v>0</v>
      </c>
      <c r="G740" s="77">
        <v>35</v>
      </c>
      <c r="H740" s="77">
        <f>F740*G740</f>
        <v>0</v>
      </c>
      <c r="I740" s="77"/>
      <c r="J740" s="77"/>
      <c r="K740" s="77"/>
      <c r="L740" s="77"/>
      <c r="M740" s="1252">
        <f t="shared" si="107"/>
        <v>0</v>
      </c>
    </row>
    <row r="741" spans="1:13" hidden="1">
      <c r="A741" s="1392"/>
      <c r="B741" s="24"/>
      <c r="C741" s="162" t="s">
        <v>305</v>
      </c>
      <c r="D741" s="24" t="s">
        <v>250</v>
      </c>
      <c r="E741" s="84">
        <f>0.3*0.01</f>
        <v>3.0000000000000001E-3</v>
      </c>
      <c r="F741" s="282">
        <f>E741*F737</f>
        <v>0</v>
      </c>
      <c r="G741" s="77">
        <v>300</v>
      </c>
      <c r="H741" s="77">
        <f>F741*G741</f>
        <v>0</v>
      </c>
      <c r="I741" s="77"/>
      <c r="J741" s="77"/>
      <c r="K741" s="77"/>
      <c r="L741" s="77"/>
      <c r="M741" s="1252">
        <f t="shared" si="107"/>
        <v>0</v>
      </c>
    </row>
    <row r="742" spans="1:13" ht="31.5">
      <c r="A742" s="1390" t="s">
        <v>434</v>
      </c>
      <c r="B742" s="75" t="s">
        <v>289</v>
      </c>
      <c r="C742" s="152" t="s">
        <v>308</v>
      </c>
      <c r="D742" s="703" t="s">
        <v>1</v>
      </c>
      <c r="E742" s="282"/>
      <c r="F742" s="1338">
        <v>1004.9</v>
      </c>
      <c r="G742" s="77"/>
      <c r="H742" s="77"/>
      <c r="I742" s="77"/>
      <c r="J742" s="77"/>
      <c r="K742" s="77"/>
      <c r="L742" s="77"/>
      <c r="M742" s="1252"/>
    </row>
    <row r="743" spans="1:13">
      <c r="A743" s="1391"/>
      <c r="B743" s="75"/>
      <c r="C743" s="157" t="s">
        <v>1823</v>
      </c>
      <c r="D743" s="203" t="s">
        <v>1</v>
      </c>
      <c r="E743" s="45">
        <v>1</v>
      </c>
      <c r="F743" s="45">
        <f>E743*F742</f>
        <v>1004.9</v>
      </c>
      <c r="G743" s="77"/>
      <c r="H743" s="77"/>
      <c r="I743" s="77"/>
      <c r="J743" s="77">
        <f>F743*I743</f>
        <v>0</v>
      </c>
      <c r="K743" s="77"/>
      <c r="L743" s="77"/>
      <c r="M743" s="1252">
        <f t="shared" si="107"/>
        <v>0</v>
      </c>
    </row>
    <row r="744" spans="1:13">
      <c r="A744" s="1391"/>
      <c r="B744" s="75"/>
      <c r="C744" s="157" t="s">
        <v>14</v>
      </c>
      <c r="D744" s="203" t="s">
        <v>11</v>
      </c>
      <c r="E744" s="45">
        <v>1.7999999999999999E-2</v>
      </c>
      <c r="F744" s="45">
        <f>E744*F742</f>
        <v>18.088199999999997</v>
      </c>
      <c r="G744" s="77"/>
      <c r="H744" s="77"/>
      <c r="I744" s="77"/>
      <c r="J744" s="77"/>
      <c r="K744" s="77"/>
      <c r="L744" s="77">
        <f>F744*K744</f>
        <v>0</v>
      </c>
      <c r="M744" s="1252">
        <f t="shared" si="107"/>
        <v>0</v>
      </c>
    </row>
    <row r="745" spans="1:13">
      <c r="A745" s="1392"/>
      <c r="B745" s="203"/>
      <c r="C745" s="157" t="s">
        <v>1084</v>
      </c>
      <c r="D745" s="203" t="s">
        <v>319</v>
      </c>
      <c r="E745" s="45">
        <v>1.06E-2</v>
      </c>
      <c r="F745" s="45">
        <f>E745*F742</f>
        <v>10.65194</v>
      </c>
      <c r="G745" s="77"/>
      <c r="H745" s="77">
        <f>F745*G745</f>
        <v>0</v>
      </c>
      <c r="I745" s="77"/>
      <c r="J745" s="77"/>
      <c r="K745" s="77"/>
      <c r="L745" s="77"/>
      <c r="M745" s="1252">
        <f t="shared" si="107"/>
        <v>0</v>
      </c>
    </row>
    <row r="746" spans="1:13" ht="31.5">
      <c r="A746" s="1390" t="s">
        <v>69</v>
      </c>
      <c r="B746" s="75" t="s">
        <v>310</v>
      </c>
      <c r="C746" s="152" t="s">
        <v>309</v>
      </c>
      <c r="D746" s="703" t="s">
        <v>234</v>
      </c>
      <c r="E746" s="282"/>
      <c r="F746" s="20">
        <v>2472.8150000000001</v>
      </c>
      <c r="G746" s="77"/>
      <c r="H746" s="77"/>
      <c r="I746" s="77"/>
      <c r="J746" s="77"/>
      <c r="K746" s="77"/>
      <c r="L746" s="77"/>
      <c r="M746" s="1252"/>
    </row>
    <row r="747" spans="1:13">
      <c r="A747" s="1391"/>
      <c r="B747" s="75"/>
      <c r="C747" s="157" t="s">
        <v>1824</v>
      </c>
      <c r="D747" s="203" t="s">
        <v>5</v>
      </c>
      <c r="E747" s="45">
        <v>1</v>
      </c>
      <c r="F747" s="45">
        <f>E747*F746</f>
        <v>2472.8150000000001</v>
      </c>
      <c r="G747" s="77"/>
      <c r="H747" s="77"/>
      <c r="I747" s="77"/>
      <c r="J747" s="77">
        <f>F747*I747</f>
        <v>0</v>
      </c>
      <c r="K747" s="77"/>
      <c r="L747" s="77"/>
      <c r="M747" s="1252">
        <f t="shared" si="107"/>
        <v>0</v>
      </c>
    </row>
    <row r="748" spans="1:13">
      <c r="A748" s="1391"/>
      <c r="B748" s="75" t="s">
        <v>388</v>
      </c>
      <c r="C748" s="157" t="s">
        <v>387</v>
      </c>
      <c r="D748" s="203" t="s">
        <v>212</v>
      </c>
      <c r="E748" s="45">
        <v>4.1000000000000002E-2</v>
      </c>
      <c r="F748" s="45">
        <f>E748*F746</f>
        <v>101.38541500000001</v>
      </c>
      <c r="G748" s="77"/>
      <c r="H748" s="77"/>
      <c r="I748" s="77"/>
      <c r="J748" s="77"/>
      <c r="K748" s="77"/>
      <c r="L748" s="77">
        <f>F748*K748</f>
        <v>0</v>
      </c>
      <c r="M748" s="1252">
        <f t="shared" si="107"/>
        <v>0</v>
      </c>
    </row>
    <row r="749" spans="1:13">
      <c r="A749" s="1391"/>
      <c r="B749" s="75"/>
      <c r="C749" s="157" t="s">
        <v>14</v>
      </c>
      <c r="D749" s="203" t="s">
        <v>11</v>
      </c>
      <c r="E749" s="45">
        <v>2.7E-2</v>
      </c>
      <c r="F749" s="45">
        <f>E749*F746</f>
        <v>66.766005000000007</v>
      </c>
      <c r="G749" s="77"/>
      <c r="H749" s="77"/>
      <c r="I749" s="77"/>
      <c r="J749" s="77"/>
      <c r="K749" s="77"/>
      <c r="L749" s="77">
        <f>F749*K749</f>
        <v>0</v>
      </c>
      <c r="M749" s="1252">
        <f t="shared" si="107"/>
        <v>0</v>
      </c>
    </row>
    <row r="750" spans="1:13">
      <c r="A750" s="1391"/>
      <c r="B750" s="203"/>
      <c r="C750" s="157" t="s">
        <v>1083</v>
      </c>
      <c r="D750" s="203" t="s">
        <v>319</v>
      </c>
      <c r="E750" s="45">
        <f>0.0212+0.0026</f>
        <v>2.3800000000000002E-2</v>
      </c>
      <c r="F750" s="45">
        <f>E750*F746</f>
        <v>58.852997000000002</v>
      </c>
      <c r="G750" s="77"/>
      <c r="H750" s="77">
        <f>F750*G750</f>
        <v>0</v>
      </c>
      <c r="I750" s="77"/>
      <c r="J750" s="77"/>
      <c r="K750" s="77"/>
      <c r="L750" s="77"/>
      <c r="M750" s="1252">
        <f t="shared" si="107"/>
        <v>0</v>
      </c>
    </row>
    <row r="751" spans="1:13">
      <c r="A751" s="1391"/>
      <c r="B751" s="447"/>
      <c r="C751" s="166" t="s">
        <v>1111</v>
      </c>
      <c r="D751" s="63" t="s">
        <v>5</v>
      </c>
      <c r="E751" s="554">
        <v>5.28E-2</v>
      </c>
      <c r="F751" s="78">
        <f>F746*E751</f>
        <v>130.56463199999999</v>
      </c>
      <c r="G751" s="77"/>
      <c r="H751" s="77">
        <f>F751*G751</f>
        <v>0</v>
      </c>
      <c r="I751" s="77"/>
      <c r="J751" s="77"/>
      <c r="K751" s="77"/>
      <c r="L751" s="77"/>
      <c r="M751" s="1252">
        <f t="shared" si="107"/>
        <v>0</v>
      </c>
    </row>
    <row r="752" spans="1:13">
      <c r="A752" s="1392"/>
      <c r="B752" s="447"/>
      <c r="C752" s="154" t="s">
        <v>26</v>
      </c>
      <c r="D752" s="63" t="s">
        <v>11</v>
      </c>
      <c r="E752" s="554">
        <v>3.0000000000000001E-3</v>
      </c>
      <c r="F752" s="78">
        <f>F746*E752</f>
        <v>7.4184450000000002</v>
      </c>
      <c r="G752" s="77"/>
      <c r="H752" s="77">
        <f>F752*G752</f>
        <v>0</v>
      </c>
      <c r="I752" s="77"/>
      <c r="J752" s="77"/>
      <c r="K752" s="77"/>
      <c r="L752" s="77"/>
      <c r="M752" s="1252">
        <f t="shared" si="107"/>
        <v>0</v>
      </c>
    </row>
    <row r="753" spans="1:15" ht="27">
      <c r="A753" s="1390" t="s">
        <v>272</v>
      </c>
      <c r="B753" s="42" t="s">
        <v>1549</v>
      </c>
      <c r="C753" s="151" t="s">
        <v>1550</v>
      </c>
      <c r="D753" s="1122" t="s">
        <v>234</v>
      </c>
      <c r="E753" s="1126"/>
      <c r="F753" s="109">
        <v>1272.7850000000001</v>
      </c>
      <c r="G753" s="77"/>
      <c r="H753" s="77"/>
      <c r="I753" s="77"/>
      <c r="J753" s="77"/>
      <c r="K753" s="77"/>
      <c r="L753" s="77"/>
      <c r="M753" s="1252"/>
      <c r="O753" s="1250" t="s">
        <v>1553</v>
      </c>
    </row>
    <row r="754" spans="1:15">
      <c r="A754" s="1391"/>
      <c r="B754" s="75"/>
      <c r="C754" s="157" t="s">
        <v>1825</v>
      </c>
      <c r="D754" s="203" t="s">
        <v>5</v>
      </c>
      <c r="E754" s="45">
        <v>1</v>
      </c>
      <c r="F754" s="45">
        <f>E754*F753</f>
        <v>1272.7850000000001</v>
      </c>
      <c r="G754" s="77"/>
      <c r="H754" s="77"/>
      <c r="I754" s="77"/>
      <c r="J754" s="77">
        <f>F754*I754</f>
        <v>0</v>
      </c>
      <c r="K754" s="77"/>
      <c r="L754" s="77"/>
      <c r="M754" s="1252">
        <f t="shared" ref="M754:M759" si="112">H754+J754+L754</f>
        <v>0</v>
      </c>
    </row>
    <row r="755" spans="1:15">
      <c r="A755" s="1391"/>
      <c r="B755" s="75" t="s">
        <v>388</v>
      </c>
      <c r="C755" s="157" t="s">
        <v>387</v>
      </c>
      <c r="D755" s="203" t="s">
        <v>212</v>
      </c>
      <c r="E755" s="45">
        <v>4.1000000000000002E-2</v>
      </c>
      <c r="F755" s="45">
        <f>E755*F753</f>
        <v>52.184185000000006</v>
      </c>
      <c r="G755" s="77"/>
      <c r="H755" s="77"/>
      <c r="I755" s="77"/>
      <c r="J755" s="77"/>
      <c r="K755" s="77"/>
      <c r="L755" s="77">
        <f>F755*K755</f>
        <v>0</v>
      </c>
      <c r="M755" s="1252">
        <f t="shared" si="112"/>
        <v>0</v>
      </c>
    </row>
    <row r="756" spans="1:15">
      <c r="A756" s="1391"/>
      <c r="B756" s="75"/>
      <c r="C756" s="157" t="s">
        <v>14</v>
      </c>
      <c r="D756" s="203" t="s">
        <v>11</v>
      </c>
      <c r="E756" s="45">
        <v>2.7E-2</v>
      </c>
      <c r="F756" s="45">
        <f>E756*F753</f>
        <v>34.365195</v>
      </c>
      <c r="G756" s="77"/>
      <c r="H756" s="77"/>
      <c r="I756" s="77"/>
      <c r="J756" s="77"/>
      <c r="K756" s="77"/>
      <c r="L756" s="77">
        <f>F756*K756</f>
        <v>0</v>
      </c>
      <c r="M756" s="1252">
        <f t="shared" si="112"/>
        <v>0</v>
      </c>
    </row>
    <row r="757" spans="1:15">
      <c r="A757" s="1391"/>
      <c r="B757" s="203"/>
      <c r="C757" s="157" t="s">
        <v>1083</v>
      </c>
      <c r="D757" s="203" t="s">
        <v>319</v>
      </c>
      <c r="E757" s="45">
        <f>0.023+0.0014</f>
        <v>2.4399999999999998E-2</v>
      </c>
      <c r="F757" s="45">
        <f>E757*F753</f>
        <v>31.055954</v>
      </c>
      <c r="G757" s="77"/>
      <c r="H757" s="77">
        <f>F757*G757</f>
        <v>0</v>
      </c>
      <c r="I757" s="77"/>
      <c r="J757" s="77"/>
      <c r="K757" s="77"/>
      <c r="L757" s="77"/>
      <c r="M757" s="1252">
        <f t="shared" si="112"/>
        <v>0</v>
      </c>
    </row>
    <row r="758" spans="1:15">
      <c r="A758" s="1391"/>
      <c r="B758" s="1123"/>
      <c r="C758" s="166" t="s">
        <v>1111</v>
      </c>
      <c r="D758" s="63" t="s">
        <v>5</v>
      </c>
      <c r="E758" s="554">
        <v>5.28E-2</v>
      </c>
      <c r="F758" s="78">
        <f>F753*E758</f>
        <v>67.20304800000001</v>
      </c>
      <c r="G758" s="77"/>
      <c r="H758" s="77">
        <f>F758*G758</f>
        <v>0</v>
      </c>
      <c r="I758" s="77"/>
      <c r="J758" s="77"/>
      <c r="K758" s="77"/>
      <c r="L758" s="77"/>
      <c r="M758" s="1252">
        <f t="shared" si="112"/>
        <v>0</v>
      </c>
    </row>
    <row r="759" spans="1:15">
      <c r="A759" s="1392"/>
      <c r="B759" s="1123"/>
      <c r="C759" s="154" t="s">
        <v>26</v>
      </c>
      <c r="D759" s="63" t="s">
        <v>11</v>
      </c>
      <c r="E759" s="554">
        <v>2E-3</v>
      </c>
      <c r="F759" s="78">
        <f>F753*E759</f>
        <v>2.5455700000000001</v>
      </c>
      <c r="G759" s="77"/>
      <c r="H759" s="77">
        <f>F759*G759</f>
        <v>0</v>
      </c>
      <c r="I759" s="77"/>
      <c r="J759" s="77"/>
      <c r="K759" s="77"/>
      <c r="L759" s="77"/>
      <c r="M759" s="1252">
        <f t="shared" si="112"/>
        <v>0</v>
      </c>
    </row>
    <row r="760" spans="1:15" ht="31.5">
      <c r="A760" s="1393" t="s">
        <v>436</v>
      </c>
      <c r="B760" s="42" t="s">
        <v>29</v>
      </c>
      <c r="C760" s="287" t="s">
        <v>339</v>
      </c>
      <c r="D760" s="42" t="s">
        <v>5</v>
      </c>
      <c r="E760" s="1235"/>
      <c r="F760" s="20">
        <v>1971.4324999999999</v>
      </c>
      <c r="G760" s="77"/>
      <c r="H760" s="77"/>
      <c r="I760" s="77"/>
      <c r="J760" s="77"/>
      <c r="K760" s="77"/>
      <c r="L760" s="77"/>
      <c r="M760" s="1252"/>
    </row>
    <row r="761" spans="1:15">
      <c r="A761" s="1394"/>
      <c r="B761" s="447"/>
      <c r="C761" s="150" t="s">
        <v>1826</v>
      </c>
      <c r="D761" s="63" t="s">
        <v>5</v>
      </c>
      <c r="E761" s="277">
        <v>1</v>
      </c>
      <c r="F761" s="282">
        <f>F760*E761</f>
        <v>1971.4324999999999</v>
      </c>
      <c r="G761" s="77"/>
      <c r="H761" s="77"/>
      <c r="I761" s="77"/>
      <c r="J761" s="77">
        <f>F761*I761</f>
        <v>0</v>
      </c>
      <c r="K761" s="77"/>
      <c r="L761" s="77"/>
      <c r="M761" s="1252">
        <f t="shared" si="107"/>
        <v>0</v>
      </c>
    </row>
    <row r="762" spans="1:15">
      <c r="A762" s="1394"/>
      <c r="B762" s="447"/>
      <c r="C762" s="150" t="s">
        <v>21</v>
      </c>
      <c r="D762" s="63" t="s">
        <v>11</v>
      </c>
      <c r="E762" s="277">
        <f>0.0095+0.0023*2</f>
        <v>1.41E-2</v>
      </c>
      <c r="F762" s="282">
        <f>F760*E762</f>
        <v>27.797198249999997</v>
      </c>
      <c r="G762" s="77"/>
      <c r="H762" s="77"/>
      <c r="I762" s="77"/>
      <c r="J762" s="77"/>
      <c r="K762" s="77"/>
      <c r="L762" s="77">
        <f>F762*K762</f>
        <v>0</v>
      </c>
      <c r="M762" s="1252">
        <f t="shared" si="107"/>
        <v>0</v>
      </c>
    </row>
    <row r="763" spans="1:15">
      <c r="A763" s="1394"/>
      <c r="B763" s="447"/>
      <c r="C763" s="169" t="s">
        <v>101</v>
      </c>
      <c r="D763" s="447" t="s">
        <v>4</v>
      </c>
      <c r="E763" s="1235">
        <f>0.0204+0.0051*2</f>
        <v>3.0600000000000002E-2</v>
      </c>
      <c r="F763" s="282">
        <f>F760*E763</f>
        <v>60.325834499999999</v>
      </c>
      <c r="G763" s="77"/>
      <c r="H763" s="77">
        <f>F763*G763</f>
        <v>0</v>
      </c>
      <c r="I763" s="77"/>
      <c r="J763" s="77"/>
      <c r="K763" s="77"/>
      <c r="L763" s="77"/>
      <c r="M763" s="1252">
        <f t="shared" si="107"/>
        <v>0</v>
      </c>
    </row>
    <row r="764" spans="1:15">
      <c r="A764" s="1395"/>
      <c r="B764" s="447"/>
      <c r="C764" s="154" t="s">
        <v>19</v>
      </c>
      <c r="D764" s="63" t="s">
        <v>11</v>
      </c>
      <c r="E764" s="554">
        <f>0.0636</f>
        <v>6.3600000000000004E-2</v>
      </c>
      <c r="F764" s="282">
        <f>F760*E764</f>
        <v>125.383107</v>
      </c>
      <c r="G764" s="77"/>
      <c r="H764" s="77">
        <f>F764*G764</f>
        <v>0</v>
      </c>
      <c r="I764" s="77"/>
      <c r="J764" s="77"/>
      <c r="K764" s="77"/>
      <c r="L764" s="77"/>
      <c r="M764" s="1252">
        <f t="shared" si="107"/>
        <v>0</v>
      </c>
    </row>
    <row r="765" spans="1:15">
      <c r="A765" s="1393" t="s">
        <v>456</v>
      </c>
      <c r="B765" s="42" t="s">
        <v>30</v>
      </c>
      <c r="C765" s="287" t="s">
        <v>77</v>
      </c>
      <c r="D765" s="42" t="s">
        <v>5</v>
      </c>
      <c r="E765" s="1235"/>
      <c r="F765" s="20">
        <v>497.89</v>
      </c>
      <c r="G765" s="77"/>
      <c r="H765" s="77"/>
      <c r="I765" s="77"/>
      <c r="J765" s="77"/>
      <c r="K765" s="77"/>
      <c r="L765" s="77"/>
      <c r="M765" s="1252"/>
    </row>
    <row r="766" spans="1:15">
      <c r="A766" s="1394"/>
      <c r="B766" s="447"/>
      <c r="C766" s="148" t="s">
        <v>1827</v>
      </c>
      <c r="D766" s="447" t="s">
        <v>5</v>
      </c>
      <c r="E766" s="282">
        <v>1</v>
      </c>
      <c r="F766" s="282">
        <f>F765*E766</f>
        <v>497.89</v>
      </c>
      <c r="G766" s="77"/>
      <c r="H766" s="77"/>
      <c r="I766" s="77"/>
      <c r="J766" s="77">
        <f>F766*I766</f>
        <v>0</v>
      </c>
      <c r="K766" s="77"/>
      <c r="L766" s="77"/>
      <c r="M766" s="1252">
        <f t="shared" si="107"/>
        <v>0</v>
      </c>
    </row>
    <row r="767" spans="1:15">
      <c r="A767" s="1394"/>
      <c r="B767" s="447"/>
      <c r="C767" s="170" t="s">
        <v>14</v>
      </c>
      <c r="D767" s="701" t="s">
        <v>16</v>
      </c>
      <c r="E767" s="282">
        <v>4.5199999999999997E-2</v>
      </c>
      <c r="F767" s="282">
        <f>F765*E767</f>
        <v>22.504627999999997</v>
      </c>
      <c r="G767" s="77"/>
      <c r="H767" s="77"/>
      <c r="I767" s="77"/>
      <c r="J767" s="77"/>
      <c r="K767" s="77"/>
      <c r="L767" s="77">
        <f>F767*K767</f>
        <v>0</v>
      </c>
      <c r="M767" s="1252">
        <f t="shared" ref="M767:M846" si="113">H767+J767+L767</f>
        <v>0</v>
      </c>
    </row>
    <row r="768" spans="1:15">
      <c r="A768" s="1394"/>
      <c r="B768" s="447"/>
      <c r="C768" s="148" t="s">
        <v>1102</v>
      </c>
      <c r="D768" s="447" t="s">
        <v>5</v>
      </c>
      <c r="E768" s="1235">
        <v>1.05</v>
      </c>
      <c r="F768" s="282">
        <f>F765*E768</f>
        <v>522.78449999999998</v>
      </c>
      <c r="G768" s="77"/>
      <c r="H768" s="77">
        <f>F768*G768</f>
        <v>0</v>
      </c>
      <c r="I768" s="77"/>
      <c r="J768" s="77"/>
      <c r="K768" s="77"/>
      <c r="L768" s="77"/>
      <c r="M768" s="1252">
        <f t="shared" si="113"/>
        <v>0</v>
      </c>
    </row>
    <row r="769" spans="1:13">
      <c r="A769" s="1394"/>
      <c r="B769" s="447"/>
      <c r="C769" s="171" t="s">
        <v>341</v>
      </c>
      <c r="D769" s="144" t="s">
        <v>113</v>
      </c>
      <c r="E769" s="733">
        <v>0.3</v>
      </c>
      <c r="F769" s="349">
        <f>F765*E769</f>
        <v>149.36699999999999</v>
      </c>
      <c r="G769" s="350"/>
      <c r="H769" s="77">
        <f>F769*G769</f>
        <v>0</v>
      </c>
      <c r="I769" s="350"/>
      <c r="J769" s="77"/>
      <c r="K769" s="350"/>
      <c r="L769" s="77"/>
      <c r="M769" s="1252">
        <f t="shared" si="113"/>
        <v>0</v>
      </c>
    </row>
    <row r="770" spans="1:13">
      <c r="A770" s="1394"/>
      <c r="B770" s="447"/>
      <c r="C770" s="148" t="s">
        <v>43</v>
      </c>
      <c r="D770" s="447" t="s">
        <v>6</v>
      </c>
      <c r="E770" s="1235">
        <v>5</v>
      </c>
      <c r="F770" s="282">
        <f>F765*E770</f>
        <v>2489.4499999999998</v>
      </c>
      <c r="G770" s="77"/>
      <c r="H770" s="77">
        <f>F770*G770</f>
        <v>0</v>
      </c>
      <c r="I770" s="77"/>
      <c r="J770" s="77"/>
      <c r="K770" s="77"/>
      <c r="L770" s="77"/>
      <c r="M770" s="1252">
        <f t="shared" si="113"/>
        <v>0</v>
      </c>
    </row>
    <row r="771" spans="1:13">
      <c r="A771" s="1395"/>
      <c r="B771" s="447"/>
      <c r="C771" s="165" t="s">
        <v>26</v>
      </c>
      <c r="D771" s="701" t="s">
        <v>11</v>
      </c>
      <c r="E771" s="282">
        <v>4.6600000000000003E-2</v>
      </c>
      <c r="F771" s="282">
        <f>F765*E771</f>
        <v>23.201674000000001</v>
      </c>
      <c r="G771" s="77"/>
      <c r="H771" s="77">
        <f>F771*G771</f>
        <v>0</v>
      </c>
      <c r="I771" s="77"/>
      <c r="J771" s="77"/>
      <c r="K771" s="77"/>
      <c r="L771" s="77"/>
      <c r="M771" s="1252">
        <f t="shared" si="113"/>
        <v>0</v>
      </c>
    </row>
    <row r="772" spans="1:13" ht="31.5" hidden="1">
      <c r="A772" s="1393" t="s">
        <v>1049</v>
      </c>
      <c r="B772" s="42" t="s">
        <v>30</v>
      </c>
      <c r="C772" s="287" t="s">
        <v>84</v>
      </c>
      <c r="D772" s="42" t="s">
        <v>5</v>
      </c>
      <c r="E772" s="853" t="s">
        <v>1828</v>
      </c>
      <c r="F772" s="20"/>
      <c r="G772" s="77"/>
      <c r="H772" s="77"/>
      <c r="I772" s="77"/>
      <c r="J772" s="77"/>
      <c r="K772" s="77"/>
      <c r="L772" s="77"/>
      <c r="M772" s="1252"/>
    </row>
    <row r="773" spans="1:13" hidden="1">
      <c r="A773" s="1394"/>
      <c r="B773" s="447"/>
      <c r="C773" s="148" t="s">
        <v>1827</v>
      </c>
      <c r="D773" s="447" t="s">
        <v>5</v>
      </c>
      <c r="E773" s="282">
        <v>1</v>
      </c>
      <c r="F773" s="282">
        <f>F772*E773</f>
        <v>0</v>
      </c>
      <c r="G773" s="77"/>
      <c r="H773" s="77"/>
      <c r="I773" s="77">
        <v>40</v>
      </c>
      <c r="J773" s="77">
        <f>F773*I773</f>
        <v>0</v>
      </c>
      <c r="K773" s="77"/>
      <c r="L773" s="77"/>
      <c r="M773" s="1252">
        <f t="shared" si="113"/>
        <v>0</v>
      </c>
    </row>
    <row r="774" spans="1:13" hidden="1">
      <c r="A774" s="1394"/>
      <c r="B774" s="447"/>
      <c r="C774" s="170" t="s">
        <v>14</v>
      </c>
      <c r="D774" s="701" t="s">
        <v>16</v>
      </c>
      <c r="E774" s="282">
        <v>4.5199999999999997E-2</v>
      </c>
      <c r="F774" s="282">
        <f>F772*E774</f>
        <v>0</v>
      </c>
      <c r="G774" s="77"/>
      <c r="H774" s="77"/>
      <c r="I774" s="77"/>
      <c r="J774" s="77"/>
      <c r="K774" s="77">
        <v>4</v>
      </c>
      <c r="L774" s="77">
        <f>F774*K774</f>
        <v>0</v>
      </c>
      <c r="M774" s="1252">
        <f t="shared" si="113"/>
        <v>0</v>
      </c>
    </row>
    <row r="775" spans="1:13" hidden="1">
      <c r="A775" s="1394"/>
      <c r="B775" s="447"/>
      <c r="C775" s="148" t="s">
        <v>742</v>
      </c>
      <c r="D775" s="447" t="s">
        <v>5</v>
      </c>
      <c r="E775" s="1235">
        <v>1.05</v>
      </c>
      <c r="F775" s="282">
        <f>F772*E775</f>
        <v>0</v>
      </c>
      <c r="G775" s="77">
        <v>50</v>
      </c>
      <c r="H775" s="77">
        <f>F775*G775</f>
        <v>0</v>
      </c>
      <c r="I775" s="77"/>
      <c r="J775" s="77"/>
      <c r="K775" s="77"/>
      <c r="L775" s="77"/>
      <c r="M775" s="1252">
        <f t="shared" si="113"/>
        <v>0</v>
      </c>
    </row>
    <row r="776" spans="1:13" hidden="1">
      <c r="A776" s="1394"/>
      <c r="B776" s="447"/>
      <c r="C776" s="148" t="s">
        <v>43</v>
      </c>
      <c r="D776" s="447" t="s">
        <v>6</v>
      </c>
      <c r="E776" s="1235">
        <v>5</v>
      </c>
      <c r="F776" s="282">
        <f>F772*E776</f>
        <v>0</v>
      </c>
      <c r="G776" s="77">
        <v>1.5</v>
      </c>
      <c r="H776" s="77">
        <f>F776*G776</f>
        <v>0</v>
      </c>
      <c r="I776" s="77"/>
      <c r="J776" s="77"/>
      <c r="K776" s="77"/>
      <c r="L776" s="77"/>
      <c r="M776" s="1252">
        <f t="shared" si="113"/>
        <v>0</v>
      </c>
    </row>
    <row r="777" spans="1:13" hidden="1">
      <c r="A777" s="1394"/>
      <c r="B777" s="447"/>
      <c r="C777" s="171" t="s">
        <v>341</v>
      </c>
      <c r="D777" s="144" t="s">
        <v>113</v>
      </c>
      <c r="E777" s="733">
        <v>0.3</v>
      </c>
      <c r="F777" s="349">
        <f>F772*E777</f>
        <v>0</v>
      </c>
      <c r="G777" s="350">
        <v>5</v>
      </c>
      <c r="H777" s="77">
        <f>F777*G777</f>
        <v>0</v>
      </c>
      <c r="I777" s="350"/>
      <c r="J777" s="77"/>
      <c r="K777" s="350"/>
      <c r="L777" s="77"/>
      <c r="M777" s="1252">
        <f t="shared" si="113"/>
        <v>0</v>
      </c>
    </row>
    <row r="778" spans="1:13" hidden="1">
      <c r="A778" s="1395"/>
      <c r="B778" s="447"/>
      <c r="C778" s="165" t="s">
        <v>26</v>
      </c>
      <c r="D778" s="701" t="s">
        <v>11</v>
      </c>
      <c r="E778" s="282">
        <v>4.6600000000000003E-2</v>
      </c>
      <c r="F778" s="282">
        <f>F772*E778</f>
        <v>0</v>
      </c>
      <c r="G778" s="77">
        <v>4</v>
      </c>
      <c r="H778" s="77">
        <f>F778*G778</f>
        <v>0</v>
      </c>
      <c r="I778" s="77"/>
      <c r="J778" s="77"/>
      <c r="K778" s="77"/>
      <c r="L778" s="77"/>
      <c r="M778" s="1252">
        <f t="shared" si="113"/>
        <v>0</v>
      </c>
    </row>
    <row r="779" spans="1:13">
      <c r="A779" s="1393" t="s">
        <v>1053</v>
      </c>
      <c r="B779" s="43" t="s">
        <v>37</v>
      </c>
      <c r="C779" s="287" t="s">
        <v>10</v>
      </c>
      <c r="D779" s="42" t="s">
        <v>5</v>
      </c>
      <c r="E779" s="1235"/>
      <c r="F779" s="20">
        <v>117.02</v>
      </c>
      <c r="G779" s="77"/>
      <c r="H779" s="77"/>
      <c r="I779" s="77"/>
      <c r="J779" s="77"/>
      <c r="K779" s="77"/>
      <c r="L779" s="77"/>
      <c r="M779" s="1252"/>
    </row>
    <row r="780" spans="1:13">
      <c r="A780" s="1394"/>
      <c r="B780" s="701"/>
      <c r="C780" s="148" t="s">
        <v>1829</v>
      </c>
      <c r="D780" s="68" t="s">
        <v>5</v>
      </c>
      <c r="E780" s="282">
        <v>1</v>
      </c>
      <c r="F780" s="282">
        <f>F779*E780</f>
        <v>117.02</v>
      </c>
      <c r="G780" s="77"/>
      <c r="H780" s="77"/>
      <c r="I780" s="77"/>
      <c r="J780" s="77">
        <f>F780*I780</f>
        <v>0</v>
      </c>
      <c r="K780" s="77"/>
      <c r="L780" s="77"/>
      <c r="M780" s="1252">
        <f t="shared" si="113"/>
        <v>0</v>
      </c>
    </row>
    <row r="781" spans="1:13">
      <c r="A781" s="1394"/>
      <c r="B781" s="701"/>
      <c r="C781" s="165" t="s">
        <v>14</v>
      </c>
      <c r="D781" s="68" t="s">
        <v>16</v>
      </c>
      <c r="E781" s="282">
        <v>3.0099999999999998E-2</v>
      </c>
      <c r="F781" s="282">
        <f>F779*E781</f>
        <v>3.5223019999999998</v>
      </c>
      <c r="G781" s="77"/>
      <c r="H781" s="77"/>
      <c r="I781" s="77"/>
      <c r="J781" s="77"/>
      <c r="K781" s="77"/>
      <c r="L781" s="77">
        <f>F781*K781</f>
        <v>0</v>
      </c>
      <c r="M781" s="1252">
        <f t="shared" si="113"/>
        <v>0</v>
      </c>
    </row>
    <row r="782" spans="1:13" ht="31.5">
      <c r="A782" s="1394"/>
      <c r="B782" s="701"/>
      <c r="C782" s="168" t="s">
        <v>1830</v>
      </c>
      <c r="D782" s="68" t="s">
        <v>5</v>
      </c>
      <c r="E782" s="282">
        <v>1.05</v>
      </c>
      <c r="F782" s="282">
        <f>F779*E782</f>
        <v>122.871</v>
      </c>
      <c r="G782" s="77"/>
      <c r="H782" s="77">
        <f>F782*G782</f>
        <v>0</v>
      </c>
      <c r="I782" s="77"/>
      <c r="J782" s="77"/>
      <c r="K782" s="77"/>
      <c r="L782" s="77"/>
      <c r="M782" s="1252">
        <f t="shared" si="113"/>
        <v>0</v>
      </c>
    </row>
    <row r="783" spans="1:13">
      <c r="A783" s="1395"/>
      <c r="B783" s="701"/>
      <c r="C783" s="168" t="s">
        <v>26</v>
      </c>
      <c r="D783" s="68" t="s">
        <v>11</v>
      </c>
      <c r="E783" s="282">
        <v>0.107</v>
      </c>
      <c r="F783" s="282">
        <f>F779*E783</f>
        <v>12.521139999999999</v>
      </c>
      <c r="G783" s="77"/>
      <c r="H783" s="77">
        <f>F783*G783</f>
        <v>0</v>
      </c>
      <c r="I783" s="77"/>
      <c r="J783" s="77"/>
      <c r="K783" s="77"/>
      <c r="L783" s="77"/>
      <c r="M783" s="1252">
        <f t="shared" si="113"/>
        <v>0</v>
      </c>
    </row>
    <row r="784" spans="1:13" ht="47.25" hidden="1">
      <c r="A784" s="1393" t="s">
        <v>1060</v>
      </c>
      <c r="B784" s="695"/>
      <c r="C784" s="628" t="s">
        <v>372</v>
      </c>
      <c r="D784" s="145" t="s">
        <v>88</v>
      </c>
      <c r="E784" s="1235"/>
      <c r="F784" s="20">
        <v>0</v>
      </c>
      <c r="G784" s="77"/>
      <c r="H784" s="77"/>
      <c r="I784" s="77"/>
      <c r="J784" s="77"/>
      <c r="K784" s="77"/>
      <c r="L784" s="77"/>
      <c r="M784" s="1252"/>
    </row>
    <row r="785" spans="1:13" hidden="1">
      <c r="A785" s="1394"/>
      <c r="B785" s="43" t="s">
        <v>373</v>
      </c>
      <c r="C785" s="425" t="s">
        <v>374</v>
      </c>
      <c r="D785" s="701" t="s">
        <v>88</v>
      </c>
      <c r="E785" s="282"/>
      <c r="F785" s="20">
        <f>F784</f>
        <v>0</v>
      </c>
      <c r="G785" s="77"/>
      <c r="H785" s="77"/>
      <c r="I785" s="77"/>
      <c r="J785" s="77"/>
      <c r="K785" s="77"/>
      <c r="L785" s="77"/>
      <c r="M785" s="1252"/>
    </row>
    <row r="786" spans="1:13" hidden="1">
      <c r="A786" s="1394"/>
      <c r="B786" s="701"/>
      <c r="C786" s="148" t="s">
        <v>13</v>
      </c>
      <c r="D786" s="447" t="s">
        <v>15</v>
      </c>
      <c r="E786" s="282">
        <v>25.5</v>
      </c>
      <c r="F786" s="282">
        <f>F785*E786</f>
        <v>0</v>
      </c>
      <c r="G786" s="77"/>
      <c r="H786" s="77"/>
      <c r="I786" s="77">
        <v>7.8</v>
      </c>
      <c r="J786" s="77">
        <f>F786*I786</f>
        <v>0</v>
      </c>
      <c r="K786" s="77"/>
      <c r="L786" s="77"/>
      <c r="M786" s="1252">
        <f t="shared" si="113"/>
        <v>0</v>
      </c>
    </row>
    <row r="787" spans="1:13" hidden="1">
      <c r="A787" s="1394"/>
      <c r="B787" s="701"/>
      <c r="C787" s="165" t="s">
        <v>14</v>
      </c>
      <c r="D787" s="701" t="s">
        <v>16</v>
      </c>
      <c r="E787" s="282">
        <v>0.99</v>
      </c>
      <c r="F787" s="282">
        <f>F785*E787</f>
        <v>0</v>
      </c>
      <c r="G787" s="77"/>
      <c r="H787" s="77"/>
      <c r="I787" s="77"/>
      <c r="J787" s="77"/>
      <c r="K787" s="77">
        <v>4</v>
      </c>
      <c r="L787" s="77">
        <f>F787*K787</f>
        <v>0</v>
      </c>
      <c r="M787" s="1252">
        <f t="shared" si="113"/>
        <v>0</v>
      </c>
    </row>
    <row r="788" spans="1:13" hidden="1">
      <c r="A788" s="1394"/>
      <c r="B788" s="701"/>
      <c r="C788" s="165" t="s">
        <v>375</v>
      </c>
      <c r="D788" s="701" t="s">
        <v>4</v>
      </c>
      <c r="E788" s="282">
        <v>0.82</v>
      </c>
      <c r="F788" s="282">
        <f>F785*E788</f>
        <v>0</v>
      </c>
      <c r="G788" s="77">
        <v>630</v>
      </c>
      <c r="H788" s="77">
        <f>F788*G788</f>
        <v>0</v>
      </c>
      <c r="I788" s="77"/>
      <c r="J788" s="77"/>
      <c r="K788" s="77"/>
      <c r="L788" s="77"/>
      <c r="M788" s="1252">
        <f t="shared" si="113"/>
        <v>0</v>
      </c>
    </row>
    <row r="789" spans="1:13" hidden="1">
      <c r="A789" s="1394"/>
      <c r="B789" s="701"/>
      <c r="C789" s="167" t="s">
        <v>26</v>
      </c>
      <c r="D789" s="701" t="s">
        <v>11</v>
      </c>
      <c r="E789" s="282">
        <v>0.61</v>
      </c>
      <c r="F789" s="282">
        <f>F785*E789</f>
        <v>0</v>
      </c>
      <c r="G789" s="77">
        <v>4</v>
      </c>
      <c r="H789" s="77">
        <f>F789*G789</f>
        <v>0</v>
      </c>
      <c r="I789" s="77"/>
      <c r="J789" s="77"/>
      <c r="K789" s="77"/>
      <c r="L789" s="77"/>
      <c r="M789" s="1252">
        <f t="shared" si="113"/>
        <v>0</v>
      </c>
    </row>
    <row r="790" spans="1:13" hidden="1">
      <c r="A790" s="1394"/>
      <c r="B790" s="43" t="s">
        <v>376</v>
      </c>
      <c r="C790" s="425" t="s">
        <v>377</v>
      </c>
      <c r="D790" s="701" t="s">
        <v>88</v>
      </c>
      <c r="E790" s="282"/>
      <c r="F790" s="20">
        <f>F784</f>
        <v>0</v>
      </c>
      <c r="G790" s="77"/>
      <c r="H790" s="77"/>
      <c r="I790" s="77"/>
      <c r="J790" s="77"/>
      <c r="K790" s="77"/>
      <c r="L790" s="77"/>
      <c r="M790" s="1252"/>
    </row>
    <row r="791" spans="1:13" hidden="1">
      <c r="A791" s="1394"/>
      <c r="B791" s="701"/>
      <c r="C791" s="148" t="s">
        <v>13</v>
      </c>
      <c r="D791" s="447" t="s">
        <v>15</v>
      </c>
      <c r="E791" s="282">
        <v>85.1</v>
      </c>
      <c r="F791" s="282">
        <f>F790*E791</f>
        <v>0</v>
      </c>
      <c r="G791" s="77"/>
      <c r="H791" s="77"/>
      <c r="I791" s="77">
        <v>7.8</v>
      </c>
      <c r="J791" s="77">
        <f>F791*I791</f>
        <v>0</v>
      </c>
      <c r="K791" s="77"/>
      <c r="L791" s="77"/>
      <c r="M791" s="1252">
        <f t="shared" si="113"/>
        <v>0</v>
      </c>
    </row>
    <row r="792" spans="1:13" hidden="1">
      <c r="A792" s="1394"/>
      <c r="B792" s="701"/>
      <c r="C792" s="165" t="s">
        <v>14</v>
      </c>
      <c r="D792" s="701" t="s">
        <v>16</v>
      </c>
      <c r="E792" s="282">
        <v>4.83</v>
      </c>
      <c r="F792" s="282">
        <f>F790*E792</f>
        <v>0</v>
      </c>
      <c r="G792" s="77"/>
      <c r="H792" s="77"/>
      <c r="I792" s="77"/>
      <c r="J792" s="77"/>
      <c r="K792" s="77">
        <v>4</v>
      </c>
      <c r="L792" s="77">
        <f>F792*K792</f>
        <v>0</v>
      </c>
      <c r="M792" s="1252">
        <f t="shared" si="113"/>
        <v>0</v>
      </c>
    </row>
    <row r="793" spans="1:13" hidden="1">
      <c r="A793" s="1394"/>
      <c r="B793" s="701"/>
      <c r="C793" s="165" t="s">
        <v>261</v>
      </c>
      <c r="D793" s="701" t="s">
        <v>6</v>
      </c>
      <c r="E793" s="282">
        <v>23.3</v>
      </c>
      <c r="F793" s="282">
        <f>F790*E793</f>
        <v>0</v>
      </c>
      <c r="G793" s="77">
        <v>2.5</v>
      </c>
      <c r="H793" s="77">
        <f>F793*G793</f>
        <v>0</v>
      </c>
      <c r="I793" s="77"/>
      <c r="J793" s="77"/>
      <c r="K793" s="77"/>
      <c r="L793" s="77"/>
      <c r="M793" s="1252">
        <f t="shared" si="113"/>
        <v>0</v>
      </c>
    </row>
    <row r="794" spans="1:13" ht="31.5" hidden="1">
      <c r="A794" s="1394"/>
      <c r="B794" s="701"/>
      <c r="C794" s="165" t="s">
        <v>378</v>
      </c>
      <c r="D794" s="701" t="s">
        <v>4</v>
      </c>
      <c r="E794" s="282">
        <v>3.81</v>
      </c>
      <c r="F794" s="282">
        <f>F790*E794</f>
        <v>0</v>
      </c>
      <c r="G794" s="77">
        <v>680</v>
      </c>
      <c r="H794" s="77">
        <f>F794*G794</f>
        <v>0</v>
      </c>
      <c r="I794" s="77"/>
      <c r="J794" s="77"/>
      <c r="K794" s="77"/>
      <c r="L794" s="77"/>
      <c r="M794" s="1252">
        <f t="shared" si="113"/>
        <v>0</v>
      </c>
    </row>
    <row r="795" spans="1:13" hidden="1">
      <c r="A795" s="1394"/>
      <c r="B795" s="701"/>
      <c r="C795" s="165" t="s">
        <v>26</v>
      </c>
      <c r="D795" s="701" t="s">
        <v>11</v>
      </c>
      <c r="E795" s="282">
        <v>0</v>
      </c>
      <c r="F795" s="282">
        <f>F790*E795</f>
        <v>0</v>
      </c>
      <c r="G795" s="77">
        <v>4</v>
      </c>
      <c r="H795" s="77">
        <f>F795*G795</f>
        <v>0</v>
      </c>
      <c r="I795" s="77"/>
      <c r="J795" s="77"/>
      <c r="K795" s="77"/>
      <c r="L795" s="77"/>
      <c r="M795" s="1252">
        <f t="shared" si="113"/>
        <v>0</v>
      </c>
    </row>
    <row r="796" spans="1:13" ht="51.75" hidden="1">
      <c r="A796" s="1394"/>
      <c r="B796" s="43" t="s">
        <v>1556</v>
      </c>
      <c r="C796" s="425" t="s">
        <v>379</v>
      </c>
      <c r="D796" s="701" t="s">
        <v>18</v>
      </c>
      <c r="E796" s="282"/>
      <c r="F796" s="20">
        <f>F784*100</f>
        <v>0</v>
      </c>
      <c r="G796" s="77"/>
      <c r="H796" s="77"/>
      <c r="I796" s="77"/>
      <c r="J796" s="77"/>
      <c r="K796" s="77"/>
      <c r="L796" s="77"/>
      <c r="M796" s="1252"/>
    </row>
    <row r="797" spans="1:13" hidden="1">
      <c r="A797" s="1394"/>
      <c r="B797" s="43"/>
      <c r="C797" s="148" t="s">
        <v>20</v>
      </c>
      <c r="D797" s="447" t="s">
        <v>15</v>
      </c>
      <c r="E797" s="282">
        <v>0.749</v>
      </c>
      <c r="F797" s="282">
        <f>F796*E797</f>
        <v>0</v>
      </c>
      <c r="G797" s="77"/>
      <c r="H797" s="77"/>
      <c r="I797" s="77">
        <v>7.8</v>
      </c>
      <c r="J797" s="77">
        <f>F797*I797</f>
        <v>0</v>
      </c>
      <c r="K797" s="77"/>
      <c r="L797" s="77"/>
      <c r="M797" s="1252">
        <f t="shared" si="113"/>
        <v>0</v>
      </c>
    </row>
    <row r="798" spans="1:13" hidden="1">
      <c r="A798" s="1394"/>
      <c r="B798" s="43"/>
      <c r="C798" s="165" t="s">
        <v>380</v>
      </c>
      <c r="D798" s="701" t="s">
        <v>6</v>
      </c>
      <c r="E798" s="282">
        <v>0.21199999999999999</v>
      </c>
      <c r="F798" s="282">
        <f>F796*E798</f>
        <v>0</v>
      </c>
      <c r="G798" s="77">
        <v>11.8</v>
      </c>
      <c r="H798" s="77">
        <f>F798*G798</f>
        <v>0</v>
      </c>
      <c r="I798" s="77"/>
      <c r="J798" s="77"/>
      <c r="K798" s="77"/>
      <c r="L798" s="77"/>
      <c r="M798" s="1252">
        <f t="shared" si="113"/>
        <v>0</v>
      </c>
    </row>
    <row r="799" spans="1:13" hidden="1">
      <c r="A799" s="1395"/>
      <c r="B799" s="43"/>
      <c r="C799" s="165" t="s">
        <v>26</v>
      </c>
      <c r="D799" s="701" t="s">
        <v>11</v>
      </c>
      <c r="E799" s="282">
        <v>2E-3</v>
      </c>
      <c r="F799" s="282">
        <f>F796*E799</f>
        <v>0</v>
      </c>
      <c r="G799" s="77">
        <v>4</v>
      </c>
      <c r="H799" s="77">
        <f>F799*G799</f>
        <v>0</v>
      </c>
      <c r="I799" s="77"/>
      <c r="J799" s="77"/>
      <c r="K799" s="77"/>
      <c r="L799" s="77"/>
      <c r="M799" s="1252">
        <f t="shared" si="113"/>
        <v>0</v>
      </c>
    </row>
    <row r="800" spans="1:13" ht="31.5">
      <c r="A800" s="1393" t="s">
        <v>300</v>
      </c>
      <c r="B800" s="42" t="s">
        <v>40</v>
      </c>
      <c r="C800" s="425" t="s">
        <v>467</v>
      </c>
      <c r="D800" s="42" t="s">
        <v>1</v>
      </c>
      <c r="E800" s="1235"/>
      <c r="F800" s="20">
        <v>85</v>
      </c>
      <c r="G800" s="77"/>
      <c r="H800" s="77"/>
      <c r="I800" s="77"/>
      <c r="J800" s="77"/>
      <c r="K800" s="77"/>
      <c r="L800" s="77"/>
      <c r="M800" s="1252"/>
    </row>
    <row r="801" spans="1:13">
      <c r="A801" s="1394"/>
      <c r="B801" s="447"/>
      <c r="C801" s="150" t="s">
        <v>1794</v>
      </c>
      <c r="D801" s="64" t="s">
        <v>1</v>
      </c>
      <c r="E801" s="277">
        <v>1</v>
      </c>
      <c r="F801" s="282">
        <f>F800*E801</f>
        <v>85</v>
      </c>
      <c r="G801" s="77"/>
      <c r="H801" s="77"/>
      <c r="I801" s="77"/>
      <c r="J801" s="77">
        <f>F801*I801</f>
        <v>0</v>
      </c>
      <c r="K801" s="77"/>
      <c r="L801" s="77"/>
      <c r="M801" s="1252">
        <f t="shared" si="113"/>
        <v>0</v>
      </c>
    </row>
    <row r="802" spans="1:13">
      <c r="A802" s="1394"/>
      <c r="B802" s="447"/>
      <c r="C802" s="150" t="s">
        <v>21</v>
      </c>
      <c r="D802" s="63" t="s">
        <v>11</v>
      </c>
      <c r="E802" s="277">
        <v>2E-3</v>
      </c>
      <c r="F802" s="282">
        <f>F800*E802</f>
        <v>0.17</v>
      </c>
      <c r="G802" s="77"/>
      <c r="H802" s="77"/>
      <c r="I802" s="77"/>
      <c r="J802" s="77"/>
      <c r="K802" s="77"/>
      <c r="L802" s="77">
        <f>F802*K802</f>
        <v>0</v>
      </c>
      <c r="M802" s="1252">
        <f t="shared" si="113"/>
        <v>0</v>
      </c>
    </row>
    <row r="803" spans="1:13">
      <c r="A803" s="1394"/>
      <c r="B803" s="701"/>
      <c r="C803" s="165" t="s">
        <v>1093</v>
      </c>
      <c r="D803" s="68" t="s">
        <v>1</v>
      </c>
      <c r="E803" s="277">
        <v>1.05</v>
      </c>
      <c r="F803" s="282">
        <f>F800*E803</f>
        <v>89.25</v>
      </c>
      <c r="G803" s="77"/>
      <c r="H803" s="77">
        <f>F803*G803</f>
        <v>0</v>
      </c>
      <c r="I803" s="77"/>
      <c r="J803" s="77"/>
      <c r="K803" s="77"/>
      <c r="L803" s="77"/>
      <c r="M803" s="1252">
        <f t="shared" si="113"/>
        <v>0</v>
      </c>
    </row>
    <row r="804" spans="1:13">
      <c r="A804" s="1395"/>
      <c r="B804" s="447"/>
      <c r="C804" s="150" t="s">
        <v>19</v>
      </c>
      <c r="D804" s="63" t="s">
        <v>11</v>
      </c>
      <c r="E804" s="277">
        <v>2E-3</v>
      </c>
      <c r="F804" s="282">
        <f>F800*E804</f>
        <v>0.17</v>
      </c>
      <c r="G804" s="77"/>
      <c r="H804" s="77">
        <f>F804*G804</f>
        <v>0</v>
      </c>
      <c r="I804" s="77"/>
      <c r="J804" s="77"/>
      <c r="K804" s="77"/>
      <c r="L804" s="77"/>
      <c r="M804" s="1252">
        <f t="shared" si="113"/>
        <v>0</v>
      </c>
    </row>
    <row r="805" spans="1:13">
      <c r="A805" s="1393" t="s">
        <v>1063</v>
      </c>
      <c r="B805" s="42" t="s">
        <v>107</v>
      </c>
      <c r="C805" s="287" t="s">
        <v>85</v>
      </c>
      <c r="D805" s="43" t="s">
        <v>1</v>
      </c>
      <c r="E805" s="282"/>
      <c r="F805" s="20">
        <v>543.95000000000005</v>
      </c>
      <c r="G805" s="77"/>
      <c r="H805" s="77"/>
      <c r="I805" s="77"/>
      <c r="J805" s="77"/>
      <c r="K805" s="77"/>
      <c r="L805" s="77"/>
      <c r="M805" s="1252"/>
    </row>
    <row r="806" spans="1:13">
      <c r="A806" s="1394"/>
      <c r="B806" s="447"/>
      <c r="C806" s="150" t="s">
        <v>1832</v>
      </c>
      <c r="D806" s="64" t="s">
        <v>1</v>
      </c>
      <c r="E806" s="277">
        <v>1</v>
      </c>
      <c r="F806" s="282">
        <f>F805*E806</f>
        <v>543.95000000000005</v>
      </c>
      <c r="G806" s="77"/>
      <c r="H806" s="77"/>
      <c r="I806" s="77"/>
      <c r="J806" s="77">
        <f>F806*I806</f>
        <v>0</v>
      </c>
      <c r="K806" s="77"/>
      <c r="L806" s="77"/>
      <c r="M806" s="1252">
        <f t="shared" si="113"/>
        <v>0</v>
      </c>
    </row>
    <row r="807" spans="1:13">
      <c r="A807" s="1394"/>
      <c r="B807" s="447"/>
      <c r="C807" s="150" t="s">
        <v>21</v>
      </c>
      <c r="D807" s="63" t="s">
        <v>11</v>
      </c>
      <c r="E807" s="277">
        <v>1.1599999999999999E-2</v>
      </c>
      <c r="F807" s="282">
        <f>F805*E807</f>
        <v>6.3098200000000002</v>
      </c>
      <c r="G807" s="77"/>
      <c r="H807" s="77"/>
      <c r="I807" s="77"/>
      <c r="J807" s="77"/>
      <c r="K807" s="77"/>
      <c r="L807" s="77">
        <f>F807*K807</f>
        <v>0</v>
      </c>
      <c r="M807" s="1252">
        <f t="shared" si="113"/>
        <v>0</v>
      </c>
    </row>
    <row r="808" spans="1:13">
      <c r="A808" s="1394"/>
      <c r="B808" s="447"/>
      <c r="C808" s="150" t="s">
        <v>1831</v>
      </c>
      <c r="D808" s="63" t="s">
        <v>5</v>
      </c>
      <c r="E808" s="277">
        <v>0.157</v>
      </c>
      <c r="F808" s="282">
        <f>F805*E808</f>
        <v>85.400150000000011</v>
      </c>
      <c r="G808" s="77"/>
      <c r="H808" s="77">
        <f>F808*G808</f>
        <v>0</v>
      </c>
      <c r="I808" s="77"/>
      <c r="J808" s="77"/>
      <c r="K808" s="77"/>
      <c r="L808" s="77"/>
      <c r="M808" s="1252">
        <f t="shared" si="113"/>
        <v>0</v>
      </c>
    </row>
    <row r="809" spans="1:13">
      <c r="A809" s="1395"/>
      <c r="B809" s="447"/>
      <c r="C809" s="148" t="s">
        <v>43</v>
      </c>
      <c r="D809" s="1142" t="s">
        <v>6</v>
      </c>
      <c r="E809" s="277">
        <v>0.5</v>
      </c>
      <c r="F809" s="282">
        <f>F805*E809</f>
        <v>271.97500000000002</v>
      </c>
      <c r="G809" s="77"/>
      <c r="H809" s="77">
        <f>F809*G809</f>
        <v>0</v>
      </c>
      <c r="I809" s="77"/>
      <c r="J809" s="77"/>
      <c r="K809" s="77"/>
      <c r="L809" s="77"/>
      <c r="M809" s="1252">
        <f t="shared" si="113"/>
        <v>0</v>
      </c>
    </row>
    <row r="810" spans="1:13" ht="40.5">
      <c r="A810" s="1393" t="s">
        <v>1067</v>
      </c>
      <c r="B810" s="42" t="s">
        <v>1554</v>
      </c>
      <c r="C810" s="287" t="s">
        <v>1086</v>
      </c>
      <c r="D810" s="43" t="s">
        <v>5</v>
      </c>
      <c r="E810" s="56"/>
      <c r="F810" s="108">
        <v>219.38</v>
      </c>
      <c r="G810" s="77"/>
      <c r="H810" s="77"/>
      <c r="I810" s="77"/>
      <c r="J810" s="77"/>
      <c r="K810" s="77"/>
      <c r="L810" s="77"/>
      <c r="M810" s="1252"/>
    </row>
    <row r="811" spans="1:13">
      <c r="A811" s="1394"/>
      <c r="B811" s="42"/>
      <c r="C811" s="157" t="s">
        <v>1877</v>
      </c>
      <c r="D811" s="203" t="s">
        <v>5</v>
      </c>
      <c r="E811" s="125">
        <f>(261+98.5)*0.01</f>
        <v>3.5950000000000002</v>
      </c>
      <c r="F811" s="45">
        <f>E811*F810</f>
        <v>788.67110000000002</v>
      </c>
      <c r="G811" s="77"/>
      <c r="H811" s="77"/>
      <c r="I811" s="77"/>
      <c r="J811" s="77">
        <f>F811*I811</f>
        <v>0</v>
      </c>
      <c r="K811" s="77"/>
      <c r="L811" s="77"/>
      <c r="M811" s="1252">
        <f t="shared" ref="M811:M816" si="114">H811+J811+L811</f>
        <v>0</v>
      </c>
    </row>
    <row r="812" spans="1:13">
      <c r="A812" s="1394"/>
      <c r="B812" s="42"/>
      <c r="C812" s="150" t="s">
        <v>21</v>
      </c>
      <c r="D812" s="203" t="s">
        <v>11</v>
      </c>
      <c r="E812" s="125">
        <f>(3.5+0.39)*0.01</f>
        <v>3.8900000000000004E-2</v>
      </c>
      <c r="F812" s="45">
        <f>E812*F810</f>
        <v>8.5338820000000002</v>
      </c>
      <c r="G812" s="77"/>
      <c r="H812" s="77"/>
      <c r="I812" s="77"/>
      <c r="J812" s="77"/>
      <c r="K812" s="77"/>
      <c r="L812" s="77">
        <f>F812*K812</f>
        <v>0</v>
      </c>
      <c r="M812" s="1252">
        <f t="shared" si="114"/>
        <v>0</v>
      </c>
    </row>
    <row r="813" spans="1:13">
      <c r="A813" s="1394"/>
      <c r="B813" s="42"/>
      <c r="C813" s="157" t="s">
        <v>110</v>
      </c>
      <c r="D813" s="203" t="s">
        <v>111</v>
      </c>
      <c r="E813" s="125">
        <v>6.6</v>
      </c>
      <c r="F813" s="45">
        <f>E813*F810</f>
        <v>1447.9079999999999</v>
      </c>
      <c r="G813" s="77"/>
      <c r="H813" s="77">
        <f>F813*G813</f>
        <v>0</v>
      </c>
      <c r="I813" s="77"/>
      <c r="J813" s="77"/>
      <c r="K813" s="77"/>
      <c r="L813" s="77"/>
      <c r="M813" s="1252">
        <f t="shared" si="114"/>
        <v>0</v>
      </c>
    </row>
    <row r="814" spans="1:13">
      <c r="A814" s="1394"/>
      <c r="B814" s="42"/>
      <c r="C814" s="157" t="s">
        <v>112</v>
      </c>
      <c r="D814" s="203" t="s">
        <v>113</v>
      </c>
      <c r="E814" s="125">
        <v>0.06</v>
      </c>
      <c r="F814" s="45">
        <f>E814*F810</f>
        <v>13.162799999999999</v>
      </c>
      <c r="G814" s="77"/>
      <c r="H814" s="77">
        <f>F814*G814</f>
        <v>0</v>
      </c>
      <c r="I814" s="77"/>
      <c r="J814" s="77"/>
      <c r="K814" s="77"/>
      <c r="L814" s="77"/>
      <c r="M814" s="1252">
        <f t="shared" si="114"/>
        <v>0</v>
      </c>
    </row>
    <row r="815" spans="1:13">
      <c r="A815" s="1394"/>
      <c r="B815" s="42"/>
      <c r="C815" s="157" t="s">
        <v>1087</v>
      </c>
      <c r="D815" s="203" t="s">
        <v>234</v>
      </c>
      <c r="E815" s="125">
        <v>1.05</v>
      </c>
      <c r="F815" s="45">
        <f>E815*F810</f>
        <v>230.34900000000002</v>
      </c>
      <c r="G815" s="77"/>
      <c r="H815" s="77">
        <f>F815*G815</f>
        <v>0</v>
      </c>
      <c r="I815" s="77"/>
      <c r="J815" s="77"/>
      <c r="K815" s="77"/>
      <c r="L815" s="77"/>
      <c r="M815" s="1252">
        <f t="shared" si="114"/>
        <v>0</v>
      </c>
    </row>
    <row r="816" spans="1:13">
      <c r="A816" s="1395"/>
      <c r="B816" s="42"/>
      <c r="C816" s="157" t="s">
        <v>115</v>
      </c>
      <c r="D816" s="203" t="s">
        <v>11</v>
      </c>
      <c r="E816" s="125">
        <f>(38.9+1.6)*0.01</f>
        <v>0.40500000000000003</v>
      </c>
      <c r="F816" s="45">
        <f>E816*F810</f>
        <v>88.8489</v>
      </c>
      <c r="G816" s="77"/>
      <c r="H816" s="77">
        <f>F816*G816</f>
        <v>0</v>
      </c>
      <c r="I816" s="77"/>
      <c r="J816" s="77"/>
      <c r="K816" s="77"/>
      <c r="L816" s="77"/>
      <c r="M816" s="1252">
        <f t="shared" si="114"/>
        <v>0</v>
      </c>
    </row>
    <row r="817" spans="1:13" ht="40.5" hidden="1">
      <c r="A817" s="1393" t="s">
        <v>1069</v>
      </c>
      <c r="B817" s="42" t="s">
        <v>1554</v>
      </c>
      <c r="C817" s="287" t="s">
        <v>86</v>
      </c>
      <c r="D817" s="701" t="s">
        <v>5</v>
      </c>
      <c r="E817" s="282"/>
      <c r="F817" s="20">
        <v>0</v>
      </c>
      <c r="G817" s="77"/>
      <c r="H817" s="77"/>
      <c r="I817" s="77"/>
      <c r="J817" s="77"/>
      <c r="K817" s="77"/>
      <c r="L817" s="77"/>
      <c r="M817" s="1252"/>
    </row>
    <row r="818" spans="1:13" hidden="1">
      <c r="A818" s="1394"/>
      <c r="B818" s="42"/>
      <c r="C818" s="157" t="s">
        <v>67</v>
      </c>
      <c r="D818" s="203" t="s">
        <v>109</v>
      </c>
      <c r="E818" s="125">
        <f>(261+98.5)*0.01</f>
        <v>3.5950000000000002</v>
      </c>
      <c r="F818" s="45">
        <f>E818*F817</f>
        <v>0</v>
      </c>
      <c r="G818" s="77"/>
      <c r="H818" s="77"/>
      <c r="I818" s="77">
        <v>6</v>
      </c>
      <c r="J818" s="77">
        <f>F818*I818</f>
        <v>0</v>
      </c>
      <c r="K818" s="77"/>
      <c r="L818" s="77"/>
      <c r="M818" s="1252">
        <f t="shared" ref="M818:M823" si="115">H818+J818+L818</f>
        <v>0</v>
      </c>
    </row>
    <row r="819" spans="1:13" hidden="1">
      <c r="A819" s="1394"/>
      <c r="B819" s="42"/>
      <c r="C819" s="150" t="s">
        <v>21</v>
      </c>
      <c r="D819" s="203" t="s">
        <v>11</v>
      </c>
      <c r="E819" s="125">
        <f>(3.5+0.39)*0.01</f>
        <v>3.8900000000000004E-2</v>
      </c>
      <c r="F819" s="45">
        <f>E819*F817</f>
        <v>0</v>
      </c>
      <c r="G819" s="77"/>
      <c r="H819" s="77"/>
      <c r="I819" s="77"/>
      <c r="J819" s="77"/>
      <c r="K819" s="77">
        <v>4</v>
      </c>
      <c r="L819" s="77">
        <f>F819*K819</f>
        <v>0</v>
      </c>
      <c r="M819" s="1252">
        <f t="shared" si="115"/>
        <v>0</v>
      </c>
    </row>
    <row r="820" spans="1:13" hidden="1">
      <c r="A820" s="1394"/>
      <c r="B820" s="42"/>
      <c r="C820" s="157" t="s">
        <v>110</v>
      </c>
      <c r="D820" s="203" t="s">
        <v>111</v>
      </c>
      <c r="E820" s="125">
        <v>6.6</v>
      </c>
      <c r="F820" s="45">
        <f>E820*F817</f>
        <v>0</v>
      </c>
      <c r="G820" s="77">
        <v>2.5</v>
      </c>
      <c r="H820" s="77">
        <f>F820*G820</f>
        <v>0</v>
      </c>
      <c r="I820" s="77"/>
      <c r="J820" s="77"/>
      <c r="K820" s="77"/>
      <c r="L820" s="77"/>
      <c r="M820" s="1252">
        <f t="shared" si="115"/>
        <v>0</v>
      </c>
    </row>
    <row r="821" spans="1:13" hidden="1">
      <c r="A821" s="1394"/>
      <c r="B821" s="42"/>
      <c r="C821" s="157" t="s">
        <v>112</v>
      </c>
      <c r="D821" s="203" t="s">
        <v>113</v>
      </c>
      <c r="E821" s="125">
        <v>0.06</v>
      </c>
      <c r="F821" s="45">
        <f>E821*F817</f>
        <v>0</v>
      </c>
      <c r="G821" s="77">
        <v>4.0999999999999996</v>
      </c>
      <c r="H821" s="77">
        <f>F821*G821</f>
        <v>0</v>
      </c>
      <c r="I821" s="77"/>
      <c r="J821" s="77"/>
      <c r="K821" s="77"/>
      <c r="L821" s="77"/>
      <c r="M821" s="1252">
        <f t="shared" si="115"/>
        <v>0</v>
      </c>
    </row>
    <row r="822" spans="1:13" hidden="1">
      <c r="A822" s="1394"/>
      <c r="B822" s="42"/>
      <c r="C822" s="157" t="s">
        <v>114</v>
      </c>
      <c r="D822" s="203" t="s">
        <v>234</v>
      </c>
      <c r="E822" s="125">
        <v>1.03</v>
      </c>
      <c r="F822" s="45">
        <f>E822*F817</f>
        <v>0</v>
      </c>
      <c r="G822" s="77">
        <v>7.5</v>
      </c>
      <c r="H822" s="77">
        <f>F822*G822</f>
        <v>0</v>
      </c>
      <c r="I822" s="77"/>
      <c r="J822" s="77"/>
      <c r="K822" s="77"/>
      <c r="L822" s="77"/>
      <c r="M822" s="1252">
        <f t="shared" si="115"/>
        <v>0</v>
      </c>
    </row>
    <row r="823" spans="1:13" hidden="1">
      <c r="A823" s="1395"/>
      <c r="B823" s="42"/>
      <c r="C823" s="157" t="s">
        <v>115</v>
      </c>
      <c r="D823" s="203" t="s">
        <v>11</v>
      </c>
      <c r="E823" s="125">
        <f>(38.9+1.6)*0.01</f>
        <v>0.40500000000000003</v>
      </c>
      <c r="F823" s="45">
        <f>E823*F817</f>
        <v>0</v>
      </c>
      <c r="G823" s="77">
        <v>4</v>
      </c>
      <c r="H823" s="77">
        <f>F823*G823</f>
        <v>0</v>
      </c>
      <c r="I823" s="77"/>
      <c r="J823" s="77"/>
      <c r="K823" s="77"/>
      <c r="L823" s="77"/>
      <c r="M823" s="1252">
        <f t="shared" si="115"/>
        <v>0</v>
      </c>
    </row>
    <row r="824" spans="1:13" ht="40.5">
      <c r="A824" s="1393" t="s">
        <v>1158</v>
      </c>
      <c r="B824" s="42" t="s">
        <v>1554</v>
      </c>
      <c r="C824" s="287" t="s">
        <v>87</v>
      </c>
      <c r="D824" s="43" t="s">
        <v>5</v>
      </c>
      <c r="E824" s="282"/>
      <c r="F824" s="20">
        <v>117.705</v>
      </c>
      <c r="G824" s="77"/>
      <c r="H824" s="77"/>
      <c r="I824" s="77"/>
      <c r="J824" s="77"/>
      <c r="K824" s="77"/>
      <c r="L824" s="77"/>
      <c r="M824" s="1252"/>
    </row>
    <row r="825" spans="1:13">
      <c r="A825" s="1394"/>
      <c r="B825" s="42"/>
      <c r="C825" s="157" t="s">
        <v>1877</v>
      </c>
      <c r="D825" s="203" t="s">
        <v>5</v>
      </c>
      <c r="E825" s="125">
        <v>1</v>
      </c>
      <c r="F825" s="45">
        <f>E825*F824</f>
        <v>117.705</v>
      </c>
      <c r="G825" s="77"/>
      <c r="H825" s="77"/>
      <c r="I825" s="77"/>
      <c r="J825" s="77">
        <f>F825*I825</f>
        <v>0</v>
      </c>
      <c r="K825" s="77"/>
      <c r="L825" s="77"/>
      <c r="M825" s="1252">
        <f t="shared" ref="M825:M830" si="116">H825+J825+L825</f>
        <v>0</v>
      </c>
    </row>
    <row r="826" spans="1:13">
      <c r="A826" s="1394"/>
      <c r="B826" s="42"/>
      <c r="C826" s="150" t="s">
        <v>21</v>
      </c>
      <c r="D826" s="203" t="s">
        <v>11</v>
      </c>
      <c r="E826" s="125">
        <f>(3.5+0.39)*0.01</f>
        <v>3.8900000000000004E-2</v>
      </c>
      <c r="F826" s="45">
        <f>E826*F824</f>
        <v>4.5787245000000008</v>
      </c>
      <c r="G826" s="77"/>
      <c r="H826" s="77"/>
      <c r="I826" s="77"/>
      <c r="J826" s="77"/>
      <c r="K826" s="77"/>
      <c r="L826" s="77">
        <f>F826*K826</f>
        <v>0</v>
      </c>
      <c r="M826" s="1252">
        <f t="shared" si="116"/>
        <v>0</v>
      </c>
    </row>
    <row r="827" spans="1:13">
      <c r="A827" s="1394"/>
      <c r="B827" s="42"/>
      <c r="C827" s="157" t="s">
        <v>110</v>
      </c>
      <c r="D827" s="203" t="s">
        <v>111</v>
      </c>
      <c r="E827" s="125">
        <v>6.6</v>
      </c>
      <c r="F827" s="45">
        <f>E827*F824</f>
        <v>776.85299999999995</v>
      </c>
      <c r="G827" s="77"/>
      <c r="H827" s="77">
        <f>F827*G827</f>
        <v>0</v>
      </c>
      <c r="I827" s="77"/>
      <c r="J827" s="77"/>
      <c r="K827" s="77"/>
      <c r="L827" s="77"/>
      <c r="M827" s="1252">
        <f t="shared" si="116"/>
        <v>0</v>
      </c>
    </row>
    <row r="828" spans="1:13">
      <c r="A828" s="1394"/>
      <c r="B828" s="42"/>
      <c r="C828" s="157" t="s">
        <v>112</v>
      </c>
      <c r="D828" s="203" t="s">
        <v>113</v>
      </c>
      <c r="E828" s="125">
        <v>0.06</v>
      </c>
      <c r="F828" s="45">
        <f>E828*F824</f>
        <v>7.0622999999999996</v>
      </c>
      <c r="G828" s="77"/>
      <c r="H828" s="77">
        <f>F828*G828</f>
        <v>0</v>
      </c>
      <c r="I828" s="77"/>
      <c r="J828" s="77"/>
      <c r="K828" s="77"/>
      <c r="L828" s="77"/>
      <c r="M828" s="1252">
        <f t="shared" si="116"/>
        <v>0</v>
      </c>
    </row>
    <row r="829" spans="1:13">
      <c r="A829" s="1394"/>
      <c r="B829" s="42"/>
      <c r="C829" s="157" t="s">
        <v>116</v>
      </c>
      <c r="D829" s="203" t="s">
        <v>234</v>
      </c>
      <c r="E829" s="125">
        <v>1.05</v>
      </c>
      <c r="F829" s="45">
        <f>E829*F824</f>
        <v>123.59025</v>
      </c>
      <c r="G829" s="77"/>
      <c r="H829" s="77">
        <f>F829*G829</f>
        <v>0</v>
      </c>
      <c r="I829" s="77"/>
      <c r="J829" s="77"/>
      <c r="K829" s="77"/>
      <c r="L829" s="77"/>
      <c r="M829" s="1252">
        <f t="shared" si="116"/>
        <v>0</v>
      </c>
    </row>
    <row r="830" spans="1:13">
      <c r="A830" s="1395"/>
      <c r="B830" s="42"/>
      <c r="C830" s="157" t="s">
        <v>115</v>
      </c>
      <c r="D830" s="203" t="s">
        <v>11</v>
      </c>
      <c r="E830" s="125">
        <f>(38.9+1.6)*0.01</f>
        <v>0.40500000000000003</v>
      </c>
      <c r="F830" s="45">
        <f>E830*F824</f>
        <v>47.670525000000005</v>
      </c>
      <c r="G830" s="77"/>
      <c r="H830" s="77">
        <f>F830*G830</f>
        <v>0</v>
      </c>
      <c r="I830" s="77"/>
      <c r="J830" s="77"/>
      <c r="K830" s="77"/>
      <c r="L830" s="77"/>
      <c r="M830" s="1252">
        <f t="shared" si="116"/>
        <v>0</v>
      </c>
    </row>
    <row r="831" spans="1:13" ht="40.5" hidden="1">
      <c r="A831" s="1393" t="s">
        <v>1159</v>
      </c>
      <c r="B831" s="42" t="s">
        <v>1554</v>
      </c>
      <c r="C831" s="287" t="s">
        <v>145</v>
      </c>
      <c r="D831" s="701" t="s">
        <v>5</v>
      </c>
      <c r="E831" s="282"/>
      <c r="F831" s="20">
        <v>0</v>
      </c>
      <c r="G831" s="77"/>
      <c r="H831" s="77"/>
      <c r="I831" s="77"/>
      <c r="J831" s="77"/>
      <c r="K831" s="77"/>
      <c r="L831" s="77"/>
      <c r="M831" s="1252"/>
    </row>
    <row r="832" spans="1:13" hidden="1">
      <c r="A832" s="1394"/>
      <c r="B832" s="42"/>
      <c r="C832" s="157" t="s">
        <v>67</v>
      </c>
      <c r="D832" s="203" t="s">
        <v>109</v>
      </c>
      <c r="E832" s="125">
        <f>(261+98.5)*0.01</f>
        <v>3.5950000000000002</v>
      </c>
      <c r="F832" s="45">
        <f>E832*F831</f>
        <v>0</v>
      </c>
      <c r="G832" s="77"/>
      <c r="H832" s="77"/>
      <c r="I832" s="77">
        <v>6</v>
      </c>
      <c r="J832" s="77">
        <f>F832*I832</f>
        <v>0</v>
      </c>
      <c r="K832" s="77"/>
      <c r="L832" s="77"/>
      <c r="M832" s="1252">
        <f t="shared" ref="M832:M837" si="117">H832+J832+L832</f>
        <v>0</v>
      </c>
    </row>
    <row r="833" spans="1:13" hidden="1">
      <c r="A833" s="1394"/>
      <c r="B833" s="42"/>
      <c r="C833" s="150" t="s">
        <v>21</v>
      </c>
      <c r="D833" s="203" t="s">
        <v>11</v>
      </c>
      <c r="E833" s="125">
        <f>(3.5+0.39)*0.01</f>
        <v>3.8900000000000004E-2</v>
      </c>
      <c r="F833" s="45">
        <f>E833*F831</f>
        <v>0</v>
      </c>
      <c r="G833" s="77"/>
      <c r="H833" s="77"/>
      <c r="I833" s="77"/>
      <c r="J833" s="77"/>
      <c r="K833" s="77">
        <v>4</v>
      </c>
      <c r="L833" s="77">
        <f>F833*K833</f>
        <v>0</v>
      </c>
      <c r="M833" s="1252">
        <f t="shared" si="117"/>
        <v>0</v>
      </c>
    </row>
    <row r="834" spans="1:13" hidden="1">
      <c r="A834" s="1394"/>
      <c r="B834" s="42"/>
      <c r="C834" s="157" t="s">
        <v>110</v>
      </c>
      <c r="D834" s="203" t="s">
        <v>111</v>
      </c>
      <c r="E834" s="125">
        <v>6.6</v>
      </c>
      <c r="F834" s="45">
        <f>E834*F831</f>
        <v>0</v>
      </c>
      <c r="G834" s="77">
        <v>2.5</v>
      </c>
      <c r="H834" s="77">
        <f>F834*G834</f>
        <v>0</v>
      </c>
      <c r="I834" s="77"/>
      <c r="J834" s="77"/>
      <c r="K834" s="77"/>
      <c r="L834" s="77"/>
      <c r="M834" s="1252">
        <f t="shared" si="117"/>
        <v>0</v>
      </c>
    </row>
    <row r="835" spans="1:13" hidden="1">
      <c r="A835" s="1394"/>
      <c r="B835" s="42"/>
      <c r="C835" s="157" t="s">
        <v>112</v>
      </c>
      <c r="D835" s="203" t="s">
        <v>113</v>
      </c>
      <c r="E835" s="125">
        <v>0.06</v>
      </c>
      <c r="F835" s="45">
        <f>E835*F831</f>
        <v>0</v>
      </c>
      <c r="G835" s="77">
        <v>4.0999999999999996</v>
      </c>
      <c r="H835" s="77">
        <f>F835*G835</f>
        <v>0</v>
      </c>
      <c r="I835" s="77"/>
      <c r="J835" s="77"/>
      <c r="K835" s="77"/>
      <c r="L835" s="77"/>
      <c r="M835" s="1252">
        <f t="shared" si="117"/>
        <v>0</v>
      </c>
    </row>
    <row r="836" spans="1:13" hidden="1">
      <c r="A836" s="1394"/>
      <c r="B836" s="42"/>
      <c r="C836" s="157" t="s">
        <v>1555</v>
      </c>
      <c r="D836" s="203" t="s">
        <v>234</v>
      </c>
      <c r="E836" s="125">
        <v>1.03</v>
      </c>
      <c r="F836" s="45">
        <f>E836*F831</f>
        <v>0</v>
      </c>
      <c r="G836" s="77">
        <v>7.5</v>
      </c>
      <c r="H836" s="77">
        <f>F836*G836</f>
        <v>0</v>
      </c>
      <c r="I836" s="77"/>
      <c r="J836" s="77"/>
      <c r="K836" s="77"/>
      <c r="L836" s="77"/>
      <c r="M836" s="1252">
        <f t="shared" si="117"/>
        <v>0</v>
      </c>
    </row>
    <row r="837" spans="1:13" hidden="1">
      <c r="A837" s="1395"/>
      <c r="B837" s="42"/>
      <c r="C837" s="157" t="s">
        <v>115</v>
      </c>
      <c r="D837" s="203" t="s">
        <v>11</v>
      </c>
      <c r="E837" s="125">
        <f>(38.9+1.6)*0.01</f>
        <v>0.40500000000000003</v>
      </c>
      <c r="F837" s="45">
        <f>E837*F831</f>
        <v>0</v>
      </c>
      <c r="G837" s="77">
        <v>4</v>
      </c>
      <c r="H837" s="77">
        <f>F837*G837</f>
        <v>0</v>
      </c>
      <c r="I837" s="77"/>
      <c r="J837" s="77"/>
      <c r="K837" s="77"/>
      <c r="L837" s="77"/>
      <c r="M837" s="1252">
        <f t="shared" si="117"/>
        <v>0</v>
      </c>
    </row>
    <row r="838" spans="1:13" ht="40.5">
      <c r="A838" s="1393" t="s">
        <v>1160</v>
      </c>
      <c r="B838" s="42" t="s">
        <v>1554</v>
      </c>
      <c r="C838" s="287" t="s">
        <v>1088</v>
      </c>
      <c r="D838" s="43" t="s">
        <v>5</v>
      </c>
      <c r="E838" s="56"/>
      <c r="F838" s="108">
        <v>260.82499999999999</v>
      </c>
      <c r="G838" s="77"/>
      <c r="H838" s="77"/>
      <c r="I838" s="77"/>
      <c r="J838" s="77"/>
      <c r="K838" s="77"/>
      <c r="L838" s="77"/>
      <c r="M838" s="1252"/>
    </row>
    <row r="839" spans="1:13">
      <c r="A839" s="1394"/>
      <c r="B839" s="42"/>
      <c r="C839" s="157" t="s">
        <v>1877</v>
      </c>
      <c r="D839" s="203" t="s">
        <v>5</v>
      </c>
      <c r="E839" s="125">
        <v>1</v>
      </c>
      <c r="F839" s="45">
        <f>E839*F838</f>
        <v>260.82499999999999</v>
      </c>
      <c r="G839" s="77"/>
      <c r="H839" s="77"/>
      <c r="I839" s="77"/>
      <c r="J839" s="77">
        <f>F839*I839</f>
        <v>0</v>
      </c>
      <c r="K839" s="77"/>
      <c r="L839" s="77"/>
      <c r="M839" s="1252">
        <f t="shared" ref="M839:M844" si="118">H839+J839+L839</f>
        <v>0</v>
      </c>
    </row>
    <row r="840" spans="1:13">
      <c r="A840" s="1394"/>
      <c r="B840" s="42"/>
      <c r="C840" s="150" t="s">
        <v>21</v>
      </c>
      <c r="D840" s="203" t="s">
        <v>11</v>
      </c>
      <c r="E840" s="125">
        <f>(3.5+0.39)*0.01</f>
        <v>3.8900000000000004E-2</v>
      </c>
      <c r="F840" s="45">
        <f>E840*F838</f>
        <v>10.1460925</v>
      </c>
      <c r="G840" s="77"/>
      <c r="H840" s="77"/>
      <c r="I840" s="77"/>
      <c r="J840" s="77"/>
      <c r="K840" s="77"/>
      <c r="L840" s="77">
        <f>F840*K840</f>
        <v>0</v>
      </c>
      <c r="M840" s="1252">
        <f t="shared" si="118"/>
        <v>0</v>
      </c>
    </row>
    <row r="841" spans="1:13">
      <c r="A841" s="1394"/>
      <c r="B841" s="42"/>
      <c r="C841" s="157" t="s">
        <v>110</v>
      </c>
      <c r="D841" s="203" t="s">
        <v>111</v>
      </c>
      <c r="E841" s="125">
        <v>6.6</v>
      </c>
      <c r="F841" s="45">
        <f>E841*F838</f>
        <v>1721.4449999999999</v>
      </c>
      <c r="G841" s="77"/>
      <c r="H841" s="77">
        <f>F841*G841</f>
        <v>0</v>
      </c>
      <c r="I841" s="77"/>
      <c r="J841" s="77"/>
      <c r="K841" s="77"/>
      <c r="L841" s="77"/>
      <c r="M841" s="1252">
        <f t="shared" si="118"/>
        <v>0</v>
      </c>
    </row>
    <row r="842" spans="1:13">
      <c r="A842" s="1394"/>
      <c r="B842" s="42"/>
      <c r="C842" s="157" t="s">
        <v>112</v>
      </c>
      <c r="D842" s="203" t="s">
        <v>113</v>
      </c>
      <c r="E842" s="125">
        <v>0.06</v>
      </c>
      <c r="F842" s="45">
        <f>E842*F838</f>
        <v>15.649499999999998</v>
      </c>
      <c r="G842" s="77"/>
      <c r="H842" s="77">
        <f>F842*G842</f>
        <v>0</v>
      </c>
      <c r="I842" s="77"/>
      <c r="J842" s="77"/>
      <c r="K842" s="77"/>
      <c r="L842" s="77"/>
      <c r="M842" s="1252">
        <f t="shared" si="118"/>
        <v>0</v>
      </c>
    </row>
    <row r="843" spans="1:13">
      <c r="A843" s="1394"/>
      <c r="B843" s="42"/>
      <c r="C843" s="157" t="s">
        <v>1089</v>
      </c>
      <c r="D843" s="203" t="s">
        <v>234</v>
      </c>
      <c r="E843" s="125">
        <v>1.05</v>
      </c>
      <c r="F843" s="45">
        <f>E843*F838</f>
        <v>273.86624999999998</v>
      </c>
      <c r="G843" s="77"/>
      <c r="H843" s="77">
        <f>F843*G843</f>
        <v>0</v>
      </c>
      <c r="I843" s="77"/>
      <c r="J843" s="77"/>
      <c r="K843" s="77"/>
      <c r="L843" s="77"/>
      <c r="M843" s="1252">
        <f t="shared" si="118"/>
        <v>0</v>
      </c>
    </row>
    <row r="844" spans="1:13">
      <c r="A844" s="1395"/>
      <c r="B844" s="42"/>
      <c r="C844" s="157" t="s">
        <v>115</v>
      </c>
      <c r="D844" s="203" t="s">
        <v>11</v>
      </c>
      <c r="E844" s="125">
        <f>(38.9+1.6)*0.01</f>
        <v>0.40500000000000003</v>
      </c>
      <c r="F844" s="45">
        <f>E844*F838</f>
        <v>105.634125</v>
      </c>
      <c r="G844" s="77"/>
      <c r="H844" s="77">
        <f>F844*G844</f>
        <v>0</v>
      </c>
      <c r="I844" s="77"/>
      <c r="J844" s="77"/>
      <c r="K844" s="77"/>
      <c r="L844" s="77"/>
      <c r="M844" s="1252">
        <f t="shared" si="118"/>
        <v>0</v>
      </c>
    </row>
    <row r="845" spans="1:13" ht="31.5">
      <c r="A845" s="1393" t="s">
        <v>1161</v>
      </c>
      <c r="B845" s="703" t="s">
        <v>41</v>
      </c>
      <c r="C845" s="287" t="s">
        <v>1085</v>
      </c>
      <c r="D845" s="43" t="s">
        <v>5</v>
      </c>
      <c r="E845" s="282"/>
      <c r="F845" s="20">
        <f>F810</f>
        <v>219.38</v>
      </c>
      <c r="G845" s="77"/>
      <c r="H845" s="77"/>
      <c r="I845" s="77"/>
      <c r="J845" s="77"/>
      <c r="K845" s="77"/>
      <c r="L845" s="77"/>
      <c r="M845" s="1252"/>
    </row>
    <row r="846" spans="1:13">
      <c r="A846" s="1394"/>
      <c r="B846" s="701"/>
      <c r="C846" s="165" t="s">
        <v>1833</v>
      </c>
      <c r="D846" s="701" t="s">
        <v>5</v>
      </c>
      <c r="E846" s="282">
        <v>1</v>
      </c>
      <c r="F846" s="282">
        <f>F845*E846</f>
        <v>219.38</v>
      </c>
      <c r="G846" s="77"/>
      <c r="H846" s="77"/>
      <c r="I846" s="77"/>
      <c r="J846" s="77">
        <f>F846*I846</f>
        <v>0</v>
      </c>
      <c r="K846" s="77"/>
      <c r="L846" s="77"/>
      <c r="M846" s="1252">
        <f t="shared" si="113"/>
        <v>0</v>
      </c>
    </row>
    <row r="847" spans="1:13">
      <c r="A847" s="1394"/>
      <c r="B847" s="701"/>
      <c r="C847" s="165" t="s">
        <v>14</v>
      </c>
      <c r="D847" s="701" t="s">
        <v>16</v>
      </c>
      <c r="E847" s="282">
        <v>1.2E-2</v>
      </c>
      <c r="F847" s="282">
        <f>F845*E847</f>
        <v>2.6325599999999998</v>
      </c>
      <c r="G847" s="77"/>
      <c r="H847" s="77"/>
      <c r="I847" s="77"/>
      <c r="J847" s="77"/>
      <c r="K847" s="77"/>
      <c r="L847" s="77">
        <f>F847*K847</f>
        <v>0</v>
      </c>
      <c r="M847" s="1252">
        <f t="shared" ref="M847:M930" si="119">H847+J847+L847</f>
        <v>0</v>
      </c>
    </row>
    <row r="848" spans="1:13">
      <c r="A848" s="1394"/>
      <c r="B848" s="701"/>
      <c r="C848" s="165" t="s">
        <v>146</v>
      </c>
      <c r="D848" s="701" t="s">
        <v>6</v>
      </c>
      <c r="E848" s="282">
        <v>0.37</v>
      </c>
      <c r="F848" s="282">
        <f>F845*E848</f>
        <v>81.170599999999993</v>
      </c>
      <c r="G848" s="77"/>
      <c r="H848" s="77">
        <f>F848*G848</f>
        <v>0</v>
      </c>
      <c r="I848" s="77"/>
      <c r="J848" s="77"/>
      <c r="K848" s="77"/>
      <c r="L848" s="77"/>
      <c r="M848" s="1252">
        <f t="shared" si="119"/>
        <v>0</v>
      </c>
    </row>
    <row r="849" spans="1:13">
      <c r="A849" s="1394"/>
      <c r="B849" s="701"/>
      <c r="C849" s="165" t="s">
        <v>8</v>
      </c>
      <c r="D849" s="701" t="s">
        <v>5</v>
      </c>
      <c r="E849" s="282">
        <v>0.05</v>
      </c>
      <c r="F849" s="282">
        <f>F845*E849</f>
        <v>10.969000000000001</v>
      </c>
      <c r="G849" s="77"/>
      <c r="H849" s="77">
        <f>F849*G849</f>
        <v>0</v>
      </c>
      <c r="I849" s="77"/>
      <c r="J849" s="77"/>
      <c r="K849" s="77"/>
      <c r="L849" s="77"/>
      <c r="M849" s="1252">
        <f t="shared" si="119"/>
        <v>0</v>
      </c>
    </row>
    <row r="850" spans="1:13">
      <c r="A850" s="1394"/>
      <c r="B850" s="447"/>
      <c r="C850" s="148" t="s">
        <v>31</v>
      </c>
      <c r="D850" s="447" t="s">
        <v>6</v>
      </c>
      <c r="E850" s="1235">
        <v>0.63</v>
      </c>
      <c r="F850" s="282">
        <f>F845*E850</f>
        <v>138.20939999999999</v>
      </c>
      <c r="G850" s="77"/>
      <c r="H850" s="77">
        <f>F850*G850</f>
        <v>0</v>
      </c>
      <c r="I850" s="77"/>
      <c r="J850" s="77"/>
      <c r="K850" s="77"/>
      <c r="L850" s="77"/>
      <c r="M850" s="1252">
        <f t="shared" si="119"/>
        <v>0</v>
      </c>
    </row>
    <row r="851" spans="1:13">
      <c r="A851" s="1395"/>
      <c r="B851" s="701"/>
      <c r="C851" s="165" t="s">
        <v>26</v>
      </c>
      <c r="D851" s="701" t="s">
        <v>11</v>
      </c>
      <c r="E851" s="282">
        <v>1.6E-2</v>
      </c>
      <c r="F851" s="282">
        <f>F845*E851</f>
        <v>3.5100799999999999</v>
      </c>
      <c r="G851" s="77"/>
      <c r="H851" s="77">
        <f>F851*G851</f>
        <v>0</v>
      </c>
      <c r="I851" s="77"/>
      <c r="J851" s="77"/>
      <c r="K851" s="77"/>
      <c r="L851" s="77"/>
      <c r="M851" s="1252">
        <f t="shared" si="119"/>
        <v>0</v>
      </c>
    </row>
    <row r="852" spans="1:13" ht="40.5">
      <c r="A852" s="1393" t="s">
        <v>1162</v>
      </c>
      <c r="B852" s="42" t="s">
        <v>1882</v>
      </c>
      <c r="C852" s="287" t="s">
        <v>1552</v>
      </c>
      <c r="D852" s="43" t="s">
        <v>5</v>
      </c>
      <c r="E852" s="56"/>
      <c r="F852" s="108">
        <v>428.65</v>
      </c>
      <c r="G852" s="77"/>
      <c r="H852" s="77"/>
      <c r="I852" s="77"/>
      <c r="J852" s="77"/>
      <c r="K852" s="77"/>
      <c r="L852" s="77"/>
      <c r="M852" s="1252"/>
    </row>
    <row r="853" spans="1:13">
      <c r="A853" s="1394"/>
      <c r="B853" s="42"/>
      <c r="C853" s="157" t="s">
        <v>1883</v>
      </c>
      <c r="D853" s="203" t="s">
        <v>5</v>
      </c>
      <c r="E853" s="125">
        <v>1</v>
      </c>
      <c r="F853" s="45">
        <f>E853*F852</f>
        <v>428.65</v>
      </c>
      <c r="G853" s="77"/>
      <c r="H853" s="77"/>
      <c r="I853" s="77"/>
      <c r="J853" s="77">
        <f>F853*I853</f>
        <v>0</v>
      </c>
      <c r="K853" s="77"/>
      <c r="L853" s="77"/>
      <c r="M853" s="1252">
        <f t="shared" ref="M853:M858" si="120">H853+J853+L853</f>
        <v>0</v>
      </c>
    </row>
    <row r="854" spans="1:13">
      <c r="A854" s="1394"/>
      <c r="B854" s="42"/>
      <c r="C854" s="150" t="s">
        <v>21</v>
      </c>
      <c r="D854" s="203" t="s">
        <v>11</v>
      </c>
      <c r="E854" s="125">
        <f>(2.44+0.39)*0.01</f>
        <v>2.8300000000000002E-2</v>
      </c>
      <c r="F854" s="45">
        <f>E854*F852</f>
        <v>12.130795000000001</v>
      </c>
      <c r="G854" s="77"/>
      <c r="H854" s="77"/>
      <c r="I854" s="77"/>
      <c r="J854" s="77"/>
      <c r="K854" s="77"/>
      <c r="L854" s="77">
        <f>F854*K854</f>
        <v>0</v>
      </c>
      <c r="M854" s="1252">
        <f t="shared" si="120"/>
        <v>0</v>
      </c>
    </row>
    <row r="855" spans="1:13">
      <c r="A855" s="1394"/>
      <c r="B855" s="42"/>
      <c r="C855" s="157" t="s">
        <v>110</v>
      </c>
      <c r="D855" s="203" t="s">
        <v>111</v>
      </c>
      <c r="E855" s="125">
        <v>6.6</v>
      </c>
      <c r="F855" s="45">
        <f>E855*F852</f>
        <v>2829.0899999999997</v>
      </c>
      <c r="G855" s="77"/>
      <c r="H855" s="77">
        <f>F855*G855</f>
        <v>0</v>
      </c>
      <c r="I855" s="77"/>
      <c r="J855" s="77"/>
      <c r="K855" s="77"/>
      <c r="L855" s="77"/>
      <c r="M855" s="1252">
        <f t="shared" si="120"/>
        <v>0</v>
      </c>
    </row>
    <row r="856" spans="1:13">
      <c r="A856" s="1394"/>
      <c r="B856" s="42"/>
      <c r="C856" s="157" t="s">
        <v>112</v>
      </c>
      <c r="D856" s="203" t="s">
        <v>113</v>
      </c>
      <c r="E856" s="125">
        <v>0.06</v>
      </c>
      <c r="F856" s="45">
        <f>E856*F852</f>
        <v>25.718999999999998</v>
      </c>
      <c r="G856" s="77"/>
      <c r="H856" s="77">
        <f>F856*G856</f>
        <v>0</v>
      </c>
      <c r="I856" s="77"/>
      <c r="J856" s="77"/>
      <c r="K856" s="77"/>
      <c r="L856" s="77"/>
      <c r="M856" s="1252">
        <f t="shared" si="120"/>
        <v>0</v>
      </c>
    </row>
    <row r="857" spans="1:13">
      <c r="A857" s="1394"/>
      <c r="B857" s="42"/>
      <c r="C857" s="157" t="s">
        <v>1087</v>
      </c>
      <c r="D857" s="203" t="s">
        <v>234</v>
      </c>
      <c r="E857" s="125">
        <v>1.05</v>
      </c>
      <c r="F857" s="45">
        <f>E857*F852</f>
        <v>450.08249999999998</v>
      </c>
      <c r="G857" s="77"/>
      <c r="H857" s="77">
        <f>F857*G857</f>
        <v>0</v>
      </c>
      <c r="I857" s="77"/>
      <c r="J857" s="77"/>
      <c r="K857" s="77"/>
      <c r="L857" s="77"/>
      <c r="M857" s="1252">
        <f t="shared" si="120"/>
        <v>0</v>
      </c>
    </row>
    <row r="858" spans="1:13">
      <c r="A858" s="1395"/>
      <c r="B858" s="42"/>
      <c r="C858" s="157" t="s">
        <v>115</v>
      </c>
      <c r="D858" s="203" t="s">
        <v>11</v>
      </c>
      <c r="E858" s="125">
        <f>(12.8+1.6)*0.01</f>
        <v>0.14400000000000002</v>
      </c>
      <c r="F858" s="45">
        <f>E858*F852</f>
        <v>61.725600000000007</v>
      </c>
      <c r="G858" s="77"/>
      <c r="H858" s="77">
        <f>F858*G858</f>
        <v>0</v>
      </c>
      <c r="I858" s="77"/>
      <c r="J858" s="77"/>
      <c r="K858" s="77"/>
      <c r="L858" s="77"/>
      <c r="M858" s="1252">
        <f t="shared" si="120"/>
        <v>0</v>
      </c>
    </row>
    <row r="859" spans="1:13" ht="31.5">
      <c r="A859" s="1390" t="s">
        <v>1163</v>
      </c>
      <c r="B859" s="42" t="s">
        <v>752</v>
      </c>
      <c r="C859" s="275" t="s">
        <v>468</v>
      </c>
      <c r="D859" s="40" t="s">
        <v>1</v>
      </c>
      <c r="E859" s="58"/>
      <c r="F859" s="79">
        <v>1240.0999999999999</v>
      </c>
      <c r="G859" s="77"/>
      <c r="H859" s="77"/>
      <c r="I859" s="77"/>
      <c r="J859" s="77"/>
      <c r="K859" s="77"/>
      <c r="L859" s="77"/>
      <c r="M859" s="1252"/>
    </row>
    <row r="860" spans="1:13">
      <c r="A860" s="1391"/>
      <c r="B860" s="447"/>
      <c r="C860" s="150" t="s">
        <v>1794</v>
      </c>
      <c r="D860" s="64" t="s">
        <v>1</v>
      </c>
      <c r="E860" s="277">
        <v>1</v>
      </c>
      <c r="F860" s="282">
        <f>F859*E860</f>
        <v>1240.0999999999999</v>
      </c>
      <c r="G860" s="77"/>
      <c r="H860" s="77"/>
      <c r="I860" s="77"/>
      <c r="J860" s="77">
        <f>F860*I860</f>
        <v>0</v>
      </c>
      <c r="K860" s="77"/>
      <c r="L860" s="77"/>
      <c r="M860" s="1252">
        <f t="shared" si="119"/>
        <v>0</v>
      </c>
    </row>
    <row r="861" spans="1:13">
      <c r="A861" s="1391"/>
      <c r="B861" s="447"/>
      <c r="C861" s="150" t="s">
        <v>21</v>
      </c>
      <c r="D861" s="63" t="s">
        <v>11</v>
      </c>
      <c r="E861" s="277">
        <v>2E-3</v>
      </c>
      <c r="F861" s="282">
        <f>F859*E861</f>
        <v>2.4802</v>
      </c>
      <c r="G861" s="77"/>
      <c r="H861" s="77"/>
      <c r="I861" s="77"/>
      <c r="J861" s="77"/>
      <c r="K861" s="77"/>
      <c r="L861" s="77">
        <f>F861*K861</f>
        <v>0</v>
      </c>
      <c r="M861" s="1252">
        <f t="shared" si="119"/>
        <v>0</v>
      </c>
    </row>
    <row r="862" spans="1:13">
      <c r="A862" s="1391"/>
      <c r="B862" s="24"/>
      <c r="C862" s="162" t="s">
        <v>313</v>
      </c>
      <c r="D862" s="24" t="str">
        <f>D859</f>
        <v>g/m</v>
      </c>
      <c r="E862" s="84">
        <v>1.05</v>
      </c>
      <c r="F862" s="282">
        <f>F859*E862</f>
        <v>1302.105</v>
      </c>
      <c r="G862" s="77"/>
      <c r="H862" s="77">
        <f>F862*G862</f>
        <v>0</v>
      </c>
      <c r="I862" s="77"/>
      <c r="J862" s="77"/>
      <c r="K862" s="77"/>
      <c r="L862" s="77"/>
      <c r="M862" s="1252">
        <f>H862+J862+L862</f>
        <v>0</v>
      </c>
    </row>
    <row r="863" spans="1:13">
      <c r="A863" s="1392"/>
      <c r="B863" s="447"/>
      <c r="C863" s="150" t="s">
        <v>19</v>
      </c>
      <c r="D863" s="63" t="s">
        <v>11</v>
      </c>
      <c r="E863" s="277">
        <v>2E-3</v>
      </c>
      <c r="F863" s="282">
        <f>F859*E863</f>
        <v>2.4802</v>
      </c>
      <c r="G863" s="77"/>
      <c r="H863" s="77">
        <f>F863*G863</f>
        <v>0</v>
      </c>
      <c r="I863" s="77"/>
      <c r="J863" s="77"/>
      <c r="K863" s="77"/>
      <c r="L863" s="77"/>
      <c r="M863" s="1252">
        <f>H863+J863+L863</f>
        <v>0</v>
      </c>
    </row>
    <row r="864" spans="1:13" ht="31.5">
      <c r="A864" s="1393" t="s">
        <v>1164</v>
      </c>
      <c r="B864" s="42" t="s">
        <v>32</v>
      </c>
      <c r="C864" s="287" t="s">
        <v>312</v>
      </c>
      <c r="D864" s="42" t="s">
        <v>5</v>
      </c>
      <c r="E864" s="1235"/>
      <c r="F864" s="20">
        <v>1295.4875</v>
      </c>
      <c r="G864" s="77"/>
      <c r="H864" s="77"/>
      <c r="I864" s="77"/>
      <c r="J864" s="77"/>
      <c r="K864" s="77"/>
      <c r="L864" s="77"/>
      <c r="M864" s="1252"/>
    </row>
    <row r="865" spans="1:13">
      <c r="A865" s="1394"/>
      <c r="B865" s="447"/>
      <c r="C865" s="148" t="s">
        <v>1834</v>
      </c>
      <c r="D865" s="447" t="s">
        <v>5</v>
      </c>
      <c r="E865" s="282">
        <v>1</v>
      </c>
      <c r="F865" s="282">
        <f>F864*E865</f>
        <v>1295.4875</v>
      </c>
      <c r="G865" s="77"/>
      <c r="H865" s="77"/>
      <c r="I865" s="77"/>
      <c r="J865" s="77">
        <f>F865*I865</f>
        <v>0</v>
      </c>
      <c r="K865" s="77"/>
      <c r="L865" s="77"/>
      <c r="M865" s="1252">
        <f t="shared" si="119"/>
        <v>0</v>
      </c>
    </row>
    <row r="866" spans="1:13">
      <c r="A866" s="1394"/>
      <c r="B866" s="447"/>
      <c r="C866" s="165" t="s">
        <v>14</v>
      </c>
      <c r="D866" s="701" t="s">
        <v>16</v>
      </c>
      <c r="E866" s="282">
        <v>0.01</v>
      </c>
      <c r="F866" s="282">
        <f>F864*E866</f>
        <v>12.954874999999999</v>
      </c>
      <c r="G866" s="77"/>
      <c r="H866" s="77"/>
      <c r="I866" s="77"/>
      <c r="J866" s="77"/>
      <c r="K866" s="77"/>
      <c r="L866" s="77">
        <f>F866*K866</f>
        <v>0</v>
      </c>
      <c r="M866" s="1252">
        <f t="shared" si="119"/>
        <v>0</v>
      </c>
    </row>
    <row r="867" spans="1:13">
      <c r="A867" s="1394"/>
      <c r="B867" s="447"/>
      <c r="C867" s="148" t="s">
        <v>33</v>
      </c>
      <c r="D867" s="447" t="s">
        <v>6</v>
      </c>
      <c r="E867" s="1235">
        <v>0.79</v>
      </c>
      <c r="F867" s="282">
        <f>F864*E867</f>
        <v>1023.435125</v>
      </c>
      <c r="G867" s="77"/>
      <c r="H867" s="77">
        <f>F867*G867</f>
        <v>0</v>
      </c>
      <c r="I867" s="77"/>
      <c r="J867" s="77"/>
      <c r="K867" s="77"/>
      <c r="L867" s="77"/>
      <c r="M867" s="1252">
        <f t="shared" si="119"/>
        <v>0</v>
      </c>
    </row>
    <row r="868" spans="1:13">
      <c r="A868" s="1394"/>
      <c r="B868" s="447"/>
      <c r="C868" s="148" t="s">
        <v>8</v>
      </c>
      <c r="D868" s="447" t="s">
        <v>5</v>
      </c>
      <c r="E868" s="1235">
        <v>0.05</v>
      </c>
      <c r="F868" s="282">
        <f>F864*E868</f>
        <v>64.774375000000006</v>
      </c>
      <c r="G868" s="77"/>
      <c r="H868" s="77">
        <f>F868*G868</f>
        <v>0</v>
      </c>
      <c r="I868" s="77"/>
      <c r="J868" s="77"/>
      <c r="K868" s="77"/>
      <c r="L868" s="77"/>
      <c r="M868" s="1252">
        <f t="shared" si="119"/>
        <v>0</v>
      </c>
    </row>
    <row r="869" spans="1:13" hidden="1">
      <c r="A869" s="1394"/>
      <c r="B869" s="447"/>
      <c r="C869" s="148" t="s">
        <v>103</v>
      </c>
      <c r="D869" s="447" t="s">
        <v>5</v>
      </c>
      <c r="E869" s="1235">
        <v>1.1499999999999999</v>
      </c>
      <c r="F869" s="282">
        <f>F864*E869</f>
        <v>1489.8106249999998</v>
      </c>
      <c r="G869" s="77"/>
      <c r="H869" s="334"/>
      <c r="I869" s="334"/>
      <c r="J869" s="334"/>
      <c r="K869" s="334"/>
      <c r="L869" s="334"/>
      <c r="M869" s="1266"/>
    </row>
    <row r="870" spans="1:13">
      <c r="A870" s="1394"/>
      <c r="B870" s="447"/>
      <c r="C870" s="148" t="s">
        <v>31</v>
      </c>
      <c r="D870" s="447" t="s">
        <v>6</v>
      </c>
      <c r="E870" s="1235">
        <v>0.63</v>
      </c>
      <c r="F870" s="282">
        <f>F864*E870</f>
        <v>816.15712499999995</v>
      </c>
      <c r="G870" s="77"/>
      <c r="H870" s="77">
        <f>F870*G870</f>
        <v>0</v>
      </c>
      <c r="I870" s="77"/>
      <c r="J870" s="77"/>
      <c r="K870" s="77"/>
      <c r="L870" s="77"/>
      <c r="M870" s="1252">
        <f t="shared" si="119"/>
        <v>0</v>
      </c>
    </row>
    <row r="871" spans="1:13">
      <c r="A871" s="1395"/>
      <c r="B871" s="447"/>
      <c r="C871" s="165" t="s">
        <v>26</v>
      </c>
      <c r="D871" s="701" t="s">
        <v>11</v>
      </c>
      <c r="E871" s="282">
        <v>1.6E-2</v>
      </c>
      <c r="F871" s="282">
        <f>F864*E871</f>
        <v>20.727799999999998</v>
      </c>
      <c r="G871" s="77"/>
      <c r="H871" s="77">
        <f>F871*G871</f>
        <v>0</v>
      </c>
      <c r="I871" s="77"/>
      <c r="J871" s="77"/>
      <c r="K871" s="77"/>
      <c r="L871" s="77"/>
      <c r="M871" s="1252">
        <f t="shared" si="119"/>
        <v>0</v>
      </c>
    </row>
    <row r="872" spans="1:13">
      <c r="A872" s="1390" t="s">
        <v>1165</v>
      </c>
      <c r="B872" s="42" t="s">
        <v>1091</v>
      </c>
      <c r="C872" s="287" t="s">
        <v>371</v>
      </c>
      <c r="D872" s="42" t="s">
        <v>1</v>
      </c>
      <c r="E872" s="282"/>
      <c r="F872" s="20">
        <v>405.85</v>
      </c>
      <c r="G872" s="77"/>
      <c r="H872" s="77"/>
      <c r="I872" s="77"/>
      <c r="J872" s="77"/>
      <c r="K872" s="77"/>
      <c r="L872" s="77"/>
      <c r="M872" s="1252"/>
    </row>
    <row r="873" spans="1:13">
      <c r="A873" s="1391"/>
      <c r="B873" s="42"/>
      <c r="C873" s="150" t="s">
        <v>1794</v>
      </c>
      <c r="D873" s="64" t="s">
        <v>1</v>
      </c>
      <c r="E873" s="746">
        <v>1</v>
      </c>
      <c r="F873" s="17">
        <f>F872*E873</f>
        <v>405.85</v>
      </c>
      <c r="G873" s="77"/>
      <c r="H873" s="77"/>
      <c r="I873" s="77"/>
      <c r="J873" s="77">
        <f>F873*I873</f>
        <v>0</v>
      </c>
      <c r="K873" s="77"/>
      <c r="L873" s="77"/>
      <c r="M873" s="1252">
        <f>H873+J873+L873</f>
        <v>0</v>
      </c>
    </row>
    <row r="874" spans="1:13">
      <c r="A874" s="1391"/>
      <c r="B874" s="42"/>
      <c r="C874" s="150" t="s">
        <v>21</v>
      </c>
      <c r="D874" s="63" t="s">
        <v>11</v>
      </c>
      <c r="E874" s="746">
        <v>2E-3</v>
      </c>
      <c r="F874" s="17">
        <f>F872*E874</f>
        <v>0.81170000000000009</v>
      </c>
      <c r="G874" s="77"/>
      <c r="H874" s="77"/>
      <c r="I874" s="77"/>
      <c r="J874" s="77"/>
      <c r="K874" s="77"/>
      <c r="L874" s="77">
        <f>F874*K874</f>
        <v>0</v>
      </c>
      <c r="M874" s="1252">
        <f>H874+J874+L874</f>
        <v>0</v>
      </c>
    </row>
    <row r="875" spans="1:13">
      <c r="A875" s="1391"/>
      <c r="B875" s="43"/>
      <c r="C875" s="165" t="s">
        <v>1090</v>
      </c>
      <c r="D875" s="68" t="s">
        <v>1</v>
      </c>
      <c r="E875" s="746">
        <v>1.01</v>
      </c>
      <c r="F875" s="17">
        <f>F872*E875</f>
        <v>409.9085</v>
      </c>
      <c r="G875" s="77"/>
      <c r="H875" s="77">
        <f>F875*G875</f>
        <v>0</v>
      </c>
      <c r="I875" s="77"/>
      <c r="J875" s="77"/>
      <c r="K875" s="77"/>
      <c r="L875" s="77"/>
      <c r="M875" s="1252">
        <f>H875+J875+L875</f>
        <v>0</v>
      </c>
    </row>
    <row r="876" spans="1:13">
      <c r="A876" s="1392"/>
      <c r="B876" s="42"/>
      <c r="C876" s="150" t="s">
        <v>19</v>
      </c>
      <c r="D876" s="63" t="s">
        <v>11</v>
      </c>
      <c r="E876" s="746">
        <v>2E-3</v>
      </c>
      <c r="F876" s="17">
        <f>F872*E876</f>
        <v>0.81170000000000009</v>
      </c>
      <c r="G876" s="77"/>
      <c r="H876" s="77">
        <f>F876*G876</f>
        <v>0</v>
      </c>
      <c r="I876" s="77"/>
      <c r="J876" s="77"/>
      <c r="K876" s="77"/>
      <c r="L876" s="77"/>
      <c r="M876" s="1252">
        <f>H876+J876+L876</f>
        <v>0</v>
      </c>
    </row>
    <row r="877" spans="1:13" ht="31.5">
      <c r="A877" s="1393" t="s">
        <v>1166</v>
      </c>
      <c r="B877" s="42" t="s">
        <v>108</v>
      </c>
      <c r="C877" s="425" t="s">
        <v>457</v>
      </c>
      <c r="D877" s="43" t="s">
        <v>5</v>
      </c>
      <c r="E877" s="282"/>
      <c r="F877" s="20">
        <v>654.84500000000003</v>
      </c>
      <c r="G877" s="77"/>
      <c r="H877" s="77"/>
      <c r="I877" s="77"/>
      <c r="J877" s="77"/>
      <c r="K877" s="77"/>
      <c r="L877" s="77"/>
      <c r="M877" s="1252"/>
    </row>
    <row r="878" spans="1:13">
      <c r="A878" s="1394"/>
      <c r="B878" s="447"/>
      <c r="C878" s="148" t="s">
        <v>1835</v>
      </c>
      <c r="D878" s="447" t="s">
        <v>5</v>
      </c>
      <c r="E878" s="282">
        <v>1</v>
      </c>
      <c r="F878" s="282">
        <f>F877*E878</f>
        <v>654.84500000000003</v>
      </c>
      <c r="G878" s="77"/>
      <c r="H878" s="77"/>
      <c r="I878" s="77"/>
      <c r="J878" s="77">
        <f>F878*I878</f>
        <v>0</v>
      </c>
      <c r="K878" s="77"/>
      <c r="L878" s="77"/>
      <c r="M878" s="1252">
        <f t="shared" si="119"/>
        <v>0</v>
      </c>
    </row>
    <row r="879" spans="1:13">
      <c r="A879" s="1394"/>
      <c r="B879" s="447"/>
      <c r="C879" s="165" t="s">
        <v>14</v>
      </c>
      <c r="D879" s="701" t="s">
        <v>16</v>
      </c>
      <c r="E879" s="282">
        <v>0.02</v>
      </c>
      <c r="F879" s="282">
        <f>F877*E879</f>
        <v>13.096900000000002</v>
      </c>
      <c r="G879" s="77"/>
      <c r="H879" s="77"/>
      <c r="I879" s="77"/>
      <c r="J879" s="77"/>
      <c r="K879" s="77"/>
      <c r="L879" s="77">
        <f>F879*K879</f>
        <v>0</v>
      </c>
      <c r="M879" s="1252">
        <f t="shared" si="119"/>
        <v>0</v>
      </c>
    </row>
    <row r="880" spans="1:13">
      <c r="A880" s="1394"/>
      <c r="B880" s="447"/>
      <c r="C880" s="148" t="s">
        <v>42</v>
      </c>
      <c r="D880" s="447" t="s">
        <v>5</v>
      </c>
      <c r="E880" s="1235">
        <v>1.05</v>
      </c>
      <c r="F880" s="282">
        <f>F877*E880</f>
        <v>687.58725000000004</v>
      </c>
      <c r="G880" s="77"/>
      <c r="H880" s="77">
        <f>F880*G880</f>
        <v>0</v>
      </c>
      <c r="I880" s="77"/>
      <c r="J880" s="77"/>
      <c r="K880" s="77"/>
      <c r="L880" s="77"/>
      <c r="M880" s="1252">
        <f t="shared" si="119"/>
        <v>0</v>
      </c>
    </row>
    <row r="881" spans="1:13">
      <c r="A881" s="1394"/>
      <c r="B881" s="447"/>
      <c r="C881" s="148" t="s">
        <v>43</v>
      </c>
      <c r="D881" s="447" t="s">
        <v>6</v>
      </c>
      <c r="E881" s="1235">
        <v>5</v>
      </c>
      <c r="F881" s="282">
        <f>F877*E881</f>
        <v>3274.2250000000004</v>
      </c>
      <c r="G881" s="77"/>
      <c r="H881" s="77">
        <f>F881*G881</f>
        <v>0</v>
      </c>
      <c r="I881" s="77"/>
      <c r="J881" s="77"/>
      <c r="K881" s="77"/>
      <c r="L881" s="77"/>
      <c r="M881" s="1252">
        <f t="shared" si="119"/>
        <v>0</v>
      </c>
    </row>
    <row r="882" spans="1:13">
      <c r="A882" s="1394"/>
      <c r="B882" s="447"/>
      <c r="C882" s="162" t="s">
        <v>341</v>
      </c>
      <c r="D882" s="24" t="s">
        <v>113</v>
      </c>
      <c r="E882" s="84">
        <v>0.3</v>
      </c>
      <c r="F882" s="205">
        <f>F877*E882</f>
        <v>196.45349999999999</v>
      </c>
      <c r="G882" s="77"/>
      <c r="H882" s="77">
        <f>F882*G882</f>
        <v>0</v>
      </c>
      <c r="I882" s="77"/>
      <c r="J882" s="77"/>
      <c r="K882" s="77"/>
      <c r="L882" s="77"/>
      <c r="M882" s="1252">
        <f t="shared" si="119"/>
        <v>0</v>
      </c>
    </row>
    <row r="883" spans="1:13">
      <c r="A883" s="1395"/>
      <c r="B883" s="447"/>
      <c r="C883" s="165" t="s">
        <v>26</v>
      </c>
      <c r="D883" s="701" t="s">
        <v>11</v>
      </c>
      <c r="E883" s="282">
        <v>7.0000000000000001E-3</v>
      </c>
      <c r="F883" s="282">
        <f>F877*E883</f>
        <v>4.5839150000000002</v>
      </c>
      <c r="G883" s="77"/>
      <c r="H883" s="77">
        <f>F883*G883</f>
        <v>0</v>
      </c>
      <c r="I883" s="77"/>
      <c r="J883" s="77"/>
      <c r="K883" s="77"/>
      <c r="L883" s="77"/>
      <c r="M883" s="1252">
        <f t="shared" si="119"/>
        <v>0</v>
      </c>
    </row>
    <row r="884" spans="1:13" ht="31.5">
      <c r="A884" s="1390" t="s">
        <v>1167</v>
      </c>
      <c r="B884" s="42" t="s">
        <v>30</v>
      </c>
      <c r="C884" s="151" t="s">
        <v>314</v>
      </c>
      <c r="D884" s="553" t="s">
        <v>5</v>
      </c>
      <c r="E884" s="554"/>
      <c r="F884" s="109">
        <v>23.864999999999998</v>
      </c>
      <c r="G884" s="77"/>
      <c r="H884" s="77"/>
      <c r="I884" s="77"/>
      <c r="J884" s="77"/>
      <c r="K884" s="77"/>
      <c r="L884" s="77"/>
      <c r="M884" s="1252"/>
    </row>
    <row r="885" spans="1:13">
      <c r="A885" s="1391"/>
      <c r="B885" s="24"/>
      <c r="C885" s="162" t="s">
        <v>1827</v>
      </c>
      <c r="D885" s="24" t="s">
        <v>5</v>
      </c>
      <c r="E885" s="84">
        <v>1</v>
      </c>
      <c r="F885" s="205">
        <f>F884*E885</f>
        <v>23.864999999999998</v>
      </c>
      <c r="G885" s="77"/>
      <c r="H885" s="77"/>
      <c r="I885" s="77"/>
      <c r="J885" s="77">
        <f>F885*I885</f>
        <v>0</v>
      </c>
      <c r="K885" s="77"/>
      <c r="L885" s="77"/>
      <c r="M885" s="1252">
        <f t="shared" si="119"/>
        <v>0</v>
      </c>
    </row>
    <row r="886" spans="1:13">
      <c r="A886" s="1391"/>
      <c r="B886" s="46"/>
      <c r="C886" s="160" t="s">
        <v>14</v>
      </c>
      <c r="D886" s="46" t="s">
        <v>11</v>
      </c>
      <c r="E886" s="84">
        <v>4.5199999999999997E-2</v>
      </c>
      <c r="F886" s="205">
        <f>F884*E886</f>
        <v>1.0786979999999999</v>
      </c>
      <c r="G886" s="77"/>
      <c r="H886" s="77"/>
      <c r="I886" s="77"/>
      <c r="J886" s="77"/>
      <c r="K886" s="77"/>
      <c r="L886" s="77">
        <f>F886*K886</f>
        <v>0</v>
      </c>
      <c r="M886" s="1252">
        <f t="shared" si="119"/>
        <v>0</v>
      </c>
    </row>
    <row r="887" spans="1:13">
      <c r="A887" s="1391"/>
      <c r="B887" s="46"/>
      <c r="C887" s="162" t="s">
        <v>340</v>
      </c>
      <c r="D887" s="24" t="s">
        <v>113</v>
      </c>
      <c r="E887" s="84">
        <v>5</v>
      </c>
      <c r="F887" s="205">
        <f>F884*E887</f>
        <v>119.32499999999999</v>
      </c>
      <c r="G887" s="77"/>
      <c r="H887" s="77">
        <f>F887*G887</f>
        <v>0</v>
      </c>
      <c r="I887" s="77"/>
      <c r="J887" s="77"/>
      <c r="K887" s="77"/>
      <c r="L887" s="77"/>
      <c r="M887" s="1252">
        <f t="shared" si="119"/>
        <v>0</v>
      </c>
    </row>
    <row r="888" spans="1:13">
      <c r="A888" s="1391"/>
      <c r="B888" s="24"/>
      <c r="C888" s="162" t="s">
        <v>44</v>
      </c>
      <c r="D888" s="24" t="s">
        <v>234</v>
      </c>
      <c r="E888" s="84">
        <v>1.05</v>
      </c>
      <c r="F888" s="205">
        <f>E888*F884</f>
        <v>25.058250000000001</v>
      </c>
      <c r="G888" s="77"/>
      <c r="H888" s="77">
        <f>F888*G888</f>
        <v>0</v>
      </c>
      <c r="I888" s="77"/>
      <c r="J888" s="77"/>
      <c r="K888" s="77"/>
      <c r="L888" s="77"/>
      <c r="M888" s="1252">
        <f t="shared" si="119"/>
        <v>0</v>
      </c>
    </row>
    <row r="889" spans="1:13">
      <c r="A889" s="1391"/>
      <c r="B889" s="24"/>
      <c r="C889" s="162" t="s">
        <v>341</v>
      </c>
      <c r="D889" s="24" t="s">
        <v>113</v>
      </c>
      <c r="E889" s="84">
        <v>0.3</v>
      </c>
      <c r="F889" s="205">
        <f>E889*F884</f>
        <v>7.1594999999999995</v>
      </c>
      <c r="G889" s="77"/>
      <c r="H889" s="77">
        <f>F889*G889</f>
        <v>0</v>
      </c>
      <c r="I889" s="77"/>
      <c r="J889" s="77"/>
      <c r="K889" s="77"/>
      <c r="L889" s="77"/>
      <c r="M889" s="1252">
        <f t="shared" si="119"/>
        <v>0</v>
      </c>
    </row>
    <row r="890" spans="1:13">
      <c r="A890" s="1391"/>
      <c r="B890" s="24"/>
      <c r="C890" s="162" t="s">
        <v>342</v>
      </c>
      <c r="D890" s="24" t="s">
        <v>111</v>
      </c>
      <c r="E890" s="84">
        <v>2</v>
      </c>
      <c r="F890" s="205">
        <f>F884*E890</f>
        <v>47.73</v>
      </c>
      <c r="G890" s="77"/>
      <c r="H890" s="77">
        <f>F890*G890</f>
        <v>0</v>
      </c>
      <c r="I890" s="77"/>
      <c r="J890" s="77"/>
      <c r="K890" s="77"/>
      <c r="L890" s="77"/>
      <c r="M890" s="1252">
        <f t="shared" si="119"/>
        <v>0</v>
      </c>
    </row>
    <row r="891" spans="1:13">
      <c r="A891" s="1392"/>
      <c r="B891" s="46"/>
      <c r="C891" s="160" t="s">
        <v>26</v>
      </c>
      <c r="D891" s="46" t="s">
        <v>11</v>
      </c>
      <c r="E891" s="84">
        <v>4.6600000000000003E-2</v>
      </c>
      <c r="F891" s="205">
        <f>F884*E891</f>
        <v>1.112109</v>
      </c>
      <c r="G891" s="77"/>
      <c r="H891" s="77">
        <f>F891*G891</f>
        <v>0</v>
      </c>
      <c r="I891" s="77"/>
      <c r="J891" s="77"/>
      <c r="K891" s="77"/>
      <c r="L891" s="77"/>
      <c r="M891" s="1252">
        <f t="shared" si="119"/>
        <v>0</v>
      </c>
    </row>
    <row r="892" spans="1:13" ht="40.5">
      <c r="A892" s="1393" t="s">
        <v>1168</v>
      </c>
      <c r="B892" s="40" t="s">
        <v>298</v>
      </c>
      <c r="C892" s="275" t="s">
        <v>1558</v>
      </c>
      <c r="D892" s="40" t="s">
        <v>1</v>
      </c>
      <c r="E892" s="58"/>
      <c r="F892" s="109">
        <v>11</v>
      </c>
      <c r="G892" s="77"/>
      <c r="H892" s="77"/>
      <c r="I892" s="77"/>
      <c r="J892" s="77"/>
      <c r="K892" s="77"/>
      <c r="L892" s="77"/>
      <c r="M892" s="1252"/>
    </row>
    <row r="893" spans="1:13">
      <c r="A893" s="1394"/>
      <c r="B893" s="24"/>
      <c r="C893" s="162" t="s">
        <v>1836</v>
      </c>
      <c r="D893" s="69" t="s">
        <v>1</v>
      </c>
      <c r="E893" s="84">
        <v>1</v>
      </c>
      <c r="F893" s="337">
        <f>F892*E893</f>
        <v>11</v>
      </c>
      <c r="G893" s="77"/>
      <c r="H893" s="77"/>
      <c r="I893" s="77"/>
      <c r="J893" s="77">
        <f>F893*I893</f>
        <v>0</v>
      </c>
      <c r="K893" s="77"/>
      <c r="L893" s="77"/>
      <c r="M893" s="1252">
        <f t="shared" si="119"/>
        <v>0</v>
      </c>
    </row>
    <row r="894" spans="1:13">
      <c r="A894" s="1394"/>
      <c r="B894" s="46"/>
      <c r="C894" s="160" t="s">
        <v>14</v>
      </c>
      <c r="D894" s="46" t="s">
        <v>11</v>
      </c>
      <c r="E894" s="84">
        <f>2.8*0.01</f>
        <v>2.7999999999999997E-2</v>
      </c>
      <c r="F894" s="205">
        <f>F892*E894</f>
        <v>0.30799999999999994</v>
      </c>
      <c r="G894" s="77"/>
      <c r="H894" s="77"/>
      <c r="I894" s="77"/>
      <c r="J894" s="77"/>
      <c r="K894" s="77"/>
      <c r="L894" s="77">
        <f>F894*K894</f>
        <v>0</v>
      </c>
      <c r="M894" s="1252">
        <f t="shared" si="119"/>
        <v>0</v>
      </c>
    </row>
    <row r="895" spans="1:13">
      <c r="A895" s="1394"/>
      <c r="B895" s="46"/>
      <c r="C895" s="160" t="s">
        <v>299</v>
      </c>
      <c r="D895" s="24" t="str">
        <f>D892</f>
        <v>g/m</v>
      </c>
      <c r="E895" s="58">
        <v>1</v>
      </c>
      <c r="F895" s="282">
        <f>E895*F892</f>
        <v>11</v>
      </c>
      <c r="G895" s="77"/>
      <c r="H895" s="77">
        <f>F895*G895</f>
        <v>0</v>
      </c>
      <c r="I895" s="77"/>
      <c r="J895" s="77"/>
      <c r="K895" s="77"/>
      <c r="L895" s="77"/>
      <c r="M895" s="1252">
        <f t="shared" si="119"/>
        <v>0</v>
      </c>
    </row>
    <row r="896" spans="1:13">
      <c r="A896" s="1395"/>
      <c r="B896" s="46"/>
      <c r="C896" s="160" t="s">
        <v>296</v>
      </c>
      <c r="D896" s="46" t="s">
        <v>250</v>
      </c>
      <c r="E896" s="84">
        <f>0.15*0.01</f>
        <v>1.5E-3</v>
      </c>
      <c r="F896" s="205">
        <f>F892*E896</f>
        <v>1.6500000000000001E-2</v>
      </c>
      <c r="G896" s="77"/>
      <c r="H896" s="77">
        <f>F896*G896</f>
        <v>0</v>
      </c>
      <c r="I896" s="77"/>
      <c r="J896" s="77"/>
      <c r="K896" s="77"/>
      <c r="L896" s="77"/>
      <c r="M896" s="1252">
        <f t="shared" si="119"/>
        <v>0</v>
      </c>
    </row>
    <row r="897" spans="1:15" ht="31.5">
      <c r="A897" s="1415" t="s">
        <v>1169</v>
      </c>
      <c r="B897" s="40" t="s">
        <v>343</v>
      </c>
      <c r="C897" s="275" t="s">
        <v>344</v>
      </c>
      <c r="D897" s="40" t="s">
        <v>279</v>
      </c>
      <c r="E897" s="58"/>
      <c r="F897" s="20">
        <f>F892*0.9</f>
        <v>9.9</v>
      </c>
      <c r="G897" s="341"/>
      <c r="H897" s="77"/>
      <c r="I897" s="77"/>
      <c r="J897" s="77"/>
      <c r="K897" s="77"/>
      <c r="L897" s="77"/>
      <c r="M897" s="1252"/>
    </row>
    <row r="898" spans="1:15">
      <c r="A898" s="1416"/>
      <c r="B898" s="677"/>
      <c r="C898" s="678" t="s">
        <v>1802</v>
      </c>
      <c r="D898" s="679" t="s">
        <v>5</v>
      </c>
      <c r="E898" s="710">
        <v>1</v>
      </c>
      <c r="F898" s="717">
        <f>F897*E898</f>
        <v>9.9</v>
      </c>
      <c r="G898" s="87"/>
      <c r="H898" s="87"/>
      <c r="I898" s="87"/>
      <c r="J898" s="87">
        <f>F898*I898</f>
        <v>0</v>
      </c>
      <c r="K898" s="87"/>
      <c r="L898" s="87"/>
      <c r="M898" s="1260">
        <f>H898+J898+L898</f>
        <v>0</v>
      </c>
    </row>
    <row r="899" spans="1:15">
      <c r="A899" s="1416"/>
      <c r="B899" s="680"/>
      <c r="C899" s="681" t="s">
        <v>14</v>
      </c>
      <c r="D899" s="682" t="s">
        <v>11</v>
      </c>
      <c r="E899" s="718">
        <f>0.03*0.01</f>
        <v>2.9999999999999997E-4</v>
      </c>
      <c r="F899" s="718">
        <f>F897*E899</f>
        <v>2.97E-3</v>
      </c>
      <c r="G899" s="87"/>
      <c r="H899" s="87"/>
      <c r="I899" s="87"/>
      <c r="J899" s="87"/>
      <c r="K899" s="87"/>
      <c r="L899" s="87">
        <f>F899*K899</f>
        <v>0</v>
      </c>
      <c r="M899" s="1260">
        <f>H899+J899+L899</f>
        <v>0</v>
      </c>
    </row>
    <row r="900" spans="1:15">
      <c r="A900" s="1416"/>
      <c r="B900" s="680"/>
      <c r="C900" s="681" t="s">
        <v>345</v>
      </c>
      <c r="D900" s="683" t="s">
        <v>113</v>
      </c>
      <c r="E900" s="719">
        <v>0.35</v>
      </c>
      <c r="F900" s="719">
        <f>E900*F897</f>
        <v>3.4649999999999999</v>
      </c>
      <c r="G900" s="87"/>
      <c r="H900" s="87">
        <f>F900*G900</f>
        <v>0</v>
      </c>
      <c r="I900" s="87"/>
      <c r="J900" s="87"/>
      <c r="K900" s="87"/>
      <c r="L900" s="87"/>
      <c r="M900" s="1260">
        <f>H900+J900+L900</f>
        <v>0</v>
      </c>
    </row>
    <row r="901" spans="1:15">
      <c r="A901" s="1416"/>
      <c r="B901" s="680"/>
      <c r="C901" s="681" t="s">
        <v>1092</v>
      </c>
      <c r="D901" s="683" t="s">
        <v>113</v>
      </c>
      <c r="E901" s="719">
        <v>2.7E-2</v>
      </c>
      <c r="F901" s="719">
        <f>E901*F897</f>
        <v>0.26729999999999998</v>
      </c>
      <c r="G901" s="87"/>
      <c r="H901" s="87">
        <f>F901*G901</f>
        <v>0</v>
      </c>
      <c r="I901" s="87"/>
      <c r="J901" s="87"/>
      <c r="K901" s="87"/>
      <c r="L901" s="87"/>
      <c r="M901" s="1260">
        <f>H901+J901+L901</f>
        <v>0</v>
      </c>
    </row>
    <row r="902" spans="1:15">
      <c r="A902" s="1417"/>
      <c r="B902" s="680"/>
      <c r="C902" s="681" t="s">
        <v>26</v>
      </c>
      <c r="D902" s="682" t="s">
        <v>11</v>
      </c>
      <c r="E902" s="718">
        <v>1.9E-3</v>
      </c>
      <c r="F902" s="718">
        <f>F897*E902</f>
        <v>1.881E-2</v>
      </c>
      <c r="G902" s="87"/>
      <c r="H902" s="87">
        <f>F902*G902</f>
        <v>0</v>
      </c>
      <c r="I902" s="87"/>
      <c r="J902" s="87"/>
      <c r="K902" s="87"/>
      <c r="L902" s="87"/>
      <c r="M902" s="1260">
        <f>H902+J902+L902</f>
        <v>0</v>
      </c>
    </row>
    <row r="903" spans="1:15" ht="31.5" hidden="1">
      <c r="A903" s="1393" t="s">
        <v>1170</v>
      </c>
      <c r="B903" s="42" t="s">
        <v>1548</v>
      </c>
      <c r="C903" s="425" t="s">
        <v>205</v>
      </c>
      <c r="D903" s="43" t="s">
        <v>1</v>
      </c>
      <c r="E903" s="282"/>
      <c r="F903" s="20">
        <v>0</v>
      </c>
      <c r="G903" s="77"/>
      <c r="H903" s="77"/>
      <c r="I903" s="77"/>
      <c r="J903" s="77"/>
      <c r="K903" s="77"/>
      <c r="L903" s="77"/>
      <c r="M903" s="1252"/>
    </row>
    <row r="904" spans="1:15" hidden="1">
      <c r="A904" s="1394"/>
      <c r="B904" s="447"/>
      <c r="C904" s="150" t="s">
        <v>20</v>
      </c>
      <c r="D904" s="64" t="s">
        <v>15</v>
      </c>
      <c r="E904" s="277">
        <v>0.15</v>
      </c>
      <c r="F904" s="282">
        <f>F903*E904</f>
        <v>0</v>
      </c>
      <c r="G904" s="77"/>
      <c r="H904" s="77"/>
      <c r="I904" s="77">
        <v>7.8</v>
      </c>
      <c r="J904" s="77">
        <f>F904*I904</f>
        <v>0</v>
      </c>
      <c r="K904" s="77"/>
      <c r="L904" s="77"/>
      <c r="M904" s="1252">
        <f t="shared" ref="M904:M907" si="121">H904+J904+L904</f>
        <v>0</v>
      </c>
    </row>
    <row r="905" spans="1:15" hidden="1">
      <c r="A905" s="1394"/>
      <c r="B905" s="447"/>
      <c r="C905" s="150" t="s">
        <v>21</v>
      </c>
      <c r="D905" s="63" t="s">
        <v>11</v>
      </c>
      <c r="E905" s="277">
        <v>2E-3</v>
      </c>
      <c r="F905" s="282">
        <f>F903*E905</f>
        <v>0</v>
      </c>
      <c r="G905" s="77"/>
      <c r="H905" s="77"/>
      <c r="I905" s="77"/>
      <c r="J905" s="77"/>
      <c r="K905" s="77">
        <v>4</v>
      </c>
      <c r="L905" s="77">
        <f>F905*K905</f>
        <v>0</v>
      </c>
      <c r="M905" s="1252">
        <f t="shared" si="121"/>
        <v>0</v>
      </c>
    </row>
    <row r="906" spans="1:15" hidden="1">
      <c r="A906" s="1394"/>
      <c r="B906" s="1123"/>
      <c r="C906" s="165" t="s">
        <v>206</v>
      </c>
      <c r="D906" s="68" t="s">
        <v>1</v>
      </c>
      <c r="E906" s="277">
        <v>1.01</v>
      </c>
      <c r="F906" s="282">
        <f>F903*E906</f>
        <v>0</v>
      </c>
      <c r="G906" s="77">
        <v>15</v>
      </c>
      <c r="H906" s="77">
        <f>F906*G906</f>
        <v>0</v>
      </c>
      <c r="I906" s="77"/>
      <c r="J906" s="77"/>
      <c r="K906" s="77"/>
      <c r="L906" s="77"/>
      <c r="M906" s="1252">
        <f t="shared" si="121"/>
        <v>0</v>
      </c>
    </row>
    <row r="907" spans="1:15" hidden="1">
      <c r="A907" s="1395"/>
      <c r="B907" s="1123"/>
      <c r="C907" s="150" t="s">
        <v>19</v>
      </c>
      <c r="D907" s="63" t="s">
        <v>11</v>
      </c>
      <c r="E907" s="277">
        <v>2E-3</v>
      </c>
      <c r="F907" s="282">
        <f>F903*E907</f>
        <v>0</v>
      </c>
      <c r="G907" s="77">
        <v>4</v>
      </c>
      <c r="H907" s="77">
        <f>F907*G907</f>
        <v>0</v>
      </c>
      <c r="I907" s="77"/>
      <c r="J907" s="77"/>
      <c r="K907" s="77"/>
      <c r="L907" s="77"/>
      <c r="M907" s="1252">
        <f t="shared" si="121"/>
        <v>0</v>
      </c>
    </row>
    <row r="908" spans="1:15" ht="47.25" hidden="1">
      <c r="A908" s="1393" t="s">
        <v>1171</v>
      </c>
      <c r="B908" s="40" t="s">
        <v>1569</v>
      </c>
      <c r="C908" s="288" t="s">
        <v>1608</v>
      </c>
      <c r="D908" s="553" t="s">
        <v>5</v>
      </c>
      <c r="E908" s="1178"/>
      <c r="F908" s="20"/>
      <c r="G908" s="77"/>
      <c r="H908" s="77"/>
      <c r="I908" s="77"/>
      <c r="J908" s="77"/>
      <c r="K908" s="77"/>
      <c r="L908" s="77"/>
      <c r="M908" s="1252"/>
      <c r="O908" s="1254" t="e">
        <f>#REF!</f>
        <v>#REF!</v>
      </c>
    </row>
    <row r="909" spans="1:15" hidden="1">
      <c r="A909" s="1394"/>
      <c r="B909" s="747"/>
      <c r="C909" s="626" t="s">
        <v>13</v>
      </c>
      <c r="D909" s="70" t="s">
        <v>295</v>
      </c>
      <c r="E909" s="734">
        <f>231*0.01</f>
        <v>2.31</v>
      </c>
      <c r="F909" s="351">
        <f>F908*E909</f>
        <v>0</v>
      </c>
      <c r="G909" s="77"/>
      <c r="H909" s="77"/>
      <c r="I909" s="77">
        <v>7.8</v>
      </c>
      <c r="J909" s="77">
        <f>F909*I909</f>
        <v>0</v>
      </c>
      <c r="K909" s="77"/>
      <c r="L909" s="77"/>
      <c r="M909" s="1252">
        <f t="shared" ref="M909:M911" si="122">H909+J909+L909</f>
        <v>0</v>
      </c>
    </row>
    <row r="910" spans="1:15" hidden="1">
      <c r="A910" s="1394"/>
      <c r="B910" s="747"/>
      <c r="C910" s="51" t="s">
        <v>14</v>
      </c>
      <c r="D910" s="46" t="s">
        <v>11</v>
      </c>
      <c r="E910" s="84">
        <f>3.27*0.01</f>
        <v>3.27E-2</v>
      </c>
      <c r="F910" s="205">
        <f>F908*E910</f>
        <v>0</v>
      </c>
      <c r="G910" s="77"/>
      <c r="H910" s="77"/>
      <c r="I910" s="77"/>
      <c r="J910" s="77"/>
      <c r="K910" s="77">
        <v>4</v>
      </c>
      <c r="L910" s="77">
        <f>F910*K910</f>
        <v>0</v>
      </c>
      <c r="M910" s="1252">
        <f t="shared" si="122"/>
        <v>0</v>
      </c>
    </row>
    <row r="911" spans="1:15" hidden="1">
      <c r="A911" s="1394"/>
      <c r="B911" s="747"/>
      <c r="C911" s="51" t="s">
        <v>26</v>
      </c>
      <c r="D911" s="46" t="s">
        <v>11</v>
      </c>
      <c r="E911" s="84">
        <f>4.03/100</f>
        <v>4.0300000000000002E-2</v>
      </c>
      <c r="F911" s="282">
        <f>F908*E911</f>
        <v>0</v>
      </c>
      <c r="G911" s="77">
        <v>4</v>
      </c>
      <c r="H911" s="77">
        <f>F911*G911</f>
        <v>0</v>
      </c>
      <c r="I911" s="77"/>
      <c r="J911" s="77"/>
      <c r="K911" s="77"/>
      <c r="L911" s="77"/>
      <c r="M911" s="1252">
        <f t="shared" si="122"/>
        <v>0</v>
      </c>
    </row>
    <row r="912" spans="1:15" ht="31.5" hidden="1">
      <c r="A912" s="1395"/>
      <c r="B912" s="747"/>
      <c r="C912" s="675" t="s">
        <v>1607</v>
      </c>
      <c r="D912" s="1144" t="s">
        <v>5</v>
      </c>
      <c r="E912" s="856">
        <v>1.1000000000000001</v>
      </c>
      <c r="F912" s="1235">
        <f>F908*E912</f>
        <v>0</v>
      </c>
      <c r="G912" s="1226">
        <v>700</v>
      </c>
      <c r="H912" s="77">
        <f>F912*G912</f>
        <v>0</v>
      </c>
      <c r="I912" s="77"/>
      <c r="J912" s="77"/>
      <c r="K912" s="77"/>
      <c r="L912" s="77"/>
      <c r="M912" s="1252">
        <f>H912+J912+L912</f>
        <v>0</v>
      </c>
    </row>
    <row r="913" spans="1:15" ht="47.25">
      <c r="A913" s="1393" t="s">
        <v>1172</v>
      </c>
      <c r="B913" s="747" t="s">
        <v>1837</v>
      </c>
      <c r="C913" s="288" t="s">
        <v>1609</v>
      </c>
      <c r="D913" s="44" t="s">
        <v>5</v>
      </c>
      <c r="E913" s="1283"/>
      <c r="F913" s="383">
        <v>190.63</v>
      </c>
      <c r="G913" s="1226"/>
      <c r="H913" s="77"/>
      <c r="I913" s="77"/>
      <c r="J913" s="77"/>
      <c r="K913" s="77"/>
      <c r="L913" s="77"/>
      <c r="M913" s="1252"/>
    </row>
    <row r="914" spans="1:15">
      <c r="A914" s="1394"/>
      <c r="B914" s="677"/>
      <c r="C914" s="678" t="s">
        <v>1838</v>
      </c>
      <c r="D914" s="679" t="s">
        <v>5</v>
      </c>
      <c r="E914" s="710">
        <v>1</v>
      </c>
      <c r="F914" s="717">
        <f>F913*E914</f>
        <v>190.63</v>
      </c>
      <c r="G914" s="87"/>
      <c r="H914" s="87"/>
      <c r="I914" s="87"/>
      <c r="J914" s="87">
        <f>F914*I914</f>
        <v>0</v>
      </c>
      <c r="K914" s="87"/>
      <c r="L914" s="87"/>
      <c r="M914" s="1260">
        <f>H914+J914+L914</f>
        <v>0</v>
      </c>
    </row>
    <row r="915" spans="1:15">
      <c r="A915" s="1394"/>
      <c r="B915" s="747"/>
      <c r="C915" s="1238" t="s">
        <v>25</v>
      </c>
      <c r="D915" s="1227" t="s">
        <v>11</v>
      </c>
      <c r="E915" s="856">
        <v>0.06</v>
      </c>
      <c r="F915" s="1235">
        <f>F913*E915</f>
        <v>11.437799999999999</v>
      </c>
      <c r="G915" s="1226"/>
      <c r="H915" s="77"/>
      <c r="I915" s="77"/>
      <c r="J915" s="77"/>
      <c r="K915" s="77"/>
      <c r="L915" s="77">
        <f>F915*K915</f>
        <v>0</v>
      </c>
      <c r="M915" s="1260">
        <f t="shared" ref="M915:M918" si="123">H915+J915+L915</f>
        <v>0</v>
      </c>
    </row>
    <row r="916" spans="1:15">
      <c r="A916" s="1394"/>
      <c r="B916" s="747"/>
      <c r="C916" s="1238" t="s">
        <v>1839</v>
      </c>
      <c r="D916" s="1227" t="s">
        <v>6</v>
      </c>
      <c r="E916" s="856">
        <v>7</v>
      </c>
      <c r="F916" s="1235">
        <f>F913*E916</f>
        <v>1334.4099999999999</v>
      </c>
      <c r="G916" s="1226"/>
      <c r="H916" s="77">
        <f>F916*G916</f>
        <v>0</v>
      </c>
      <c r="I916" s="77"/>
      <c r="J916" s="77"/>
      <c r="K916" s="77"/>
      <c r="L916" s="77"/>
      <c r="M916" s="1260">
        <f t="shared" si="123"/>
        <v>0</v>
      </c>
    </row>
    <row r="917" spans="1:15">
      <c r="A917" s="1394"/>
      <c r="B917" s="747"/>
      <c r="C917" s="1238" t="s">
        <v>1842</v>
      </c>
      <c r="D917" s="1227" t="s">
        <v>5</v>
      </c>
      <c r="E917" s="856">
        <v>1.05</v>
      </c>
      <c r="F917" s="1235">
        <f>F913*E917</f>
        <v>200.16149999999999</v>
      </c>
      <c r="G917" s="1226"/>
      <c r="H917" s="77">
        <f t="shared" ref="H917:H918" si="124">F917*G917</f>
        <v>0</v>
      </c>
      <c r="I917" s="77"/>
      <c r="J917" s="77"/>
      <c r="K917" s="77"/>
      <c r="L917" s="77"/>
      <c r="M917" s="1260">
        <f t="shared" si="123"/>
        <v>0</v>
      </c>
    </row>
    <row r="918" spans="1:15">
      <c r="A918" s="1395"/>
      <c r="B918" s="747"/>
      <c r="C918" s="675" t="s">
        <v>19</v>
      </c>
      <c r="D918" s="1175" t="s">
        <v>11</v>
      </c>
      <c r="E918" s="856">
        <v>0.03</v>
      </c>
      <c r="F918" s="1235">
        <f>F913*E918</f>
        <v>5.7188999999999997</v>
      </c>
      <c r="G918" s="1226"/>
      <c r="H918" s="77">
        <f t="shared" si="124"/>
        <v>0</v>
      </c>
      <c r="I918" s="77"/>
      <c r="J918" s="77"/>
      <c r="K918" s="77"/>
      <c r="L918" s="77"/>
      <c r="M918" s="1260">
        <f t="shared" si="123"/>
        <v>0</v>
      </c>
    </row>
    <row r="919" spans="1:15" s="643" customFormat="1" ht="47.25">
      <c r="A919" s="1400" t="s">
        <v>1173</v>
      </c>
      <c r="B919" s="75" t="s">
        <v>291</v>
      </c>
      <c r="C919" s="152" t="s">
        <v>1876</v>
      </c>
      <c r="D919" s="1232" t="s">
        <v>5</v>
      </c>
      <c r="E919" s="1248"/>
      <c r="F919" s="121">
        <f>F913</f>
        <v>190.63</v>
      </c>
      <c r="G919" s="329"/>
      <c r="H919" s="329"/>
      <c r="I919" s="329"/>
      <c r="J919" s="329"/>
      <c r="K919" s="329"/>
      <c r="L919" s="329"/>
      <c r="M919" s="1267"/>
      <c r="N919" s="1268"/>
      <c r="O919" s="1269"/>
    </row>
    <row r="920" spans="1:15" s="643" customFormat="1">
      <c r="A920" s="1400"/>
      <c r="B920" s="203" t="s">
        <v>34</v>
      </c>
      <c r="C920" s="157" t="s">
        <v>67</v>
      </c>
      <c r="D920" s="203" t="s">
        <v>295</v>
      </c>
      <c r="E920" s="1246">
        <v>0.65800000000000003</v>
      </c>
      <c r="F920" s="1247">
        <f>E920*F919</f>
        <v>125.43454</v>
      </c>
      <c r="G920" s="329"/>
      <c r="H920" s="329"/>
      <c r="I920" s="329"/>
      <c r="J920" s="329">
        <f>F920*I920</f>
        <v>0</v>
      </c>
      <c r="K920" s="329"/>
      <c r="L920" s="329"/>
      <c r="M920" s="1267">
        <f t="shared" ref="M920:M923" si="125">H920+J920+L920</f>
        <v>0</v>
      </c>
      <c r="N920" s="1268"/>
      <c r="O920" s="1270">
        <f>J920/F919</f>
        <v>0</v>
      </c>
    </row>
    <row r="921" spans="1:15" s="643" customFormat="1">
      <c r="A921" s="1400"/>
      <c r="B921" s="75"/>
      <c r="C921" s="157" t="s">
        <v>14</v>
      </c>
      <c r="D921" s="203" t="s">
        <v>11</v>
      </c>
      <c r="E921" s="1246">
        <v>0.01</v>
      </c>
      <c r="F921" s="1247">
        <f>E921*F919</f>
        <v>1.9062999999999999</v>
      </c>
      <c r="G921" s="329"/>
      <c r="H921" s="329"/>
      <c r="I921" s="329"/>
      <c r="J921" s="329"/>
      <c r="K921" s="329"/>
      <c r="L921" s="329">
        <f>F921*K921</f>
        <v>0</v>
      </c>
      <c r="M921" s="1267">
        <f t="shared" si="125"/>
        <v>0</v>
      </c>
      <c r="N921" s="1268"/>
      <c r="O921" s="1269"/>
    </row>
    <row r="922" spans="1:15" s="643" customFormat="1">
      <c r="A922" s="1400"/>
      <c r="B922" s="75"/>
      <c r="C922" s="157" t="s">
        <v>1874</v>
      </c>
      <c r="D922" s="203" t="s">
        <v>6</v>
      </c>
      <c r="E922" s="1246">
        <v>0.63</v>
      </c>
      <c r="F922" s="1247">
        <f>E922*F919</f>
        <v>120.09689999999999</v>
      </c>
      <c r="G922" s="329"/>
      <c r="H922" s="329">
        <f>F922*G922</f>
        <v>0</v>
      </c>
      <c r="I922" s="329"/>
      <c r="J922" s="329"/>
      <c r="K922" s="329"/>
      <c r="L922" s="329"/>
      <c r="M922" s="1267">
        <f t="shared" si="125"/>
        <v>0</v>
      </c>
      <c r="N922" s="1268"/>
      <c r="O922" s="1269"/>
    </row>
    <row r="923" spans="1:15" s="643" customFormat="1">
      <c r="A923" s="1400"/>
      <c r="B923" s="75"/>
      <c r="C923" s="157" t="s">
        <v>26</v>
      </c>
      <c r="D923" s="203" t="s">
        <v>11</v>
      </c>
      <c r="E923" s="1246">
        <v>1.6000000000000001E-3</v>
      </c>
      <c r="F923" s="1247">
        <f>E923*F919</f>
        <v>0.305008</v>
      </c>
      <c r="G923" s="329"/>
      <c r="H923" s="329">
        <f>F923*G923</f>
        <v>0</v>
      </c>
      <c r="I923" s="329"/>
      <c r="J923" s="329"/>
      <c r="K923" s="329"/>
      <c r="L923" s="329"/>
      <c r="M923" s="1267">
        <f t="shared" si="125"/>
        <v>0</v>
      </c>
      <c r="N923" s="1268"/>
      <c r="O923" s="1269"/>
    </row>
    <row r="924" spans="1:15" ht="27" customHeight="1">
      <c r="A924" s="697"/>
      <c r="B924" s="48"/>
      <c r="C924" s="1150" t="s">
        <v>1094</v>
      </c>
      <c r="D924" s="63"/>
      <c r="E924" s="259"/>
      <c r="F924" s="282"/>
      <c r="G924" s="77"/>
      <c r="H924" s="77"/>
      <c r="I924" s="77"/>
      <c r="J924" s="77"/>
      <c r="K924" s="77"/>
      <c r="L924" s="77"/>
      <c r="M924" s="1252"/>
    </row>
    <row r="925" spans="1:15" ht="31.5">
      <c r="A925" s="1389" t="s">
        <v>1173</v>
      </c>
      <c r="B925" s="75" t="s">
        <v>282</v>
      </c>
      <c r="C925" s="152" t="s">
        <v>1840</v>
      </c>
      <c r="D925" s="703" t="s">
        <v>234</v>
      </c>
      <c r="E925" s="282"/>
      <c r="F925" s="20">
        <v>1008.3975</v>
      </c>
      <c r="G925" s="77"/>
      <c r="H925" s="77"/>
      <c r="I925" s="77"/>
      <c r="J925" s="77"/>
      <c r="K925" s="77"/>
      <c r="L925" s="77"/>
      <c r="M925" s="1252"/>
    </row>
    <row r="926" spans="1:15">
      <c r="A926" s="1389"/>
      <c r="B926" s="75"/>
      <c r="C926" s="157" t="s">
        <v>1841</v>
      </c>
      <c r="D926" s="203" t="s">
        <v>109</v>
      </c>
      <c r="E926" s="45">
        <v>0.45900000000000002</v>
      </c>
      <c r="F926" s="45">
        <f>E926*F925</f>
        <v>462.85445250000004</v>
      </c>
      <c r="G926" s="77"/>
      <c r="H926" s="77"/>
      <c r="I926" s="77"/>
      <c r="J926" s="77">
        <f>F926*I926</f>
        <v>0</v>
      </c>
      <c r="K926" s="77"/>
      <c r="L926" s="77"/>
      <c r="M926" s="1252">
        <f t="shared" si="119"/>
        <v>0</v>
      </c>
    </row>
    <row r="927" spans="1:15">
      <c r="A927" s="1389"/>
      <c r="B927" s="75"/>
      <c r="C927" s="154" t="s">
        <v>294</v>
      </c>
      <c r="D927" s="203" t="s">
        <v>11</v>
      </c>
      <c r="E927" s="45">
        <v>2.3E-3</v>
      </c>
      <c r="F927" s="45">
        <f>E927*F925</f>
        <v>2.3193142500000001</v>
      </c>
      <c r="G927" s="77"/>
      <c r="H927" s="77"/>
      <c r="I927" s="77"/>
      <c r="J927" s="77"/>
      <c r="K927" s="77"/>
      <c r="L927" s="77">
        <f>F927*K927</f>
        <v>0</v>
      </c>
      <c r="M927" s="1252">
        <f t="shared" si="119"/>
        <v>0</v>
      </c>
    </row>
    <row r="928" spans="1:15">
      <c r="A928" s="1389"/>
      <c r="B928" s="203"/>
      <c r="C928" s="157" t="s">
        <v>283</v>
      </c>
      <c r="D928" s="203" t="s">
        <v>218</v>
      </c>
      <c r="E928" s="45">
        <v>3.5E-4</v>
      </c>
      <c r="F928" s="45">
        <f>E928*F925</f>
        <v>0.35293912500000002</v>
      </c>
      <c r="G928" s="77"/>
      <c r="H928" s="77">
        <f>F928*G928</f>
        <v>0</v>
      </c>
      <c r="I928" s="77"/>
      <c r="J928" s="77"/>
      <c r="K928" s="77"/>
      <c r="L928" s="77"/>
      <c r="M928" s="1252">
        <f t="shared" si="119"/>
        <v>0</v>
      </c>
    </row>
    <row r="929" spans="1:13">
      <c r="A929" s="1389"/>
      <c r="B929" s="203"/>
      <c r="C929" s="157" t="s">
        <v>284</v>
      </c>
      <c r="D929" s="203" t="s">
        <v>319</v>
      </c>
      <c r="E929" s="45">
        <v>9.0000000000000006E-5</v>
      </c>
      <c r="F929" s="45">
        <f>E929*F925</f>
        <v>9.0755775000000011E-2</v>
      </c>
      <c r="G929" s="77"/>
      <c r="H929" s="77">
        <f>F929*G929</f>
        <v>0</v>
      </c>
      <c r="I929" s="77"/>
      <c r="J929" s="77"/>
      <c r="K929" s="77"/>
      <c r="L929" s="77"/>
      <c r="M929" s="1252">
        <f t="shared" si="119"/>
        <v>0</v>
      </c>
    </row>
    <row r="930" spans="1:13">
      <c r="A930" s="1389"/>
      <c r="B930" s="75"/>
      <c r="C930" s="157" t="s">
        <v>285</v>
      </c>
      <c r="D930" s="203" t="s">
        <v>234</v>
      </c>
      <c r="E930" s="45">
        <v>3.4000000000000002E-2</v>
      </c>
      <c r="F930" s="45">
        <f>E930*F925</f>
        <v>34.285515000000004</v>
      </c>
      <c r="G930" s="77"/>
      <c r="H930" s="77">
        <f>F930*G930</f>
        <v>0</v>
      </c>
      <c r="I930" s="77"/>
      <c r="J930" s="77"/>
      <c r="K930" s="77"/>
      <c r="L930" s="77"/>
      <c r="M930" s="1252">
        <f t="shared" si="119"/>
        <v>0</v>
      </c>
    </row>
    <row r="931" spans="1:13" ht="31.5">
      <c r="A931" s="1389" t="s">
        <v>1174</v>
      </c>
      <c r="B931" s="75" t="s">
        <v>289</v>
      </c>
      <c r="C931" s="152" t="s">
        <v>311</v>
      </c>
      <c r="D931" s="703" t="s">
        <v>1</v>
      </c>
      <c r="E931" s="282"/>
      <c r="F931" s="20">
        <v>620.70000000000005</v>
      </c>
      <c r="G931" s="77"/>
      <c r="H931" s="77"/>
      <c r="I931" s="77"/>
      <c r="J931" s="77"/>
      <c r="K931" s="77"/>
      <c r="L931" s="77"/>
      <c r="M931" s="1252"/>
    </row>
    <row r="932" spans="1:13">
      <c r="A932" s="1389"/>
      <c r="B932" s="75"/>
      <c r="C932" s="157" t="s">
        <v>1843</v>
      </c>
      <c r="D932" s="203" t="s">
        <v>1</v>
      </c>
      <c r="E932" s="45">
        <v>1</v>
      </c>
      <c r="F932" s="45">
        <f>E932*F931</f>
        <v>620.70000000000005</v>
      </c>
      <c r="G932" s="77"/>
      <c r="H932" s="77"/>
      <c r="I932" s="77"/>
      <c r="J932" s="77">
        <f>F932*I932</f>
        <v>0</v>
      </c>
      <c r="K932" s="77"/>
      <c r="L932" s="77"/>
      <c r="M932" s="1252">
        <f t="shared" ref="M932:M972" si="126">H932+J932+L932</f>
        <v>0</v>
      </c>
    </row>
    <row r="933" spans="1:13">
      <c r="A933" s="1389"/>
      <c r="B933" s="75"/>
      <c r="C933" s="157" t="s">
        <v>14</v>
      </c>
      <c r="D933" s="203" t="s">
        <v>11</v>
      </c>
      <c r="E933" s="45">
        <v>1.7999999999999999E-2</v>
      </c>
      <c r="F933" s="45">
        <f>E933*F931</f>
        <v>11.172599999999999</v>
      </c>
      <c r="G933" s="77"/>
      <c r="H933" s="77"/>
      <c r="I933" s="77"/>
      <c r="J933" s="77"/>
      <c r="K933" s="77"/>
      <c r="L933" s="77">
        <f>F933*K933</f>
        <v>0</v>
      </c>
      <c r="M933" s="1252">
        <f t="shared" si="126"/>
        <v>0</v>
      </c>
    </row>
    <row r="934" spans="1:13">
      <c r="A934" s="1389"/>
      <c r="B934" s="203"/>
      <c r="C934" s="157" t="s">
        <v>290</v>
      </c>
      <c r="D934" s="203" t="s">
        <v>319</v>
      </c>
      <c r="E934" s="45">
        <v>1.06E-2</v>
      </c>
      <c r="F934" s="45">
        <f>E934*F931</f>
        <v>6.5794200000000007</v>
      </c>
      <c r="G934" s="77"/>
      <c r="H934" s="77">
        <f>F934*G934</f>
        <v>0</v>
      </c>
      <c r="I934" s="77"/>
      <c r="J934" s="77"/>
      <c r="K934" s="77"/>
      <c r="L934" s="77"/>
      <c r="M934" s="1252">
        <f t="shared" si="126"/>
        <v>0</v>
      </c>
    </row>
    <row r="935" spans="1:13" ht="31.5">
      <c r="A935" s="1389" t="s">
        <v>1175</v>
      </c>
      <c r="B935" s="75" t="s">
        <v>286</v>
      </c>
      <c r="C935" s="704" t="s">
        <v>287</v>
      </c>
      <c r="D935" s="703" t="s">
        <v>234</v>
      </c>
      <c r="E935" s="282"/>
      <c r="F935" s="20">
        <v>639.32749999999999</v>
      </c>
      <c r="G935" s="77"/>
      <c r="H935" s="77"/>
      <c r="I935" s="77"/>
      <c r="J935" s="77"/>
      <c r="K935" s="77"/>
      <c r="L935" s="77"/>
      <c r="M935" s="1252"/>
    </row>
    <row r="936" spans="1:13">
      <c r="A936" s="1389"/>
      <c r="B936" s="75"/>
      <c r="C936" s="130" t="s">
        <v>1844</v>
      </c>
      <c r="D936" s="203" t="s">
        <v>5</v>
      </c>
      <c r="E936" s="45">
        <v>1</v>
      </c>
      <c r="F936" s="45">
        <f>E936*F935</f>
        <v>639.32749999999999</v>
      </c>
      <c r="G936" s="77"/>
      <c r="H936" s="77"/>
      <c r="I936" s="77"/>
      <c r="J936" s="77">
        <f>F936*I936</f>
        <v>0</v>
      </c>
      <c r="K936" s="77"/>
      <c r="L936" s="77"/>
      <c r="M936" s="1252">
        <f t="shared" si="126"/>
        <v>0</v>
      </c>
    </row>
    <row r="937" spans="1:13">
      <c r="A937" s="1389"/>
      <c r="B937" s="75" t="s">
        <v>388</v>
      </c>
      <c r="C937" s="130" t="s">
        <v>390</v>
      </c>
      <c r="D937" s="203" t="s">
        <v>212</v>
      </c>
      <c r="E937" s="45">
        <v>2.4E-2</v>
      </c>
      <c r="F937" s="45">
        <f>E937*F935</f>
        <v>15.343859999999999</v>
      </c>
      <c r="G937" s="77"/>
      <c r="H937" s="77"/>
      <c r="I937" s="77"/>
      <c r="J937" s="77"/>
      <c r="K937" s="77"/>
      <c r="L937" s="77">
        <f>F937*K937</f>
        <v>0</v>
      </c>
      <c r="M937" s="1252">
        <f t="shared" si="126"/>
        <v>0</v>
      </c>
    </row>
    <row r="938" spans="1:13">
      <c r="A938" s="1389"/>
      <c r="B938" s="75"/>
      <c r="C938" s="130" t="s">
        <v>14</v>
      </c>
      <c r="D938" s="203" t="s">
        <v>11</v>
      </c>
      <c r="E938" s="45">
        <v>2.5999999999999999E-2</v>
      </c>
      <c r="F938" s="45">
        <f>E938*F935</f>
        <v>16.622515</v>
      </c>
      <c r="G938" s="77"/>
      <c r="H938" s="77"/>
      <c r="I938" s="77"/>
      <c r="J938" s="77"/>
      <c r="K938" s="77"/>
      <c r="L938" s="77">
        <f>F938*K938</f>
        <v>0</v>
      </c>
      <c r="M938" s="1252">
        <f t="shared" si="126"/>
        <v>0</v>
      </c>
    </row>
    <row r="939" spans="1:13">
      <c r="A939" s="1389"/>
      <c r="B939" s="478"/>
      <c r="C939" s="750" t="s">
        <v>1111</v>
      </c>
      <c r="D939" s="284" t="s">
        <v>5</v>
      </c>
      <c r="E939" s="1284">
        <v>5.28E-2</v>
      </c>
      <c r="F939" s="1284">
        <f>F935*E939</f>
        <v>33.756492000000001</v>
      </c>
      <c r="G939" s="88"/>
      <c r="H939" s="77">
        <f>F939*G939</f>
        <v>0</v>
      </c>
      <c r="I939" s="77"/>
      <c r="J939" s="77"/>
      <c r="K939" s="77"/>
      <c r="L939" s="77"/>
      <c r="M939" s="1252">
        <f>H939+J939+L939</f>
        <v>0</v>
      </c>
    </row>
    <row r="940" spans="1:13">
      <c r="A940" s="1389"/>
      <c r="B940" s="203"/>
      <c r="C940" s="130" t="s">
        <v>1083</v>
      </c>
      <c r="D940" s="203" t="s">
        <v>319</v>
      </c>
      <c r="E940" s="45">
        <v>2.5499999999999998E-2</v>
      </c>
      <c r="F940" s="45">
        <f>E940*F935</f>
        <v>16.30285125</v>
      </c>
      <c r="G940" s="77"/>
      <c r="H940" s="77">
        <f>F940*G940</f>
        <v>0</v>
      </c>
      <c r="I940" s="77"/>
      <c r="J940" s="77"/>
      <c r="K940" s="77"/>
      <c r="L940" s="77"/>
      <c r="M940" s="1252">
        <f t="shared" si="126"/>
        <v>0</v>
      </c>
    </row>
    <row r="941" spans="1:13" ht="31.5">
      <c r="A941" s="1393" t="s">
        <v>1176</v>
      </c>
      <c r="B941" s="40" t="s">
        <v>880</v>
      </c>
      <c r="C941" s="704" t="s">
        <v>1109</v>
      </c>
      <c r="D941" s="44" t="s">
        <v>279</v>
      </c>
      <c r="E941" s="282"/>
      <c r="F941" s="20">
        <v>59.1</v>
      </c>
      <c r="G941" s="77"/>
      <c r="H941" s="77"/>
      <c r="I941" s="77"/>
      <c r="J941" s="77"/>
      <c r="K941" s="77"/>
      <c r="L941" s="77"/>
      <c r="M941" s="1252"/>
    </row>
    <row r="942" spans="1:13">
      <c r="A942" s="1394"/>
      <c r="B942" s="24"/>
      <c r="C942" s="51" t="s">
        <v>13</v>
      </c>
      <c r="D942" s="46" t="s">
        <v>15</v>
      </c>
      <c r="E942" s="84">
        <v>7.6</v>
      </c>
      <c r="F942" s="282">
        <f>E942*F941</f>
        <v>449.15999999999997</v>
      </c>
      <c r="G942" s="77"/>
      <c r="H942" s="77"/>
      <c r="I942" s="77"/>
      <c r="J942" s="77">
        <f>F942*I942</f>
        <v>0</v>
      </c>
      <c r="K942" s="77"/>
      <c r="L942" s="77"/>
      <c r="M942" s="1252">
        <f t="shared" si="126"/>
        <v>0</v>
      </c>
    </row>
    <row r="943" spans="1:13">
      <c r="A943" s="1394"/>
      <c r="B943" s="24"/>
      <c r="C943" s="51" t="s">
        <v>14</v>
      </c>
      <c r="D943" s="46" t="s">
        <v>11</v>
      </c>
      <c r="E943" s="84">
        <v>0.2</v>
      </c>
      <c r="F943" s="205">
        <f>F941*E943</f>
        <v>11.82</v>
      </c>
      <c r="G943" s="77"/>
      <c r="H943" s="77"/>
      <c r="I943" s="77"/>
      <c r="J943" s="77"/>
      <c r="K943" s="77"/>
      <c r="L943" s="77">
        <f>F943*K943</f>
        <v>0</v>
      </c>
      <c r="M943" s="1252">
        <f t="shared" si="126"/>
        <v>0</v>
      </c>
    </row>
    <row r="944" spans="1:13">
      <c r="A944" s="1394"/>
      <c r="B944" s="46"/>
      <c r="C944" s="51" t="s">
        <v>1110</v>
      </c>
      <c r="D944" s="24" t="s">
        <v>319</v>
      </c>
      <c r="E944" s="84">
        <f>(3.6)/100</f>
        <v>3.6000000000000004E-2</v>
      </c>
      <c r="F944" s="205">
        <f>F941*E944</f>
        <v>2.1276000000000002</v>
      </c>
      <c r="G944" s="77"/>
      <c r="H944" s="77">
        <f>F944*G944</f>
        <v>0</v>
      </c>
      <c r="I944" s="77"/>
      <c r="J944" s="77"/>
      <c r="K944" s="77"/>
      <c r="L944" s="77"/>
      <c r="M944" s="1252">
        <f t="shared" si="126"/>
        <v>0</v>
      </c>
    </row>
    <row r="945" spans="1:15">
      <c r="A945" s="1394"/>
      <c r="B945" s="24"/>
      <c r="C945" s="51" t="s">
        <v>1845</v>
      </c>
      <c r="D945" s="46" t="s">
        <v>234</v>
      </c>
      <c r="E945" s="84">
        <v>1.05</v>
      </c>
      <c r="F945" s="282">
        <f>E945*F941</f>
        <v>62.055000000000007</v>
      </c>
      <c r="G945" s="77"/>
      <c r="H945" s="77">
        <f>F945*G945</f>
        <v>0</v>
      </c>
      <c r="I945" s="77"/>
      <c r="J945" s="77"/>
      <c r="K945" s="77"/>
      <c r="L945" s="77"/>
      <c r="M945" s="1252">
        <f t="shared" si="126"/>
        <v>0</v>
      </c>
    </row>
    <row r="946" spans="1:15">
      <c r="A946" s="1394"/>
      <c r="B946" s="24"/>
      <c r="C946" s="51" t="s">
        <v>26</v>
      </c>
      <c r="D946" s="46" t="s">
        <v>11</v>
      </c>
      <c r="E946" s="84">
        <f>9/100</f>
        <v>0.09</v>
      </c>
      <c r="F946" s="282">
        <f>E946*F941</f>
        <v>5.319</v>
      </c>
      <c r="G946" s="77"/>
      <c r="H946" s="77">
        <f>F946*G946</f>
        <v>0</v>
      </c>
      <c r="I946" s="77"/>
      <c r="J946" s="77"/>
      <c r="K946" s="77"/>
      <c r="L946" s="77"/>
      <c r="M946" s="1252">
        <f t="shared" si="126"/>
        <v>0</v>
      </c>
    </row>
    <row r="947" spans="1:15">
      <c r="A947" s="1395"/>
      <c r="B947" s="24"/>
      <c r="C947" s="685" t="s">
        <v>1581</v>
      </c>
      <c r="D947" s="694" t="s">
        <v>7</v>
      </c>
      <c r="E947" s="1149">
        <v>1.6999999999999999E-3</v>
      </c>
      <c r="F947" s="639">
        <f>F941*E947</f>
        <v>0.10047</v>
      </c>
      <c r="G947" s="81"/>
      <c r="H947" s="87">
        <f>F947*G947</f>
        <v>0</v>
      </c>
      <c r="I947" s="87"/>
      <c r="J947" s="87"/>
      <c r="K947" s="87"/>
      <c r="L947" s="87"/>
      <c r="M947" s="1260">
        <f t="shared" si="126"/>
        <v>0</v>
      </c>
    </row>
    <row r="948" spans="1:15" ht="31.5" hidden="1">
      <c r="A948" s="1402" t="s">
        <v>1177</v>
      </c>
      <c r="B948" s="747" t="s">
        <v>1568</v>
      </c>
      <c r="C948" s="628" t="s">
        <v>1103</v>
      </c>
      <c r="D948" s="745" t="s">
        <v>5</v>
      </c>
      <c r="E948" s="856"/>
      <c r="F948" s="20">
        <v>0</v>
      </c>
      <c r="G948" s="448"/>
      <c r="H948" s="448"/>
      <c r="I948" s="448"/>
      <c r="J948" s="448"/>
      <c r="K948" s="448"/>
      <c r="L948" s="448"/>
      <c r="M948" s="1251">
        <f t="shared" si="126"/>
        <v>0</v>
      </c>
      <c r="O948" s="1250" t="s">
        <v>1570</v>
      </c>
    </row>
    <row r="949" spans="1:15" hidden="1">
      <c r="A949" s="1403"/>
      <c r="B949" s="747"/>
      <c r="C949" s="748" t="s">
        <v>13</v>
      </c>
      <c r="D949" s="749" t="s">
        <v>295</v>
      </c>
      <c r="E949" s="1285">
        <v>0.82899999999999996</v>
      </c>
      <c r="F949" s="1286">
        <f>F948*E949</f>
        <v>0</v>
      </c>
      <c r="G949" s="448"/>
      <c r="H949" s="448"/>
      <c r="I949" s="448">
        <v>7.8</v>
      </c>
      <c r="J949" s="448">
        <f>F949*I949</f>
        <v>0</v>
      </c>
      <c r="K949" s="448"/>
      <c r="L949" s="448"/>
      <c r="M949" s="1251">
        <f t="shared" si="126"/>
        <v>0</v>
      </c>
    </row>
    <row r="950" spans="1:15" hidden="1">
      <c r="A950" s="1403"/>
      <c r="B950" s="747"/>
      <c r="C950" s="675" t="s">
        <v>14</v>
      </c>
      <c r="D950" s="745" t="s">
        <v>11</v>
      </c>
      <c r="E950" s="856">
        <v>2.3999999999999998E-3</v>
      </c>
      <c r="F950" s="710">
        <f>F948*E950</f>
        <v>0</v>
      </c>
      <c r="G950" s="448"/>
      <c r="H950" s="448"/>
      <c r="I950" s="448"/>
      <c r="J950" s="448"/>
      <c r="K950" s="448">
        <v>4</v>
      </c>
      <c r="L950" s="448">
        <f>F950*K950</f>
        <v>0</v>
      </c>
      <c r="M950" s="1251">
        <f t="shared" si="126"/>
        <v>0</v>
      </c>
    </row>
    <row r="951" spans="1:15" hidden="1">
      <c r="A951" s="1403"/>
      <c r="B951" s="747"/>
      <c r="C951" s="51" t="s">
        <v>26</v>
      </c>
      <c r="D951" s="46" t="s">
        <v>11</v>
      </c>
      <c r="E951" s="84">
        <v>7.4000000000000003E-3</v>
      </c>
      <c r="F951" s="205">
        <f>F948*E951</f>
        <v>0</v>
      </c>
      <c r="G951" s="77">
        <v>4</v>
      </c>
      <c r="H951" s="77">
        <f>F951*G951</f>
        <v>0</v>
      </c>
      <c r="I951" s="77"/>
      <c r="J951" s="77"/>
      <c r="K951" s="77"/>
      <c r="L951" s="77"/>
      <c r="M951" s="1252">
        <f t="shared" ref="M951" si="127">H951+J951+L951</f>
        <v>0</v>
      </c>
    </row>
    <row r="952" spans="1:15" ht="31.5" hidden="1">
      <c r="A952" s="1404"/>
      <c r="B952" s="747"/>
      <c r="C952" s="675" t="s">
        <v>1104</v>
      </c>
      <c r="D952" s="745" t="s">
        <v>5</v>
      </c>
      <c r="E952" s="856">
        <v>1.1000000000000001</v>
      </c>
      <c r="F952" s="1235">
        <f>F948*E952</f>
        <v>0</v>
      </c>
      <c r="G952" s="1226">
        <v>300</v>
      </c>
      <c r="H952" s="77">
        <f>F952*G952</f>
        <v>0</v>
      </c>
      <c r="I952" s="77"/>
      <c r="J952" s="77"/>
      <c r="K952" s="77"/>
      <c r="L952" s="77"/>
      <c r="M952" s="1252">
        <f>H952+J952+L952</f>
        <v>0</v>
      </c>
      <c r="O952" s="1250" t="s">
        <v>1606</v>
      </c>
    </row>
    <row r="953" spans="1:15" ht="54">
      <c r="A953" s="1402" t="s">
        <v>1178</v>
      </c>
      <c r="B953" s="40" t="s">
        <v>1846</v>
      </c>
      <c r="C953" s="628" t="s">
        <v>1605</v>
      </c>
      <c r="D953" s="44" t="s">
        <v>5</v>
      </c>
      <c r="E953" s="856"/>
      <c r="F953" s="20">
        <v>520.74</v>
      </c>
      <c r="G953" s="448"/>
      <c r="H953" s="448"/>
      <c r="I953" s="448"/>
      <c r="J953" s="448"/>
      <c r="K953" s="448"/>
      <c r="L953" s="448"/>
      <c r="M953" s="1251"/>
    </row>
    <row r="954" spans="1:15">
      <c r="A954" s="1403"/>
      <c r="B954" s="747"/>
      <c r="C954" s="626" t="s">
        <v>1847</v>
      </c>
      <c r="D954" s="70" t="s">
        <v>5</v>
      </c>
      <c r="E954" s="734">
        <v>1</v>
      </c>
      <c r="F954" s="351">
        <f>F953*E954</f>
        <v>520.74</v>
      </c>
      <c r="G954" s="77"/>
      <c r="H954" s="77"/>
      <c r="I954" s="77"/>
      <c r="J954" s="77">
        <f>F954*I954</f>
        <v>0</v>
      </c>
      <c r="K954" s="77"/>
      <c r="L954" s="77"/>
      <c r="M954" s="1252">
        <f t="shared" ref="M954:M956" si="128">H954+J954+L954</f>
        <v>0</v>
      </c>
    </row>
    <row r="955" spans="1:15">
      <c r="A955" s="1403"/>
      <c r="B955" s="747"/>
      <c r="C955" s="51" t="s">
        <v>14</v>
      </c>
      <c r="D955" s="46" t="s">
        <v>11</v>
      </c>
      <c r="E955" s="84">
        <f>0.0244+0.0024</f>
        <v>2.6800000000000001E-2</v>
      </c>
      <c r="F955" s="205">
        <f>F953*E955</f>
        <v>13.955832000000001</v>
      </c>
      <c r="G955" s="77"/>
      <c r="H955" s="77"/>
      <c r="I955" s="77"/>
      <c r="J955" s="77"/>
      <c r="K955" s="77"/>
      <c r="L955" s="77">
        <f>F955*K955</f>
        <v>0</v>
      </c>
      <c r="M955" s="1252">
        <f t="shared" si="128"/>
        <v>0</v>
      </c>
    </row>
    <row r="956" spans="1:15">
      <c r="A956" s="1403"/>
      <c r="B956" s="747"/>
      <c r="C956" s="51" t="s">
        <v>26</v>
      </c>
      <c r="D956" s="46" t="s">
        <v>11</v>
      </c>
      <c r="E956" s="84">
        <f>0.128+0.0074</f>
        <v>0.13539999999999999</v>
      </c>
      <c r="F956" s="282">
        <f>F953*E956</f>
        <v>70.508195999999998</v>
      </c>
      <c r="G956" s="77"/>
      <c r="H956" s="77">
        <f>F956*G956</f>
        <v>0</v>
      </c>
      <c r="I956" s="77"/>
      <c r="J956" s="77"/>
      <c r="K956" s="77"/>
      <c r="L956" s="77"/>
      <c r="M956" s="1252">
        <f t="shared" si="128"/>
        <v>0</v>
      </c>
    </row>
    <row r="957" spans="1:15" ht="31.5">
      <c r="A957" s="1404"/>
      <c r="B957" s="747"/>
      <c r="C957" s="675" t="s">
        <v>1104</v>
      </c>
      <c r="D957" s="1135" t="s">
        <v>5</v>
      </c>
      <c r="E957" s="856">
        <v>1.1000000000000001</v>
      </c>
      <c r="F957" s="1235">
        <f>F953*E957</f>
        <v>572.81400000000008</v>
      </c>
      <c r="G957" s="1226"/>
      <c r="H957" s="77">
        <f>F957*G957</f>
        <v>0</v>
      </c>
      <c r="I957" s="77"/>
      <c r="J957" s="77"/>
      <c r="K957" s="77"/>
      <c r="L957" s="77"/>
      <c r="M957" s="1252">
        <f>H957+J957+L957</f>
        <v>0</v>
      </c>
      <c r="O957" s="1250" t="s">
        <v>1606</v>
      </c>
    </row>
    <row r="958" spans="1:15" ht="54">
      <c r="A958" s="1393" t="s">
        <v>1179</v>
      </c>
      <c r="B958" s="40" t="s">
        <v>1850</v>
      </c>
      <c r="C958" s="133" t="s">
        <v>1911</v>
      </c>
      <c r="D958" s="40" t="s">
        <v>279</v>
      </c>
      <c r="E958" s="84"/>
      <c r="F958" s="20">
        <v>704.36749999999995</v>
      </c>
      <c r="G958" s="77"/>
      <c r="H958" s="77"/>
      <c r="I958" s="77"/>
      <c r="J958" s="77"/>
      <c r="K958" s="77"/>
      <c r="L958" s="77"/>
      <c r="M958" s="1252"/>
    </row>
    <row r="959" spans="1:15">
      <c r="A959" s="1394"/>
      <c r="B959" s="70"/>
      <c r="C959" s="626" t="s">
        <v>1851</v>
      </c>
      <c r="D959" s="70" t="s">
        <v>5</v>
      </c>
      <c r="E959" s="734">
        <v>1</v>
      </c>
      <c r="F959" s="351">
        <f>F958*E959</f>
        <v>704.36749999999995</v>
      </c>
      <c r="G959" s="77"/>
      <c r="H959" s="77"/>
      <c r="I959" s="77"/>
      <c r="J959" s="77">
        <f>F959*I959</f>
        <v>0</v>
      </c>
      <c r="K959" s="77"/>
      <c r="L959" s="77"/>
      <c r="M959" s="1252">
        <f t="shared" si="126"/>
        <v>0</v>
      </c>
    </row>
    <row r="960" spans="1:15">
      <c r="A960" s="1394"/>
      <c r="B960" s="24"/>
      <c r="C960" s="51" t="s">
        <v>14</v>
      </c>
      <c r="D960" s="46" t="s">
        <v>11</v>
      </c>
      <c r="E960" s="84">
        <f>0.0244+0.0179</f>
        <v>4.2300000000000004E-2</v>
      </c>
      <c r="F960" s="205">
        <f>F958*E960</f>
        <v>29.794745250000002</v>
      </c>
      <c r="G960" s="77"/>
      <c r="H960" s="77"/>
      <c r="I960" s="77"/>
      <c r="J960" s="77"/>
      <c r="K960" s="77"/>
      <c r="L960" s="77">
        <f>F960*K960</f>
        <v>0</v>
      </c>
      <c r="M960" s="1252">
        <f t="shared" si="126"/>
        <v>0</v>
      </c>
    </row>
    <row r="961" spans="1:13">
      <c r="A961" s="1394"/>
      <c r="B961" s="24"/>
      <c r="C961" s="51" t="s">
        <v>26</v>
      </c>
      <c r="D961" s="46" t="s">
        <v>11</v>
      </c>
      <c r="E961" s="84">
        <f>0.128+0.052</f>
        <v>0.18</v>
      </c>
      <c r="F961" s="282">
        <f>F958*E961</f>
        <v>126.78614999999999</v>
      </c>
      <c r="G961" s="77"/>
      <c r="H961" s="77">
        <f>F961*G961</f>
        <v>0</v>
      </c>
      <c r="I961" s="77"/>
      <c r="J961" s="77"/>
      <c r="K961" s="77"/>
      <c r="L961" s="77"/>
      <c r="M961" s="1252">
        <f>H961+J961+L961</f>
        <v>0</v>
      </c>
    </row>
    <row r="962" spans="1:13">
      <c r="A962" s="1394"/>
      <c r="B962" s="70"/>
      <c r="C962" s="626" t="s">
        <v>469</v>
      </c>
      <c r="D962" s="70" t="s">
        <v>234</v>
      </c>
      <c r="E962" s="734">
        <v>1.05</v>
      </c>
      <c r="F962" s="337">
        <f>F958*E962</f>
        <v>739.58587499999999</v>
      </c>
      <c r="G962" s="77"/>
      <c r="H962" s="77">
        <f>F962*G962</f>
        <v>0</v>
      </c>
      <c r="I962" s="77"/>
      <c r="J962" s="77"/>
      <c r="K962" s="77"/>
      <c r="L962" s="77"/>
      <c r="M962" s="1252">
        <f t="shared" si="126"/>
        <v>0</v>
      </c>
    </row>
    <row r="963" spans="1:13">
      <c r="A963" s="1394"/>
      <c r="B963" s="70"/>
      <c r="C963" s="1238" t="s">
        <v>1842</v>
      </c>
      <c r="D963" s="749" t="s">
        <v>5</v>
      </c>
      <c r="E963" s="1287">
        <v>1.05</v>
      </c>
      <c r="F963" s="717">
        <f>F958*E963</f>
        <v>739.58587499999999</v>
      </c>
      <c r="G963" s="448"/>
      <c r="H963" s="448">
        <f>F963*G963</f>
        <v>0</v>
      </c>
      <c r="I963" s="448"/>
      <c r="J963" s="448"/>
      <c r="K963" s="448"/>
      <c r="L963" s="448"/>
      <c r="M963" s="1251">
        <f t="shared" si="126"/>
        <v>0</v>
      </c>
    </row>
    <row r="964" spans="1:13">
      <c r="A964" s="1394"/>
      <c r="B964" s="70"/>
      <c r="C964" s="751" t="s">
        <v>43</v>
      </c>
      <c r="D964" s="749" t="s">
        <v>6</v>
      </c>
      <c r="E964" s="1287">
        <v>5</v>
      </c>
      <c r="F964" s="717">
        <f>F958*E964</f>
        <v>3521.8374999999996</v>
      </c>
      <c r="G964" s="448"/>
      <c r="H964" s="448">
        <f>F964*G964</f>
        <v>0</v>
      </c>
      <c r="I964" s="448"/>
      <c r="J964" s="448"/>
      <c r="K964" s="448"/>
      <c r="L964" s="448"/>
      <c r="M964" s="1251">
        <f t="shared" si="126"/>
        <v>0</v>
      </c>
    </row>
    <row r="965" spans="1:13" ht="47.25" hidden="1">
      <c r="A965" s="1387" t="s">
        <v>1180</v>
      </c>
      <c r="B965" s="75" t="s">
        <v>291</v>
      </c>
      <c r="C965" s="704" t="s">
        <v>1680</v>
      </c>
      <c r="D965" s="703" t="s">
        <v>234</v>
      </c>
      <c r="E965" s="282">
        <f>F958</f>
        <v>704.36749999999995</v>
      </c>
      <c r="F965" s="20"/>
      <c r="G965" s="77"/>
      <c r="H965" s="77"/>
      <c r="I965" s="77"/>
      <c r="J965" s="77"/>
      <c r="K965" s="77"/>
      <c r="L965" s="77"/>
      <c r="M965" s="1252"/>
    </row>
    <row r="966" spans="1:13" hidden="1">
      <c r="A966" s="1388"/>
      <c r="B966" s="75"/>
      <c r="C966" s="157" t="s">
        <v>67</v>
      </c>
      <c r="D966" s="203" t="s">
        <v>109</v>
      </c>
      <c r="E966" s="45">
        <v>0.65800000000000003</v>
      </c>
      <c r="F966" s="45">
        <f>E966*F965</f>
        <v>0</v>
      </c>
      <c r="G966" s="77"/>
      <c r="H966" s="77"/>
      <c r="I966" s="77">
        <v>7.8</v>
      </c>
      <c r="J966" s="77">
        <f>F966*I966</f>
        <v>0</v>
      </c>
      <c r="K966" s="77"/>
      <c r="L966" s="77"/>
      <c r="M966" s="1252">
        <f t="shared" si="126"/>
        <v>0</v>
      </c>
    </row>
    <row r="967" spans="1:13" hidden="1">
      <c r="A967" s="1388"/>
      <c r="B967" s="75"/>
      <c r="C967" s="157" t="s">
        <v>14</v>
      </c>
      <c r="D967" s="203" t="s">
        <v>11</v>
      </c>
      <c r="E967" s="45">
        <v>0.01</v>
      </c>
      <c r="F967" s="45">
        <f>E967*F965</f>
        <v>0</v>
      </c>
      <c r="G967" s="77"/>
      <c r="H967" s="77"/>
      <c r="I967" s="77"/>
      <c r="J967" s="77"/>
      <c r="K967" s="77">
        <v>4</v>
      </c>
      <c r="L967" s="77">
        <f>F967*K967</f>
        <v>0</v>
      </c>
      <c r="M967" s="1252">
        <f t="shared" si="126"/>
        <v>0</v>
      </c>
    </row>
    <row r="968" spans="1:13" hidden="1">
      <c r="A968" s="1388"/>
      <c r="B968" s="203"/>
      <c r="C968" s="157" t="s">
        <v>292</v>
      </c>
      <c r="D968" s="203" t="s">
        <v>6</v>
      </c>
      <c r="E968" s="45">
        <v>0.35</v>
      </c>
      <c r="F968" s="45">
        <f>F965*E968</f>
        <v>0</v>
      </c>
      <c r="G968" s="77">
        <v>2</v>
      </c>
      <c r="H968" s="77">
        <f t="shared" ref="H968:H972" si="129">F968*G968</f>
        <v>0</v>
      </c>
      <c r="I968" s="77"/>
      <c r="J968" s="77"/>
      <c r="K968" s="77"/>
      <c r="L968" s="77"/>
      <c r="M968" s="1252">
        <f t="shared" si="126"/>
        <v>0</v>
      </c>
    </row>
    <row r="969" spans="1:13" hidden="1">
      <c r="A969" s="1388"/>
      <c r="B969" s="203"/>
      <c r="C969" s="157" t="s">
        <v>8</v>
      </c>
      <c r="D969" s="203" t="s">
        <v>5</v>
      </c>
      <c r="E969" s="45">
        <v>0.05</v>
      </c>
      <c r="F969" s="45">
        <f>F965*E969</f>
        <v>0</v>
      </c>
      <c r="G969" s="77">
        <v>8.5</v>
      </c>
      <c r="H969" s="77">
        <f t="shared" si="129"/>
        <v>0</v>
      </c>
      <c r="I969" s="77"/>
      <c r="J969" s="77"/>
      <c r="K969" s="77"/>
      <c r="L969" s="77"/>
      <c r="M969" s="1252">
        <f t="shared" si="126"/>
        <v>0</v>
      </c>
    </row>
    <row r="970" spans="1:13" hidden="1">
      <c r="A970" s="1388"/>
      <c r="B970" s="203"/>
      <c r="C970" s="157" t="s">
        <v>293</v>
      </c>
      <c r="D970" s="203" t="s">
        <v>6</v>
      </c>
      <c r="E970" s="45">
        <v>0.15</v>
      </c>
      <c r="F970" s="45">
        <f>F965*E970</f>
        <v>0</v>
      </c>
      <c r="G970" s="77">
        <v>4</v>
      </c>
      <c r="H970" s="77">
        <f t="shared" si="129"/>
        <v>0</v>
      </c>
      <c r="I970" s="77"/>
      <c r="J970" s="77"/>
      <c r="K970" s="77"/>
      <c r="L970" s="77"/>
      <c r="M970" s="1252">
        <f t="shared" si="126"/>
        <v>0</v>
      </c>
    </row>
    <row r="971" spans="1:13" hidden="1">
      <c r="A971" s="1388"/>
      <c r="B971" s="203"/>
      <c r="C971" s="157" t="s">
        <v>1105</v>
      </c>
      <c r="D971" s="203" t="s">
        <v>113</v>
      </c>
      <c r="E971" s="45">
        <v>0.45</v>
      </c>
      <c r="F971" s="45">
        <f>E971*F965</f>
        <v>0</v>
      </c>
      <c r="G971" s="77">
        <v>12</v>
      </c>
      <c r="H971" s="77">
        <f t="shared" si="129"/>
        <v>0</v>
      </c>
      <c r="I971" s="77"/>
      <c r="J971" s="77"/>
      <c r="K971" s="77"/>
      <c r="L971" s="77"/>
      <c r="M971" s="1252">
        <f t="shared" si="126"/>
        <v>0</v>
      </c>
    </row>
    <row r="972" spans="1:13" hidden="1">
      <c r="A972" s="1399"/>
      <c r="B972" s="75"/>
      <c r="C972" s="157" t="s">
        <v>26</v>
      </c>
      <c r="D972" s="203" t="s">
        <v>11</v>
      </c>
      <c r="E972" s="45">
        <v>1.2999999999999999E-3</v>
      </c>
      <c r="F972" s="45">
        <f>E972*F965</f>
        <v>0</v>
      </c>
      <c r="G972" s="77">
        <v>4</v>
      </c>
      <c r="H972" s="77">
        <f t="shared" si="129"/>
        <v>0</v>
      </c>
      <c r="I972" s="77"/>
      <c r="J972" s="77"/>
      <c r="K972" s="77"/>
      <c r="L972" s="77"/>
      <c r="M972" s="1252">
        <f t="shared" si="126"/>
        <v>0</v>
      </c>
    </row>
    <row r="973" spans="1:13" ht="47.25">
      <c r="A973" s="1387" t="s">
        <v>1181</v>
      </c>
      <c r="B973" s="747" t="s">
        <v>1848</v>
      </c>
      <c r="C973" s="1120" t="s">
        <v>1732</v>
      </c>
      <c r="D973" s="1190" t="s">
        <v>234</v>
      </c>
      <c r="E973" s="45"/>
      <c r="F973" s="83">
        <f>F958</f>
        <v>704.36749999999995</v>
      </c>
      <c r="G973" s="1226"/>
      <c r="H973" s="77"/>
      <c r="I973" s="77"/>
      <c r="J973" s="77"/>
      <c r="K973" s="77"/>
      <c r="L973" s="77"/>
      <c r="M973" s="1252"/>
    </row>
    <row r="974" spans="1:13">
      <c r="A974" s="1388"/>
      <c r="B974" s="677"/>
      <c r="C974" s="678" t="s">
        <v>1849</v>
      </c>
      <c r="D974" s="679" t="s">
        <v>5</v>
      </c>
      <c r="E974" s="710">
        <v>1</v>
      </c>
      <c r="F974" s="717">
        <f>F973*E974</f>
        <v>704.36749999999995</v>
      </c>
      <c r="G974" s="87"/>
      <c r="H974" s="87"/>
      <c r="I974" s="87"/>
      <c r="J974" s="87">
        <f>F974*I974</f>
        <v>0</v>
      </c>
      <c r="K974" s="87"/>
      <c r="L974" s="87"/>
      <c r="M974" s="1260">
        <f>H974+J974+L974</f>
        <v>0</v>
      </c>
    </row>
    <row r="975" spans="1:13">
      <c r="A975" s="1388"/>
      <c r="B975" s="677"/>
      <c r="C975" s="678" t="s">
        <v>1576</v>
      </c>
      <c r="D975" s="679" t="s">
        <v>16</v>
      </c>
      <c r="E975" s="710">
        <v>2.4E-2</v>
      </c>
      <c r="F975" s="717">
        <f>F973*E975</f>
        <v>16.904820000000001</v>
      </c>
      <c r="G975" s="638"/>
      <c r="H975" s="87"/>
      <c r="I975" s="87"/>
      <c r="J975" s="87"/>
      <c r="K975" s="87"/>
      <c r="L975" s="77">
        <f>F975*K975</f>
        <v>0</v>
      </c>
      <c r="M975" s="1260">
        <f>H975+J975+L975</f>
        <v>0</v>
      </c>
    </row>
    <row r="976" spans="1:13">
      <c r="A976" s="1388"/>
      <c r="B976" s="747"/>
      <c r="C976" s="1238" t="s">
        <v>25</v>
      </c>
      <c r="D976" s="1227" t="s">
        <v>11</v>
      </c>
      <c r="E976" s="856">
        <v>4.4999999999999998E-2</v>
      </c>
      <c r="F976" s="1235">
        <f>F973*E976</f>
        <v>31.696537499999998</v>
      </c>
      <c r="G976" s="1226"/>
      <c r="H976" s="77"/>
      <c r="I976" s="77"/>
      <c r="J976" s="77"/>
      <c r="K976" s="77"/>
      <c r="L976" s="77">
        <f>F976*K976</f>
        <v>0</v>
      </c>
      <c r="M976" s="1260">
        <f t="shared" ref="M976:M979" si="130">H976+J976+L976</f>
        <v>0</v>
      </c>
    </row>
    <row r="977" spans="1:15">
      <c r="A977" s="1388"/>
      <c r="B977" s="747"/>
      <c r="C977" s="1238" t="s">
        <v>1839</v>
      </c>
      <c r="D977" s="1227" t="s">
        <v>6</v>
      </c>
      <c r="E977" s="856">
        <v>7</v>
      </c>
      <c r="F977" s="1235">
        <f>F973*E977</f>
        <v>4930.5724999999993</v>
      </c>
      <c r="G977" s="1226"/>
      <c r="H977" s="77">
        <f>F977*G977</f>
        <v>0</v>
      </c>
      <c r="I977" s="77"/>
      <c r="J977" s="77"/>
      <c r="K977" s="77"/>
      <c r="L977" s="77"/>
      <c r="M977" s="1260">
        <f t="shared" si="130"/>
        <v>0</v>
      </c>
    </row>
    <row r="978" spans="1:15">
      <c r="A978" s="1388"/>
      <c r="B978" s="747"/>
      <c r="C978" s="1238" t="s">
        <v>1842</v>
      </c>
      <c r="D978" s="1227" t="s">
        <v>5</v>
      </c>
      <c r="E978" s="856">
        <v>1.05</v>
      </c>
      <c r="F978" s="1235">
        <f>F973*E978</f>
        <v>739.58587499999999</v>
      </c>
      <c r="G978" s="1226"/>
      <c r="H978" s="77">
        <f t="shared" ref="H978:H979" si="131">F978*G978</f>
        <v>0</v>
      </c>
      <c r="I978" s="77"/>
      <c r="J978" s="77"/>
      <c r="K978" s="77"/>
      <c r="L978" s="77"/>
      <c r="M978" s="1260">
        <f t="shared" si="130"/>
        <v>0</v>
      </c>
    </row>
    <row r="979" spans="1:15">
      <c r="A979" s="1399"/>
      <c r="B979" s="747"/>
      <c r="C979" s="675" t="s">
        <v>19</v>
      </c>
      <c r="D979" s="1227" t="s">
        <v>11</v>
      </c>
      <c r="E979" s="856">
        <v>0.03</v>
      </c>
      <c r="F979" s="1235">
        <f>F973*E979</f>
        <v>21.131024999999998</v>
      </c>
      <c r="G979" s="1226"/>
      <c r="H979" s="77">
        <f t="shared" si="131"/>
        <v>0</v>
      </c>
      <c r="I979" s="77"/>
      <c r="J979" s="77"/>
      <c r="K979" s="77"/>
      <c r="L979" s="77"/>
      <c r="M979" s="1260">
        <f t="shared" si="130"/>
        <v>0</v>
      </c>
    </row>
    <row r="980" spans="1:15" s="643" customFormat="1" ht="47.25">
      <c r="A980" s="1400" t="s">
        <v>39</v>
      </c>
      <c r="B980" s="75" t="s">
        <v>291</v>
      </c>
      <c r="C980" s="152" t="s">
        <v>1875</v>
      </c>
      <c r="D980" s="1232" t="s">
        <v>5</v>
      </c>
      <c r="E980" s="1248"/>
      <c r="F980" s="121">
        <f>F973</f>
        <v>704.36749999999995</v>
      </c>
      <c r="G980" s="329"/>
      <c r="H980" s="329"/>
      <c r="I980" s="329"/>
      <c r="J980" s="329"/>
      <c r="K980" s="329"/>
      <c r="L980" s="329"/>
      <c r="M980" s="1267"/>
      <c r="N980" s="1268"/>
      <c r="O980" s="1269"/>
    </row>
    <row r="981" spans="1:15" s="643" customFormat="1">
      <c r="A981" s="1400"/>
      <c r="B981" s="203" t="s">
        <v>34</v>
      </c>
      <c r="C981" s="157" t="s">
        <v>67</v>
      </c>
      <c r="D981" s="203" t="s">
        <v>295</v>
      </c>
      <c r="E981" s="1246">
        <v>0.65800000000000003</v>
      </c>
      <c r="F981" s="1247">
        <f>E981*F980</f>
        <v>463.473815</v>
      </c>
      <c r="G981" s="329"/>
      <c r="H981" s="329"/>
      <c r="I981" s="329"/>
      <c r="J981" s="329">
        <f>F981*I981</f>
        <v>0</v>
      </c>
      <c r="K981" s="329"/>
      <c r="L981" s="329"/>
      <c r="M981" s="1267">
        <f t="shared" ref="M981:M984" si="132">H981+J981+L981</f>
        <v>0</v>
      </c>
      <c r="N981" s="1268"/>
      <c r="O981" s="1270">
        <f>J981/F980</f>
        <v>0</v>
      </c>
    </row>
    <row r="982" spans="1:15" s="643" customFormat="1">
      <c r="A982" s="1400"/>
      <c r="B982" s="75"/>
      <c r="C982" s="157" t="s">
        <v>14</v>
      </c>
      <c r="D982" s="203" t="s">
        <v>11</v>
      </c>
      <c r="E982" s="1246">
        <v>0.01</v>
      </c>
      <c r="F982" s="1247">
        <f>E982*F980</f>
        <v>7.0436749999999995</v>
      </c>
      <c r="G982" s="329"/>
      <c r="H982" s="329"/>
      <c r="I982" s="329"/>
      <c r="J982" s="329"/>
      <c r="K982" s="329"/>
      <c r="L982" s="329">
        <f>F982*K982</f>
        <v>0</v>
      </c>
      <c r="M982" s="1267">
        <f t="shared" si="132"/>
        <v>0</v>
      </c>
      <c r="N982" s="1268"/>
      <c r="O982" s="1269"/>
    </row>
    <row r="983" spans="1:15" s="643" customFormat="1">
      <c r="A983" s="1400"/>
      <c r="B983" s="75"/>
      <c r="C983" s="157" t="s">
        <v>1874</v>
      </c>
      <c r="D983" s="203" t="s">
        <v>6</v>
      </c>
      <c r="E983" s="1246">
        <v>0.63</v>
      </c>
      <c r="F983" s="1247">
        <f>E983*F980</f>
        <v>443.75152499999996</v>
      </c>
      <c r="G983" s="329"/>
      <c r="H983" s="329">
        <f>F983*G983</f>
        <v>0</v>
      </c>
      <c r="I983" s="329"/>
      <c r="J983" s="329"/>
      <c r="K983" s="329"/>
      <c r="L983" s="329"/>
      <c r="M983" s="1267">
        <f t="shared" si="132"/>
        <v>0</v>
      </c>
      <c r="N983" s="1268"/>
      <c r="O983" s="1269"/>
    </row>
    <row r="984" spans="1:15" s="643" customFormat="1">
      <c r="A984" s="1400"/>
      <c r="B984" s="75"/>
      <c r="C984" s="157" t="s">
        <v>26</v>
      </c>
      <c r="D984" s="203" t="s">
        <v>11</v>
      </c>
      <c r="E984" s="1246">
        <v>1.6000000000000001E-3</v>
      </c>
      <c r="F984" s="1247">
        <f>E984*F980</f>
        <v>1.1269879999999999</v>
      </c>
      <c r="G984" s="329"/>
      <c r="H984" s="329">
        <f>F984*G984</f>
        <v>0</v>
      </c>
      <c r="I984" s="329"/>
      <c r="J984" s="329"/>
      <c r="K984" s="329"/>
      <c r="L984" s="329"/>
      <c r="M984" s="1267">
        <f t="shared" si="132"/>
        <v>0</v>
      </c>
      <c r="N984" s="1268"/>
      <c r="O984" s="1269"/>
    </row>
    <row r="985" spans="1:15" ht="24" customHeight="1">
      <c r="A985" s="1134"/>
      <c r="B985" s="75"/>
      <c r="C985" s="1151" t="s">
        <v>1585</v>
      </c>
      <c r="D985" s="203"/>
      <c r="E985" s="45"/>
      <c r="F985" s="45"/>
      <c r="G985" s="77"/>
      <c r="H985" s="77"/>
      <c r="I985" s="77"/>
      <c r="J985" s="77"/>
      <c r="K985" s="77"/>
      <c r="L985" s="77"/>
      <c r="M985" s="1252"/>
    </row>
    <row r="986" spans="1:15" ht="47.25">
      <c r="A986" s="1387" t="s">
        <v>429</v>
      </c>
      <c r="B986" s="636" t="s">
        <v>1909</v>
      </c>
      <c r="C986" s="156" t="s">
        <v>1590</v>
      </c>
      <c r="D986" s="75" t="s">
        <v>5</v>
      </c>
      <c r="E986" s="83"/>
      <c r="F986" s="83">
        <v>85</v>
      </c>
      <c r="G986" s="77"/>
      <c r="H986" s="77"/>
      <c r="I986" s="77"/>
      <c r="J986" s="77"/>
      <c r="K986" s="77"/>
      <c r="L986" s="77"/>
      <c r="M986" s="1252"/>
    </row>
    <row r="987" spans="1:15">
      <c r="A987" s="1388"/>
      <c r="B987" s="694"/>
      <c r="C987" s="686" t="s">
        <v>13</v>
      </c>
      <c r="D987" s="694" t="s">
        <v>15</v>
      </c>
      <c r="E987" s="639">
        <v>8.9</v>
      </c>
      <c r="F987" s="91">
        <f>F986*E987</f>
        <v>756.5</v>
      </c>
      <c r="G987" s="87"/>
      <c r="H987" s="87"/>
      <c r="I987" s="87"/>
      <c r="J987" s="87">
        <f>F987*I987</f>
        <v>0</v>
      </c>
      <c r="K987" s="87"/>
      <c r="L987" s="87"/>
      <c r="M987" s="1260">
        <f t="shared" ref="M987:M992" si="133">H987+J987+L987</f>
        <v>0</v>
      </c>
    </row>
    <row r="988" spans="1:15">
      <c r="A988" s="1388"/>
      <c r="B988" s="694"/>
      <c r="C988" s="686" t="s">
        <v>25</v>
      </c>
      <c r="D988" s="694" t="s">
        <v>11</v>
      </c>
      <c r="E988" s="639">
        <v>0.21</v>
      </c>
      <c r="F988" s="91">
        <f>F986*E988</f>
        <v>17.849999999999998</v>
      </c>
      <c r="G988" s="87"/>
      <c r="H988" s="87"/>
      <c r="I988" s="87"/>
      <c r="J988" s="87"/>
      <c r="K988" s="87"/>
      <c r="L988" s="87">
        <f>F988*K988</f>
        <v>0</v>
      </c>
      <c r="M988" s="1260">
        <f t="shared" si="133"/>
        <v>0</v>
      </c>
    </row>
    <row r="989" spans="1:15">
      <c r="A989" s="1388"/>
      <c r="B989" s="694"/>
      <c r="C989" s="681" t="s">
        <v>1579</v>
      </c>
      <c r="D989" s="694" t="s">
        <v>5</v>
      </c>
      <c r="E989" s="639">
        <v>1.05</v>
      </c>
      <c r="F989" s="91">
        <f>F986*E989</f>
        <v>89.25</v>
      </c>
      <c r="G989" s="87"/>
      <c r="H989" s="87">
        <f>F989*G989</f>
        <v>0</v>
      </c>
      <c r="I989" s="87"/>
      <c r="J989" s="87"/>
      <c r="K989" s="87"/>
      <c r="L989" s="87"/>
      <c r="M989" s="1260">
        <f t="shared" si="133"/>
        <v>0</v>
      </c>
    </row>
    <row r="990" spans="1:15">
      <c r="A990" s="1388"/>
      <c r="B990" s="694"/>
      <c r="C990" s="686" t="s">
        <v>101</v>
      </c>
      <c r="D990" s="694" t="s">
        <v>4</v>
      </c>
      <c r="E990" s="639">
        <v>3.5999999999999997E-2</v>
      </c>
      <c r="F990" s="91">
        <f>F986*E990</f>
        <v>3.0599999999999996</v>
      </c>
      <c r="G990" s="87"/>
      <c r="H990" s="87">
        <f>F990*G990</f>
        <v>0</v>
      </c>
      <c r="I990" s="87"/>
      <c r="J990" s="87"/>
      <c r="K990" s="87"/>
      <c r="L990" s="87"/>
      <c r="M990" s="1260">
        <f t="shared" si="133"/>
        <v>0</v>
      </c>
    </row>
    <row r="991" spans="1:15">
      <c r="A991" s="1388"/>
      <c r="B991" s="694"/>
      <c r="C991" s="686" t="s">
        <v>19</v>
      </c>
      <c r="D991" s="694" t="s">
        <v>11</v>
      </c>
      <c r="E991" s="639">
        <v>0.09</v>
      </c>
      <c r="F991" s="91">
        <f>F986*E991</f>
        <v>7.6499999999999995</v>
      </c>
      <c r="G991" s="87"/>
      <c r="H991" s="87">
        <f>F991*G991</f>
        <v>0</v>
      </c>
      <c r="I991" s="87"/>
      <c r="J991" s="87"/>
      <c r="K991" s="87"/>
      <c r="L991" s="87"/>
      <c r="M991" s="1260">
        <f t="shared" si="133"/>
        <v>0</v>
      </c>
    </row>
    <row r="992" spans="1:15">
      <c r="A992" s="1399"/>
      <c r="B992" s="694"/>
      <c r="C992" s="685" t="s">
        <v>1581</v>
      </c>
      <c r="D992" s="694" t="s">
        <v>7</v>
      </c>
      <c r="E992" s="1149">
        <v>1.6999999999999999E-3</v>
      </c>
      <c r="F992" s="639">
        <f>F986*E992</f>
        <v>0.14449999999999999</v>
      </c>
      <c r="G992" s="81"/>
      <c r="H992" s="87">
        <f>F992*G992</f>
        <v>0</v>
      </c>
      <c r="I992" s="87"/>
      <c r="J992" s="87"/>
      <c r="K992" s="87"/>
      <c r="L992" s="87"/>
      <c r="M992" s="1260">
        <f t="shared" si="133"/>
        <v>0</v>
      </c>
    </row>
    <row r="993" spans="1:13" ht="63">
      <c r="A993" s="1387" t="s">
        <v>430</v>
      </c>
      <c r="B993" s="266" t="s">
        <v>883</v>
      </c>
      <c r="C993" s="156" t="s">
        <v>1586</v>
      </c>
      <c r="D993" s="75" t="s">
        <v>1</v>
      </c>
      <c r="E993" s="83"/>
      <c r="F993" s="83">
        <v>100</v>
      </c>
      <c r="G993" s="77"/>
      <c r="H993" s="77"/>
      <c r="I993" s="77"/>
      <c r="J993" s="77"/>
      <c r="K993" s="77"/>
      <c r="L993" s="77"/>
      <c r="M993" s="1252"/>
    </row>
    <row r="994" spans="1:13">
      <c r="A994" s="1388"/>
      <c r="B994" s="266"/>
      <c r="C994" s="270" t="s">
        <v>1852</v>
      </c>
      <c r="D994" s="1138" t="s">
        <v>124</v>
      </c>
      <c r="E994" s="533">
        <v>1</v>
      </c>
      <c r="F994" s="533">
        <f>F993*E994</f>
        <v>100</v>
      </c>
      <c r="G994" s="491"/>
      <c r="H994" s="491"/>
      <c r="I994" s="491"/>
      <c r="J994" s="491">
        <f>F994*I994</f>
        <v>0</v>
      </c>
      <c r="K994" s="491"/>
      <c r="L994" s="491"/>
      <c r="M994" s="1271">
        <f t="shared" ref="M994:M1000" si="134">H994+J994+L994</f>
        <v>0</v>
      </c>
    </row>
    <row r="995" spans="1:13">
      <c r="A995" s="1388"/>
      <c r="B995" s="1140" t="s">
        <v>415</v>
      </c>
      <c r="C995" s="153" t="s">
        <v>396</v>
      </c>
      <c r="D995" s="1138" t="s">
        <v>212</v>
      </c>
      <c r="E995" s="535">
        <f>20.5/100</f>
        <v>0.20499999999999999</v>
      </c>
      <c r="F995" s="535">
        <f>F993*E995</f>
        <v>20.5</v>
      </c>
      <c r="G995" s="491"/>
      <c r="H995" s="491"/>
      <c r="I995" s="491"/>
      <c r="J995" s="491"/>
      <c r="K995" s="491"/>
      <c r="L995" s="491">
        <f>F995*K995</f>
        <v>0</v>
      </c>
      <c r="M995" s="1271">
        <f t="shared" si="134"/>
        <v>0</v>
      </c>
    </row>
    <row r="996" spans="1:13">
      <c r="A996" s="1388"/>
      <c r="B996" s="1140"/>
      <c r="C996" s="153" t="s">
        <v>14</v>
      </c>
      <c r="D996" s="1138" t="s">
        <v>11</v>
      </c>
      <c r="E996" s="535">
        <f>4*0.01</f>
        <v>0.04</v>
      </c>
      <c r="F996" s="535">
        <f>F993*E996</f>
        <v>4</v>
      </c>
      <c r="G996" s="491"/>
      <c r="H996" s="491"/>
      <c r="I996" s="491"/>
      <c r="J996" s="491"/>
      <c r="K996" s="491"/>
      <c r="L996" s="491">
        <f>F996*K996</f>
        <v>0</v>
      </c>
      <c r="M996" s="1271">
        <f t="shared" si="134"/>
        <v>0</v>
      </c>
    </row>
    <row r="997" spans="1:13">
      <c r="A997" s="1388"/>
      <c r="B997" s="1140"/>
      <c r="C997" s="537" t="s">
        <v>1853</v>
      </c>
      <c r="D997" s="1137" t="s">
        <v>319</v>
      </c>
      <c r="E997" s="535">
        <f>1.41*0.01</f>
        <v>1.41E-2</v>
      </c>
      <c r="F997" s="535">
        <f>F993*E997</f>
        <v>1.41</v>
      </c>
      <c r="G997" s="491"/>
      <c r="H997" s="491">
        <f>F997*G997</f>
        <v>0</v>
      </c>
      <c r="I997" s="491"/>
      <c r="J997" s="491"/>
      <c r="K997" s="491"/>
      <c r="L997" s="491"/>
      <c r="M997" s="1271">
        <f t="shared" si="134"/>
        <v>0</v>
      </c>
    </row>
    <row r="998" spans="1:13">
      <c r="A998" s="1388"/>
      <c r="B998" s="266"/>
      <c r="C998" s="270" t="s">
        <v>397</v>
      </c>
      <c r="D998" s="184" t="str">
        <f>D993</f>
        <v>g/m</v>
      </c>
      <c r="E998" s="531">
        <v>1</v>
      </c>
      <c r="F998" s="533">
        <f>F993*E998</f>
        <v>100</v>
      </c>
      <c r="G998" s="491"/>
      <c r="H998" s="491">
        <f>F998*G998</f>
        <v>0</v>
      </c>
      <c r="I998" s="491"/>
      <c r="J998" s="491"/>
      <c r="K998" s="491"/>
      <c r="L998" s="491"/>
      <c r="M998" s="1271">
        <f t="shared" si="134"/>
        <v>0</v>
      </c>
    </row>
    <row r="999" spans="1:13">
      <c r="A999" s="1388"/>
      <c r="B999" s="1140"/>
      <c r="C999" s="537" t="s">
        <v>398</v>
      </c>
      <c r="D999" s="1138" t="s">
        <v>113</v>
      </c>
      <c r="E999" s="535">
        <f>0.002*1000*0.01</f>
        <v>0.02</v>
      </c>
      <c r="F999" s="535">
        <f>F993*E999</f>
        <v>2</v>
      </c>
      <c r="G999" s="491"/>
      <c r="H999" s="491">
        <f>F999*G999</f>
        <v>0</v>
      </c>
      <c r="I999" s="491"/>
      <c r="J999" s="491"/>
      <c r="K999" s="491"/>
      <c r="L999" s="491"/>
      <c r="M999" s="1271">
        <f t="shared" si="134"/>
        <v>0</v>
      </c>
    </row>
    <row r="1000" spans="1:13">
      <c r="A1000" s="1388"/>
      <c r="B1000" s="1140"/>
      <c r="C1000" s="153" t="s">
        <v>26</v>
      </c>
      <c r="D1000" s="1138" t="s">
        <v>11</v>
      </c>
      <c r="E1000" s="535">
        <f>6*0.01</f>
        <v>0.06</v>
      </c>
      <c r="F1000" s="535">
        <f>F993*E1000</f>
        <v>6</v>
      </c>
      <c r="G1000" s="491"/>
      <c r="H1000" s="491">
        <f>F1000*G1000</f>
        <v>0</v>
      </c>
      <c r="I1000" s="491"/>
      <c r="J1000" s="491"/>
      <c r="K1000" s="491"/>
      <c r="L1000" s="491"/>
      <c r="M1000" s="1271">
        <f t="shared" si="134"/>
        <v>0</v>
      </c>
    </row>
    <row r="1001" spans="1:13" ht="31.5">
      <c r="A1001" s="1389" t="s">
        <v>83</v>
      </c>
      <c r="B1001" s="266" t="s">
        <v>343</v>
      </c>
      <c r="C1001" s="311" t="s">
        <v>402</v>
      </c>
      <c r="D1001" s="266" t="s">
        <v>279</v>
      </c>
      <c r="E1001" s="533"/>
      <c r="F1001" s="532">
        <f>(F993)*0.9</f>
        <v>90</v>
      </c>
      <c r="G1001" s="491"/>
      <c r="H1001" s="491"/>
      <c r="I1001" s="491"/>
      <c r="J1001" s="491"/>
      <c r="K1001" s="491"/>
      <c r="L1001" s="491"/>
      <c r="M1001" s="1271"/>
    </row>
    <row r="1002" spans="1:13">
      <c r="A1002" s="1389"/>
      <c r="B1002" s="1141"/>
      <c r="C1002" s="527" t="s">
        <v>1802</v>
      </c>
      <c r="D1002" s="528" t="s">
        <v>5</v>
      </c>
      <c r="E1002" s="535">
        <v>1</v>
      </c>
      <c r="F1002" s="530">
        <f>F1001*E1002</f>
        <v>90</v>
      </c>
      <c r="G1002" s="491"/>
      <c r="H1002" s="491"/>
      <c r="I1002" s="491"/>
      <c r="J1002" s="491">
        <f>F1002*I1002</f>
        <v>0</v>
      </c>
      <c r="K1002" s="491"/>
      <c r="L1002" s="491"/>
      <c r="M1002" s="1271">
        <f t="shared" ref="M1002:M1007" si="135">H1002+J1002+L1002</f>
        <v>0</v>
      </c>
    </row>
    <row r="1003" spans="1:13">
      <c r="A1003" s="1389"/>
      <c r="B1003" s="266"/>
      <c r="C1003" s="270" t="s">
        <v>14</v>
      </c>
      <c r="D1003" s="184" t="s">
        <v>11</v>
      </c>
      <c r="E1003" s="531">
        <f>0.03*0.01</f>
        <v>2.9999999999999997E-4</v>
      </c>
      <c r="F1003" s="531">
        <f>F1001*E1003</f>
        <v>2.6999999999999996E-2</v>
      </c>
      <c r="G1003" s="491"/>
      <c r="H1003" s="491"/>
      <c r="I1003" s="491"/>
      <c r="J1003" s="491"/>
      <c r="K1003" s="491"/>
      <c r="L1003" s="491">
        <f>F1003*K1003</f>
        <v>0</v>
      </c>
      <c r="M1003" s="1271">
        <f t="shared" si="135"/>
        <v>0</v>
      </c>
    </row>
    <row r="1004" spans="1:13">
      <c r="A1004" s="1389"/>
      <c r="B1004" s="266"/>
      <c r="C1004" s="270" t="s">
        <v>345</v>
      </c>
      <c r="D1004" s="523" t="s">
        <v>6</v>
      </c>
      <c r="E1004" s="533">
        <v>0.35</v>
      </c>
      <c r="F1004" s="533">
        <f>E1004*F1001</f>
        <v>31.499999999999996</v>
      </c>
      <c r="G1004" s="491"/>
      <c r="H1004" s="491">
        <f>F1004*G1004</f>
        <v>0</v>
      </c>
      <c r="I1004" s="491"/>
      <c r="J1004" s="491"/>
      <c r="K1004" s="491"/>
      <c r="L1004" s="491"/>
      <c r="M1004" s="1271">
        <f t="shared" si="135"/>
        <v>0</v>
      </c>
    </row>
    <row r="1005" spans="1:13">
      <c r="A1005" s="1389"/>
      <c r="B1005" s="266"/>
      <c r="C1005" s="270" t="s">
        <v>1092</v>
      </c>
      <c r="D1005" s="523" t="s">
        <v>6</v>
      </c>
      <c r="E1005" s="533">
        <v>2.7E-2</v>
      </c>
      <c r="F1005" s="533">
        <f>E1005*F1001</f>
        <v>2.4300000000000002</v>
      </c>
      <c r="G1005" s="491"/>
      <c r="H1005" s="491">
        <f>F1005*G1005</f>
        <v>0</v>
      </c>
      <c r="I1005" s="491"/>
      <c r="J1005" s="491"/>
      <c r="K1005" s="491"/>
      <c r="L1005" s="491"/>
      <c r="M1005" s="1271">
        <f t="shared" si="135"/>
        <v>0</v>
      </c>
    </row>
    <row r="1006" spans="1:13">
      <c r="A1006" s="1389"/>
      <c r="B1006" s="266"/>
      <c r="C1006" s="270" t="s">
        <v>26</v>
      </c>
      <c r="D1006" s="184" t="s">
        <v>11</v>
      </c>
      <c r="E1006" s="531">
        <v>1.9E-3</v>
      </c>
      <c r="F1006" s="531">
        <f>F1001*E1006</f>
        <v>0.17100000000000001</v>
      </c>
      <c r="G1006" s="491"/>
      <c r="H1006" s="491">
        <f>F1006*G1006</f>
        <v>0</v>
      </c>
      <c r="I1006" s="491"/>
      <c r="J1006" s="491"/>
      <c r="K1006" s="491"/>
      <c r="L1006" s="491"/>
      <c r="M1006" s="1271">
        <f t="shared" si="135"/>
        <v>0</v>
      </c>
    </row>
    <row r="1007" spans="1:13" ht="31.5">
      <c r="A1007" s="1134" t="s">
        <v>431</v>
      </c>
      <c r="B1007" s="75" t="s">
        <v>34</v>
      </c>
      <c r="C1007" s="156" t="s">
        <v>1679</v>
      </c>
      <c r="D1007" s="75" t="s">
        <v>5</v>
      </c>
      <c r="E1007" s="83"/>
      <c r="F1007" s="83">
        <f>F33</f>
        <v>1190</v>
      </c>
      <c r="G1007" s="77"/>
      <c r="H1007" s="491">
        <f>F1007*G1007</f>
        <v>0</v>
      </c>
      <c r="I1007" s="77"/>
      <c r="J1007" s="491">
        <f>F1007*I1007</f>
        <v>0</v>
      </c>
      <c r="K1007" s="77"/>
      <c r="L1007" s="77"/>
      <c r="M1007" s="1271">
        <f t="shared" si="135"/>
        <v>0</v>
      </c>
    </row>
    <row r="1008" spans="1:13">
      <c r="A1008" s="1184"/>
      <c r="B1008" s="75"/>
      <c r="C1008" s="157"/>
      <c r="D1008" s="203"/>
      <c r="E1008" s="45"/>
      <c r="F1008" s="45"/>
      <c r="G1008" s="77"/>
      <c r="H1008" s="77"/>
      <c r="I1008" s="77"/>
      <c r="J1008" s="77"/>
      <c r="K1008" s="77"/>
      <c r="L1008" s="77"/>
      <c r="M1008" s="1252"/>
    </row>
    <row r="1009" spans="1:13">
      <c r="A1009" s="740"/>
      <c r="B1009" s="75"/>
      <c r="C1009" s="1150" t="s">
        <v>1771</v>
      </c>
      <c r="D1009" s="203"/>
      <c r="E1009" s="45"/>
      <c r="F1009" s="45"/>
      <c r="G1009" s="77"/>
      <c r="H1009" s="77"/>
      <c r="I1009" s="77"/>
      <c r="J1009" s="77"/>
      <c r="K1009" s="77"/>
      <c r="L1009" s="77"/>
      <c r="M1009" s="1252"/>
    </row>
    <row r="1010" spans="1:13" ht="63">
      <c r="A1010" s="1387" t="s">
        <v>429</v>
      </c>
      <c r="B1010" s="636" t="s">
        <v>1909</v>
      </c>
      <c r="C1010" s="156" t="s">
        <v>1571</v>
      </c>
      <c r="D1010" s="75" t="s">
        <v>5</v>
      </c>
      <c r="E1010" s="83"/>
      <c r="F1010" s="83">
        <v>81.77</v>
      </c>
      <c r="G1010" s="77"/>
      <c r="H1010" s="77"/>
      <c r="I1010" s="77"/>
      <c r="J1010" s="77"/>
      <c r="K1010" s="77"/>
      <c r="L1010" s="77"/>
      <c r="M1010" s="1252"/>
    </row>
    <row r="1011" spans="1:13">
      <c r="A1011" s="1388"/>
      <c r="B1011" s="694"/>
      <c r="C1011" s="686" t="s">
        <v>13</v>
      </c>
      <c r="D1011" s="694" t="s">
        <v>15</v>
      </c>
      <c r="E1011" s="639">
        <v>8.9</v>
      </c>
      <c r="F1011" s="91">
        <f>F1010*E1011</f>
        <v>727.75300000000004</v>
      </c>
      <c r="G1011" s="87"/>
      <c r="H1011" s="87"/>
      <c r="I1011" s="87"/>
      <c r="J1011" s="87">
        <f>F1011*I1011</f>
        <v>0</v>
      </c>
      <c r="K1011" s="87"/>
      <c r="L1011" s="87"/>
      <c r="M1011" s="1260">
        <f t="shared" ref="M1011:M1016" si="136">H1011+J1011+L1011</f>
        <v>0</v>
      </c>
    </row>
    <row r="1012" spans="1:13">
      <c r="A1012" s="1388"/>
      <c r="B1012" s="694"/>
      <c r="C1012" s="686" t="s">
        <v>25</v>
      </c>
      <c r="D1012" s="694" t="s">
        <v>11</v>
      </c>
      <c r="E1012" s="639">
        <v>0.21</v>
      </c>
      <c r="F1012" s="91">
        <f>F1010*E1012</f>
        <v>17.171699999999998</v>
      </c>
      <c r="G1012" s="87"/>
      <c r="H1012" s="87"/>
      <c r="I1012" s="87"/>
      <c r="J1012" s="87"/>
      <c r="K1012" s="87"/>
      <c r="L1012" s="87">
        <f>F1012*K1012</f>
        <v>0</v>
      </c>
      <c r="M1012" s="1260">
        <f t="shared" si="136"/>
        <v>0</v>
      </c>
    </row>
    <row r="1013" spans="1:13">
      <c r="A1013" s="1388"/>
      <c r="B1013" s="694"/>
      <c r="C1013" s="681" t="s">
        <v>1579</v>
      </c>
      <c r="D1013" s="694" t="s">
        <v>5</v>
      </c>
      <c r="E1013" s="639">
        <v>1.05</v>
      </c>
      <c r="F1013" s="91">
        <f>F1010*E1013</f>
        <v>85.858500000000006</v>
      </c>
      <c r="G1013" s="87"/>
      <c r="H1013" s="87">
        <f>F1013*G1013</f>
        <v>0</v>
      </c>
      <c r="I1013" s="87"/>
      <c r="J1013" s="87"/>
      <c r="K1013" s="87"/>
      <c r="L1013" s="87"/>
      <c r="M1013" s="1260">
        <f t="shared" si="136"/>
        <v>0</v>
      </c>
    </row>
    <row r="1014" spans="1:13">
      <c r="A1014" s="1388"/>
      <c r="B1014" s="694"/>
      <c r="C1014" s="686" t="s">
        <v>101</v>
      </c>
      <c r="D1014" s="694" t="s">
        <v>4</v>
      </c>
      <c r="E1014" s="639">
        <v>3.5999999999999997E-2</v>
      </c>
      <c r="F1014" s="91">
        <f>F1010*E1014</f>
        <v>2.9437199999999994</v>
      </c>
      <c r="G1014" s="87"/>
      <c r="H1014" s="87">
        <f>F1014*G1014</f>
        <v>0</v>
      </c>
      <c r="I1014" s="87"/>
      <c r="J1014" s="87"/>
      <c r="K1014" s="87"/>
      <c r="L1014" s="87"/>
      <c r="M1014" s="1260">
        <f t="shared" si="136"/>
        <v>0</v>
      </c>
    </row>
    <row r="1015" spans="1:13">
      <c r="A1015" s="1388"/>
      <c r="B1015" s="694"/>
      <c r="C1015" s="686" t="s">
        <v>19</v>
      </c>
      <c r="D1015" s="694" t="s">
        <v>11</v>
      </c>
      <c r="E1015" s="639">
        <v>0.09</v>
      </c>
      <c r="F1015" s="91">
        <f>F1010*E1015</f>
        <v>7.3592999999999993</v>
      </c>
      <c r="G1015" s="87"/>
      <c r="H1015" s="87">
        <f>F1015*G1015</f>
        <v>0</v>
      </c>
      <c r="I1015" s="87"/>
      <c r="J1015" s="87"/>
      <c r="K1015" s="87"/>
      <c r="L1015" s="87"/>
      <c r="M1015" s="1260">
        <f t="shared" si="136"/>
        <v>0</v>
      </c>
    </row>
    <row r="1016" spans="1:13">
      <c r="A1016" s="1399"/>
      <c r="B1016" s="694"/>
      <c r="C1016" s="685" t="s">
        <v>1581</v>
      </c>
      <c r="D1016" s="694" t="s">
        <v>7</v>
      </c>
      <c r="E1016" s="1149">
        <v>1.6999999999999999E-3</v>
      </c>
      <c r="F1016" s="639">
        <f>F1010*E1016</f>
        <v>0.13900899999999999</v>
      </c>
      <c r="G1016" s="81"/>
      <c r="H1016" s="87">
        <f>F1016*G1016</f>
        <v>0</v>
      </c>
      <c r="I1016" s="87"/>
      <c r="J1016" s="87"/>
      <c r="K1016" s="87"/>
      <c r="L1016" s="87"/>
      <c r="M1016" s="1260">
        <f t="shared" si="136"/>
        <v>0</v>
      </c>
    </row>
    <row r="1017" spans="1:13" ht="47.25">
      <c r="A1017" s="1387" t="s">
        <v>430</v>
      </c>
      <c r="B1017" s="266" t="s">
        <v>883</v>
      </c>
      <c r="C1017" s="156" t="s">
        <v>1580</v>
      </c>
      <c r="D1017" s="75" t="s">
        <v>1</v>
      </c>
      <c r="E1017" s="83"/>
      <c r="F1017" s="83">
        <v>25.6</v>
      </c>
      <c r="G1017" s="77"/>
      <c r="H1017" s="77"/>
      <c r="I1017" s="77"/>
      <c r="J1017" s="77"/>
      <c r="K1017" s="77"/>
      <c r="L1017" s="77"/>
      <c r="M1017" s="1252"/>
    </row>
    <row r="1018" spans="1:13">
      <c r="A1018" s="1388"/>
      <c r="B1018" s="266"/>
      <c r="C1018" s="270" t="s">
        <v>1852</v>
      </c>
      <c r="D1018" s="1138" t="s">
        <v>1</v>
      </c>
      <c r="E1018" s="533">
        <v>1</v>
      </c>
      <c r="F1018" s="533">
        <f>F1017*E1018</f>
        <v>25.6</v>
      </c>
      <c r="G1018" s="491"/>
      <c r="H1018" s="491"/>
      <c r="I1018" s="491"/>
      <c r="J1018" s="491">
        <f>F1018*I1018</f>
        <v>0</v>
      </c>
      <c r="K1018" s="491"/>
      <c r="L1018" s="491"/>
      <c r="M1018" s="1271">
        <f t="shared" ref="M1018:M1024" si="137">H1018+J1018+L1018</f>
        <v>0</v>
      </c>
    </row>
    <row r="1019" spans="1:13">
      <c r="A1019" s="1388"/>
      <c r="B1019" s="1140" t="s">
        <v>415</v>
      </c>
      <c r="C1019" s="153" t="s">
        <v>396</v>
      </c>
      <c r="D1019" s="1138" t="s">
        <v>212</v>
      </c>
      <c r="E1019" s="535">
        <f>20.5/100</f>
        <v>0.20499999999999999</v>
      </c>
      <c r="F1019" s="535">
        <f>F1017*E1019</f>
        <v>5.2480000000000002</v>
      </c>
      <c r="G1019" s="491"/>
      <c r="H1019" s="491"/>
      <c r="I1019" s="491"/>
      <c r="J1019" s="491"/>
      <c r="K1019" s="491"/>
      <c r="L1019" s="491">
        <f>F1019*K1019</f>
        <v>0</v>
      </c>
      <c r="M1019" s="1271">
        <f t="shared" si="137"/>
        <v>0</v>
      </c>
    </row>
    <row r="1020" spans="1:13">
      <c r="A1020" s="1388"/>
      <c r="B1020" s="1140"/>
      <c r="C1020" s="153" t="s">
        <v>14</v>
      </c>
      <c r="D1020" s="1138" t="s">
        <v>11</v>
      </c>
      <c r="E1020" s="535">
        <f>4*0.01</f>
        <v>0.04</v>
      </c>
      <c r="F1020" s="535">
        <f>F1017*E1020</f>
        <v>1.024</v>
      </c>
      <c r="G1020" s="491"/>
      <c r="H1020" s="491"/>
      <c r="I1020" s="491"/>
      <c r="J1020" s="491"/>
      <c r="K1020" s="491"/>
      <c r="L1020" s="491">
        <f>F1020*K1020</f>
        <v>0</v>
      </c>
      <c r="M1020" s="1271">
        <f t="shared" si="137"/>
        <v>0</v>
      </c>
    </row>
    <row r="1021" spans="1:13">
      <c r="A1021" s="1388"/>
      <c r="B1021" s="1140"/>
      <c r="C1021" s="537" t="s">
        <v>1853</v>
      </c>
      <c r="D1021" s="1137" t="s">
        <v>319</v>
      </c>
      <c r="E1021" s="535">
        <f>1.41*0.01</f>
        <v>1.41E-2</v>
      </c>
      <c r="F1021" s="535">
        <f>F1017*E1021</f>
        <v>0.36096</v>
      </c>
      <c r="G1021" s="491"/>
      <c r="H1021" s="491">
        <f>F1021*G1021</f>
        <v>0</v>
      </c>
      <c r="I1021" s="491"/>
      <c r="J1021" s="491"/>
      <c r="K1021" s="491"/>
      <c r="L1021" s="491"/>
      <c r="M1021" s="1271">
        <f t="shared" si="137"/>
        <v>0</v>
      </c>
    </row>
    <row r="1022" spans="1:13">
      <c r="A1022" s="1388"/>
      <c r="B1022" s="266"/>
      <c r="C1022" s="270" t="s">
        <v>397</v>
      </c>
      <c r="D1022" s="184" t="str">
        <f>D1017</f>
        <v>g/m</v>
      </c>
      <c r="E1022" s="531">
        <v>1</v>
      </c>
      <c r="F1022" s="533">
        <f>F1017*E1022</f>
        <v>25.6</v>
      </c>
      <c r="G1022" s="491"/>
      <c r="H1022" s="491">
        <f>F1022*G1022</f>
        <v>0</v>
      </c>
      <c r="I1022" s="491"/>
      <c r="J1022" s="491"/>
      <c r="K1022" s="491"/>
      <c r="L1022" s="491"/>
      <c r="M1022" s="1271">
        <f t="shared" si="137"/>
        <v>0</v>
      </c>
    </row>
    <row r="1023" spans="1:13">
      <c r="A1023" s="1388"/>
      <c r="B1023" s="1140"/>
      <c r="C1023" s="537" t="s">
        <v>398</v>
      </c>
      <c r="D1023" s="1138" t="s">
        <v>113</v>
      </c>
      <c r="E1023" s="535">
        <f>0.002*1000*0.01</f>
        <v>0.02</v>
      </c>
      <c r="F1023" s="535">
        <f>F1017*E1023</f>
        <v>0.51200000000000001</v>
      </c>
      <c r="G1023" s="491"/>
      <c r="H1023" s="491">
        <f>F1023*G1023</f>
        <v>0</v>
      </c>
      <c r="I1023" s="491"/>
      <c r="J1023" s="491"/>
      <c r="K1023" s="491"/>
      <c r="L1023" s="491"/>
      <c r="M1023" s="1271">
        <f t="shared" si="137"/>
        <v>0</v>
      </c>
    </row>
    <row r="1024" spans="1:13">
      <c r="A1024" s="1399"/>
      <c r="B1024" s="1140"/>
      <c r="C1024" s="153" t="s">
        <v>26</v>
      </c>
      <c r="D1024" s="1138" t="s">
        <v>11</v>
      </c>
      <c r="E1024" s="535">
        <f>6*0.01</f>
        <v>0.06</v>
      </c>
      <c r="F1024" s="535">
        <f>F1017*E1024</f>
        <v>1.536</v>
      </c>
      <c r="G1024" s="491"/>
      <c r="H1024" s="491">
        <f>F1024*G1024</f>
        <v>0</v>
      </c>
      <c r="I1024" s="491"/>
      <c r="J1024" s="491"/>
      <c r="K1024" s="491"/>
      <c r="L1024" s="491"/>
      <c r="M1024" s="1271">
        <f t="shared" si="137"/>
        <v>0</v>
      </c>
    </row>
    <row r="1025" spans="1:13" ht="42" customHeight="1">
      <c r="A1025" s="1387" t="s">
        <v>83</v>
      </c>
      <c r="B1025" s="1147" t="s">
        <v>1064</v>
      </c>
      <c r="C1025" s="156" t="s">
        <v>1572</v>
      </c>
      <c r="D1025" s="75" t="s">
        <v>5</v>
      </c>
      <c r="E1025" s="83"/>
      <c r="F1025" s="83">
        <v>77.752499999999998</v>
      </c>
      <c r="G1025" s="77"/>
      <c r="H1025" s="77"/>
      <c r="I1025" s="77"/>
      <c r="J1025" s="77"/>
      <c r="K1025" s="77"/>
      <c r="L1025" s="77"/>
      <c r="M1025" s="1252"/>
    </row>
    <row r="1026" spans="1:13">
      <c r="A1026" s="1388"/>
      <c r="B1026" s="1145"/>
      <c r="C1026" s="686" t="s">
        <v>1855</v>
      </c>
      <c r="D1026" s="1146" t="s">
        <v>5</v>
      </c>
      <c r="E1026" s="639">
        <v>1</v>
      </c>
      <c r="F1026" s="91">
        <f>F1025*E1026</f>
        <v>77.752499999999998</v>
      </c>
      <c r="G1026" s="87"/>
      <c r="H1026" s="87"/>
      <c r="I1026" s="87"/>
      <c r="J1026" s="87">
        <f>F1026*I1026</f>
        <v>0</v>
      </c>
      <c r="K1026" s="87"/>
      <c r="L1026" s="87"/>
      <c r="M1026" s="1260">
        <f>H1026+J1026+L1026</f>
        <v>0</v>
      </c>
    </row>
    <row r="1027" spans="1:13">
      <c r="A1027" s="1388"/>
      <c r="B1027" s="1145" t="s">
        <v>388</v>
      </c>
      <c r="C1027" s="686" t="s">
        <v>1576</v>
      </c>
      <c r="D1027" s="1146" t="s">
        <v>16</v>
      </c>
      <c r="E1027" s="639">
        <v>2.4E-2</v>
      </c>
      <c r="F1027" s="91">
        <f>F1025*E1027</f>
        <v>1.8660600000000001</v>
      </c>
      <c r="G1027" s="87"/>
      <c r="H1027" s="87"/>
      <c r="I1027" s="87"/>
      <c r="J1027" s="87"/>
      <c r="K1027" s="87"/>
      <c r="L1027" s="87">
        <f>F1027*K1027</f>
        <v>0</v>
      </c>
      <c r="M1027" s="1260">
        <f>H1027+J1027+L1027</f>
        <v>0</v>
      </c>
    </row>
    <row r="1028" spans="1:13">
      <c r="A1028" s="1388"/>
      <c r="B1028" s="1145"/>
      <c r="C1028" s="686" t="s">
        <v>25</v>
      </c>
      <c r="D1028" s="1146" t="s">
        <v>11</v>
      </c>
      <c r="E1028" s="639">
        <v>0.26</v>
      </c>
      <c r="F1028" s="91">
        <f>F1025*E1028</f>
        <v>20.21565</v>
      </c>
      <c r="G1028" s="87"/>
      <c r="H1028" s="87"/>
      <c r="I1028" s="87"/>
      <c r="J1028" s="87"/>
      <c r="K1028" s="87"/>
      <c r="L1028" s="87">
        <f>F1028*K1028</f>
        <v>0</v>
      </c>
      <c r="M1028" s="1260">
        <f>H1028+J1028+L1028</f>
        <v>0</v>
      </c>
    </row>
    <row r="1029" spans="1:13">
      <c r="A1029" s="1388"/>
      <c r="B1029" s="1145"/>
      <c r="C1029" s="758" t="s">
        <v>1577</v>
      </c>
      <c r="D1029" s="1146" t="s">
        <v>4</v>
      </c>
      <c r="E1029" s="1288">
        <v>2.6800000000000001E-2</v>
      </c>
      <c r="F1029" s="1288">
        <f>F1025*E1029</f>
        <v>2.0837669999999999</v>
      </c>
      <c r="G1029" s="213"/>
      <c r="H1029" s="87">
        <f t="shared" ref="H1029:H1030" si="138">F1029*G1029</f>
        <v>0</v>
      </c>
      <c r="I1029" s="87"/>
      <c r="J1029" s="87"/>
      <c r="K1029" s="87"/>
      <c r="L1029" s="87"/>
      <c r="M1029" s="1260">
        <f t="shared" ref="M1029:M1030" si="139">H1029+J1029+L1029</f>
        <v>0</v>
      </c>
    </row>
    <row r="1030" spans="1:13">
      <c r="A1030" s="1399"/>
      <c r="B1030" s="75"/>
      <c r="C1030" s="157" t="s">
        <v>1854</v>
      </c>
      <c r="D1030" s="203" t="s">
        <v>5</v>
      </c>
      <c r="E1030" s="45"/>
      <c r="F1030" s="45">
        <f>F1025*16*1.03*0.395/1000</f>
        <v>0.50613767400000009</v>
      </c>
      <c r="G1030" s="77"/>
      <c r="H1030" s="87">
        <f t="shared" si="138"/>
        <v>0</v>
      </c>
      <c r="I1030" s="87"/>
      <c r="J1030" s="87"/>
      <c r="K1030" s="87"/>
      <c r="L1030" s="87"/>
      <c r="M1030" s="1260">
        <f t="shared" si="139"/>
        <v>0</v>
      </c>
    </row>
    <row r="1031" spans="1:13" ht="39.75" customHeight="1">
      <c r="A1031" s="1387" t="s">
        <v>431</v>
      </c>
      <c r="B1031" s="636" t="s">
        <v>880</v>
      </c>
      <c r="C1031" s="156" t="s">
        <v>1573</v>
      </c>
      <c r="D1031" s="75" t="s">
        <v>5</v>
      </c>
      <c r="E1031" s="83"/>
      <c r="F1031" s="83">
        <f>F1025</f>
        <v>77.752499999999998</v>
      </c>
      <c r="G1031" s="77"/>
      <c r="H1031" s="77"/>
      <c r="I1031" s="77"/>
      <c r="J1031" s="77"/>
      <c r="K1031" s="77"/>
      <c r="L1031" s="77"/>
      <c r="M1031" s="1252"/>
    </row>
    <row r="1032" spans="1:13">
      <c r="A1032" s="1388"/>
      <c r="B1032" s="694"/>
      <c r="C1032" s="686" t="s">
        <v>13</v>
      </c>
      <c r="D1032" s="694" t="s">
        <v>15</v>
      </c>
      <c r="E1032" s="639">
        <v>7.6</v>
      </c>
      <c r="F1032" s="91">
        <f>F1031*E1032</f>
        <v>590.91899999999998</v>
      </c>
      <c r="G1032" s="87"/>
      <c r="H1032" s="87"/>
      <c r="I1032" s="87"/>
      <c r="J1032" s="87">
        <f>F1032*I1032</f>
        <v>0</v>
      </c>
      <c r="K1032" s="87"/>
      <c r="L1032" s="87"/>
      <c r="M1032" s="1260">
        <f t="shared" ref="M1032:M1037" si="140">H1032+J1032+L1032</f>
        <v>0</v>
      </c>
    </row>
    <row r="1033" spans="1:13">
      <c r="A1033" s="1388"/>
      <c r="B1033" s="694"/>
      <c r="C1033" s="686" t="s">
        <v>25</v>
      </c>
      <c r="D1033" s="694" t="s">
        <v>11</v>
      </c>
      <c r="E1033" s="639">
        <v>0.2</v>
      </c>
      <c r="F1033" s="91">
        <f>F1031*E1033</f>
        <v>15.5505</v>
      </c>
      <c r="G1033" s="87"/>
      <c r="H1033" s="87"/>
      <c r="I1033" s="87"/>
      <c r="J1033" s="87"/>
      <c r="K1033" s="87"/>
      <c r="L1033" s="87">
        <f>F1033*K1033</f>
        <v>0</v>
      </c>
      <c r="M1033" s="1260">
        <f t="shared" si="140"/>
        <v>0</v>
      </c>
    </row>
    <row r="1034" spans="1:13">
      <c r="A1034" s="1388"/>
      <c r="B1034" s="694"/>
      <c r="C1034" s="681" t="s">
        <v>1579</v>
      </c>
      <c r="D1034" s="694" t="s">
        <v>5</v>
      </c>
      <c r="E1034" s="639">
        <v>1.05</v>
      </c>
      <c r="F1034" s="91">
        <f>F1031*E1034</f>
        <v>81.640124999999998</v>
      </c>
      <c r="G1034" s="87"/>
      <c r="H1034" s="87">
        <f>F1034*G1034</f>
        <v>0</v>
      </c>
      <c r="I1034" s="87"/>
      <c r="J1034" s="87"/>
      <c r="K1034" s="87"/>
      <c r="L1034" s="87"/>
      <c r="M1034" s="1260">
        <f t="shared" si="140"/>
        <v>0</v>
      </c>
    </row>
    <row r="1035" spans="1:13">
      <c r="A1035" s="1388"/>
      <c r="B1035" s="694"/>
      <c r="C1035" s="686" t="s">
        <v>101</v>
      </c>
      <c r="D1035" s="694" t="s">
        <v>4</v>
      </c>
      <c r="E1035" s="639">
        <v>3.5999999999999997E-2</v>
      </c>
      <c r="F1035" s="91">
        <f>F1031*E1035</f>
        <v>2.7990899999999996</v>
      </c>
      <c r="G1035" s="87"/>
      <c r="H1035" s="87">
        <f>F1035*G1035</f>
        <v>0</v>
      </c>
      <c r="I1035" s="87"/>
      <c r="J1035" s="87"/>
      <c r="K1035" s="87"/>
      <c r="L1035" s="87"/>
      <c r="M1035" s="1260">
        <f t="shared" si="140"/>
        <v>0</v>
      </c>
    </row>
    <row r="1036" spans="1:13">
      <c r="A1036" s="1388"/>
      <c r="B1036" s="694"/>
      <c r="C1036" s="686" t="s">
        <v>19</v>
      </c>
      <c r="D1036" s="694" t="s">
        <v>11</v>
      </c>
      <c r="E1036" s="639">
        <v>0.09</v>
      </c>
      <c r="F1036" s="91">
        <f>F1031*E1036</f>
        <v>6.997725</v>
      </c>
      <c r="G1036" s="87"/>
      <c r="H1036" s="87">
        <f>F1036*G1036</f>
        <v>0</v>
      </c>
      <c r="I1036" s="87"/>
      <c r="J1036" s="87"/>
      <c r="K1036" s="87"/>
      <c r="L1036" s="87"/>
      <c r="M1036" s="1260">
        <f t="shared" si="140"/>
        <v>0</v>
      </c>
    </row>
    <row r="1037" spans="1:13">
      <c r="A1037" s="1399"/>
      <c r="B1037" s="694"/>
      <c r="C1037" s="685" t="s">
        <v>1581</v>
      </c>
      <c r="D1037" s="694" t="s">
        <v>7</v>
      </c>
      <c r="E1037" s="1149">
        <v>1.6999999999999999E-3</v>
      </c>
      <c r="F1037" s="639">
        <f>F1031*E1037</f>
        <v>0.13217925</v>
      </c>
      <c r="G1037" s="81"/>
      <c r="H1037" s="87">
        <f>F1037*G1037</f>
        <v>0</v>
      </c>
      <c r="I1037" s="87"/>
      <c r="J1037" s="87"/>
      <c r="K1037" s="87"/>
      <c r="L1037" s="87"/>
      <c r="M1037" s="1260">
        <f t="shared" si="140"/>
        <v>0</v>
      </c>
    </row>
    <row r="1038" spans="1:13" ht="47.25">
      <c r="A1038" s="1387" t="s">
        <v>38</v>
      </c>
      <c r="B1038" s="266" t="s">
        <v>883</v>
      </c>
      <c r="C1038" s="156" t="s">
        <v>1582</v>
      </c>
      <c r="D1038" s="75" t="s">
        <v>1</v>
      </c>
      <c r="E1038" s="83"/>
      <c r="F1038" s="83">
        <v>74.05</v>
      </c>
      <c r="G1038" s="77"/>
      <c r="H1038" s="77"/>
      <c r="I1038" s="77"/>
      <c r="J1038" s="77"/>
      <c r="K1038" s="77"/>
      <c r="L1038" s="77"/>
      <c r="M1038" s="1252"/>
    </row>
    <row r="1039" spans="1:13">
      <c r="A1039" s="1388"/>
      <c r="B1039" s="266"/>
      <c r="C1039" s="270" t="s">
        <v>1852</v>
      </c>
      <c r="D1039" s="1138" t="s">
        <v>1</v>
      </c>
      <c r="E1039" s="533">
        <v>1</v>
      </c>
      <c r="F1039" s="533">
        <f>F1038*E1039</f>
        <v>74.05</v>
      </c>
      <c r="G1039" s="491"/>
      <c r="H1039" s="491"/>
      <c r="I1039" s="491"/>
      <c r="J1039" s="491">
        <f>F1039*I1039</f>
        <v>0</v>
      </c>
      <c r="K1039" s="491"/>
      <c r="L1039" s="491"/>
      <c r="M1039" s="1271">
        <f t="shared" ref="M1039:M1045" si="141">H1039+J1039+L1039</f>
        <v>0</v>
      </c>
    </row>
    <row r="1040" spans="1:13">
      <c r="A1040" s="1388"/>
      <c r="B1040" s="1140" t="s">
        <v>415</v>
      </c>
      <c r="C1040" s="153" t="s">
        <v>396</v>
      </c>
      <c r="D1040" s="1138" t="s">
        <v>212</v>
      </c>
      <c r="E1040" s="535">
        <f>20.5/100</f>
        <v>0.20499999999999999</v>
      </c>
      <c r="F1040" s="535">
        <f>F1038*E1040</f>
        <v>15.180249999999999</v>
      </c>
      <c r="G1040" s="491"/>
      <c r="H1040" s="491"/>
      <c r="I1040" s="491"/>
      <c r="J1040" s="491"/>
      <c r="K1040" s="491"/>
      <c r="L1040" s="491">
        <f>F1040*K1040</f>
        <v>0</v>
      </c>
      <c r="M1040" s="1271">
        <f t="shared" si="141"/>
        <v>0</v>
      </c>
    </row>
    <row r="1041" spans="1:15">
      <c r="A1041" s="1388"/>
      <c r="B1041" s="1140"/>
      <c r="C1041" s="153" t="s">
        <v>14</v>
      </c>
      <c r="D1041" s="1138" t="s">
        <v>11</v>
      </c>
      <c r="E1041" s="535">
        <f>4*0.01</f>
        <v>0.04</v>
      </c>
      <c r="F1041" s="535">
        <f>F1038*E1041</f>
        <v>2.9619999999999997</v>
      </c>
      <c r="G1041" s="491"/>
      <c r="H1041" s="491"/>
      <c r="I1041" s="491"/>
      <c r="J1041" s="491"/>
      <c r="K1041" s="491"/>
      <c r="L1041" s="491">
        <f>F1041*K1041</f>
        <v>0</v>
      </c>
      <c r="M1041" s="1271">
        <f t="shared" si="141"/>
        <v>0</v>
      </c>
    </row>
    <row r="1042" spans="1:15">
      <c r="A1042" s="1388"/>
      <c r="B1042" s="1140"/>
      <c r="C1042" s="537" t="s">
        <v>1853</v>
      </c>
      <c r="D1042" s="1137" t="s">
        <v>319</v>
      </c>
      <c r="E1042" s="535">
        <f>1.41*0.01</f>
        <v>1.41E-2</v>
      </c>
      <c r="F1042" s="535">
        <f>F1038*E1042</f>
        <v>1.0441049999999998</v>
      </c>
      <c r="G1042" s="491"/>
      <c r="H1042" s="491">
        <f>F1042*G1042</f>
        <v>0</v>
      </c>
      <c r="I1042" s="491"/>
      <c r="J1042" s="491"/>
      <c r="K1042" s="491"/>
      <c r="L1042" s="491"/>
      <c r="M1042" s="1271">
        <f t="shared" si="141"/>
        <v>0</v>
      </c>
    </row>
    <row r="1043" spans="1:15">
      <c r="A1043" s="1388"/>
      <c r="B1043" s="266"/>
      <c r="C1043" s="270" t="s">
        <v>397</v>
      </c>
      <c r="D1043" s="184" t="str">
        <f>D1038</f>
        <v>g/m</v>
      </c>
      <c r="E1043" s="531">
        <v>1</v>
      </c>
      <c r="F1043" s="533">
        <f>F1038*E1043</f>
        <v>74.05</v>
      </c>
      <c r="G1043" s="491"/>
      <c r="H1043" s="491">
        <f>F1043*G1043</f>
        <v>0</v>
      </c>
      <c r="I1043" s="491"/>
      <c r="J1043" s="491"/>
      <c r="K1043" s="491"/>
      <c r="L1043" s="491"/>
      <c r="M1043" s="1271">
        <f t="shared" si="141"/>
        <v>0</v>
      </c>
    </row>
    <row r="1044" spans="1:15">
      <c r="A1044" s="1388"/>
      <c r="B1044" s="1140"/>
      <c r="C1044" s="537" t="s">
        <v>398</v>
      </c>
      <c r="D1044" s="1138" t="s">
        <v>113</v>
      </c>
      <c r="E1044" s="535">
        <f>0.002*1000*0.01</f>
        <v>0.02</v>
      </c>
      <c r="F1044" s="535">
        <f>F1038*E1044</f>
        <v>1.4809999999999999</v>
      </c>
      <c r="G1044" s="491"/>
      <c r="H1044" s="491">
        <f>F1044*G1044</f>
        <v>0</v>
      </c>
      <c r="I1044" s="491"/>
      <c r="J1044" s="491"/>
      <c r="K1044" s="491"/>
      <c r="L1044" s="491"/>
      <c r="M1044" s="1271">
        <f t="shared" si="141"/>
        <v>0</v>
      </c>
    </row>
    <row r="1045" spans="1:15">
      <c r="A1045" s="1388"/>
      <c r="B1045" s="1140"/>
      <c r="C1045" s="153" t="s">
        <v>26</v>
      </c>
      <c r="D1045" s="1138" t="s">
        <v>11</v>
      </c>
      <c r="E1045" s="535">
        <f>6*0.01</f>
        <v>0.06</v>
      </c>
      <c r="F1045" s="535">
        <f>F1038*E1045</f>
        <v>4.4429999999999996</v>
      </c>
      <c r="G1045" s="491"/>
      <c r="H1045" s="491">
        <f>F1045*G1045</f>
        <v>0</v>
      </c>
      <c r="I1045" s="491"/>
      <c r="J1045" s="491"/>
      <c r="K1045" s="491"/>
      <c r="L1045" s="491"/>
      <c r="M1045" s="1271">
        <f t="shared" si="141"/>
        <v>0</v>
      </c>
    </row>
    <row r="1046" spans="1:15" ht="31.5">
      <c r="A1046" s="1389" t="s">
        <v>409</v>
      </c>
      <c r="B1046" s="266" t="s">
        <v>343</v>
      </c>
      <c r="C1046" s="311" t="s">
        <v>402</v>
      </c>
      <c r="D1046" s="266" t="s">
        <v>279</v>
      </c>
      <c r="E1046" s="533"/>
      <c r="F1046" s="532">
        <f>(F1017+F1038)*0.9</f>
        <v>89.685000000000002</v>
      </c>
      <c r="G1046" s="491"/>
      <c r="H1046" s="491"/>
      <c r="I1046" s="491"/>
      <c r="J1046" s="491"/>
      <c r="K1046" s="491"/>
      <c r="L1046" s="491"/>
      <c r="M1046" s="1271"/>
    </row>
    <row r="1047" spans="1:15">
      <c r="A1047" s="1389"/>
      <c r="B1047" s="1141"/>
      <c r="C1047" s="527" t="s">
        <v>1802</v>
      </c>
      <c r="D1047" s="528" t="s">
        <v>5</v>
      </c>
      <c r="E1047" s="535">
        <v>1</v>
      </c>
      <c r="F1047" s="530">
        <f>F1046*E1047</f>
        <v>89.685000000000002</v>
      </c>
      <c r="G1047" s="491"/>
      <c r="H1047" s="491"/>
      <c r="I1047" s="491"/>
      <c r="J1047" s="491">
        <f>F1047*I1047</f>
        <v>0</v>
      </c>
      <c r="K1047" s="491"/>
      <c r="L1047" s="491"/>
      <c r="M1047" s="1271">
        <f>H1047+J1047+L1047</f>
        <v>0</v>
      </c>
    </row>
    <row r="1048" spans="1:15">
      <c r="A1048" s="1389"/>
      <c r="B1048" s="266"/>
      <c r="C1048" s="270" t="s">
        <v>14</v>
      </c>
      <c r="D1048" s="184" t="s">
        <v>11</v>
      </c>
      <c r="E1048" s="531">
        <f>0.03*0.01</f>
        <v>2.9999999999999997E-4</v>
      </c>
      <c r="F1048" s="531">
        <f>F1046*E1048</f>
        <v>2.6905499999999999E-2</v>
      </c>
      <c r="G1048" s="491"/>
      <c r="H1048" s="491"/>
      <c r="I1048" s="491"/>
      <c r="J1048" s="491"/>
      <c r="K1048" s="491"/>
      <c r="L1048" s="491">
        <f>F1048*K1048</f>
        <v>0</v>
      </c>
      <c r="M1048" s="1271">
        <f>H1048+J1048+L1048</f>
        <v>0</v>
      </c>
    </row>
    <row r="1049" spans="1:15">
      <c r="A1049" s="1389"/>
      <c r="B1049" s="266"/>
      <c r="C1049" s="270" t="s">
        <v>345</v>
      </c>
      <c r="D1049" s="523" t="s">
        <v>113</v>
      </c>
      <c r="E1049" s="533">
        <v>0.35</v>
      </c>
      <c r="F1049" s="533">
        <f>E1049*F1046</f>
        <v>31.389749999999999</v>
      </c>
      <c r="G1049" s="491"/>
      <c r="H1049" s="491">
        <f>F1049*G1049</f>
        <v>0</v>
      </c>
      <c r="I1049" s="491"/>
      <c r="J1049" s="491"/>
      <c r="K1049" s="491"/>
      <c r="L1049" s="491"/>
      <c r="M1049" s="1271">
        <f>H1049+J1049+L1049</f>
        <v>0</v>
      </c>
    </row>
    <row r="1050" spans="1:15">
      <c r="A1050" s="1389"/>
      <c r="B1050" s="266"/>
      <c r="C1050" s="270" t="s">
        <v>1107</v>
      </c>
      <c r="D1050" s="523" t="s">
        <v>113</v>
      </c>
      <c r="E1050" s="533">
        <v>2.7E-2</v>
      </c>
      <c r="F1050" s="533">
        <f>E1050*F1046</f>
        <v>2.4214950000000002</v>
      </c>
      <c r="G1050" s="491"/>
      <c r="H1050" s="491">
        <f>F1050*G1050</f>
        <v>0</v>
      </c>
      <c r="I1050" s="491"/>
      <c r="J1050" s="491"/>
      <c r="K1050" s="491"/>
      <c r="L1050" s="491"/>
      <c r="M1050" s="1271">
        <f>H1050+J1050+L1050</f>
        <v>0</v>
      </c>
    </row>
    <row r="1051" spans="1:15">
      <c r="A1051" s="1389"/>
      <c r="B1051" s="266"/>
      <c r="C1051" s="270" t="s">
        <v>26</v>
      </c>
      <c r="D1051" s="184" t="s">
        <v>11</v>
      </c>
      <c r="E1051" s="531">
        <v>1.9E-3</v>
      </c>
      <c r="F1051" s="531">
        <f>F1046*E1051</f>
        <v>0.17040150000000001</v>
      </c>
      <c r="G1051" s="491"/>
      <c r="H1051" s="491">
        <f>F1051*G1051</f>
        <v>0</v>
      </c>
      <c r="I1051" s="491"/>
      <c r="J1051" s="491"/>
      <c r="K1051" s="491"/>
      <c r="L1051" s="491"/>
      <c r="M1051" s="1271">
        <f>H1051+J1051+L1051</f>
        <v>0</v>
      </c>
    </row>
    <row r="1052" spans="1:15" ht="31.5" hidden="1">
      <c r="A1052" s="1387" t="s">
        <v>207</v>
      </c>
      <c r="B1052" s="42" t="s">
        <v>753</v>
      </c>
      <c r="C1052" s="311" t="s">
        <v>1587</v>
      </c>
      <c r="D1052" s="266" t="s">
        <v>5</v>
      </c>
      <c r="E1052" s="525"/>
      <c r="F1052" s="525">
        <v>0</v>
      </c>
      <c r="G1052" s="491"/>
      <c r="H1052" s="491"/>
      <c r="I1052" s="491"/>
      <c r="J1052" s="491"/>
      <c r="K1052" s="491"/>
      <c r="L1052" s="491"/>
      <c r="M1052" s="1271"/>
      <c r="O1052" s="1250" t="s">
        <v>1589</v>
      </c>
    </row>
    <row r="1053" spans="1:15" hidden="1">
      <c r="A1053" s="1388"/>
      <c r="B1053" s="1142"/>
      <c r="C1053" s="154" t="s">
        <v>458</v>
      </c>
      <c r="D1053" s="63" t="s">
        <v>5</v>
      </c>
      <c r="E1053" s="554">
        <f>(18.8-0.34*3)/100</f>
        <v>0.17780000000000001</v>
      </c>
      <c r="F1053" s="78">
        <f>F1052*E1053</f>
        <v>0</v>
      </c>
      <c r="G1053" s="146"/>
      <c r="H1053" s="77"/>
      <c r="I1053" s="77">
        <v>7.8</v>
      </c>
      <c r="J1053" s="77">
        <f>F1053*I1053</f>
        <v>0</v>
      </c>
      <c r="K1053" s="77"/>
      <c r="L1053" s="77"/>
      <c r="M1053" s="1252">
        <f>H1053+J1053+L1053</f>
        <v>0</v>
      </c>
    </row>
    <row r="1054" spans="1:15" hidden="1">
      <c r="A1054" s="1388"/>
      <c r="B1054" s="1142"/>
      <c r="C1054" s="154" t="s">
        <v>25</v>
      </c>
      <c r="D1054" s="63" t="s">
        <v>11</v>
      </c>
      <c r="E1054" s="554">
        <f>(0.95-0.23*3)/100</f>
        <v>2.599999999999999E-3</v>
      </c>
      <c r="F1054" s="78">
        <f>F1052*E1054</f>
        <v>0</v>
      </c>
      <c r="G1054" s="146"/>
      <c r="H1054" s="77"/>
      <c r="I1054" s="77"/>
      <c r="J1054" s="77"/>
      <c r="K1054" s="77">
        <v>4</v>
      </c>
      <c r="L1054" s="77">
        <f>F1054*K1054</f>
        <v>0</v>
      </c>
      <c r="M1054" s="1252">
        <f>H1054+J1054+L1054</f>
        <v>0</v>
      </c>
    </row>
    <row r="1055" spans="1:15" hidden="1">
      <c r="A1055" s="1399"/>
      <c r="B1055" s="1142"/>
      <c r="C1055" s="154" t="s">
        <v>1095</v>
      </c>
      <c r="D1055" s="63" t="s">
        <v>6</v>
      </c>
      <c r="E1055" s="554">
        <v>3</v>
      </c>
      <c r="F1055" s="78">
        <f>F1052*E1055</f>
        <v>0</v>
      </c>
      <c r="G1055" s="77">
        <v>10</v>
      </c>
      <c r="H1055" s="77">
        <f t="shared" ref="H1055" si="142">F1055*G1055</f>
        <v>0</v>
      </c>
      <c r="I1055" s="77"/>
      <c r="J1055" s="77"/>
      <c r="K1055" s="77"/>
      <c r="L1055" s="77"/>
      <c r="M1055" s="1252">
        <f>H1055+J1055+L1055</f>
        <v>0</v>
      </c>
    </row>
    <row r="1056" spans="1:15" ht="31.5">
      <c r="A1056" s="1387" t="s">
        <v>432</v>
      </c>
      <c r="B1056" s="266" t="s">
        <v>1588</v>
      </c>
      <c r="C1056" s="311" t="s">
        <v>1587</v>
      </c>
      <c r="D1056" s="266" t="s">
        <v>5</v>
      </c>
      <c r="E1056" s="525"/>
      <c r="F1056" s="525">
        <f>290+140</f>
        <v>430</v>
      </c>
      <c r="G1056" s="491"/>
      <c r="H1056" s="491"/>
      <c r="I1056" s="491"/>
      <c r="J1056" s="491"/>
      <c r="K1056" s="491"/>
      <c r="L1056" s="491"/>
      <c r="M1056" s="1271"/>
    </row>
    <row r="1057" spans="1:13">
      <c r="A1057" s="1388"/>
      <c r="B1057" s="266"/>
      <c r="C1057" s="154" t="s">
        <v>1856</v>
      </c>
      <c r="D1057" s="63" t="s">
        <v>5</v>
      </c>
      <c r="E1057" s="554">
        <f>(19.2+5.97*1)/100</f>
        <v>0.25169999999999998</v>
      </c>
      <c r="F1057" s="78">
        <f>F1056*E1057</f>
        <v>108.23099999999999</v>
      </c>
      <c r="G1057" s="146"/>
      <c r="H1057" s="77"/>
      <c r="I1057" s="77"/>
      <c r="J1057" s="77">
        <f>F1057*I1057</f>
        <v>0</v>
      </c>
      <c r="K1057" s="77"/>
      <c r="L1057" s="77"/>
      <c r="M1057" s="1252">
        <f>H1057+J1057+L1057</f>
        <v>0</v>
      </c>
    </row>
    <row r="1058" spans="1:13">
      <c r="A1058" s="1388"/>
      <c r="B1058" s="266"/>
      <c r="C1058" s="154" t="s">
        <v>25</v>
      </c>
      <c r="D1058" s="63" t="s">
        <v>11</v>
      </c>
      <c r="E1058" s="554">
        <f>(0.59+0.24*1)/100</f>
        <v>8.3000000000000001E-3</v>
      </c>
      <c r="F1058" s="78">
        <f>F1056*E1058</f>
        <v>3.569</v>
      </c>
      <c r="G1058" s="146"/>
      <c r="H1058" s="77"/>
      <c r="I1058" s="77"/>
      <c r="J1058" s="77"/>
      <c r="K1058" s="77"/>
      <c r="L1058" s="77">
        <f>F1058*K1058</f>
        <v>0</v>
      </c>
      <c r="M1058" s="1252">
        <f>H1058+J1058+L1058</f>
        <v>0</v>
      </c>
    </row>
    <row r="1059" spans="1:13">
      <c r="A1059" s="1388"/>
      <c r="B1059" s="266"/>
      <c r="C1059" s="154" t="s">
        <v>1095</v>
      </c>
      <c r="D1059" s="63" t="s">
        <v>6</v>
      </c>
      <c r="E1059" s="554">
        <v>3</v>
      </c>
      <c r="F1059" s="78">
        <f>F1056*E1059</f>
        <v>1290</v>
      </c>
      <c r="G1059" s="77"/>
      <c r="H1059" s="77">
        <f t="shared" ref="H1059" si="143">F1059*G1059</f>
        <v>0</v>
      </c>
      <c r="I1059" s="77"/>
      <c r="J1059" s="77"/>
      <c r="K1059" s="77"/>
      <c r="L1059" s="77"/>
      <c r="M1059" s="1252">
        <f>H1059+J1059+L1059</f>
        <v>0</v>
      </c>
    </row>
    <row r="1060" spans="1:13">
      <c r="A1060" s="1399"/>
      <c r="B1060" s="266"/>
      <c r="C1060" s="270" t="s">
        <v>26</v>
      </c>
      <c r="D1060" s="184" t="s">
        <v>11</v>
      </c>
      <c r="E1060" s="531">
        <f>0.19/100</f>
        <v>1.9E-3</v>
      </c>
      <c r="F1060" s="531">
        <f>F1056*E1060</f>
        <v>0.81699999999999995</v>
      </c>
      <c r="G1060" s="491"/>
      <c r="H1060" s="491">
        <f>F1060*G1060</f>
        <v>0</v>
      </c>
      <c r="I1060" s="491"/>
      <c r="J1060" s="491"/>
      <c r="K1060" s="491"/>
      <c r="L1060" s="491"/>
      <c r="M1060" s="1271">
        <f>H1060+J1060+L1060</f>
        <v>0</v>
      </c>
    </row>
    <row r="1061" spans="1:13" ht="31.5">
      <c r="A1061" s="1134"/>
      <c r="B1061" s="75"/>
      <c r="C1061" s="163" t="s">
        <v>1678</v>
      </c>
      <c r="D1061" s="75"/>
      <c r="E1061" s="83"/>
      <c r="F1061" s="83"/>
      <c r="G1061" s="77"/>
      <c r="H1061" s="77"/>
      <c r="I1061" s="77"/>
      <c r="J1061" s="77"/>
      <c r="K1061" s="77"/>
      <c r="L1061" s="77"/>
      <c r="M1061" s="1252"/>
    </row>
    <row r="1062" spans="1:13" ht="31.5">
      <c r="A1062" s="1387" t="s">
        <v>39</v>
      </c>
      <c r="B1062" s="636" t="s">
        <v>880</v>
      </c>
      <c r="C1062" s="156" t="s">
        <v>1574</v>
      </c>
      <c r="D1062" s="75" t="s">
        <v>5</v>
      </c>
      <c r="E1062" s="83"/>
      <c r="F1062" s="83">
        <v>62</v>
      </c>
      <c r="G1062" s="77"/>
      <c r="H1062" s="77"/>
      <c r="I1062" s="77"/>
      <c r="J1062" s="77"/>
      <c r="K1062" s="77"/>
      <c r="L1062" s="77"/>
      <c r="M1062" s="1252"/>
    </row>
    <row r="1063" spans="1:13">
      <c r="A1063" s="1388"/>
      <c r="B1063" s="24"/>
      <c r="C1063" s="51" t="s">
        <v>13</v>
      </c>
      <c r="D1063" s="46" t="s">
        <v>15</v>
      </c>
      <c r="E1063" s="84">
        <v>7.6</v>
      </c>
      <c r="F1063" s="282">
        <f>E1063*F1062</f>
        <v>471.2</v>
      </c>
      <c r="G1063" s="77"/>
      <c r="H1063" s="77"/>
      <c r="I1063" s="77"/>
      <c r="J1063" s="77">
        <f>F1063*I1063</f>
        <v>0</v>
      </c>
      <c r="K1063" s="77"/>
      <c r="L1063" s="77"/>
      <c r="M1063" s="1252">
        <f t="shared" ref="M1063:M1068" si="144">H1063+J1063+L1063</f>
        <v>0</v>
      </c>
    </row>
    <row r="1064" spans="1:13">
      <c r="A1064" s="1388"/>
      <c r="B1064" s="24"/>
      <c r="C1064" s="51" t="s">
        <v>14</v>
      </c>
      <c r="D1064" s="46" t="s">
        <v>11</v>
      </c>
      <c r="E1064" s="84">
        <v>0.2</v>
      </c>
      <c r="F1064" s="205">
        <f>F1062*E1064</f>
        <v>12.4</v>
      </c>
      <c r="G1064" s="77"/>
      <c r="H1064" s="77"/>
      <c r="I1064" s="77"/>
      <c r="J1064" s="77"/>
      <c r="K1064" s="77"/>
      <c r="L1064" s="77">
        <f>F1064*K1064</f>
        <v>0</v>
      </c>
      <c r="M1064" s="1252">
        <f t="shared" si="144"/>
        <v>0</v>
      </c>
    </row>
    <row r="1065" spans="1:13">
      <c r="A1065" s="1388"/>
      <c r="B1065" s="46"/>
      <c r="C1065" s="51" t="s">
        <v>1110</v>
      </c>
      <c r="D1065" s="24" t="s">
        <v>319</v>
      </c>
      <c r="E1065" s="84">
        <f>(3.6)/100</f>
        <v>3.6000000000000004E-2</v>
      </c>
      <c r="F1065" s="205">
        <f>F1062*E1065</f>
        <v>2.2320000000000002</v>
      </c>
      <c r="G1065" s="77"/>
      <c r="H1065" s="77">
        <f>F1065*G1065</f>
        <v>0</v>
      </c>
      <c r="I1065" s="77"/>
      <c r="J1065" s="77"/>
      <c r="K1065" s="77"/>
      <c r="L1065" s="77"/>
      <c r="M1065" s="1252">
        <f t="shared" si="144"/>
        <v>0</v>
      </c>
    </row>
    <row r="1066" spans="1:13">
      <c r="A1066" s="1388"/>
      <c r="B1066" s="24"/>
      <c r="C1066" s="51" t="s">
        <v>1845</v>
      </c>
      <c r="D1066" s="46" t="s">
        <v>234</v>
      </c>
      <c r="E1066" s="84">
        <v>1.05</v>
      </c>
      <c r="F1066" s="282">
        <f>E1066*F1062</f>
        <v>65.100000000000009</v>
      </c>
      <c r="G1066" s="77"/>
      <c r="H1066" s="77">
        <f>F1066*G1066</f>
        <v>0</v>
      </c>
      <c r="I1066" s="77"/>
      <c r="J1066" s="77"/>
      <c r="K1066" s="77"/>
      <c r="L1066" s="77"/>
      <c r="M1066" s="1252">
        <f t="shared" si="144"/>
        <v>0</v>
      </c>
    </row>
    <row r="1067" spans="1:13">
      <c r="A1067" s="1388"/>
      <c r="B1067" s="24"/>
      <c r="C1067" s="51" t="s">
        <v>26</v>
      </c>
      <c r="D1067" s="46" t="s">
        <v>11</v>
      </c>
      <c r="E1067" s="84">
        <f>9/100</f>
        <v>0.09</v>
      </c>
      <c r="F1067" s="282">
        <f>E1067*F1062</f>
        <v>5.58</v>
      </c>
      <c r="G1067" s="77"/>
      <c r="H1067" s="77">
        <f>F1067*G1067</f>
        <v>0</v>
      </c>
      <c r="I1067" s="77"/>
      <c r="J1067" s="77"/>
      <c r="K1067" s="77"/>
      <c r="L1067" s="77"/>
      <c r="M1067" s="1252">
        <f t="shared" si="144"/>
        <v>0</v>
      </c>
    </row>
    <row r="1068" spans="1:13">
      <c r="A1068" s="1399"/>
      <c r="B1068" s="694"/>
      <c r="C1068" s="685" t="s">
        <v>1581</v>
      </c>
      <c r="D1068" s="694" t="s">
        <v>7</v>
      </c>
      <c r="E1068" s="1149">
        <v>1.6999999999999999E-3</v>
      </c>
      <c r="F1068" s="639">
        <f>F1062*E1068</f>
        <v>0.10539999999999999</v>
      </c>
      <c r="G1068" s="81"/>
      <c r="H1068" s="87">
        <f>F1068*G1068</f>
        <v>0</v>
      </c>
      <c r="I1068" s="87"/>
      <c r="J1068" s="87"/>
      <c r="K1068" s="87"/>
      <c r="L1068" s="87"/>
      <c r="M1068" s="1260">
        <f t="shared" si="144"/>
        <v>0</v>
      </c>
    </row>
    <row r="1069" spans="1:13" ht="31.5">
      <c r="A1069" s="1387" t="s">
        <v>64</v>
      </c>
      <c r="B1069" s="1147" t="s">
        <v>1064</v>
      </c>
      <c r="C1069" s="156" t="s">
        <v>1575</v>
      </c>
      <c r="D1069" s="75" t="s">
        <v>5</v>
      </c>
      <c r="E1069" s="83"/>
      <c r="F1069" s="83">
        <f>62*5</f>
        <v>310</v>
      </c>
      <c r="G1069" s="77"/>
      <c r="H1069" s="77"/>
      <c r="I1069" s="77"/>
      <c r="J1069" s="77"/>
      <c r="K1069" s="77"/>
      <c r="L1069" s="77"/>
      <c r="M1069" s="1252"/>
    </row>
    <row r="1070" spans="1:13">
      <c r="A1070" s="1388"/>
      <c r="B1070" s="1145"/>
      <c r="C1070" s="686" t="s">
        <v>1855</v>
      </c>
      <c r="D1070" s="1146" t="s">
        <v>5</v>
      </c>
      <c r="E1070" s="639">
        <v>1</v>
      </c>
      <c r="F1070" s="91">
        <f>F1069*E1070</f>
        <v>310</v>
      </c>
      <c r="G1070" s="87"/>
      <c r="H1070" s="87"/>
      <c r="I1070" s="87"/>
      <c r="J1070" s="87">
        <f>F1070*I1070</f>
        <v>0</v>
      </c>
      <c r="K1070" s="87"/>
      <c r="L1070" s="87"/>
      <c r="M1070" s="1260">
        <f>H1070+J1070+L1070</f>
        <v>0</v>
      </c>
    </row>
    <row r="1071" spans="1:13">
      <c r="A1071" s="1388"/>
      <c r="B1071" s="1145"/>
      <c r="C1071" s="686" t="s">
        <v>1576</v>
      </c>
      <c r="D1071" s="1146" t="s">
        <v>16</v>
      </c>
      <c r="E1071" s="639">
        <v>2.4E-2</v>
      </c>
      <c r="F1071" s="91">
        <f>F1069*E1071</f>
        <v>7.44</v>
      </c>
      <c r="G1071" s="87"/>
      <c r="H1071" s="87"/>
      <c r="I1071" s="87"/>
      <c r="J1071" s="87"/>
      <c r="K1071" s="87"/>
      <c r="L1071" s="87">
        <f>F1071*K1071</f>
        <v>0</v>
      </c>
      <c r="M1071" s="1260">
        <f>H1071+J1071+L1071</f>
        <v>0</v>
      </c>
    </row>
    <row r="1072" spans="1:13">
      <c r="A1072" s="1388"/>
      <c r="B1072" s="1145"/>
      <c r="C1072" s="686" t="s">
        <v>25</v>
      </c>
      <c r="D1072" s="1146" t="s">
        <v>11</v>
      </c>
      <c r="E1072" s="639">
        <v>0.26</v>
      </c>
      <c r="F1072" s="91">
        <f>F1069*E1072</f>
        <v>80.600000000000009</v>
      </c>
      <c r="G1072" s="87"/>
      <c r="H1072" s="87"/>
      <c r="I1072" s="87"/>
      <c r="J1072" s="87"/>
      <c r="K1072" s="87"/>
      <c r="L1072" s="87">
        <f>F1072*K1072</f>
        <v>0</v>
      </c>
      <c r="M1072" s="1260">
        <f>H1072+J1072+L1072</f>
        <v>0</v>
      </c>
    </row>
    <row r="1073" spans="1:15">
      <c r="A1073" s="1399"/>
      <c r="B1073" s="1145"/>
      <c r="C1073" s="758" t="s">
        <v>1577</v>
      </c>
      <c r="D1073" s="1146" t="s">
        <v>4</v>
      </c>
      <c r="E1073" s="1288">
        <v>2.6800000000000001E-2</v>
      </c>
      <c r="F1073" s="1288">
        <f>F1069*E1073</f>
        <v>8.3079999999999998</v>
      </c>
      <c r="G1073" s="213"/>
      <c r="H1073" s="87">
        <f t="shared" ref="H1073" si="145">F1073*G1073</f>
        <v>0</v>
      </c>
      <c r="I1073" s="87"/>
      <c r="J1073" s="87"/>
      <c r="K1073" s="87"/>
      <c r="L1073" s="87"/>
      <c r="M1073" s="1260">
        <f t="shared" ref="M1073:M1075" si="146">H1073+J1073+L1073</f>
        <v>0</v>
      </c>
    </row>
    <row r="1074" spans="1:15" ht="39.75" customHeight="1">
      <c r="A1074" s="1134" t="s">
        <v>433</v>
      </c>
      <c r="B1074" s="266" t="s">
        <v>34</v>
      </c>
      <c r="C1074" s="311" t="s">
        <v>1578</v>
      </c>
      <c r="D1074" s="266" t="s">
        <v>5</v>
      </c>
      <c r="E1074" s="312"/>
      <c r="F1074" s="83">
        <f>F1069</f>
        <v>310</v>
      </c>
      <c r="G1074" s="80"/>
      <c r="H1074" s="80">
        <f>F1074*G1074</f>
        <v>0</v>
      </c>
      <c r="I1074" s="80"/>
      <c r="J1074" s="80">
        <f>F1074*I1074</f>
        <v>0</v>
      </c>
      <c r="K1074" s="80"/>
      <c r="L1074" s="80"/>
      <c r="M1074" s="1272">
        <f t="shared" si="146"/>
        <v>0</v>
      </c>
    </row>
    <row r="1075" spans="1:15" s="215" customFormat="1" ht="46.5" hidden="1" customHeight="1">
      <c r="A1075" s="1179" t="s">
        <v>434</v>
      </c>
      <c r="B1075" s="747" t="s">
        <v>34</v>
      </c>
      <c r="C1075" s="288" t="s">
        <v>1681</v>
      </c>
      <c r="D1075" s="44" t="s">
        <v>5</v>
      </c>
      <c r="E1075" s="1283">
        <f>F1074</f>
        <v>310</v>
      </c>
      <c r="F1075" s="383"/>
      <c r="G1075" s="1226">
        <v>20</v>
      </c>
      <c r="H1075" s="77">
        <f>F1075*G1075</f>
        <v>0</v>
      </c>
      <c r="I1075" s="77">
        <v>25</v>
      </c>
      <c r="J1075" s="77">
        <f>F1075*I1075</f>
        <v>0</v>
      </c>
      <c r="K1075" s="77">
        <v>3</v>
      </c>
      <c r="L1075" s="77">
        <f>F1075*K1075</f>
        <v>0</v>
      </c>
      <c r="M1075" s="1252">
        <f t="shared" si="146"/>
        <v>0</v>
      </c>
      <c r="N1075" s="1253"/>
      <c r="O1075" s="1254"/>
    </row>
    <row r="1076" spans="1:15" ht="31.5">
      <c r="A1076" s="1387" t="s">
        <v>69</v>
      </c>
      <c r="B1076" s="266" t="s">
        <v>883</v>
      </c>
      <c r="C1076" s="156" t="s">
        <v>1584</v>
      </c>
      <c r="D1076" s="75" t="s">
        <v>1</v>
      </c>
      <c r="E1076" s="83"/>
      <c r="F1076" s="83">
        <v>54</v>
      </c>
      <c r="G1076" s="77"/>
      <c r="H1076" s="77"/>
      <c r="I1076" s="77"/>
      <c r="J1076" s="77"/>
      <c r="K1076" s="77"/>
      <c r="L1076" s="77"/>
      <c r="M1076" s="1252"/>
    </row>
    <row r="1077" spans="1:15">
      <c r="A1077" s="1388"/>
      <c r="B1077" s="266"/>
      <c r="C1077" s="270" t="s">
        <v>1857</v>
      </c>
      <c r="D1077" s="1138" t="s">
        <v>1</v>
      </c>
      <c r="E1077" s="533">
        <v>1</v>
      </c>
      <c r="F1077" s="533">
        <f>F1076*E1077</f>
        <v>54</v>
      </c>
      <c r="G1077" s="491"/>
      <c r="H1077" s="491"/>
      <c r="I1077" s="491"/>
      <c r="J1077" s="491">
        <f>F1077*I1077</f>
        <v>0</v>
      </c>
      <c r="K1077" s="491"/>
      <c r="L1077" s="491"/>
      <c r="M1077" s="1271">
        <f t="shared" ref="M1077:M1083" si="147">H1077+J1077+L1077</f>
        <v>0</v>
      </c>
    </row>
    <row r="1078" spans="1:15">
      <c r="A1078" s="1388"/>
      <c r="B1078" s="1140" t="s">
        <v>415</v>
      </c>
      <c r="C1078" s="153" t="s">
        <v>396</v>
      </c>
      <c r="D1078" s="1138" t="s">
        <v>212</v>
      </c>
      <c r="E1078" s="535">
        <f>20.5/100</f>
        <v>0.20499999999999999</v>
      </c>
      <c r="F1078" s="535">
        <f>F1076*E1078</f>
        <v>11.069999999999999</v>
      </c>
      <c r="G1078" s="491"/>
      <c r="H1078" s="491"/>
      <c r="I1078" s="491"/>
      <c r="J1078" s="491"/>
      <c r="K1078" s="491"/>
      <c r="L1078" s="491">
        <f>F1078*K1078</f>
        <v>0</v>
      </c>
      <c r="M1078" s="1271">
        <f t="shared" si="147"/>
        <v>0</v>
      </c>
    </row>
    <row r="1079" spans="1:15">
      <c r="A1079" s="1388"/>
      <c r="B1079" s="1140"/>
      <c r="C1079" s="153" t="s">
        <v>14</v>
      </c>
      <c r="D1079" s="1138" t="s">
        <v>11</v>
      </c>
      <c r="E1079" s="535">
        <f>4*0.01</f>
        <v>0.04</v>
      </c>
      <c r="F1079" s="535">
        <f>F1076*E1079</f>
        <v>2.16</v>
      </c>
      <c r="G1079" s="491"/>
      <c r="H1079" s="491"/>
      <c r="I1079" s="491"/>
      <c r="J1079" s="491"/>
      <c r="K1079" s="491"/>
      <c r="L1079" s="491">
        <f>F1079*K1079</f>
        <v>0</v>
      </c>
      <c r="M1079" s="1271">
        <f t="shared" si="147"/>
        <v>0</v>
      </c>
    </row>
    <row r="1080" spans="1:15">
      <c r="A1080" s="1388"/>
      <c r="B1080" s="1140"/>
      <c r="C1080" s="537" t="s">
        <v>1858</v>
      </c>
      <c r="D1080" s="1137" t="s">
        <v>319</v>
      </c>
      <c r="E1080" s="535">
        <f>1.41*0.01</f>
        <v>1.41E-2</v>
      </c>
      <c r="F1080" s="535">
        <f>F1076*E1080</f>
        <v>0.76139999999999997</v>
      </c>
      <c r="G1080" s="491"/>
      <c r="H1080" s="491">
        <f>F1080*G1080</f>
        <v>0</v>
      </c>
      <c r="I1080" s="491"/>
      <c r="J1080" s="491"/>
      <c r="K1080" s="491"/>
      <c r="L1080" s="491"/>
      <c r="M1080" s="1271">
        <f t="shared" si="147"/>
        <v>0</v>
      </c>
    </row>
    <row r="1081" spans="1:15">
      <c r="A1081" s="1388"/>
      <c r="B1081" s="266"/>
      <c r="C1081" s="270" t="s">
        <v>397</v>
      </c>
      <c r="D1081" s="184" t="str">
        <f>D1076</f>
        <v>g/m</v>
      </c>
      <c r="E1081" s="531">
        <v>1</v>
      </c>
      <c r="F1081" s="533">
        <f>F1076*E1081</f>
        <v>54</v>
      </c>
      <c r="G1081" s="491"/>
      <c r="H1081" s="491">
        <f>F1081*G1081</f>
        <v>0</v>
      </c>
      <c r="I1081" s="491"/>
      <c r="J1081" s="491"/>
      <c r="K1081" s="491"/>
      <c r="L1081" s="491"/>
      <c r="M1081" s="1271">
        <f t="shared" si="147"/>
        <v>0</v>
      </c>
    </row>
    <row r="1082" spans="1:15">
      <c r="A1082" s="1388"/>
      <c r="B1082" s="1140"/>
      <c r="C1082" s="537" t="s">
        <v>398</v>
      </c>
      <c r="D1082" s="1138" t="s">
        <v>113</v>
      </c>
      <c r="E1082" s="535">
        <f>0.002*1000*0.01</f>
        <v>0.02</v>
      </c>
      <c r="F1082" s="535">
        <f>F1076*E1082</f>
        <v>1.08</v>
      </c>
      <c r="G1082" s="491"/>
      <c r="H1082" s="491">
        <f>F1082*G1082</f>
        <v>0</v>
      </c>
      <c r="I1082" s="491"/>
      <c r="J1082" s="491"/>
      <c r="K1082" s="491"/>
      <c r="L1082" s="491"/>
      <c r="M1082" s="1271">
        <f t="shared" si="147"/>
        <v>0</v>
      </c>
    </row>
    <row r="1083" spans="1:15">
      <c r="A1083" s="1388"/>
      <c r="B1083" s="1140"/>
      <c r="C1083" s="153" t="s">
        <v>26</v>
      </c>
      <c r="D1083" s="1138" t="s">
        <v>11</v>
      </c>
      <c r="E1083" s="535">
        <f>6*0.01</f>
        <v>0.06</v>
      </c>
      <c r="F1083" s="535">
        <f>F1076*E1083</f>
        <v>3.2399999999999998</v>
      </c>
      <c r="G1083" s="491"/>
      <c r="H1083" s="491">
        <f>F1083*G1083</f>
        <v>0</v>
      </c>
      <c r="I1083" s="491"/>
      <c r="J1083" s="491"/>
      <c r="K1083" s="491"/>
      <c r="L1083" s="491"/>
      <c r="M1083" s="1271">
        <f t="shared" si="147"/>
        <v>0</v>
      </c>
    </row>
    <row r="1084" spans="1:15" ht="31.5">
      <c r="A1084" s="1389" t="s">
        <v>118</v>
      </c>
      <c r="B1084" s="266" t="s">
        <v>343</v>
      </c>
      <c r="C1084" s="311" t="s">
        <v>402</v>
      </c>
      <c r="D1084" s="266" t="s">
        <v>279</v>
      </c>
      <c r="E1084" s="533"/>
      <c r="F1084" s="532">
        <f>(F1076)*0.9</f>
        <v>48.6</v>
      </c>
      <c r="G1084" s="491"/>
      <c r="H1084" s="491"/>
      <c r="I1084" s="491"/>
      <c r="J1084" s="491"/>
      <c r="K1084" s="491"/>
      <c r="L1084" s="491"/>
      <c r="M1084" s="1271"/>
    </row>
    <row r="1085" spans="1:15">
      <c r="A1085" s="1389"/>
      <c r="B1085" s="1141"/>
      <c r="C1085" s="527" t="s">
        <v>1802</v>
      </c>
      <c r="D1085" s="528" t="s">
        <v>5</v>
      </c>
      <c r="E1085" s="535">
        <v>1</v>
      </c>
      <c r="F1085" s="530">
        <f>F1084*E1085</f>
        <v>48.6</v>
      </c>
      <c r="G1085" s="491"/>
      <c r="H1085" s="491"/>
      <c r="I1085" s="491"/>
      <c r="J1085" s="491">
        <f>F1085*I1085</f>
        <v>0</v>
      </c>
      <c r="K1085" s="491"/>
      <c r="L1085" s="491"/>
      <c r="M1085" s="1271">
        <f>H1085+J1085+L1085</f>
        <v>0</v>
      </c>
    </row>
    <row r="1086" spans="1:15">
      <c r="A1086" s="1389"/>
      <c r="B1086" s="266"/>
      <c r="C1086" s="270" t="s">
        <v>14</v>
      </c>
      <c r="D1086" s="184" t="s">
        <v>11</v>
      </c>
      <c r="E1086" s="531">
        <f>0.03*0.01</f>
        <v>2.9999999999999997E-4</v>
      </c>
      <c r="F1086" s="531">
        <f>F1084*E1086</f>
        <v>1.4579999999999999E-2</v>
      </c>
      <c r="G1086" s="491"/>
      <c r="H1086" s="491"/>
      <c r="I1086" s="491"/>
      <c r="J1086" s="491"/>
      <c r="K1086" s="491"/>
      <c r="L1086" s="491">
        <f>F1086*K1086</f>
        <v>0</v>
      </c>
      <c r="M1086" s="1271">
        <f>H1086+J1086+L1086</f>
        <v>0</v>
      </c>
    </row>
    <row r="1087" spans="1:15">
      <c r="A1087" s="1389"/>
      <c r="B1087" s="266"/>
      <c r="C1087" s="270" t="s">
        <v>345</v>
      </c>
      <c r="D1087" s="523" t="s">
        <v>113</v>
      </c>
      <c r="E1087" s="533">
        <v>0.35</v>
      </c>
      <c r="F1087" s="533">
        <f>E1087*F1084</f>
        <v>17.009999999999998</v>
      </c>
      <c r="G1087" s="491"/>
      <c r="H1087" s="491">
        <f>F1087*G1087</f>
        <v>0</v>
      </c>
      <c r="I1087" s="491"/>
      <c r="J1087" s="491"/>
      <c r="K1087" s="491"/>
      <c r="L1087" s="491"/>
      <c r="M1087" s="1271">
        <f>H1087+J1087+L1087</f>
        <v>0</v>
      </c>
    </row>
    <row r="1088" spans="1:15">
      <c r="A1088" s="1389"/>
      <c r="B1088" s="266"/>
      <c r="C1088" s="270" t="s">
        <v>574</v>
      </c>
      <c r="D1088" s="523" t="s">
        <v>113</v>
      </c>
      <c r="E1088" s="533">
        <v>2.7E-2</v>
      </c>
      <c r="F1088" s="533">
        <f>E1088*F1084</f>
        <v>1.3122</v>
      </c>
      <c r="G1088" s="491"/>
      <c r="H1088" s="491">
        <f>F1088*G1088</f>
        <v>0</v>
      </c>
      <c r="I1088" s="491"/>
      <c r="J1088" s="491"/>
      <c r="K1088" s="491"/>
      <c r="L1088" s="491"/>
      <c r="M1088" s="1271">
        <f>H1088+J1088+L1088</f>
        <v>0</v>
      </c>
    </row>
    <row r="1089" spans="1:15">
      <c r="A1089" s="1389"/>
      <c r="B1089" s="266"/>
      <c r="C1089" s="270" t="s">
        <v>26</v>
      </c>
      <c r="D1089" s="184" t="s">
        <v>11</v>
      </c>
      <c r="E1089" s="531">
        <v>1.9E-3</v>
      </c>
      <c r="F1089" s="531">
        <f>F1084*E1089</f>
        <v>9.2340000000000005E-2</v>
      </c>
      <c r="G1089" s="491"/>
      <c r="H1089" s="491">
        <f>F1089*G1089</f>
        <v>0</v>
      </c>
      <c r="I1089" s="491"/>
      <c r="J1089" s="491"/>
      <c r="K1089" s="491"/>
      <c r="L1089" s="491"/>
      <c r="M1089" s="1271">
        <f>H1089+J1089+L1089</f>
        <v>0</v>
      </c>
    </row>
    <row r="1090" spans="1:15">
      <c r="A1090" s="1134"/>
      <c r="B1090" s="75"/>
      <c r="C1090" s="92"/>
      <c r="D1090" s="203"/>
      <c r="E1090" s="45"/>
      <c r="F1090" s="45"/>
      <c r="G1090" s="77"/>
      <c r="H1090" s="77"/>
      <c r="I1090" s="77"/>
      <c r="J1090" s="77"/>
      <c r="K1090" s="77"/>
      <c r="L1090" s="77"/>
      <c r="M1090" s="1252"/>
    </row>
    <row r="1091" spans="1:15" s="660" customFormat="1" ht="27.75" customHeight="1">
      <c r="A1091" s="1152"/>
      <c r="B1091" s="1153"/>
      <c r="C1091" s="1151" t="s">
        <v>445</v>
      </c>
      <c r="D1091" s="1154"/>
      <c r="E1091" s="1155"/>
      <c r="F1091" s="1156"/>
      <c r="G1091" s="666"/>
      <c r="H1091" s="448"/>
      <c r="I1091" s="637"/>
      <c r="J1091" s="448"/>
      <c r="K1091" s="637"/>
      <c r="L1091" s="448"/>
      <c r="M1091" s="1251"/>
      <c r="N1091" s="1250"/>
      <c r="O1091" s="1273"/>
    </row>
    <row r="1092" spans="1:15" s="660" customFormat="1" ht="31.5">
      <c r="A1092" s="1427" t="s">
        <v>429</v>
      </c>
      <c r="B1092" s="44" t="s">
        <v>335</v>
      </c>
      <c r="C1092" s="140" t="s">
        <v>995</v>
      </c>
      <c r="D1092" s="668" t="s">
        <v>4</v>
      </c>
      <c r="E1092" s="723"/>
      <c r="F1092" s="383">
        <f>3*4*0.54</f>
        <v>6.48</v>
      </c>
      <c r="G1092" s="87"/>
      <c r="H1092" s="448"/>
      <c r="I1092" s="87"/>
      <c r="J1092" s="448"/>
      <c r="K1092" s="87"/>
      <c r="L1092" s="448"/>
      <c r="M1092" s="1251"/>
      <c r="N1092" s="1250"/>
      <c r="O1092" s="1273"/>
    </row>
    <row r="1093" spans="1:15" s="660" customFormat="1">
      <c r="A1093" s="1428"/>
      <c r="B1093" s="44"/>
      <c r="C1093" s="669" t="s">
        <v>13</v>
      </c>
      <c r="D1093" s="693" t="s">
        <v>15</v>
      </c>
      <c r="E1093" s="709">
        <v>3.88</v>
      </c>
      <c r="F1093" s="709">
        <f>F1092*E1093</f>
        <v>25.142400000000002</v>
      </c>
      <c r="G1093" s="659"/>
      <c r="H1093" s="448"/>
      <c r="I1093" s="87"/>
      <c r="J1093" s="448">
        <f>F1093*I1093</f>
        <v>0</v>
      </c>
      <c r="K1093" s="87"/>
      <c r="L1093" s="448"/>
      <c r="M1093" s="1251">
        <f>H1093+J1093+L1093</f>
        <v>0</v>
      </c>
      <c r="N1093" s="1250"/>
      <c r="O1093" s="1273"/>
    </row>
    <row r="1094" spans="1:15" s="660" customFormat="1" ht="31.5">
      <c r="A1094" s="1429" t="s">
        <v>430</v>
      </c>
      <c r="B1094" s="44" t="s">
        <v>252</v>
      </c>
      <c r="C1094" s="139" t="s">
        <v>996</v>
      </c>
      <c r="D1094" s="44" t="s">
        <v>318</v>
      </c>
      <c r="E1094" s="383"/>
      <c r="F1094" s="383">
        <f>3*4*0.2</f>
        <v>2.4000000000000004</v>
      </c>
      <c r="G1094" s="670"/>
      <c r="H1094" s="448"/>
      <c r="I1094" s="670"/>
      <c r="J1094" s="448"/>
      <c r="K1094" s="670"/>
      <c r="L1094" s="448"/>
      <c r="M1094" s="1251"/>
      <c r="N1094" s="1250"/>
      <c r="O1094" s="1273"/>
    </row>
    <row r="1095" spans="1:15" s="660" customFormat="1">
      <c r="A1095" s="1430"/>
      <c r="B1095" s="44"/>
      <c r="C1095" s="142" t="s">
        <v>13</v>
      </c>
      <c r="D1095" s="695" t="s">
        <v>15</v>
      </c>
      <c r="E1095" s="1235">
        <v>3.52</v>
      </c>
      <c r="F1095" s="1235">
        <f>F1094*E1095</f>
        <v>8.4480000000000022</v>
      </c>
      <c r="G1095" s="87"/>
      <c r="H1095" s="448"/>
      <c r="I1095" s="87"/>
      <c r="J1095" s="448">
        <f>F1095*I1095</f>
        <v>0</v>
      </c>
      <c r="K1095" s="87"/>
      <c r="L1095" s="448"/>
      <c r="M1095" s="1251">
        <f>H1095+J1095+L1095</f>
        <v>0</v>
      </c>
      <c r="N1095" s="1250"/>
      <c r="O1095" s="1273"/>
    </row>
    <row r="1096" spans="1:15" s="660" customFormat="1">
      <c r="A1096" s="1430"/>
      <c r="B1096" s="44"/>
      <c r="C1096" s="142" t="s">
        <v>25</v>
      </c>
      <c r="D1096" s="695" t="s">
        <v>11</v>
      </c>
      <c r="E1096" s="1235">
        <v>1.06</v>
      </c>
      <c r="F1096" s="1235">
        <f>F1094*E1096</f>
        <v>2.5440000000000005</v>
      </c>
      <c r="G1096" s="87"/>
      <c r="H1096" s="448"/>
      <c r="I1096" s="87"/>
      <c r="J1096" s="448"/>
      <c r="K1096" s="87"/>
      <c r="L1096" s="448">
        <f>F1096*K1096</f>
        <v>0</v>
      </c>
      <c r="M1096" s="1251">
        <f>H1096+J1096+L1096</f>
        <v>0</v>
      </c>
      <c r="N1096" s="1250"/>
      <c r="O1096" s="1273"/>
    </row>
    <row r="1097" spans="1:15" s="660" customFormat="1">
      <c r="A1097" s="1430"/>
      <c r="B1097" s="44"/>
      <c r="C1097" s="142" t="s">
        <v>220</v>
      </c>
      <c r="D1097" s="695" t="s">
        <v>4</v>
      </c>
      <c r="E1097" s="1235">
        <f>0.18+0.09+0.97</f>
        <v>1.24</v>
      </c>
      <c r="F1097" s="1235">
        <f>F1094*E1097</f>
        <v>2.9760000000000004</v>
      </c>
      <c r="G1097" s="87"/>
      <c r="H1097" s="448">
        <f>F1097*G1097</f>
        <v>0</v>
      </c>
      <c r="I1097" s="87"/>
      <c r="J1097" s="448"/>
      <c r="K1097" s="87"/>
      <c r="L1097" s="448"/>
      <c r="M1097" s="1251">
        <f>H1097+J1097+L1097</f>
        <v>0</v>
      </c>
      <c r="N1097" s="1250"/>
      <c r="O1097" s="1273"/>
    </row>
    <row r="1098" spans="1:15" s="660" customFormat="1">
      <c r="A1098" s="1431"/>
      <c r="B1098" s="44"/>
      <c r="C1098" s="142" t="s">
        <v>26</v>
      </c>
      <c r="D1098" s="695" t="s">
        <v>11</v>
      </c>
      <c r="E1098" s="1235">
        <v>0.02</v>
      </c>
      <c r="F1098" s="1235">
        <f>F1094*E1098</f>
        <v>4.8000000000000008E-2</v>
      </c>
      <c r="G1098" s="87"/>
      <c r="H1098" s="448">
        <f>F1098*G1098</f>
        <v>0</v>
      </c>
      <c r="I1098" s="87"/>
      <c r="J1098" s="448"/>
      <c r="K1098" s="87"/>
      <c r="L1098" s="448"/>
      <c r="M1098" s="1251">
        <f>H1098+J1098+L1098</f>
        <v>0</v>
      </c>
      <c r="N1098" s="1250"/>
      <c r="O1098" s="1273"/>
    </row>
    <row r="1099" spans="1:15" s="660" customFormat="1" ht="31.5" hidden="1">
      <c r="A1099" s="1432" t="s">
        <v>207</v>
      </c>
      <c r="B1099" s="636" t="s">
        <v>407</v>
      </c>
      <c r="C1099" s="671" t="s">
        <v>446</v>
      </c>
      <c r="D1099" s="636" t="s">
        <v>318</v>
      </c>
      <c r="E1099" s="706"/>
      <c r="F1099" s="706">
        <v>0</v>
      </c>
      <c r="G1099" s="670"/>
      <c r="H1099" s="448"/>
      <c r="I1099" s="670"/>
      <c r="J1099" s="448"/>
      <c r="K1099" s="670"/>
      <c r="L1099" s="448"/>
      <c r="M1099" s="1251"/>
      <c r="N1099" s="1250"/>
      <c r="O1099" s="1273"/>
    </row>
    <row r="1100" spans="1:15" s="660" customFormat="1" hidden="1">
      <c r="A1100" s="1432"/>
      <c r="B1100" s="636"/>
      <c r="C1100" s="641" t="s">
        <v>67</v>
      </c>
      <c r="D1100" s="694" t="s">
        <v>109</v>
      </c>
      <c r="E1100" s="639">
        <v>1.37</v>
      </c>
      <c r="F1100" s="639">
        <f>E1100*F1099</f>
        <v>0</v>
      </c>
      <c r="G1100" s="637"/>
      <c r="H1100" s="448"/>
      <c r="I1100" s="637">
        <v>7.8</v>
      </c>
      <c r="J1100" s="448">
        <f>F1100*I1100</f>
        <v>0</v>
      </c>
      <c r="K1100" s="637"/>
      <c r="L1100" s="448"/>
      <c r="M1100" s="1251">
        <f t="shared" ref="M1100:M1162" si="148">H1100+J1100+L1100</f>
        <v>0</v>
      </c>
      <c r="N1100" s="1250"/>
      <c r="O1100" s="1273"/>
    </row>
    <row r="1101" spans="1:15" s="660" customFormat="1" hidden="1">
      <c r="A1101" s="1432"/>
      <c r="B1101" s="636"/>
      <c r="C1101" s="128" t="s">
        <v>14</v>
      </c>
      <c r="D1101" s="635" t="s">
        <v>11</v>
      </c>
      <c r="E1101" s="639">
        <v>0.28299999999999997</v>
      </c>
      <c r="F1101" s="639">
        <f>E1101*F1099</f>
        <v>0</v>
      </c>
      <c r="G1101" s="637"/>
      <c r="H1101" s="448"/>
      <c r="I1101" s="637"/>
      <c r="J1101" s="448"/>
      <c r="K1101" s="637">
        <v>4</v>
      </c>
      <c r="L1101" s="448">
        <f>F1101*K1101</f>
        <v>0</v>
      </c>
      <c r="M1101" s="1251">
        <f t="shared" si="148"/>
        <v>0</v>
      </c>
      <c r="N1101" s="1250"/>
      <c r="O1101" s="1273"/>
    </row>
    <row r="1102" spans="1:15" s="660" customFormat="1" hidden="1">
      <c r="A1102" s="1432"/>
      <c r="B1102" s="636" t="s">
        <v>997</v>
      </c>
      <c r="C1102" s="641" t="s">
        <v>965</v>
      </c>
      <c r="D1102" s="694" t="s">
        <v>319</v>
      </c>
      <c r="E1102" s="639">
        <v>1.02</v>
      </c>
      <c r="F1102" s="639">
        <f>E1102*F1099</f>
        <v>0</v>
      </c>
      <c r="G1102" s="637">
        <v>108</v>
      </c>
      <c r="H1102" s="448">
        <f t="shared" ref="H1102:H1120" si="149">F1102*G1102</f>
        <v>0</v>
      </c>
      <c r="I1102" s="637"/>
      <c r="J1102" s="448"/>
      <c r="K1102" s="637"/>
      <c r="L1102" s="448"/>
      <c r="M1102" s="1251">
        <f t="shared" si="148"/>
        <v>0</v>
      </c>
      <c r="N1102" s="1250"/>
      <c r="O1102" s="1273"/>
    </row>
    <row r="1103" spans="1:15" s="660" customFormat="1" hidden="1">
      <c r="A1103" s="1432"/>
      <c r="B1103" s="636"/>
      <c r="C1103" s="128" t="s">
        <v>26</v>
      </c>
      <c r="D1103" s="144" t="s">
        <v>11</v>
      </c>
      <c r="E1103" s="639">
        <v>0.62</v>
      </c>
      <c r="F1103" s="639">
        <f>E1103*F1099</f>
        <v>0</v>
      </c>
      <c r="G1103" s="637">
        <v>4</v>
      </c>
      <c r="H1103" s="448">
        <f t="shared" si="149"/>
        <v>0</v>
      </c>
      <c r="I1103" s="637"/>
      <c r="J1103" s="448"/>
      <c r="K1103" s="637"/>
      <c r="L1103" s="448"/>
      <c r="M1103" s="1251">
        <f t="shared" si="148"/>
        <v>0</v>
      </c>
      <c r="N1103" s="1250"/>
      <c r="O1103" s="1273"/>
    </row>
    <row r="1104" spans="1:15" s="660" customFormat="1" ht="31.5">
      <c r="A1104" s="1427" t="s">
        <v>83</v>
      </c>
      <c r="B1104" s="636" t="s">
        <v>231</v>
      </c>
      <c r="C1104" s="671" t="s">
        <v>998</v>
      </c>
      <c r="D1104" s="636" t="s">
        <v>318</v>
      </c>
      <c r="E1104" s="706"/>
      <c r="F1104" s="706">
        <v>5.38</v>
      </c>
      <c r="G1104" s="670"/>
      <c r="H1104" s="448"/>
      <c r="I1104" s="670"/>
      <c r="J1104" s="448"/>
      <c r="K1104" s="670"/>
      <c r="L1104" s="448"/>
      <c r="M1104" s="1251"/>
      <c r="N1104" s="1250"/>
      <c r="O1104" s="1273"/>
    </row>
    <row r="1105" spans="1:15" s="660" customFormat="1">
      <c r="A1105" s="1433"/>
      <c r="B1105" s="636"/>
      <c r="C1105" s="641" t="s">
        <v>1791</v>
      </c>
      <c r="D1105" s="694" t="s">
        <v>1123</v>
      </c>
      <c r="E1105" s="639">
        <v>1</v>
      </c>
      <c r="F1105" s="639">
        <f>E1105*F1104</f>
        <v>5.38</v>
      </c>
      <c r="G1105" s="637"/>
      <c r="H1105" s="448"/>
      <c r="I1105" s="637"/>
      <c r="J1105" s="448">
        <f>F1105*I1105</f>
        <v>0</v>
      </c>
      <c r="K1105" s="637"/>
      <c r="L1105" s="448"/>
      <c r="M1105" s="1251">
        <f t="shared" si="148"/>
        <v>0</v>
      </c>
      <c r="N1105" s="1250"/>
      <c r="O1105" s="1273"/>
    </row>
    <row r="1106" spans="1:15" s="660" customFormat="1">
      <c r="A1106" s="1433"/>
      <c r="B1106" s="636"/>
      <c r="C1106" s="131" t="s">
        <v>14</v>
      </c>
      <c r="D1106" s="46" t="s">
        <v>11</v>
      </c>
      <c r="E1106" s="639">
        <f>81*0.01</f>
        <v>0.81</v>
      </c>
      <c r="F1106" s="639">
        <f>E1106*F1104</f>
        <v>4.3578000000000001</v>
      </c>
      <c r="G1106" s="637"/>
      <c r="H1106" s="448"/>
      <c r="I1106" s="637"/>
      <c r="J1106" s="448"/>
      <c r="K1106" s="637"/>
      <c r="L1106" s="448">
        <f>F1106*K1106</f>
        <v>0</v>
      </c>
      <c r="M1106" s="1251">
        <f t="shared" si="148"/>
        <v>0</v>
      </c>
      <c r="N1106" s="1250"/>
      <c r="O1106" s="1273"/>
    </row>
    <row r="1107" spans="1:15" s="660" customFormat="1">
      <c r="A1107" s="1433"/>
      <c r="B1107" s="636"/>
      <c r="C1107" s="641" t="s">
        <v>91</v>
      </c>
      <c r="D1107" s="694" t="s">
        <v>319</v>
      </c>
      <c r="E1107" s="639">
        <f>101.5*0.01</f>
        <v>1.0150000000000001</v>
      </c>
      <c r="F1107" s="639">
        <f>E1107*F1104</f>
        <v>5.460700000000001</v>
      </c>
      <c r="G1107" s="637"/>
      <c r="H1107" s="448">
        <f t="shared" si="149"/>
        <v>0</v>
      </c>
      <c r="I1107" s="637"/>
      <c r="J1107" s="448"/>
      <c r="K1107" s="637"/>
      <c r="L1107" s="448"/>
      <c r="M1107" s="1251">
        <f t="shared" si="148"/>
        <v>0</v>
      </c>
      <c r="N1107" s="1250"/>
      <c r="O1107" s="1273"/>
    </row>
    <row r="1108" spans="1:15" s="660" customFormat="1">
      <c r="A1108" s="1433"/>
      <c r="B1108" s="636"/>
      <c r="C1108" s="641" t="s">
        <v>870</v>
      </c>
      <c r="D1108" s="694" t="s">
        <v>234</v>
      </c>
      <c r="E1108" s="639">
        <f>137*0.01</f>
        <v>1.37</v>
      </c>
      <c r="F1108" s="639">
        <f>E1108*F1104</f>
        <v>7.3706000000000005</v>
      </c>
      <c r="G1108" s="637"/>
      <c r="H1108" s="448">
        <f t="shared" si="149"/>
        <v>0</v>
      </c>
      <c r="I1108" s="637"/>
      <c r="J1108" s="448"/>
      <c r="K1108" s="637"/>
      <c r="L1108" s="448"/>
      <c r="M1108" s="1251">
        <f t="shared" si="148"/>
        <v>0</v>
      </c>
      <c r="N1108" s="1250"/>
      <c r="O1108" s="1273"/>
    </row>
    <row r="1109" spans="1:15" s="660" customFormat="1">
      <c r="A1109" s="1433"/>
      <c r="B1109" s="636"/>
      <c r="C1109" s="641" t="s">
        <v>222</v>
      </c>
      <c r="D1109" s="694" t="s">
        <v>319</v>
      </c>
      <c r="E1109" s="639">
        <f>(0.84+2.56+0.26)/100</f>
        <v>3.6600000000000001E-2</v>
      </c>
      <c r="F1109" s="639">
        <f>E1109*F1104</f>
        <v>0.196908</v>
      </c>
      <c r="G1109" s="637"/>
      <c r="H1109" s="448">
        <f t="shared" si="149"/>
        <v>0</v>
      </c>
      <c r="I1109" s="637"/>
      <c r="J1109" s="448"/>
      <c r="K1109" s="637"/>
      <c r="L1109" s="448"/>
      <c r="M1109" s="1251">
        <f t="shared" si="148"/>
        <v>0</v>
      </c>
      <c r="N1109" s="1250"/>
      <c r="O1109" s="1273"/>
    </row>
    <row r="1110" spans="1:15" s="660" customFormat="1">
      <c r="A1110" s="1433"/>
      <c r="B1110" s="636"/>
      <c r="C1110" s="641" t="s">
        <v>26</v>
      </c>
      <c r="D1110" s="694" t="s">
        <v>11</v>
      </c>
      <c r="E1110" s="639">
        <f>0.39*0.01</f>
        <v>3.9000000000000003E-3</v>
      </c>
      <c r="F1110" s="639">
        <f>E1110*F1104</f>
        <v>2.0982000000000001E-2</v>
      </c>
      <c r="G1110" s="637"/>
      <c r="H1110" s="448">
        <f t="shared" si="149"/>
        <v>0</v>
      </c>
      <c r="I1110" s="637"/>
      <c r="J1110" s="448"/>
      <c r="K1110" s="637"/>
      <c r="L1110" s="448"/>
      <c r="M1110" s="1251">
        <f t="shared" si="148"/>
        <v>0</v>
      </c>
      <c r="N1110" s="1250"/>
      <c r="O1110" s="1273"/>
    </row>
    <row r="1111" spans="1:15" s="660" customFormat="1">
      <c r="A1111" s="1433"/>
      <c r="B1111" s="636"/>
      <c r="C1111" s="642" t="s">
        <v>426</v>
      </c>
      <c r="D1111" s="694" t="s">
        <v>218</v>
      </c>
      <c r="E1111" s="639"/>
      <c r="F1111" s="640">
        <v>0.156</v>
      </c>
      <c r="G1111" s="87"/>
      <c r="H1111" s="448">
        <f t="shared" si="149"/>
        <v>0</v>
      </c>
      <c r="I1111" s="637"/>
      <c r="J1111" s="448"/>
      <c r="K1111" s="637"/>
      <c r="L1111" s="448"/>
      <c r="M1111" s="1251">
        <f t="shared" si="148"/>
        <v>0</v>
      </c>
      <c r="N1111" s="1250"/>
      <c r="O1111" s="1273"/>
    </row>
    <row r="1112" spans="1:15" s="660" customFormat="1">
      <c r="A1112" s="1428"/>
      <c r="B1112" s="636"/>
      <c r="C1112" s="642" t="s">
        <v>447</v>
      </c>
      <c r="D1112" s="694" t="s">
        <v>218</v>
      </c>
      <c r="E1112" s="639"/>
      <c r="F1112" s="640">
        <v>2.5999999999999999E-2</v>
      </c>
      <c r="G1112" s="638"/>
      <c r="H1112" s="448">
        <f t="shared" si="149"/>
        <v>0</v>
      </c>
      <c r="I1112" s="637"/>
      <c r="J1112" s="448"/>
      <c r="K1112" s="637"/>
      <c r="L1112" s="448"/>
      <c r="M1112" s="1251">
        <f t="shared" si="148"/>
        <v>0</v>
      </c>
      <c r="N1112" s="1250"/>
      <c r="O1112" s="1273"/>
    </row>
    <row r="1113" spans="1:15" s="660" customFormat="1" hidden="1">
      <c r="A1113" s="1390" t="s">
        <v>207</v>
      </c>
      <c r="B1113" s="40" t="s">
        <v>999</v>
      </c>
      <c r="C1113" s="139" t="s">
        <v>239</v>
      </c>
      <c r="D1113" s="40" t="s">
        <v>318</v>
      </c>
      <c r="E1113" s="276"/>
      <c r="F1113" s="383">
        <v>0</v>
      </c>
      <c r="G1113" s="87"/>
      <c r="H1113" s="448"/>
      <c r="I1113" s="87"/>
      <c r="J1113" s="448"/>
      <c r="K1113" s="87"/>
      <c r="L1113" s="448"/>
      <c r="M1113" s="1251"/>
      <c r="N1113" s="1250"/>
      <c r="O1113" s="1273"/>
    </row>
    <row r="1114" spans="1:15" s="660" customFormat="1" hidden="1">
      <c r="A1114" s="1391"/>
      <c r="B1114" s="262"/>
      <c r="C1114" s="51" t="s">
        <v>13</v>
      </c>
      <c r="D1114" s="46" t="s">
        <v>15</v>
      </c>
      <c r="E1114" s="58" t="s">
        <v>259</v>
      </c>
      <c r="F1114" s="1235">
        <f>F1113*E1114</f>
        <v>0</v>
      </c>
      <c r="G1114" s="87"/>
      <c r="H1114" s="448"/>
      <c r="I1114" s="87">
        <v>7.8</v>
      </c>
      <c r="J1114" s="448">
        <f>F1114*I1114</f>
        <v>0</v>
      </c>
      <c r="K1114" s="87"/>
      <c r="L1114" s="448"/>
      <c r="M1114" s="1251">
        <f t="shared" si="148"/>
        <v>0</v>
      </c>
      <c r="N1114" s="1250"/>
      <c r="O1114" s="1273"/>
    </row>
    <row r="1115" spans="1:15" s="660" customFormat="1" hidden="1">
      <c r="A1115" s="1391"/>
      <c r="B1115" s="40"/>
      <c r="C1115" s="131" t="s">
        <v>14</v>
      </c>
      <c r="D1115" s="46" t="s">
        <v>11</v>
      </c>
      <c r="E1115" s="84" t="s">
        <v>1000</v>
      </c>
      <c r="F1115" s="710">
        <f>F1113*E1115</f>
        <v>0</v>
      </c>
      <c r="G1115" s="87"/>
      <c r="H1115" s="448"/>
      <c r="I1115" s="87"/>
      <c r="J1115" s="448"/>
      <c r="K1115" s="87">
        <v>4</v>
      </c>
      <c r="L1115" s="448">
        <f>F1115*K1115</f>
        <v>0</v>
      </c>
      <c r="M1115" s="1251">
        <f t="shared" si="148"/>
        <v>0</v>
      </c>
      <c r="N1115" s="1250"/>
      <c r="O1115" s="1273"/>
    </row>
    <row r="1116" spans="1:15" s="660" customFormat="1" hidden="1">
      <c r="A1116" s="1391"/>
      <c r="B1116" s="40"/>
      <c r="C1116" s="131" t="s">
        <v>448</v>
      </c>
      <c r="D1116" s="46" t="s">
        <v>319</v>
      </c>
      <c r="E1116" s="58" t="s">
        <v>1001</v>
      </c>
      <c r="F1116" s="710">
        <f>E1116*F1113</f>
        <v>0</v>
      </c>
      <c r="G1116" s="87">
        <v>136</v>
      </c>
      <c r="H1116" s="448">
        <f t="shared" si="149"/>
        <v>0</v>
      </c>
      <c r="I1116" s="87"/>
      <c r="J1116" s="448"/>
      <c r="K1116" s="87"/>
      <c r="L1116" s="448"/>
      <c r="M1116" s="1251">
        <f t="shared" si="148"/>
        <v>0</v>
      </c>
      <c r="N1116" s="1250"/>
      <c r="O1116" s="1273"/>
    </row>
    <row r="1117" spans="1:15" s="660" customFormat="1" hidden="1">
      <c r="A1117" s="1391"/>
      <c r="B1117" s="262"/>
      <c r="C1117" s="51" t="s">
        <v>870</v>
      </c>
      <c r="D1117" s="46" t="s">
        <v>234</v>
      </c>
      <c r="E1117" s="58">
        <v>2.42</v>
      </c>
      <c r="F1117" s="1235">
        <f>F1113*E1117</f>
        <v>0</v>
      </c>
      <c r="G1117" s="87">
        <v>20</v>
      </c>
      <c r="H1117" s="448">
        <f t="shared" si="149"/>
        <v>0</v>
      </c>
      <c r="I1117" s="87"/>
      <c r="J1117" s="448"/>
      <c r="K1117" s="87"/>
      <c r="L1117" s="448"/>
      <c r="M1117" s="1251">
        <f t="shared" si="148"/>
        <v>0</v>
      </c>
      <c r="N1117" s="1250"/>
      <c r="O1117" s="1273"/>
    </row>
    <row r="1118" spans="1:15" s="660" customFormat="1" hidden="1">
      <c r="A1118" s="1391"/>
      <c r="B1118" s="262"/>
      <c r="C1118" s="51" t="s">
        <v>235</v>
      </c>
      <c r="D1118" s="24" t="s">
        <v>319</v>
      </c>
      <c r="E1118" s="58">
        <f>(5.81+0.67)/100</f>
        <v>6.4799999999999996E-2</v>
      </c>
      <c r="F1118" s="1235">
        <f>F1113*E1118</f>
        <v>0</v>
      </c>
      <c r="G1118" s="87">
        <v>520</v>
      </c>
      <c r="H1118" s="448">
        <f t="shared" si="149"/>
        <v>0</v>
      </c>
      <c r="I1118" s="87"/>
      <c r="J1118" s="448"/>
      <c r="K1118" s="87"/>
      <c r="L1118" s="448"/>
      <c r="M1118" s="1251">
        <f t="shared" si="148"/>
        <v>0</v>
      </c>
      <c r="N1118" s="1250"/>
      <c r="O1118" s="1273"/>
    </row>
    <row r="1119" spans="1:15" s="660" customFormat="1" hidden="1">
      <c r="A1119" s="1391"/>
      <c r="B1119" s="262"/>
      <c r="C1119" s="51" t="s">
        <v>70</v>
      </c>
      <c r="D1119" s="24" t="s">
        <v>113</v>
      </c>
      <c r="E1119" s="84">
        <v>0</v>
      </c>
      <c r="F1119" s="1235">
        <f>F1113*E1119</f>
        <v>0</v>
      </c>
      <c r="G1119" s="87">
        <v>4.58</v>
      </c>
      <c r="H1119" s="448">
        <f t="shared" si="149"/>
        <v>0</v>
      </c>
      <c r="I1119" s="87"/>
      <c r="J1119" s="448"/>
      <c r="K1119" s="87"/>
      <c r="L1119" s="448"/>
      <c r="M1119" s="1251">
        <f t="shared" si="148"/>
        <v>0</v>
      </c>
      <c r="N1119" s="1250"/>
      <c r="O1119" s="1273"/>
    </row>
    <row r="1120" spans="1:15" s="660" customFormat="1" hidden="1">
      <c r="A1120" s="1391"/>
      <c r="B1120" s="40"/>
      <c r="C1120" s="131" t="s">
        <v>26</v>
      </c>
      <c r="D1120" s="46" t="s">
        <v>11</v>
      </c>
      <c r="E1120" s="84">
        <v>0.6</v>
      </c>
      <c r="F1120" s="710">
        <f>F1113*E1120</f>
        <v>0</v>
      </c>
      <c r="G1120" s="87">
        <v>4</v>
      </c>
      <c r="H1120" s="448">
        <f t="shared" si="149"/>
        <v>0</v>
      </c>
      <c r="I1120" s="87"/>
      <c r="J1120" s="448"/>
      <c r="K1120" s="87"/>
      <c r="L1120" s="448"/>
      <c r="M1120" s="1251">
        <f t="shared" si="148"/>
        <v>0</v>
      </c>
      <c r="N1120" s="1250"/>
      <c r="O1120" s="1273"/>
    </row>
    <row r="1121" spans="1:15" s="660" customFormat="1" hidden="1">
      <c r="A1121" s="1391"/>
      <c r="B1121" s="262"/>
      <c r="C1121" s="132" t="s">
        <v>449</v>
      </c>
      <c r="D1121" s="46" t="s">
        <v>233</v>
      </c>
      <c r="E1121" s="84">
        <v>1.03</v>
      </c>
      <c r="F1121" s="711">
        <v>0</v>
      </c>
      <c r="G1121" s="87">
        <v>2458</v>
      </c>
      <c r="H1121" s="448">
        <f>F1121*G1121</f>
        <v>0</v>
      </c>
      <c r="I1121" s="87"/>
      <c r="J1121" s="448"/>
      <c r="K1121" s="87"/>
      <c r="L1121" s="448"/>
      <c r="M1121" s="1251">
        <f>H1121+J1121+L1121</f>
        <v>0</v>
      </c>
      <c r="N1121" s="1250"/>
      <c r="O1121" s="1273"/>
    </row>
    <row r="1122" spans="1:15" s="660" customFormat="1" hidden="1">
      <c r="A1122" s="1392"/>
      <c r="B1122" s="40"/>
      <c r="C1122" s="132" t="s">
        <v>450</v>
      </c>
      <c r="D1122" s="46" t="s">
        <v>233</v>
      </c>
      <c r="E1122" s="84">
        <v>1.03</v>
      </c>
      <c r="F1122" s="711">
        <v>0</v>
      </c>
      <c r="G1122" s="638">
        <v>2560</v>
      </c>
      <c r="H1122" s="448">
        <f>F1122*G1122</f>
        <v>0</v>
      </c>
      <c r="I1122" s="87"/>
      <c r="J1122" s="448"/>
      <c r="K1122" s="87"/>
      <c r="L1122" s="448"/>
      <c r="M1122" s="1251">
        <f>H1122+J1122+L1122</f>
        <v>0</v>
      </c>
      <c r="N1122" s="1250"/>
      <c r="O1122" s="1273"/>
    </row>
    <row r="1123" spans="1:15" s="660" customFormat="1" hidden="1">
      <c r="A1123" s="1390" t="s">
        <v>207</v>
      </c>
      <c r="B1123" s="40" t="s">
        <v>243</v>
      </c>
      <c r="C1123" s="133" t="s">
        <v>451</v>
      </c>
      <c r="D1123" s="40" t="s">
        <v>318</v>
      </c>
      <c r="E1123" s="58"/>
      <c r="F1123" s="383">
        <v>0</v>
      </c>
      <c r="G1123" s="87"/>
      <c r="H1123" s="448"/>
      <c r="I1123" s="87"/>
      <c r="J1123" s="448"/>
      <c r="K1123" s="87"/>
      <c r="L1123" s="448"/>
      <c r="M1123" s="1251"/>
      <c r="N1123" s="1250"/>
      <c r="O1123" s="1273"/>
    </row>
    <row r="1124" spans="1:15" s="660" customFormat="1" hidden="1">
      <c r="A1124" s="1391"/>
      <c r="B1124" s="40"/>
      <c r="C1124" s="131" t="s">
        <v>13</v>
      </c>
      <c r="D1124" s="644" t="s">
        <v>15</v>
      </c>
      <c r="E1124" s="84">
        <v>14.78</v>
      </c>
      <c r="F1124" s="710">
        <f>E1124*F1123</f>
        <v>0</v>
      </c>
      <c r="G1124" s="87"/>
      <c r="H1124" s="448"/>
      <c r="I1124" s="87">
        <v>7.8</v>
      </c>
      <c r="J1124" s="448">
        <f>F1124*I1124</f>
        <v>0</v>
      </c>
      <c r="K1124" s="87"/>
      <c r="L1124" s="448"/>
      <c r="M1124" s="1251">
        <f t="shared" si="148"/>
        <v>0</v>
      </c>
      <c r="N1124" s="1250"/>
      <c r="O1124" s="1273"/>
    </row>
    <row r="1125" spans="1:15" s="660" customFormat="1" hidden="1">
      <c r="A1125" s="1391"/>
      <c r="B1125" s="40"/>
      <c r="C1125" s="128" t="s">
        <v>14</v>
      </c>
      <c r="D1125" s="635" t="s">
        <v>11</v>
      </c>
      <c r="E1125" s="84">
        <v>1.21</v>
      </c>
      <c r="F1125" s="710">
        <f>F1123*E1125</f>
        <v>0</v>
      </c>
      <c r="G1125" s="87"/>
      <c r="H1125" s="448"/>
      <c r="I1125" s="87"/>
      <c r="J1125" s="448"/>
      <c r="K1125" s="87">
        <v>4</v>
      </c>
      <c r="L1125" s="448">
        <f>F1125*K1125</f>
        <v>0</v>
      </c>
      <c r="M1125" s="1251">
        <f t="shared" si="148"/>
        <v>0</v>
      </c>
      <c r="N1125" s="1250"/>
      <c r="O1125" s="1273"/>
    </row>
    <row r="1126" spans="1:15" s="660" customFormat="1" hidden="1">
      <c r="A1126" s="1391"/>
      <c r="B1126" s="40"/>
      <c r="C1126" s="131" t="s">
        <v>452</v>
      </c>
      <c r="D1126" s="24" t="s">
        <v>319</v>
      </c>
      <c r="E1126" s="84">
        <v>1</v>
      </c>
      <c r="F1126" s="710">
        <f>E1126*F1123</f>
        <v>0</v>
      </c>
      <c r="G1126" s="87">
        <v>136</v>
      </c>
      <c r="H1126" s="448">
        <f t="shared" ref="H1126:H1162" si="150">F1126*G1126</f>
        <v>0</v>
      </c>
      <c r="I1126" s="87"/>
      <c r="J1126" s="448"/>
      <c r="K1126" s="87"/>
      <c r="L1126" s="448"/>
      <c r="M1126" s="1251">
        <f t="shared" si="148"/>
        <v>0</v>
      </c>
      <c r="N1126" s="1250"/>
      <c r="O1126" s="1273"/>
    </row>
    <row r="1127" spans="1:15" s="660" customFormat="1" hidden="1">
      <c r="A1127" s="1391"/>
      <c r="B1127" s="262"/>
      <c r="C1127" s="51" t="s">
        <v>870</v>
      </c>
      <c r="D1127" s="24" t="s">
        <v>234</v>
      </c>
      <c r="E1127" s="84">
        <v>2.46</v>
      </c>
      <c r="F1127" s="710">
        <f>E1127*F1123</f>
        <v>0</v>
      </c>
      <c r="G1127" s="87">
        <v>20</v>
      </c>
      <c r="H1127" s="448">
        <f t="shared" si="150"/>
        <v>0</v>
      </c>
      <c r="I1127" s="87"/>
      <c r="J1127" s="448"/>
      <c r="K1127" s="87"/>
      <c r="L1127" s="448"/>
      <c r="M1127" s="1251">
        <f t="shared" si="148"/>
        <v>0</v>
      </c>
      <c r="N1127" s="1250"/>
      <c r="O1127" s="1273"/>
    </row>
    <row r="1128" spans="1:15" s="660" customFormat="1" hidden="1">
      <c r="A1128" s="1391"/>
      <c r="B1128" s="262"/>
      <c r="C1128" s="131" t="s">
        <v>235</v>
      </c>
      <c r="D1128" s="24" t="s">
        <v>319</v>
      </c>
      <c r="E1128" s="84">
        <f>(1.6+0.7)/100</f>
        <v>2.3E-2</v>
      </c>
      <c r="F1128" s="710">
        <f>E1128*F1123</f>
        <v>0</v>
      </c>
      <c r="G1128" s="87">
        <v>520</v>
      </c>
      <c r="H1128" s="448">
        <f t="shared" si="150"/>
        <v>0</v>
      </c>
      <c r="I1128" s="87"/>
      <c r="J1128" s="448"/>
      <c r="K1128" s="87"/>
      <c r="L1128" s="448"/>
      <c r="M1128" s="1251">
        <f t="shared" si="148"/>
        <v>0</v>
      </c>
      <c r="N1128" s="1250"/>
      <c r="O1128" s="1273"/>
    </row>
    <row r="1129" spans="1:15" s="660" customFormat="1" hidden="1">
      <c r="A1129" s="1391"/>
      <c r="B1129" s="262"/>
      <c r="C1129" s="131" t="s">
        <v>70</v>
      </c>
      <c r="D1129" s="24" t="s">
        <v>6</v>
      </c>
      <c r="E1129" s="84">
        <v>3.3</v>
      </c>
      <c r="F1129" s="710">
        <f>F1123*E1129</f>
        <v>0</v>
      </c>
      <c r="G1129" s="87">
        <v>4.58</v>
      </c>
      <c r="H1129" s="448">
        <f t="shared" si="150"/>
        <v>0</v>
      </c>
      <c r="I1129" s="87"/>
      <c r="J1129" s="448"/>
      <c r="K1129" s="87"/>
      <c r="L1129" s="448"/>
      <c r="M1129" s="1251">
        <f t="shared" si="148"/>
        <v>0</v>
      </c>
      <c r="N1129" s="1250"/>
      <c r="O1129" s="1273"/>
    </row>
    <row r="1130" spans="1:15" s="660" customFormat="1" hidden="1">
      <c r="A1130" s="1391"/>
      <c r="B1130" s="262"/>
      <c r="C1130" s="131" t="s">
        <v>26</v>
      </c>
      <c r="D1130" s="24" t="s">
        <v>11</v>
      </c>
      <c r="E1130" s="84">
        <v>0.9</v>
      </c>
      <c r="F1130" s="710">
        <f>E1130*F1123</f>
        <v>0</v>
      </c>
      <c r="G1130" s="87">
        <v>4</v>
      </c>
      <c r="H1130" s="448">
        <f t="shared" si="150"/>
        <v>0</v>
      </c>
      <c r="I1130" s="87"/>
      <c r="J1130" s="448"/>
      <c r="K1130" s="87"/>
      <c r="L1130" s="448"/>
      <c r="M1130" s="1251">
        <f t="shared" si="148"/>
        <v>0</v>
      </c>
      <c r="N1130" s="1250"/>
      <c r="O1130" s="1273"/>
    </row>
    <row r="1131" spans="1:15" s="660" customFormat="1" hidden="1">
      <c r="A1131" s="1391"/>
      <c r="B1131" s="262"/>
      <c r="C1131" s="132" t="s">
        <v>449</v>
      </c>
      <c r="D1131" s="46" t="s">
        <v>233</v>
      </c>
      <c r="E1131" s="84">
        <v>1.03</v>
      </c>
      <c r="F1131" s="711">
        <v>0</v>
      </c>
      <c r="G1131" s="87">
        <v>2458</v>
      </c>
      <c r="H1131" s="448">
        <f>F1131*G1131</f>
        <v>0</v>
      </c>
      <c r="I1131" s="87"/>
      <c r="J1131" s="448"/>
      <c r="K1131" s="87"/>
      <c r="L1131" s="448"/>
      <c r="M1131" s="1251">
        <f>H1131+J1131+L1131</f>
        <v>0</v>
      </c>
      <c r="N1131" s="1250"/>
      <c r="O1131" s="1273"/>
    </row>
    <row r="1132" spans="1:15" s="660" customFormat="1" hidden="1">
      <c r="A1132" s="1392"/>
      <c r="B1132" s="40"/>
      <c r="C1132" s="132" t="s">
        <v>450</v>
      </c>
      <c r="D1132" s="46" t="s">
        <v>233</v>
      </c>
      <c r="E1132" s="84">
        <v>1.03</v>
      </c>
      <c r="F1132" s="711">
        <v>0</v>
      </c>
      <c r="G1132" s="638">
        <v>2560</v>
      </c>
      <c r="H1132" s="448">
        <f>F1132*G1132</f>
        <v>0</v>
      </c>
      <c r="I1132" s="87"/>
      <c r="J1132" s="448"/>
      <c r="K1132" s="87"/>
      <c r="L1132" s="448"/>
      <c r="M1132" s="1251">
        <f>H1132+J1132+L1132</f>
        <v>0</v>
      </c>
      <c r="N1132" s="1250"/>
      <c r="O1132" s="1273"/>
    </row>
    <row r="1133" spans="1:15" s="660" customFormat="1" ht="31.5" hidden="1">
      <c r="A1133" s="1427" t="s">
        <v>207</v>
      </c>
      <c r="B1133" s="636" t="s">
        <v>231</v>
      </c>
      <c r="C1133" s="671" t="s">
        <v>453</v>
      </c>
      <c r="D1133" s="636" t="s">
        <v>318</v>
      </c>
      <c r="E1133" s="706"/>
      <c r="F1133" s="706">
        <v>0</v>
      </c>
      <c r="G1133" s="670"/>
      <c r="H1133" s="448"/>
      <c r="I1133" s="670"/>
      <c r="J1133" s="448"/>
      <c r="K1133" s="670"/>
      <c r="L1133" s="448"/>
      <c r="M1133" s="1251"/>
      <c r="N1133" s="1250"/>
      <c r="O1133" s="1273"/>
    </row>
    <row r="1134" spans="1:15" s="660" customFormat="1" hidden="1">
      <c r="A1134" s="1433"/>
      <c r="B1134" s="636"/>
      <c r="C1134" s="641" t="s">
        <v>67</v>
      </c>
      <c r="D1134" s="694" t="s">
        <v>109</v>
      </c>
      <c r="E1134" s="639">
        <f>840*0.01</f>
        <v>8.4</v>
      </c>
      <c r="F1134" s="639">
        <f>E1134*F1133</f>
        <v>0</v>
      </c>
      <c r="G1134" s="637"/>
      <c r="H1134" s="448"/>
      <c r="I1134" s="637">
        <v>7.8</v>
      </c>
      <c r="J1134" s="448">
        <f>F1134*I1134</f>
        <v>0</v>
      </c>
      <c r="K1134" s="637"/>
      <c r="L1134" s="448"/>
      <c r="M1134" s="1251">
        <f t="shared" si="148"/>
        <v>0</v>
      </c>
      <c r="N1134" s="1250"/>
      <c r="O1134" s="1273"/>
    </row>
    <row r="1135" spans="1:15" s="660" customFormat="1" hidden="1">
      <c r="A1135" s="1433"/>
      <c r="B1135" s="636"/>
      <c r="C1135" s="131" t="s">
        <v>14</v>
      </c>
      <c r="D1135" s="46" t="s">
        <v>11</v>
      </c>
      <c r="E1135" s="639">
        <f>81*0.01</f>
        <v>0.81</v>
      </c>
      <c r="F1135" s="639">
        <f>E1135*F1133</f>
        <v>0</v>
      </c>
      <c r="G1135" s="637"/>
      <c r="H1135" s="448"/>
      <c r="I1135" s="637"/>
      <c r="J1135" s="448"/>
      <c r="K1135" s="637">
        <v>4</v>
      </c>
      <c r="L1135" s="448">
        <f>F1135*K1135</f>
        <v>0</v>
      </c>
      <c r="M1135" s="1251">
        <f t="shared" si="148"/>
        <v>0</v>
      </c>
      <c r="N1135" s="1250"/>
      <c r="O1135" s="1273"/>
    </row>
    <row r="1136" spans="1:15" s="660" customFormat="1" hidden="1">
      <c r="A1136" s="1433"/>
      <c r="B1136" s="636"/>
      <c r="C1136" s="641" t="s">
        <v>91</v>
      </c>
      <c r="D1136" s="694" t="s">
        <v>319</v>
      </c>
      <c r="E1136" s="639">
        <f>101.5*0.01</f>
        <v>1.0150000000000001</v>
      </c>
      <c r="F1136" s="639">
        <f>E1136*F1133</f>
        <v>0</v>
      </c>
      <c r="G1136" s="637">
        <v>136</v>
      </c>
      <c r="H1136" s="448">
        <f t="shared" si="150"/>
        <v>0</v>
      </c>
      <c r="I1136" s="637"/>
      <c r="J1136" s="448"/>
      <c r="K1136" s="637"/>
      <c r="L1136" s="448"/>
      <c r="M1136" s="1251">
        <f t="shared" si="148"/>
        <v>0</v>
      </c>
      <c r="N1136" s="1250"/>
      <c r="O1136" s="1273"/>
    </row>
    <row r="1137" spans="1:15" s="660" customFormat="1" hidden="1">
      <c r="A1137" s="1433"/>
      <c r="B1137" s="636"/>
      <c r="C1137" s="641" t="s">
        <v>870</v>
      </c>
      <c r="D1137" s="694" t="s">
        <v>234</v>
      </c>
      <c r="E1137" s="639">
        <f>137*0.01</f>
        <v>1.37</v>
      </c>
      <c r="F1137" s="639">
        <f>E1137*F1133</f>
        <v>0</v>
      </c>
      <c r="G1137" s="637">
        <v>20</v>
      </c>
      <c r="H1137" s="448">
        <f t="shared" si="150"/>
        <v>0</v>
      </c>
      <c r="I1137" s="637"/>
      <c r="J1137" s="448"/>
      <c r="K1137" s="637"/>
      <c r="L1137" s="448"/>
      <c r="M1137" s="1251">
        <f t="shared" si="148"/>
        <v>0</v>
      </c>
      <c r="N1137" s="1250"/>
      <c r="O1137" s="1273"/>
    </row>
    <row r="1138" spans="1:15" s="660" customFormat="1" hidden="1">
      <c r="A1138" s="1433"/>
      <c r="B1138" s="636"/>
      <c r="C1138" s="641" t="s">
        <v>222</v>
      </c>
      <c r="D1138" s="694" t="s">
        <v>319</v>
      </c>
      <c r="E1138" s="639">
        <f>(0.84+2.56+0.26)/100</f>
        <v>3.6600000000000001E-2</v>
      </c>
      <c r="F1138" s="639">
        <f>E1138*F1133</f>
        <v>0</v>
      </c>
      <c r="G1138" s="637">
        <v>520</v>
      </c>
      <c r="H1138" s="448">
        <f t="shared" si="150"/>
        <v>0</v>
      </c>
      <c r="I1138" s="637"/>
      <c r="J1138" s="448"/>
      <c r="K1138" s="637"/>
      <c r="L1138" s="448"/>
      <c r="M1138" s="1251">
        <f t="shared" si="148"/>
        <v>0</v>
      </c>
      <c r="N1138" s="1250"/>
      <c r="O1138" s="1273"/>
    </row>
    <row r="1139" spans="1:15" s="660" customFormat="1" hidden="1">
      <c r="A1139" s="1433"/>
      <c r="B1139" s="636"/>
      <c r="C1139" s="641" t="s">
        <v>26</v>
      </c>
      <c r="D1139" s="694" t="s">
        <v>11</v>
      </c>
      <c r="E1139" s="639">
        <f>0.39*0.01</f>
        <v>3.9000000000000003E-3</v>
      </c>
      <c r="F1139" s="639">
        <f>E1139*F1133</f>
        <v>0</v>
      </c>
      <c r="G1139" s="637">
        <v>4</v>
      </c>
      <c r="H1139" s="448">
        <f t="shared" si="150"/>
        <v>0</v>
      </c>
      <c r="I1139" s="637"/>
      <c r="J1139" s="448"/>
      <c r="K1139" s="637"/>
      <c r="L1139" s="448"/>
      <c r="M1139" s="1251">
        <f t="shared" si="148"/>
        <v>0</v>
      </c>
      <c r="N1139" s="1250"/>
      <c r="O1139" s="1273"/>
    </row>
    <row r="1140" spans="1:15" s="660" customFormat="1" hidden="1">
      <c r="A1140" s="1433"/>
      <c r="B1140" s="636"/>
      <c r="C1140" s="642" t="s">
        <v>426</v>
      </c>
      <c r="D1140" s="694" t="s">
        <v>218</v>
      </c>
      <c r="E1140" s="639"/>
      <c r="F1140" s="640">
        <v>0</v>
      </c>
      <c r="G1140" s="87">
        <v>2458</v>
      </c>
      <c r="H1140" s="448">
        <f t="shared" si="150"/>
        <v>0</v>
      </c>
      <c r="I1140" s="637"/>
      <c r="J1140" s="448"/>
      <c r="K1140" s="637"/>
      <c r="L1140" s="448"/>
      <c r="M1140" s="1251">
        <f t="shared" si="148"/>
        <v>0</v>
      </c>
      <c r="N1140" s="1250"/>
      <c r="O1140" s="1273"/>
    </row>
    <row r="1141" spans="1:15" s="660" customFormat="1" hidden="1">
      <c r="A1141" s="1428"/>
      <c r="B1141" s="636"/>
      <c r="C1141" s="642" t="s">
        <v>447</v>
      </c>
      <c r="D1141" s="694" t="s">
        <v>218</v>
      </c>
      <c r="E1141" s="639"/>
      <c r="F1141" s="640">
        <v>0</v>
      </c>
      <c r="G1141" s="638">
        <v>2560</v>
      </c>
      <c r="H1141" s="448">
        <f t="shared" si="150"/>
        <v>0</v>
      </c>
      <c r="I1141" s="637"/>
      <c r="J1141" s="448"/>
      <c r="K1141" s="637"/>
      <c r="L1141" s="448"/>
      <c r="M1141" s="1251">
        <f t="shared" si="148"/>
        <v>0</v>
      </c>
      <c r="N1141" s="1250"/>
      <c r="O1141" s="1273"/>
    </row>
    <row r="1142" spans="1:15" s="660" customFormat="1" ht="31.5" hidden="1">
      <c r="A1142" s="1427" t="s">
        <v>207</v>
      </c>
      <c r="B1142" s="636" t="s">
        <v>1002</v>
      </c>
      <c r="C1142" s="671" t="s">
        <v>1003</v>
      </c>
      <c r="D1142" s="694" t="s">
        <v>4</v>
      </c>
      <c r="E1142" s="639"/>
      <c r="F1142" s="706">
        <v>0</v>
      </c>
      <c r="G1142" s="637"/>
      <c r="H1142" s="448"/>
      <c r="I1142" s="637"/>
      <c r="J1142" s="448"/>
      <c r="K1142" s="637"/>
      <c r="L1142" s="448"/>
      <c r="M1142" s="1251"/>
      <c r="N1142" s="1250"/>
      <c r="O1142" s="1273"/>
    </row>
    <row r="1143" spans="1:15" s="660" customFormat="1" hidden="1">
      <c r="A1143" s="1433"/>
      <c r="B1143" s="636"/>
      <c r="C1143" s="641" t="s">
        <v>67</v>
      </c>
      <c r="D1143" s="694" t="s">
        <v>109</v>
      </c>
      <c r="E1143" s="639">
        <v>9.9</v>
      </c>
      <c r="F1143" s="639">
        <f>E1143*F1142</f>
        <v>0</v>
      </c>
      <c r="G1143" s="637"/>
      <c r="H1143" s="448"/>
      <c r="I1143" s="637">
        <v>7.8</v>
      </c>
      <c r="J1143" s="448">
        <f>F1143*I1143</f>
        <v>0</v>
      </c>
      <c r="K1143" s="637"/>
      <c r="L1143" s="448"/>
      <c r="M1143" s="1251">
        <f t="shared" si="148"/>
        <v>0</v>
      </c>
      <c r="N1143" s="1250"/>
      <c r="O1143" s="1273"/>
    </row>
    <row r="1144" spans="1:15" s="660" customFormat="1" hidden="1">
      <c r="A1144" s="1433"/>
      <c r="B1144" s="636"/>
      <c r="C1144" s="131" t="s">
        <v>14</v>
      </c>
      <c r="D1144" s="694" t="s">
        <v>11</v>
      </c>
      <c r="E1144" s="639">
        <v>1.35</v>
      </c>
      <c r="F1144" s="639">
        <f>E1144*F1142</f>
        <v>0</v>
      </c>
      <c r="G1144" s="637"/>
      <c r="H1144" s="448"/>
      <c r="I1144" s="637"/>
      <c r="J1144" s="448"/>
      <c r="K1144" s="637">
        <v>4</v>
      </c>
      <c r="L1144" s="448">
        <f>F1144*K1144</f>
        <v>0</v>
      </c>
      <c r="M1144" s="1251">
        <f t="shared" si="148"/>
        <v>0</v>
      </c>
      <c r="N1144" s="1250"/>
      <c r="O1144" s="1273"/>
    </row>
    <row r="1145" spans="1:15" s="660" customFormat="1" hidden="1">
      <c r="A1145" s="1433"/>
      <c r="B1145" s="636"/>
      <c r="C1145" s="641" t="s">
        <v>223</v>
      </c>
      <c r="D1145" s="694" t="s">
        <v>319</v>
      </c>
      <c r="E1145" s="639">
        <f>101.5*0.01</f>
        <v>1.0150000000000001</v>
      </c>
      <c r="F1145" s="639">
        <f>E1145*F1142</f>
        <v>0</v>
      </c>
      <c r="G1145" s="637">
        <v>136</v>
      </c>
      <c r="H1145" s="448">
        <f t="shared" si="150"/>
        <v>0</v>
      </c>
      <c r="I1145" s="637"/>
      <c r="J1145" s="448"/>
      <c r="K1145" s="637"/>
      <c r="L1145" s="448"/>
      <c r="M1145" s="1251">
        <f t="shared" si="148"/>
        <v>0</v>
      </c>
      <c r="N1145" s="1250"/>
      <c r="O1145" s="1273"/>
    </row>
    <row r="1146" spans="1:15" s="660" customFormat="1" hidden="1">
      <c r="A1146" s="1433"/>
      <c r="B1146" s="636"/>
      <c r="C1146" s="641" t="s">
        <v>870</v>
      </c>
      <c r="D1146" s="694" t="s">
        <v>234</v>
      </c>
      <c r="E1146" s="639">
        <v>1.84</v>
      </c>
      <c r="F1146" s="639">
        <f>E1146*F1142</f>
        <v>0</v>
      </c>
      <c r="G1146" s="637">
        <v>20</v>
      </c>
      <c r="H1146" s="448">
        <f t="shared" si="150"/>
        <v>0</v>
      </c>
      <c r="I1146" s="637"/>
      <c r="J1146" s="448"/>
      <c r="K1146" s="637"/>
      <c r="L1146" s="448"/>
      <c r="M1146" s="1251">
        <f t="shared" si="148"/>
        <v>0</v>
      </c>
      <c r="N1146" s="1250"/>
      <c r="O1146" s="1273"/>
    </row>
    <row r="1147" spans="1:15" s="660" customFormat="1" hidden="1">
      <c r="A1147" s="1433"/>
      <c r="B1147" s="636"/>
      <c r="C1147" s="641" t="s">
        <v>222</v>
      </c>
      <c r="D1147" s="694" t="s">
        <v>319</v>
      </c>
      <c r="E1147" s="639">
        <f>(0.34+5.68)*0.01</f>
        <v>6.0199999999999997E-2</v>
      </c>
      <c r="F1147" s="639">
        <f>E1147*F1142</f>
        <v>0</v>
      </c>
      <c r="G1147" s="637">
        <v>520</v>
      </c>
      <c r="H1147" s="448">
        <f t="shared" si="150"/>
        <v>0</v>
      </c>
      <c r="I1147" s="637"/>
      <c r="J1147" s="448"/>
      <c r="K1147" s="637"/>
      <c r="L1147" s="448"/>
      <c r="M1147" s="1251">
        <f t="shared" si="148"/>
        <v>0</v>
      </c>
      <c r="N1147" s="1250"/>
      <c r="O1147" s="1273"/>
    </row>
    <row r="1148" spans="1:15" s="660" customFormat="1" hidden="1">
      <c r="A1148" s="1433"/>
      <c r="B1148" s="636"/>
      <c r="C1148" s="641" t="s">
        <v>246</v>
      </c>
      <c r="D1148" s="698" t="s">
        <v>6</v>
      </c>
      <c r="E1148" s="712">
        <v>2.2000000000000002</v>
      </c>
      <c r="F1148" s="639">
        <f>E1148*F1142</f>
        <v>0</v>
      </c>
      <c r="G1148" s="672">
        <v>4.0999999999999996</v>
      </c>
      <c r="H1148" s="448">
        <f t="shared" si="150"/>
        <v>0</v>
      </c>
      <c r="I1148" s="637"/>
      <c r="J1148" s="448"/>
      <c r="K1148" s="637"/>
      <c r="L1148" s="448"/>
      <c r="M1148" s="1251">
        <f t="shared" si="148"/>
        <v>0</v>
      </c>
      <c r="N1148" s="1250"/>
      <c r="O1148" s="1273"/>
    </row>
    <row r="1149" spans="1:15" s="660" customFormat="1" hidden="1">
      <c r="A1149" s="1433"/>
      <c r="B1149" s="636"/>
      <c r="C1149" s="641" t="s">
        <v>70</v>
      </c>
      <c r="D1149" s="698" t="s">
        <v>6</v>
      </c>
      <c r="E1149" s="712">
        <v>1.5</v>
      </c>
      <c r="F1149" s="712">
        <f>E1149*F1142</f>
        <v>0</v>
      </c>
      <c r="G1149" s="672">
        <v>4.58</v>
      </c>
      <c r="H1149" s="448">
        <f t="shared" si="150"/>
        <v>0</v>
      </c>
      <c r="I1149" s="672"/>
      <c r="J1149" s="448"/>
      <c r="K1149" s="672"/>
      <c r="L1149" s="448"/>
      <c r="M1149" s="1251">
        <f t="shared" si="148"/>
        <v>0</v>
      </c>
      <c r="N1149" s="1250"/>
      <c r="O1149" s="1273"/>
    </row>
    <row r="1150" spans="1:15" s="660" customFormat="1" hidden="1">
      <c r="A1150" s="1433"/>
      <c r="B1150" s="636"/>
      <c r="C1150" s="641" t="s">
        <v>26</v>
      </c>
      <c r="D1150" s="698" t="s">
        <v>11</v>
      </c>
      <c r="E1150" s="712">
        <v>0.56000000000000005</v>
      </c>
      <c r="F1150" s="712">
        <f>E1150*F1142</f>
        <v>0</v>
      </c>
      <c r="G1150" s="672">
        <v>4</v>
      </c>
      <c r="H1150" s="448">
        <f t="shared" si="150"/>
        <v>0</v>
      </c>
      <c r="I1150" s="672"/>
      <c r="J1150" s="448"/>
      <c r="K1150" s="672"/>
      <c r="L1150" s="448"/>
      <c r="M1150" s="1251">
        <f t="shared" si="148"/>
        <v>0</v>
      </c>
      <c r="N1150" s="1250"/>
      <c r="O1150" s="1273"/>
    </row>
    <row r="1151" spans="1:15" s="660" customFormat="1" hidden="1">
      <c r="A1151" s="1433"/>
      <c r="B1151" s="636"/>
      <c r="C1151" s="642" t="s">
        <v>1004</v>
      </c>
      <c r="D1151" s="694" t="s">
        <v>218</v>
      </c>
      <c r="E1151" s="639"/>
      <c r="F1151" s="640">
        <v>0</v>
      </c>
      <c r="G1151" s="637">
        <v>2458</v>
      </c>
      <c r="H1151" s="448">
        <f t="shared" si="150"/>
        <v>0</v>
      </c>
      <c r="I1151" s="637"/>
      <c r="J1151" s="448"/>
      <c r="K1151" s="637"/>
      <c r="L1151" s="448"/>
      <c r="M1151" s="1251">
        <f t="shared" si="148"/>
        <v>0</v>
      </c>
      <c r="N1151" s="1250"/>
      <c r="O1151" s="1273"/>
    </row>
    <row r="1152" spans="1:15" s="660" customFormat="1" hidden="1">
      <c r="A1152" s="1428"/>
      <c r="B1152" s="636"/>
      <c r="C1152" s="642" t="s">
        <v>427</v>
      </c>
      <c r="D1152" s="694" t="s">
        <v>218</v>
      </c>
      <c r="E1152" s="639"/>
      <c r="F1152" s="640">
        <v>0</v>
      </c>
      <c r="G1152" s="637">
        <v>2560</v>
      </c>
      <c r="H1152" s="448">
        <f t="shared" si="150"/>
        <v>0</v>
      </c>
      <c r="I1152" s="637"/>
      <c r="J1152" s="448"/>
      <c r="K1152" s="637"/>
      <c r="L1152" s="448"/>
      <c r="M1152" s="1251">
        <f t="shared" si="148"/>
        <v>0</v>
      </c>
      <c r="N1152" s="1250"/>
      <c r="O1152" s="1273"/>
    </row>
    <row r="1153" spans="1:15" s="660" customFormat="1" hidden="1">
      <c r="A1153" s="697" t="s">
        <v>207</v>
      </c>
      <c r="B1153" s="673"/>
      <c r="C1153" s="225" t="s">
        <v>1005</v>
      </c>
      <c r="D1153" s="695"/>
      <c r="E1153" s="1235"/>
      <c r="F1153" s="1234"/>
      <c r="G1153" s="448"/>
      <c r="H1153" s="448"/>
      <c r="I1153" s="448"/>
      <c r="J1153" s="448"/>
      <c r="K1153" s="448"/>
      <c r="L1153" s="448"/>
      <c r="M1153" s="1251"/>
      <c r="N1153" s="1250"/>
      <c r="O1153" s="1273"/>
    </row>
    <row r="1154" spans="1:15" s="660" customFormat="1" ht="31.5" hidden="1">
      <c r="A1154" s="1396" t="s">
        <v>429</v>
      </c>
      <c r="B1154" s="40" t="s">
        <v>274</v>
      </c>
      <c r="C1154" s="275" t="s">
        <v>275</v>
      </c>
      <c r="D1154" s="40" t="s">
        <v>318</v>
      </c>
      <c r="E1154" s="58"/>
      <c r="F1154" s="713">
        <v>0</v>
      </c>
      <c r="G1154" s="448"/>
      <c r="H1154" s="448"/>
      <c r="I1154" s="448"/>
      <c r="J1154" s="448"/>
      <c r="K1154" s="448"/>
      <c r="L1154" s="448"/>
      <c r="M1154" s="1251"/>
      <c r="N1154" s="1250"/>
      <c r="O1154" s="1273"/>
    </row>
    <row r="1155" spans="1:15" s="660" customFormat="1" hidden="1">
      <c r="A1155" s="1397"/>
      <c r="B1155" s="40"/>
      <c r="C1155" s="160" t="s">
        <v>13</v>
      </c>
      <c r="D1155" s="46" t="s">
        <v>15</v>
      </c>
      <c r="E1155" s="58">
        <v>2.3199999999999998</v>
      </c>
      <c r="F1155" s="1235">
        <f>F1154*E1155</f>
        <v>0</v>
      </c>
      <c r="G1155" s="448"/>
      <c r="H1155" s="448"/>
      <c r="I1155" s="448">
        <v>7.8</v>
      </c>
      <c r="J1155" s="448">
        <f>F1155*I1155</f>
        <v>0</v>
      </c>
      <c r="K1155" s="448"/>
      <c r="L1155" s="448">
        <f>F1155*K1155</f>
        <v>0</v>
      </c>
      <c r="M1155" s="1251">
        <f t="shared" si="148"/>
        <v>0</v>
      </c>
      <c r="N1155" s="1250"/>
      <c r="O1155" s="1273"/>
    </row>
    <row r="1156" spans="1:15" s="660" customFormat="1" hidden="1">
      <c r="A1156" s="1397"/>
      <c r="B1156" s="40"/>
      <c r="C1156" s="160" t="s">
        <v>14</v>
      </c>
      <c r="D1156" s="46" t="s">
        <v>11</v>
      </c>
      <c r="E1156" s="84">
        <v>1.08</v>
      </c>
      <c r="F1156" s="710">
        <f>F1154*E1156</f>
        <v>0</v>
      </c>
      <c r="G1156" s="448"/>
      <c r="H1156" s="448"/>
      <c r="I1156" s="448"/>
      <c r="J1156" s="448"/>
      <c r="K1156" s="448">
        <v>4</v>
      </c>
      <c r="L1156" s="448">
        <f>F1156*K1156</f>
        <v>0</v>
      </c>
      <c r="M1156" s="1251">
        <f t="shared" si="148"/>
        <v>0</v>
      </c>
      <c r="N1156" s="1250"/>
      <c r="O1156" s="1273"/>
    </row>
    <row r="1157" spans="1:15" s="660" customFormat="1" hidden="1">
      <c r="A1157" s="1398"/>
      <c r="B1157" s="40"/>
      <c r="C1157" s="160" t="s">
        <v>276</v>
      </c>
      <c r="D1157" s="46" t="s">
        <v>319</v>
      </c>
      <c r="E1157" s="84">
        <v>1.1000000000000001</v>
      </c>
      <c r="F1157" s="710">
        <f>E1157*F1154</f>
        <v>0</v>
      </c>
      <c r="G1157" s="448">
        <v>45.8</v>
      </c>
      <c r="H1157" s="448">
        <f t="shared" si="150"/>
        <v>0</v>
      </c>
      <c r="I1157" s="448"/>
      <c r="J1157" s="448"/>
      <c r="K1157" s="448"/>
      <c r="L1157" s="448"/>
      <c r="M1157" s="1251">
        <f t="shared" si="148"/>
        <v>0</v>
      </c>
      <c r="N1157" s="1250"/>
      <c r="O1157" s="1273"/>
    </row>
    <row r="1158" spans="1:15" s="660" customFormat="1" ht="31.5" hidden="1">
      <c r="A1158" s="1396" t="s">
        <v>430</v>
      </c>
      <c r="B1158" s="40" t="s">
        <v>277</v>
      </c>
      <c r="C1158" s="275" t="s">
        <v>278</v>
      </c>
      <c r="D1158" s="40" t="s">
        <v>279</v>
      </c>
      <c r="E1158" s="276"/>
      <c r="F1158" s="383">
        <v>0</v>
      </c>
      <c r="G1158" s="448"/>
      <c r="H1158" s="448"/>
      <c r="I1158" s="448"/>
      <c r="J1158" s="448"/>
      <c r="K1158" s="448"/>
      <c r="L1158" s="448"/>
      <c r="M1158" s="1251"/>
      <c r="N1158" s="1250"/>
      <c r="O1158" s="1273"/>
    </row>
    <row r="1159" spans="1:15" s="660" customFormat="1" hidden="1">
      <c r="A1159" s="1397"/>
      <c r="B1159" s="262"/>
      <c r="C1159" s="162" t="s">
        <v>13</v>
      </c>
      <c r="D1159" s="24" t="s">
        <v>280</v>
      </c>
      <c r="E1159" s="84">
        <f>(14.3+(50-15)*0.07)*0.01</f>
        <v>0.16750000000000001</v>
      </c>
      <c r="F1159" s="710">
        <f>F1158*E1159</f>
        <v>0</v>
      </c>
      <c r="G1159" s="448"/>
      <c r="H1159" s="448"/>
      <c r="I1159" s="448">
        <v>7.8</v>
      </c>
      <c r="J1159" s="448">
        <f>F1159*I1159</f>
        <v>0</v>
      </c>
      <c r="K1159" s="448"/>
      <c r="L1159" s="448"/>
      <c r="M1159" s="1251">
        <f t="shared" si="148"/>
        <v>0</v>
      </c>
      <c r="N1159" s="1250"/>
      <c r="O1159" s="1273"/>
    </row>
    <row r="1160" spans="1:15" s="660" customFormat="1" hidden="1">
      <c r="A1160" s="1397"/>
      <c r="B1160" s="40"/>
      <c r="C1160" s="160" t="s">
        <v>14</v>
      </c>
      <c r="D1160" s="46" t="s">
        <v>11</v>
      </c>
      <c r="E1160" s="84">
        <f>(0.74+0.05*35)/100</f>
        <v>2.4900000000000002E-2</v>
      </c>
      <c r="F1160" s="710">
        <f>F1158*E1160</f>
        <v>0</v>
      </c>
      <c r="G1160" s="448"/>
      <c r="H1160" s="448"/>
      <c r="I1160" s="448"/>
      <c r="J1160" s="448"/>
      <c r="K1160" s="448">
        <v>4</v>
      </c>
      <c r="L1160" s="448">
        <f>F1160*K1160</f>
        <v>0</v>
      </c>
      <c r="M1160" s="1251">
        <f t="shared" si="148"/>
        <v>0</v>
      </c>
      <c r="N1160" s="1250"/>
      <c r="O1160" s="1273"/>
    </row>
    <row r="1161" spans="1:15" s="660" customFormat="1" hidden="1">
      <c r="A1161" s="1397"/>
      <c r="B1161" s="40"/>
      <c r="C1161" s="162" t="s">
        <v>297</v>
      </c>
      <c r="D1161" s="24" t="s">
        <v>319</v>
      </c>
      <c r="E1161" s="84">
        <f>(1.58+0.105*35)/100</f>
        <v>5.2549999999999999E-2</v>
      </c>
      <c r="F1161" s="710">
        <f>F1158*E1161</f>
        <v>0</v>
      </c>
      <c r="G1161" s="448">
        <v>123</v>
      </c>
      <c r="H1161" s="448">
        <f t="shared" si="150"/>
        <v>0</v>
      </c>
      <c r="I1161" s="448"/>
      <c r="J1161" s="448"/>
      <c r="K1161" s="448"/>
      <c r="L1161" s="448"/>
      <c r="M1161" s="1251">
        <f t="shared" si="148"/>
        <v>0</v>
      </c>
      <c r="N1161" s="1250"/>
      <c r="O1161" s="1273"/>
    </row>
    <row r="1162" spans="1:15" s="660" customFormat="1" hidden="1">
      <c r="A1162" s="1398"/>
      <c r="B1162" s="40"/>
      <c r="C1162" s="160" t="s">
        <v>26</v>
      </c>
      <c r="D1162" s="46" t="s">
        <v>11</v>
      </c>
      <c r="E1162" s="84">
        <f>6.4*0.01</f>
        <v>6.4000000000000001E-2</v>
      </c>
      <c r="F1162" s="710">
        <f>F1158*E1162</f>
        <v>0</v>
      </c>
      <c r="G1162" s="448">
        <v>4</v>
      </c>
      <c r="H1162" s="448">
        <f t="shared" si="150"/>
        <v>0</v>
      </c>
      <c r="I1162" s="448"/>
      <c r="J1162" s="448"/>
      <c r="K1162" s="448"/>
      <c r="L1162" s="448"/>
      <c r="M1162" s="1251">
        <f t="shared" si="148"/>
        <v>0</v>
      </c>
      <c r="N1162" s="1250"/>
      <c r="O1162" s="1273"/>
    </row>
    <row r="1163" spans="1:15" s="660" customFormat="1" ht="31.5" hidden="1">
      <c r="A1163" s="1396" t="s">
        <v>83</v>
      </c>
      <c r="B1163" s="44" t="s">
        <v>979</v>
      </c>
      <c r="C1163" s="225" t="s">
        <v>980</v>
      </c>
      <c r="D1163" s="44" t="s">
        <v>5</v>
      </c>
      <c r="E1163" s="707"/>
      <c r="F1163" s="707">
        <f>F1146</f>
        <v>0</v>
      </c>
      <c r="G1163" s="448"/>
      <c r="H1163" s="448"/>
      <c r="I1163" s="448"/>
      <c r="J1163" s="448"/>
      <c r="K1163" s="448"/>
      <c r="L1163" s="448"/>
      <c r="M1163" s="1251"/>
      <c r="N1163" s="1250"/>
      <c r="O1163" s="1273"/>
    </row>
    <row r="1164" spans="1:15" s="660" customFormat="1" hidden="1">
      <c r="A1164" s="1397"/>
      <c r="B1164" s="447"/>
      <c r="C1164" s="148" t="s">
        <v>13</v>
      </c>
      <c r="D1164" s="447" t="s">
        <v>15</v>
      </c>
      <c r="E1164" s="1234">
        <v>0.497</v>
      </c>
      <c r="F1164" s="1234">
        <f>F1163*E1164</f>
        <v>0</v>
      </c>
      <c r="G1164" s="448"/>
      <c r="H1164" s="448"/>
      <c r="I1164" s="448">
        <v>7.8</v>
      </c>
      <c r="J1164" s="448">
        <f>F1164*I1164</f>
        <v>0</v>
      </c>
      <c r="K1164" s="448"/>
      <c r="L1164" s="448"/>
      <c r="M1164" s="1251">
        <f t="shared" ref="M1164:M1171" si="151">H1164+J1164+L1164</f>
        <v>0</v>
      </c>
      <c r="N1164" s="1250"/>
      <c r="O1164" s="1273"/>
    </row>
    <row r="1165" spans="1:15" s="660" customFormat="1" hidden="1">
      <c r="A1165" s="1397"/>
      <c r="B1165" s="447"/>
      <c r="C1165" s="148" t="s">
        <v>25</v>
      </c>
      <c r="D1165" s="447" t="s">
        <v>11</v>
      </c>
      <c r="E1165" s="1234">
        <v>2.8400000000000002E-2</v>
      </c>
      <c r="F1165" s="1234">
        <f>F1163*E1165</f>
        <v>0</v>
      </c>
      <c r="G1165" s="448"/>
      <c r="H1165" s="448"/>
      <c r="I1165" s="448"/>
      <c r="J1165" s="448"/>
      <c r="K1165" s="448">
        <v>4</v>
      </c>
      <c r="L1165" s="448">
        <f>F1165*K1165</f>
        <v>0</v>
      </c>
      <c r="M1165" s="1251">
        <f t="shared" si="151"/>
        <v>0</v>
      </c>
      <c r="N1165" s="1250"/>
      <c r="O1165" s="1273"/>
    </row>
    <row r="1166" spans="1:15" s="660" customFormat="1" ht="31.5" hidden="1">
      <c r="A1166" s="1397"/>
      <c r="B1166" s="695"/>
      <c r="C1166" s="166" t="s">
        <v>981</v>
      </c>
      <c r="D1166" s="695" t="s">
        <v>234</v>
      </c>
      <c r="E1166" s="1235">
        <v>1.25</v>
      </c>
      <c r="F1166" s="1234">
        <f>F1163*E1166</f>
        <v>0</v>
      </c>
      <c r="G1166" s="448">
        <v>5.09</v>
      </c>
      <c r="H1166" s="448">
        <f t="shared" ref="H1166:H1171" si="152">F1166*G1166</f>
        <v>0</v>
      </c>
      <c r="I1166" s="448"/>
      <c r="J1166" s="448"/>
      <c r="K1166" s="448"/>
      <c r="L1166" s="448"/>
      <c r="M1166" s="1251">
        <f t="shared" si="151"/>
        <v>0</v>
      </c>
      <c r="N1166" s="1250"/>
      <c r="O1166" s="1273"/>
    </row>
    <row r="1167" spans="1:15" s="660" customFormat="1" ht="31.5" hidden="1">
      <c r="A1167" s="1397"/>
      <c r="B1167" s="40"/>
      <c r="C1167" s="166" t="s">
        <v>982</v>
      </c>
      <c r="D1167" s="24" t="s">
        <v>234</v>
      </c>
      <c r="E1167" s="84">
        <v>1.25</v>
      </c>
      <c r="F1167" s="84">
        <f>E1167*F1163</f>
        <v>0</v>
      </c>
      <c r="G1167" s="448">
        <v>5.65</v>
      </c>
      <c r="H1167" s="664">
        <f t="shared" si="152"/>
        <v>0</v>
      </c>
      <c r="I1167" s="664"/>
      <c r="J1167" s="664"/>
      <c r="K1167" s="664"/>
      <c r="L1167" s="664"/>
      <c r="M1167" s="1264">
        <f t="shared" si="151"/>
        <v>0</v>
      </c>
      <c r="N1167" s="1250"/>
      <c r="O1167" s="1273"/>
    </row>
    <row r="1168" spans="1:15" s="660" customFormat="1" hidden="1">
      <c r="A1168" s="1397"/>
      <c r="B1168" s="695"/>
      <c r="C1168" s="166" t="s">
        <v>983</v>
      </c>
      <c r="D1168" s="695" t="s">
        <v>234</v>
      </c>
      <c r="E1168" s="1235">
        <v>1.25</v>
      </c>
      <c r="F1168" s="1234">
        <f>F1163*E1168</f>
        <v>0</v>
      </c>
      <c r="G1168" s="448">
        <v>35</v>
      </c>
      <c r="H1168" s="334">
        <f t="shared" si="152"/>
        <v>0</v>
      </c>
      <c r="I1168" s="334"/>
      <c r="J1168" s="334"/>
      <c r="K1168" s="334"/>
      <c r="L1168" s="334"/>
      <c r="M1168" s="1266">
        <f t="shared" si="151"/>
        <v>0</v>
      </c>
      <c r="N1168" s="1250"/>
      <c r="O1168" s="1273"/>
    </row>
    <row r="1169" spans="1:15" s="660" customFormat="1" hidden="1">
      <c r="A1169" s="1397"/>
      <c r="B1169" s="447"/>
      <c r="C1169" s="166" t="s">
        <v>984</v>
      </c>
      <c r="D1169" s="695" t="s">
        <v>985</v>
      </c>
      <c r="E1169" s="1235">
        <v>0.8</v>
      </c>
      <c r="F1169" s="1234">
        <f>F1163*E1169</f>
        <v>0</v>
      </c>
      <c r="G1169" s="448">
        <v>3.2</v>
      </c>
      <c r="H1169" s="448">
        <f t="shared" si="152"/>
        <v>0</v>
      </c>
      <c r="I1169" s="448"/>
      <c r="J1169" s="448"/>
      <c r="K1169" s="448"/>
      <c r="L1169" s="448"/>
      <c r="M1169" s="1251">
        <f t="shared" si="151"/>
        <v>0</v>
      </c>
      <c r="N1169" s="1250"/>
      <c r="O1169" s="1273"/>
    </row>
    <row r="1170" spans="1:15" s="660" customFormat="1" hidden="1">
      <c r="A1170" s="1397"/>
      <c r="B1170" s="447"/>
      <c r="C1170" s="166" t="s">
        <v>986</v>
      </c>
      <c r="D1170" s="695" t="s">
        <v>7</v>
      </c>
      <c r="E1170" s="1235">
        <v>2.9999999999999997E-4</v>
      </c>
      <c r="F1170" s="1234">
        <f>F1163*E1170</f>
        <v>0</v>
      </c>
      <c r="G1170" s="448">
        <v>4230</v>
      </c>
      <c r="H1170" s="448">
        <f t="shared" si="152"/>
        <v>0</v>
      </c>
      <c r="I1170" s="448"/>
      <c r="J1170" s="448"/>
      <c r="K1170" s="448"/>
      <c r="L1170" s="448"/>
      <c r="M1170" s="1251">
        <f t="shared" si="151"/>
        <v>0</v>
      </c>
      <c r="N1170" s="1250"/>
      <c r="O1170" s="1273"/>
    </row>
    <row r="1171" spans="1:15" s="660" customFormat="1" hidden="1">
      <c r="A1171" s="1398"/>
      <c r="B1171" s="691"/>
      <c r="C1171" s="630" t="s">
        <v>26</v>
      </c>
      <c r="D1171" s="691" t="s">
        <v>11</v>
      </c>
      <c r="E1171" s="708">
        <v>2.06E-2</v>
      </c>
      <c r="F1171" s="708">
        <f>F1163*E1171</f>
        <v>0</v>
      </c>
      <c r="G1171" s="1225">
        <v>4</v>
      </c>
      <c r="H1171" s="1225">
        <f t="shared" si="152"/>
        <v>0</v>
      </c>
      <c r="I1171" s="1225"/>
      <c r="J1171" s="1225"/>
      <c r="K1171" s="1225"/>
      <c r="L1171" s="1225"/>
      <c r="M1171" s="1261">
        <f t="shared" si="151"/>
        <v>0</v>
      </c>
      <c r="N1171" s="1250"/>
      <c r="O1171" s="1273"/>
    </row>
    <row r="1172" spans="1:15" s="660" customFormat="1" ht="31.5" hidden="1">
      <c r="A1172" s="1396" t="s">
        <v>431</v>
      </c>
      <c r="B1172" s="40" t="s">
        <v>22</v>
      </c>
      <c r="C1172" s="275" t="s">
        <v>1006</v>
      </c>
      <c r="D1172" s="40" t="s">
        <v>279</v>
      </c>
      <c r="E1172" s="276"/>
      <c r="F1172" s="707">
        <v>0</v>
      </c>
      <c r="G1172" s="448"/>
      <c r="H1172" s="448"/>
      <c r="I1172" s="448"/>
      <c r="J1172" s="448"/>
      <c r="K1172" s="448"/>
      <c r="L1172" s="448"/>
      <c r="M1172" s="1251"/>
      <c r="N1172" s="1250"/>
      <c r="O1172" s="1273"/>
    </row>
    <row r="1173" spans="1:15" s="660" customFormat="1" hidden="1">
      <c r="A1173" s="1397"/>
      <c r="B1173" s="262"/>
      <c r="C1173" s="162" t="s">
        <v>13</v>
      </c>
      <c r="D1173" s="46" t="s">
        <v>15</v>
      </c>
      <c r="E1173" s="58">
        <v>0.83</v>
      </c>
      <c r="F1173" s="1234">
        <f>F1172*E1173</f>
        <v>0</v>
      </c>
      <c r="G1173" s="448"/>
      <c r="H1173" s="448"/>
      <c r="I1173" s="448">
        <v>7.8</v>
      </c>
      <c r="J1173" s="448">
        <f>F1173*I1173</f>
        <v>0</v>
      </c>
      <c r="K1173" s="448"/>
      <c r="L1173" s="448"/>
      <c r="M1173" s="1251">
        <f>H1173+J1173+L1173</f>
        <v>0</v>
      </c>
      <c r="N1173" s="1250"/>
      <c r="O1173" s="1273"/>
    </row>
    <row r="1174" spans="1:15" s="660" customFormat="1" hidden="1">
      <c r="A1174" s="1397"/>
      <c r="B1174" s="40"/>
      <c r="C1174" s="160" t="s">
        <v>14</v>
      </c>
      <c r="D1174" s="46" t="s">
        <v>11</v>
      </c>
      <c r="E1174" s="84">
        <f>0.41/100</f>
        <v>4.0999999999999995E-3</v>
      </c>
      <c r="F1174" s="1234">
        <f>F1172*E1174</f>
        <v>0</v>
      </c>
      <c r="G1174" s="448"/>
      <c r="H1174" s="448"/>
      <c r="I1174" s="448"/>
      <c r="J1174" s="448"/>
      <c r="K1174" s="448">
        <v>4</v>
      </c>
      <c r="L1174" s="448">
        <f>F1174*K1174</f>
        <v>0</v>
      </c>
      <c r="M1174" s="1251">
        <f>H1174+J1174+L1174</f>
        <v>0</v>
      </c>
      <c r="N1174" s="1250"/>
      <c r="O1174" s="1273"/>
    </row>
    <row r="1175" spans="1:15" s="660" customFormat="1" hidden="1">
      <c r="A1175" s="1397"/>
      <c r="B1175" s="40" t="s">
        <v>393</v>
      </c>
      <c r="C1175" s="162" t="s">
        <v>986</v>
      </c>
      <c r="D1175" s="46" t="s">
        <v>5</v>
      </c>
      <c r="E1175" s="58">
        <v>1.3</v>
      </c>
      <c r="F1175" s="1234">
        <f>F1172*E1175</f>
        <v>0</v>
      </c>
      <c r="G1175" s="448">
        <v>4230</v>
      </c>
      <c r="H1175" s="448">
        <f>F1175*G1175</f>
        <v>0</v>
      </c>
      <c r="I1175" s="448"/>
      <c r="J1175" s="448"/>
      <c r="K1175" s="448"/>
      <c r="L1175" s="448"/>
      <c r="M1175" s="1251">
        <f>H1175+J1175+L1175</f>
        <v>0</v>
      </c>
      <c r="N1175" s="1250"/>
      <c r="O1175" s="1273"/>
    </row>
    <row r="1176" spans="1:15" s="660" customFormat="1" hidden="1">
      <c r="A1176" s="1398"/>
      <c r="B1176" s="40"/>
      <c r="C1176" s="160" t="s">
        <v>26</v>
      </c>
      <c r="D1176" s="46" t="s">
        <v>11</v>
      </c>
      <c r="E1176" s="84">
        <f>7.8/100</f>
        <v>7.8E-2</v>
      </c>
      <c r="F1176" s="1234">
        <f>F1172*E1176</f>
        <v>0</v>
      </c>
      <c r="G1176" s="448">
        <v>4</v>
      </c>
      <c r="H1176" s="448">
        <f>F1176*G1176</f>
        <v>0</v>
      </c>
      <c r="I1176" s="448"/>
      <c r="J1176" s="448"/>
      <c r="K1176" s="448"/>
      <c r="L1176" s="448"/>
      <c r="M1176" s="1251">
        <f>H1176+J1176+L1176</f>
        <v>0</v>
      </c>
      <c r="N1176" s="1250"/>
      <c r="O1176" s="1273"/>
    </row>
    <row r="1177" spans="1:15" s="660" customFormat="1">
      <c r="A1177" s="1390" t="s">
        <v>431</v>
      </c>
      <c r="B1177" s="44" t="s">
        <v>27</v>
      </c>
      <c r="C1177" s="225" t="s">
        <v>1007</v>
      </c>
      <c r="D1177" s="44" t="s">
        <v>4</v>
      </c>
      <c r="E1177" s="383"/>
      <c r="F1177" s="714">
        <f>(3+4)*2*(2.75+2.4)/2*0.2-1.5*1.2*0.2-1.4*2.1*0.2</f>
        <v>6.2620000000000005</v>
      </c>
      <c r="G1177" s="670"/>
      <c r="H1177" s="87"/>
      <c r="I1177" s="87"/>
      <c r="J1177" s="87"/>
      <c r="K1177" s="87"/>
      <c r="L1177" s="87"/>
      <c r="M1177" s="1274"/>
      <c r="N1177" s="1250"/>
      <c r="O1177" s="1273"/>
    </row>
    <row r="1178" spans="1:15" s="660" customFormat="1">
      <c r="A1178" s="1391"/>
      <c r="B1178" s="44"/>
      <c r="C1178" s="166" t="s">
        <v>1859</v>
      </c>
      <c r="D1178" s="695" t="s">
        <v>12</v>
      </c>
      <c r="E1178" s="1235">
        <v>1</v>
      </c>
      <c r="F1178" s="715">
        <f>F1182</f>
        <v>360.065</v>
      </c>
      <c r="G1178" s="87"/>
      <c r="H1178" s="87"/>
      <c r="I1178" s="87"/>
      <c r="J1178" s="87">
        <f>I1178*F1178</f>
        <v>0</v>
      </c>
      <c r="K1178" s="87"/>
      <c r="L1178" s="87"/>
      <c r="M1178" s="1260">
        <f>L1178+J1178+H1178</f>
        <v>0</v>
      </c>
      <c r="N1178" s="1250"/>
      <c r="O1178" s="1273"/>
    </row>
    <row r="1179" spans="1:15" s="660" customFormat="1">
      <c r="A1179" s="1391"/>
      <c r="B1179" s="44"/>
      <c r="C1179" s="166" t="s">
        <v>1008</v>
      </c>
      <c r="D1179" s="695" t="s">
        <v>11</v>
      </c>
      <c r="E1179" s="1235">
        <v>0.92</v>
      </c>
      <c r="F1179" s="715">
        <f>F1177*E1179</f>
        <v>5.7610400000000004</v>
      </c>
      <c r="G1179" s="87"/>
      <c r="H1179" s="87"/>
      <c r="I1179" s="87"/>
      <c r="J1179" s="87"/>
      <c r="K1179" s="87"/>
      <c r="L1179" s="87">
        <f>K1179*F1179</f>
        <v>0</v>
      </c>
      <c r="M1179" s="1260">
        <f>L1179+J1179+H1179</f>
        <v>0</v>
      </c>
      <c r="N1179" s="1250"/>
      <c r="O1179" s="1273"/>
    </row>
    <row r="1180" spans="1:15" s="660" customFormat="1">
      <c r="A1180" s="1391"/>
      <c r="B1180" s="44"/>
      <c r="C1180" s="166" t="s">
        <v>1009</v>
      </c>
      <c r="D1180" s="695" t="s">
        <v>4</v>
      </c>
      <c r="E1180" s="1235">
        <v>0.11</v>
      </c>
      <c r="F1180" s="715">
        <f>F1177*E1180</f>
        <v>0.6888200000000001</v>
      </c>
      <c r="G1180" s="87"/>
      <c r="H1180" s="87">
        <f>G1180*F1180</f>
        <v>0</v>
      </c>
      <c r="I1180" s="87"/>
      <c r="J1180" s="87"/>
      <c r="K1180" s="87"/>
      <c r="L1180" s="87"/>
      <c r="M1180" s="1260">
        <f>L1180+J1180+H1180</f>
        <v>0</v>
      </c>
      <c r="N1180" s="1250"/>
      <c r="O1180" s="1273"/>
    </row>
    <row r="1181" spans="1:15" s="660" customFormat="1">
      <c r="A1181" s="1391"/>
      <c r="B1181" s="44"/>
      <c r="C1181" s="674" t="s">
        <v>1591</v>
      </c>
      <c r="D1181" s="695" t="s">
        <v>4</v>
      </c>
      <c r="E1181" s="1235">
        <v>0.92</v>
      </c>
      <c r="F1181" s="715">
        <f>F1177*E1181</f>
        <v>5.7610400000000004</v>
      </c>
      <c r="G1181" s="87"/>
      <c r="H1181" s="87"/>
      <c r="I1181" s="87"/>
      <c r="J1181" s="87"/>
      <c r="K1181" s="87"/>
      <c r="L1181" s="87"/>
      <c r="M1181" s="1260"/>
      <c r="N1181" s="1250"/>
      <c r="O1181" s="1273"/>
    </row>
    <row r="1182" spans="1:15" s="660" customFormat="1">
      <c r="A1182" s="1391"/>
      <c r="B1182" s="44"/>
      <c r="C1182" s="675"/>
      <c r="D1182" s="695" t="s">
        <v>90</v>
      </c>
      <c r="E1182" s="1235">
        <v>62.5</v>
      </c>
      <c r="F1182" s="715">
        <f>F1181*E1182</f>
        <v>360.065</v>
      </c>
      <c r="G1182" s="87"/>
      <c r="H1182" s="87">
        <f>G1182*F1182</f>
        <v>0</v>
      </c>
      <c r="I1182" s="87"/>
      <c r="J1182" s="87"/>
      <c r="K1182" s="87"/>
      <c r="L1182" s="87"/>
      <c r="M1182" s="1260">
        <f>L1182+J1182+H1182</f>
        <v>0</v>
      </c>
      <c r="N1182" s="1250"/>
      <c r="O1182" s="1273"/>
    </row>
    <row r="1183" spans="1:15" s="660" customFormat="1">
      <c r="A1183" s="1392"/>
      <c r="B1183" s="44"/>
      <c r="C1183" s="166" t="s">
        <v>1010</v>
      </c>
      <c r="D1183" s="695" t="s">
        <v>11</v>
      </c>
      <c r="E1183" s="1235">
        <v>0.16</v>
      </c>
      <c r="F1183" s="715">
        <f>F1177*E1183</f>
        <v>1.0019200000000001</v>
      </c>
      <c r="G1183" s="87"/>
      <c r="H1183" s="87">
        <f>G1183*F1183</f>
        <v>0</v>
      </c>
      <c r="I1183" s="670"/>
      <c r="J1183" s="87"/>
      <c r="K1183" s="87"/>
      <c r="L1183" s="87"/>
      <c r="M1183" s="1260">
        <f>L1183+J1183+H1183</f>
        <v>0</v>
      </c>
      <c r="N1183" s="1250"/>
      <c r="O1183" s="1273"/>
    </row>
    <row r="1184" spans="1:15" s="660" customFormat="1" ht="31.5">
      <c r="A1184" s="1434" t="s">
        <v>38</v>
      </c>
      <c r="B1184" s="44" t="s">
        <v>1011</v>
      </c>
      <c r="C1184" s="225" t="s">
        <v>1012</v>
      </c>
      <c r="D1184" s="44" t="s">
        <v>4</v>
      </c>
      <c r="E1184" s="383"/>
      <c r="F1184" s="714">
        <v>0.6</v>
      </c>
      <c r="G1184" s="670"/>
      <c r="H1184" s="87"/>
      <c r="I1184" s="87"/>
      <c r="J1184" s="87"/>
      <c r="K1184" s="87"/>
      <c r="L1184" s="87"/>
      <c r="M1184" s="1274"/>
      <c r="N1184" s="1250"/>
      <c r="O1184" s="1273"/>
    </row>
    <row r="1185" spans="1:15" s="660" customFormat="1">
      <c r="A1185" s="1435"/>
      <c r="B1185" s="44"/>
      <c r="C1185" s="166" t="s">
        <v>1860</v>
      </c>
      <c r="D1185" s="695" t="s">
        <v>1123</v>
      </c>
      <c r="E1185" s="1235">
        <v>1</v>
      </c>
      <c r="F1185" s="715">
        <f>F1184*E1185</f>
        <v>0.6</v>
      </c>
      <c r="G1185" s="87"/>
      <c r="H1185" s="87"/>
      <c r="I1185" s="87"/>
      <c r="J1185" s="87">
        <f>I1185*F1185</f>
        <v>0</v>
      </c>
      <c r="K1185" s="87"/>
      <c r="L1185" s="87"/>
      <c r="M1185" s="1260">
        <f>L1185+J1185+H1185</f>
        <v>0</v>
      </c>
      <c r="N1185" s="1250"/>
      <c r="O1185" s="1273"/>
    </row>
    <row r="1186" spans="1:15" s="660" customFormat="1">
      <c r="A1186" s="1435"/>
      <c r="B1186" s="44"/>
      <c r="C1186" s="166" t="s">
        <v>25</v>
      </c>
      <c r="D1186" s="695" t="s">
        <v>11</v>
      </c>
      <c r="E1186" s="1235">
        <v>1.06</v>
      </c>
      <c r="F1186" s="715">
        <f>F1184*E1186</f>
        <v>0.63600000000000001</v>
      </c>
      <c r="G1186" s="87"/>
      <c r="H1186" s="87"/>
      <c r="I1186" s="87"/>
      <c r="J1186" s="87"/>
      <c r="K1186" s="87"/>
      <c r="L1186" s="87">
        <f>K1186*F1186</f>
        <v>0</v>
      </c>
      <c r="M1186" s="1260">
        <f t="shared" ref="M1186:M1216" si="153">L1186+J1186+H1186</f>
        <v>0</v>
      </c>
      <c r="N1186" s="1250"/>
      <c r="O1186" s="1273"/>
    </row>
    <row r="1187" spans="1:15" s="660" customFormat="1">
      <c r="A1187" s="1435"/>
      <c r="B1187" s="44"/>
      <c r="C1187" s="166" t="s">
        <v>1013</v>
      </c>
      <c r="D1187" s="695" t="s">
        <v>1014</v>
      </c>
      <c r="E1187" s="1235">
        <v>1.0149999999999999</v>
      </c>
      <c r="F1187" s="715">
        <f>F1184*E1187</f>
        <v>0.60899999999999987</v>
      </c>
      <c r="G1187" s="87"/>
      <c r="H1187" s="87">
        <f t="shared" ref="H1187:H1193" si="154">G1187*F1187</f>
        <v>0</v>
      </c>
      <c r="I1187" s="87"/>
      <c r="J1187" s="87"/>
      <c r="K1187" s="87"/>
      <c r="L1187" s="87"/>
      <c r="M1187" s="1260">
        <f t="shared" si="153"/>
        <v>0</v>
      </c>
      <c r="N1187" s="1250"/>
      <c r="O1187" s="1273"/>
    </row>
    <row r="1188" spans="1:15" s="660" customFormat="1">
      <c r="A1188" s="1435"/>
      <c r="B1188" s="44"/>
      <c r="C1188" s="166" t="s">
        <v>1015</v>
      </c>
      <c r="D1188" s="695" t="s">
        <v>5</v>
      </c>
      <c r="E1188" s="1235">
        <v>1.4</v>
      </c>
      <c r="F1188" s="715">
        <f>F1184*E1188</f>
        <v>0.84</v>
      </c>
      <c r="G1188" s="87"/>
      <c r="H1188" s="87">
        <f t="shared" si="154"/>
        <v>0</v>
      </c>
      <c r="I1188" s="87"/>
      <c r="J1188" s="87"/>
      <c r="K1188" s="87"/>
      <c r="L1188" s="87"/>
      <c r="M1188" s="1260">
        <f t="shared" si="153"/>
        <v>0</v>
      </c>
      <c r="N1188" s="1250"/>
      <c r="O1188" s="1273"/>
    </row>
    <row r="1189" spans="1:15" s="660" customFormat="1">
      <c r="A1189" s="1435"/>
      <c r="B1189" s="44"/>
      <c r="C1189" s="166" t="s">
        <v>235</v>
      </c>
      <c r="D1189" s="695" t="s">
        <v>4</v>
      </c>
      <c r="E1189" s="1235">
        <v>1.4500000000000001E-2</v>
      </c>
      <c r="F1189" s="715">
        <f>F1184*E1189</f>
        <v>8.6999999999999994E-3</v>
      </c>
      <c r="G1189" s="87"/>
      <c r="H1189" s="87">
        <f t="shared" si="154"/>
        <v>0</v>
      </c>
      <c r="I1189" s="87"/>
      <c r="J1189" s="87"/>
      <c r="K1189" s="87"/>
      <c r="L1189" s="87"/>
      <c r="M1189" s="1260">
        <f t="shared" si="153"/>
        <v>0</v>
      </c>
      <c r="N1189" s="1250"/>
      <c r="O1189" s="1273"/>
    </row>
    <row r="1190" spans="1:15" s="660" customFormat="1">
      <c r="A1190" s="1435"/>
      <c r="B1190" s="44"/>
      <c r="C1190" s="166" t="s">
        <v>70</v>
      </c>
      <c r="D1190" s="695" t="s">
        <v>6</v>
      </c>
      <c r="E1190" s="1235">
        <v>2.5</v>
      </c>
      <c r="F1190" s="715">
        <f>F1184*E1190</f>
        <v>1.5</v>
      </c>
      <c r="G1190" s="638"/>
      <c r="H1190" s="87">
        <f t="shared" si="154"/>
        <v>0</v>
      </c>
      <c r="I1190" s="87"/>
      <c r="J1190" s="87"/>
      <c r="K1190" s="87"/>
      <c r="L1190" s="87"/>
      <c r="M1190" s="1260">
        <f t="shared" si="153"/>
        <v>0</v>
      </c>
      <c r="N1190" s="1250"/>
      <c r="O1190" s="1273"/>
    </row>
    <row r="1191" spans="1:15" s="660" customFormat="1">
      <c r="A1191" s="1435"/>
      <c r="B1191" s="44"/>
      <c r="C1191" s="166" t="s">
        <v>19</v>
      </c>
      <c r="D1191" s="695" t="s">
        <v>11</v>
      </c>
      <c r="E1191" s="1235">
        <v>0.74</v>
      </c>
      <c r="F1191" s="715">
        <f>F1184*E1191</f>
        <v>0.44400000000000001</v>
      </c>
      <c r="G1191" s="87"/>
      <c r="H1191" s="87">
        <f t="shared" si="154"/>
        <v>0</v>
      </c>
      <c r="I1191" s="670"/>
      <c r="J1191" s="87"/>
      <c r="K1191" s="87"/>
      <c r="L1191" s="87"/>
      <c r="M1191" s="1260">
        <f>L1191+J1191+H1191</f>
        <v>0</v>
      </c>
      <c r="N1191" s="1250"/>
      <c r="O1191" s="1273"/>
    </row>
    <row r="1192" spans="1:15" s="660" customFormat="1">
      <c r="A1192" s="1435"/>
      <c r="B1192" s="44"/>
      <c r="C1192" s="223" t="s">
        <v>1016</v>
      </c>
      <c r="D1192" s="695" t="s">
        <v>233</v>
      </c>
      <c r="E1192" s="1235"/>
      <c r="F1192" s="716">
        <v>2.5000000000000001E-2</v>
      </c>
      <c r="G1192" s="87"/>
      <c r="H1192" s="87">
        <f t="shared" si="154"/>
        <v>0</v>
      </c>
      <c r="I1192" s="670"/>
      <c r="J1192" s="87"/>
      <c r="K1192" s="87"/>
      <c r="L1192" s="87"/>
      <c r="M1192" s="1260">
        <f>L1192+J1192+H1192</f>
        <v>0</v>
      </c>
      <c r="N1192" s="1250"/>
      <c r="O1192" s="1273"/>
    </row>
    <row r="1193" spans="1:15" s="660" customFormat="1">
      <c r="A1193" s="1435"/>
      <c r="B1193" s="44"/>
      <c r="C1193" s="223" t="s">
        <v>1017</v>
      </c>
      <c r="D1193" s="695" t="s">
        <v>233</v>
      </c>
      <c r="E1193" s="1235"/>
      <c r="F1193" s="716">
        <v>3.2000000000000001E-2</v>
      </c>
      <c r="G1193" s="638"/>
      <c r="H1193" s="87">
        <f t="shared" si="154"/>
        <v>0</v>
      </c>
      <c r="I1193" s="670"/>
      <c r="J1193" s="87"/>
      <c r="K1193" s="87"/>
      <c r="L1193" s="87"/>
      <c r="M1193" s="1260">
        <f>L1193+J1193+H1193</f>
        <v>0</v>
      </c>
      <c r="N1193" s="1250"/>
      <c r="O1193" s="1273"/>
    </row>
    <row r="1194" spans="1:15" s="660" customFormat="1" ht="31.5">
      <c r="A1194" s="1390" t="s">
        <v>409</v>
      </c>
      <c r="B1194" s="44" t="s">
        <v>1018</v>
      </c>
      <c r="C1194" s="225" t="s">
        <v>1019</v>
      </c>
      <c r="D1194" s="44" t="s">
        <v>4</v>
      </c>
      <c r="E1194" s="383"/>
      <c r="F1194" s="383">
        <v>0.61</v>
      </c>
      <c r="G1194" s="670"/>
      <c r="H1194" s="87"/>
      <c r="I1194" s="87"/>
      <c r="J1194" s="87"/>
      <c r="K1194" s="87"/>
      <c r="L1194" s="87"/>
      <c r="M1194" s="1274"/>
      <c r="N1194" s="1250"/>
      <c r="O1194" s="1273"/>
    </row>
    <row r="1195" spans="1:15" s="660" customFormat="1">
      <c r="A1195" s="1391"/>
      <c r="B1195" s="44"/>
      <c r="C1195" s="166" t="s">
        <v>1861</v>
      </c>
      <c r="D1195" s="695" t="s">
        <v>4</v>
      </c>
      <c r="E1195" s="1235">
        <v>1</v>
      </c>
      <c r="F1195" s="1235">
        <f>E1195*F1194</f>
        <v>0.61</v>
      </c>
      <c r="G1195" s="87"/>
      <c r="H1195" s="87"/>
      <c r="I1195" s="87"/>
      <c r="J1195" s="87">
        <f>I1195*F1195</f>
        <v>0</v>
      </c>
      <c r="K1195" s="87"/>
      <c r="L1195" s="87"/>
      <c r="M1195" s="1260">
        <f t="shared" si="153"/>
        <v>0</v>
      </c>
      <c r="N1195" s="1250"/>
      <c r="O1195" s="1273"/>
    </row>
    <row r="1196" spans="1:15" s="660" customFormat="1">
      <c r="A1196" s="1391"/>
      <c r="B1196" s="44"/>
      <c r="C1196" s="166" t="s">
        <v>1008</v>
      </c>
      <c r="D1196" s="695" t="s">
        <v>11</v>
      </c>
      <c r="E1196" s="1235">
        <v>2.1</v>
      </c>
      <c r="F1196" s="1235">
        <f>E1196*F1194</f>
        <v>1.2809999999999999</v>
      </c>
      <c r="G1196" s="87"/>
      <c r="H1196" s="87"/>
      <c r="I1196" s="87"/>
      <c r="J1196" s="87"/>
      <c r="K1196" s="87"/>
      <c r="L1196" s="87">
        <f>K1196*F1196</f>
        <v>0</v>
      </c>
      <c r="M1196" s="1260">
        <f t="shared" si="153"/>
        <v>0</v>
      </c>
      <c r="N1196" s="1250"/>
      <c r="O1196" s="1273"/>
    </row>
    <row r="1197" spans="1:15" s="660" customFormat="1">
      <c r="A1197" s="1391"/>
      <c r="B1197" s="44"/>
      <c r="C1197" s="166" t="s">
        <v>1020</v>
      </c>
      <c r="D1197" s="695" t="s">
        <v>1014</v>
      </c>
      <c r="E1197" s="1235"/>
      <c r="F1197" s="1235">
        <v>0.33</v>
      </c>
      <c r="G1197" s="87"/>
      <c r="H1197" s="87">
        <f>G1197*F1197</f>
        <v>0</v>
      </c>
      <c r="I1197" s="87"/>
      <c r="J1197" s="87"/>
      <c r="K1197" s="87"/>
      <c r="L1197" s="87"/>
      <c r="M1197" s="1260">
        <f t="shared" si="153"/>
        <v>0</v>
      </c>
      <c r="N1197" s="1250"/>
      <c r="O1197" s="1273"/>
    </row>
    <row r="1198" spans="1:15" s="660" customFormat="1">
      <c r="A1198" s="1391"/>
      <c r="B1198" s="44"/>
      <c r="C1198" s="166" t="s">
        <v>1021</v>
      </c>
      <c r="D1198" s="695" t="s">
        <v>1014</v>
      </c>
      <c r="E1198" s="1235"/>
      <c r="F1198" s="1235">
        <v>0.28000000000000003</v>
      </c>
      <c r="G1198" s="87"/>
      <c r="H1198" s="87">
        <f>G1198*F1198</f>
        <v>0</v>
      </c>
      <c r="I1198" s="87"/>
      <c r="J1198" s="87"/>
      <c r="K1198" s="87"/>
      <c r="L1198" s="87"/>
      <c r="M1198" s="1260">
        <f t="shared" si="153"/>
        <v>0</v>
      </c>
      <c r="N1198" s="1250"/>
      <c r="O1198" s="1273"/>
    </row>
    <row r="1199" spans="1:15" s="660" customFormat="1">
      <c r="A1199" s="1391"/>
      <c r="B1199" s="44"/>
      <c r="C1199" s="166" t="s">
        <v>1022</v>
      </c>
      <c r="D1199" s="695" t="s">
        <v>90</v>
      </c>
      <c r="E1199" s="1235"/>
      <c r="F1199" s="1235">
        <v>5</v>
      </c>
      <c r="G1199" s="87"/>
      <c r="H1199" s="87">
        <f>G1199*F1199</f>
        <v>0</v>
      </c>
      <c r="I1199" s="87"/>
      <c r="J1199" s="87"/>
      <c r="K1199" s="87"/>
      <c r="L1199" s="87"/>
      <c r="M1199" s="1260">
        <f t="shared" si="153"/>
        <v>0</v>
      </c>
      <c r="N1199" s="1250"/>
      <c r="O1199" s="1273"/>
    </row>
    <row r="1200" spans="1:15" s="660" customFormat="1">
      <c r="A1200" s="1392"/>
      <c r="B1200" s="44"/>
      <c r="C1200" s="166" t="s">
        <v>19</v>
      </c>
      <c r="D1200" s="695" t="s">
        <v>11</v>
      </c>
      <c r="E1200" s="1235">
        <v>0.2</v>
      </c>
      <c r="F1200" s="1235">
        <f>E1200*F1194</f>
        <v>0.122</v>
      </c>
      <c r="G1200" s="87"/>
      <c r="H1200" s="87">
        <f>G1200*F1200</f>
        <v>0</v>
      </c>
      <c r="I1200" s="87"/>
      <c r="J1200" s="87"/>
      <c r="K1200" s="87"/>
      <c r="L1200" s="87"/>
      <c r="M1200" s="1260">
        <f t="shared" si="153"/>
        <v>0</v>
      </c>
      <c r="N1200" s="1250"/>
      <c r="O1200" s="1273"/>
    </row>
    <row r="1201" spans="1:16" customFormat="1">
      <c r="A1201" s="1390" t="s">
        <v>432</v>
      </c>
      <c r="B1201" s="44" t="s">
        <v>1023</v>
      </c>
      <c r="C1201" s="225" t="s">
        <v>1024</v>
      </c>
      <c r="D1201" s="44" t="s">
        <v>4</v>
      </c>
      <c r="E1201" s="383"/>
      <c r="F1201" s="383">
        <f>F1194</f>
        <v>0.61</v>
      </c>
      <c r="G1201" s="670"/>
      <c r="H1201" s="87"/>
      <c r="I1201" s="87"/>
      <c r="J1201" s="87"/>
      <c r="K1201" s="87"/>
      <c r="L1201" s="87"/>
      <c r="M1201" s="1274"/>
      <c r="N1201" s="1275"/>
      <c r="O1201" s="1276"/>
    </row>
    <row r="1202" spans="1:16" customFormat="1">
      <c r="A1202" s="1391"/>
      <c r="B1202" s="42"/>
      <c r="C1202" s="166" t="s">
        <v>1862</v>
      </c>
      <c r="D1202" s="695" t="s">
        <v>4</v>
      </c>
      <c r="E1202" s="1235">
        <v>1</v>
      </c>
      <c r="F1202" s="1234">
        <f>F1201*E1202</f>
        <v>0.61</v>
      </c>
      <c r="G1202" s="87"/>
      <c r="H1202" s="87"/>
      <c r="I1202" s="87"/>
      <c r="J1202" s="87">
        <f>I1202*F1202</f>
        <v>0</v>
      </c>
      <c r="K1202" s="87"/>
      <c r="L1202" s="87"/>
      <c r="M1202" s="1260">
        <f t="shared" si="153"/>
        <v>0</v>
      </c>
      <c r="N1202" s="1275"/>
      <c r="O1202" s="1276"/>
    </row>
    <row r="1203" spans="1:16" customFormat="1">
      <c r="A1203" s="1391"/>
      <c r="B1203" s="42"/>
      <c r="C1203" s="166" t="s">
        <v>21</v>
      </c>
      <c r="D1203" s="695" t="s">
        <v>11</v>
      </c>
      <c r="E1203" s="1235">
        <v>0.13</v>
      </c>
      <c r="F1203" s="1234">
        <f>F1201*E1203</f>
        <v>7.9299999999999995E-2</v>
      </c>
      <c r="G1203" s="87"/>
      <c r="H1203" s="87"/>
      <c r="I1203" s="87"/>
      <c r="J1203" s="87"/>
      <c r="K1203" s="448"/>
      <c r="L1203" s="448">
        <f>F1203*K1203</f>
        <v>0</v>
      </c>
      <c r="M1203" s="1260">
        <f t="shared" si="153"/>
        <v>0</v>
      </c>
      <c r="N1203" s="1275"/>
      <c r="O1203" s="1276"/>
    </row>
    <row r="1204" spans="1:16" customFormat="1" hidden="1">
      <c r="A1204" s="1391"/>
      <c r="B1204" s="1240"/>
      <c r="C1204" s="1241" t="s">
        <v>1025</v>
      </c>
      <c r="D1204" s="1242" t="s">
        <v>6</v>
      </c>
      <c r="E1204" s="1243">
        <v>7.2</v>
      </c>
      <c r="F1204" s="1244">
        <f>F1201*E1204</f>
        <v>4.3920000000000003</v>
      </c>
      <c r="G1204" s="1245">
        <v>4</v>
      </c>
      <c r="H1204" s="1245"/>
      <c r="I1204" s="1245"/>
      <c r="J1204" s="1245"/>
      <c r="K1204" s="1245"/>
      <c r="L1204" s="1245"/>
      <c r="M1204" s="1277">
        <f t="shared" si="153"/>
        <v>0</v>
      </c>
      <c r="N1204" s="1275"/>
      <c r="O1204" s="1276"/>
    </row>
    <row r="1205" spans="1:16" customFormat="1" hidden="1">
      <c r="A1205" s="1391"/>
      <c r="B1205" s="1240"/>
      <c r="C1205" s="1241" t="s">
        <v>1026</v>
      </c>
      <c r="D1205" s="1242" t="s">
        <v>6</v>
      </c>
      <c r="E1205" s="1243">
        <v>1.79</v>
      </c>
      <c r="F1205" s="1244">
        <f>F1201*E1205</f>
        <v>1.0919000000000001</v>
      </c>
      <c r="G1205" s="1245">
        <v>4</v>
      </c>
      <c r="H1205" s="1245"/>
      <c r="I1205" s="1245"/>
      <c r="J1205" s="1245"/>
      <c r="K1205" s="1245"/>
      <c r="L1205" s="1245"/>
      <c r="M1205" s="1277">
        <f t="shared" si="153"/>
        <v>0</v>
      </c>
      <c r="N1205" s="1275"/>
      <c r="O1205" s="1276"/>
    </row>
    <row r="1206" spans="1:16" customFormat="1" hidden="1">
      <c r="A1206" s="1391"/>
      <c r="B1206" s="1240"/>
      <c r="C1206" s="1241" t="s">
        <v>1027</v>
      </c>
      <c r="D1206" s="1242" t="s">
        <v>6</v>
      </c>
      <c r="E1206" s="1243">
        <v>1.07</v>
      </c>
      <c r="F1206" s="1244">
        <f>F1201*E1206</f>
        <v>0.65270000000000006</v>
      </c>
      <c r="G1206" s="1245">
        <v>2</v>
      </c>
      <c r="H1206" s="1245"/>
      <c r="I1206" s="1245"/>
      <c r="J1206" s="1245"/>
      <c r="K1206" s="1245"/>
      <c r="L1206" s="1245"/>
      <c r="M1206" s="1277">
        <f t="shared" si="153"/>
        <v>0</v>
      </c>
      <c r="N1206" s="1275"/>
      <c r="O1206" s="1276"/>
    </row>
    <row r="1207" spans="1:16" s="1212" customFormat="1">
      <c r="A1207" s="1391"/>
      <c r="B1207" s="1142"/>
      <c r="C1207" s="154" t="s">
        <v>1863</v>
      </c>
      <c r="D1207" s="63" t="s">
        <v>6</v>
      </c>
      <c r="E1207" s="74">
        <v>15</v>
      </c>
      <c r="F1207" s="17">
        <f>F1201*E1207</f>
        <v>9.15</v>
      </c>
      <c r="G1207" s="77"/>
      <c r="H1207" s="77">
        <f>F1207*G1207</f>
        <v>0</v>
      </c>
      <c r="I1207" s="77"/>
      <c r="J1207" s="77"/>
      <c r="K1207" s="77"/>
      <c r="L1207" s="448"/>
      <c r="M1207" s="1251">
        <f t="shared" ref="M1207" si="155">H1207+J1207+L1207</f>
        <v>0</v>
      </c>
      <c r="N1207" s="1254"/>
      <c r="O1207" s="1278"/>
      <c r="P1207" s="1239" t="s">
        <v>1864</v>
      </c>
    </row>
    <row r="1208" spans="1:16" customFormat="1">
      <c r="A1208" s="1391"/>
      <c r="B1208" s="42"/>
      <c r="C1208" s="166" t="s">
        <v>19</v>
      </c>
      <c r="D1208" s="695" t="s">
        <v>11</v>
      </c>
      <c r="E1208" s="1235">
        <v>0.1</v>
      </c>
      <c r="F1208" s="1234">
        <f>F1201*E1208</f>
        <v>6.0999999999999999E-2</v>
      </c>
      <c r="G1208" s="448"/>
      <c r="H1208" s="448">
        <f>F1208*G1208</f>
        <v>0</v>
      </c>
      <c r="I1208" s="448"/>
      <c r="J1208" s="448"/>
      <c r="K1208" s="448"/>
      <c r="L1208" s="448"/>
      <c r="M1208" s="1260">
        <f t="shared" si="153"/>
        <v>0</v>
      </c>
      <c r="N1208" s="1275"/>
      <c r="O1208" s="1276"/>
    </row>
    <row r="1209" spans="1:16" customFormat="1">
      <c r="A1209" s="1390" t="s">
        <v>39</v>
      </c>
      <c r="B1209" s="44" t="s">
        <v>1028</v>
      </c>
      <c r="C1209" s="225" t="s">
        <v>1029</v>
      </c>
      <c r="D1209" s="44" t="s">
        <v>5</v>
      </c>
      <c r="E1209" s="1235"/>
      <c r="F1209" s="383">
        <f>F1221</f>
        <v>20</v>
      </c>
      <c r="G1209" s="87"/>
      <c r="H1209" s="87"/>
      <c r="I1209" s="87"/>
      <c r="J1209" s="87"/>
      <c r="K1209" s="87"/>
      <c r="L1209" s="87"/>
      <c r="M1209" s="1274"/>
      <c r="N1209" s="1275"/>
      <c r="O1209" s="1276"/>
    </row>
    <row r="1210" spans="1:16" customFormat="1">
      <c r="A1210" s="1391"/>
      <c r="B1210" s="42"/>
      <c r="C1210" s="166" t="s">
        <v>1865</v>
      </c>
      <c r="D1210" s="695" t="s">
        <v>5</v>
      </c>
      <c r="E1210" s="1235">
        <v>1</v>
      </c>
      <c r="F1210" s="1235">
        <f>F1209*E1210</f>
        <v>20</v>
      </c>
      <c r="G1210" s="87"/>
      <c r="H1210" s="87"/>
      <c r="I1210" s="87"/>
      <c r="J1210" s="87">
        <f>F1210*I1210</f>
        <v>0</v>
      </c>
      <c r="K1210" s="87"/>
      <c r="L1210" s="87"/>
      <c r="M1210" s="1260">
        <f t="shared" si="153"/>
        <v>0</v>
      </c>
      <c r="N1210" s="1275"/>
      <c r="O1210" s="1276"/>
    </row>
    <row r="1211" spans="1:16" customFormat="1">
      <c r="A1211" s="1391"/>
      <c r="B1211" s="42"/>
      <c r="C1211" s="166" t="s">
        <v>21</v>
      </c>
      <c r="D1211" s="695" t="s">
        <v>11</v>
      </c>
      <c r="E1211" s="1235">
        <v>4.1000000000000003E-3</v>
      </c>
      <c r="F1211" s="1235">
        <f>F1209*E1211</f>
        <v>8.2000000000000003E-2</v>
      </c>
      <c r="G1211" s="87"/>
      <c r="H1211" s="87"/>
      <c r="I1211" s="87"/>
      <c r="J1211" s="87"/>
      <c r="K1211" s="87"/>
      <c r="L1211" s="87">
        <f>F1211*K1211</f>
        <v>0</v>
      </c>
      <c r="M1211" s="1260">
        <f t="shared" si="153"/>
        <v>0</v>
      </c>
      <c r="N1211" s="1275"/>
      <c r="O1211" s="1276"/>
    </row>
    <row r="1212" spans="1:16" customFormat="1" hidden="1">
      <c r="A1212" s="1391"/>
      <c r="B1212" s="1240"/>
      <c r="C1212" s="1241" t="s">
        <v>1025</v>
      </c>
      <c r="D1212" s="1242" t="s">
        <v>6</v>
      </c>
      <c r="E1212" s="1243">
        <v>0.23100000000000001</v>
      </c>
      <c r="F1212" s="1243">
        <f>F1209*E1212</f>
        <v>4.62</v>
      </c>
      <c r="G1212" s="1245">
        <v>4</v>
      </c>
      <c r="H1212" s="1245"/>
      <c r="I1212" s="1245"/>
      <c r="J1212" s="1245"/>
      <c r="K1212" s="1245"/>
      <c r="L1212" s="1245"/>
      <c r="M1212" s="1277">
        <f t="shared" si="153"/>
        <v>0</v>
      </c>
      <c r="N1212" s="1275"/>
      <c r="O1212" s="1276"/>
    </row>
    <row r="1213" spans="1:16" customFormat="1" hidden="1">
      <c r="A1213" s="1391"/>
      <c r="B1213" s="1240"/>
      <c r="C1213" s="1241" t="s">
        <v>1026</v>
      </c>
      <c r="D1213" s="1242" t="s">
        <v>6</v>
      </c>
      <c r="E1213" s="1243">
        <v>5.8000000000000003E-2</v>
      </c>
      <c r="F1213" s="1243">
        <f>F1209*E1213</f>
        <v>1.1600000000000001</v>
      </c>
      <c r="G1213" s="1245">
        <v>4</v>
      </c>
      <c r="H1213" s="1245"/>
      <c r="I1213" s="1245"/>
      <c r="J1213" s="1245"/>
      <c r="K1213" s="1245"/>
      <c r="L1213" s="1245"/>
      <c r="M1213" s="1277">
        <f t="shared" si="153"/>
        <v>0</v>
      </c>
      <c r="N1213" s="1275"/>
      <c r="O1213" s="1276"/>
    </row>
    <row r="1214" spans="1:16" customFormat="1" hidden="1">
      <c r="A1214" s="1391"/>
      <c r="B1214" s="1240"/>
      <c r="C1214" s="1241" t="s">
        <v>1027</v>
      </c>
      <c r="D1214" s="1242" t="s">
        <v>6</v>
      </c>
      <c r="E1214" s="1243">
        <v>3.5000000000000003E-2</v>
      </c>
      <c r="F1214" s="1243">
        <f>F1209*E1214</f>
        <v>0.70000000000000007</v>
      </c>
      <c r="G1214" s="1245">
        <v>2</v>
      </c>
      <c r="H1214" s="1245"/>
      <c r="I1214" s="1245"/>
      <c r="J1214" s="1245"/>
      <c r="K1214" s="1245"/>
      <c r="L1214" s="1245"/>
      <c r="M1214" s="1277">
        <f t="shared" si="153"/>
        <v>0</v>
      </c>
      <c r="N1214" s="1275"/>
      <c r="O1214" s="1276"/>
    </row>
    <row r="1215" spans="1:16" s="1212" customFormat="1">
      <c r="A1215" s="1391"/>
      <c r="B1215" s="1142"/>
      <c r="C1215" s="154" t="s">
        <v>1863</v>
      </c>
      <c r="D1215" s="63" t="s">
        <v>6</v>
      </c>
      <c r="E1215" s="74">
        <v>0.35</v>
      </c>
      <c r="F1215" s="17">
        <f>F1209*E1215</f>
        <v>7</v>
      </c>
      <c r="G1215" s="77"/>
      <c r="H1215" s="77">
        <f>F1215*G1215</f>
        <v>0</v>
      </c>
      <c r="I1215" s="77"/>
      <c r="J1215" s="77"/>
      <c r="K1215" s="77"/>
      <c r="L1215" s="448"/>
      <c r="M1215" s="1251">
        <f t="shared" ref="M1215" si="156">H1215+J1215+L1215</f>
        <v>0</v>
      </c>
      <c r="N1215" s="1254"/>
      <c r="O1215" s="1278"/>
      <c r="P1215" s="1239"/>
    </row>
    <row r="1216" spans="1:16" customFormat="1">
      <c r="A1216" s="1392"/>
      <c r="B1216" s="42"/>
      <c r="C1216" s="166" t="s">
        <v>19</v>
      </c>
      <c r="D1216" s="695" t="s">
        <v>11</v>
      </c>
      <c r="E1216" s="1235">
        <v>4.0000000000000002E-4</v>
      </c>
      <c r="F1216" s="1235">
        <f>F1209*E1216</f>
        <v>8.0000000000000002E-3</v>
      </c>
      <c r="G1216" s="448"/>
      <c r="H1216" s="448">
        <f>F1216*G1216</f>
        <v>0</v>
      </c>
      <c r="I1216" s="448"/>
      <c r="J1216" s="448"/>
      <c r="K1216" s="448"/>
      <c r="L1216" s="448"/>
      <c r="M1216" s="1260">
        <f t="shared" si="153"/>
        <v>0</v>
      </c>
      <c r="N1216" s="1275"/>
      <c r="O1216" s="1276"/>
    </row>
    <row r="1217" spans="1:15" customFormat="1">
      <c r="A1217" s="1390" t="s">
        <v>64</v>
      </c>
      <c r="B1217" s="676" t="s">
        <v>1030</v>
      </c>
      <c r="C1217" s="225" t="s">
        <v>1031</v>
      </c>
      <c r="D1217" s="44" t="s">
        <v>5</v>
      </c>
      <c r="E1217" s="383"/>
      <c r="F1217" s="383">
        <f>F1209</f>
        <v>20</v>
      </c>
      <c r="G1217" s="670"/>
      <c r="H1217" s="87"/>
      <c r="I1217" s="87"/>
      <c r="J1217" s="87"/>
      <c r="K1217" s="87"/>
      <c r="L1217" s="87"/>
      <c r="M1217" s="1274"/>
      <c r="N1217" s="1275"/>
      <c r="O1217" s="1276"/>
    </row>
    <row r="1218" spans="1:15" customFormat="1">
      <c r="A1218" s="1391"/>
      <c r="B1218" s="676"/>
      <c r="C1218" s="166" t="s">
        <v>1866</v>
      </c>
      <c r="D1218" s="695" t="s">
        <v>5</v>
      </c>
      <c r="E1218" s="1235">
        <v>1</v>
      </c>
      <c r="F1218" s="1235">
        <f>F1217*E1218</f>
        <v>20</v>
      </c>
      <c r="G1218" s="448"/>
      <c r="H1218" s="448"/>
      <c r="I1218" s="448"/>
      <c r="J1218" s="448">
        <f>F1218*I1218</f>
        <v>0</v>
      </c>
      <c r="K1218" s="448"/>
      <c r="L1218" s="448"/>
      <c r="M1218" s="1251">
        <f>H1218+J1218+L1218</f>
        <v>0</v>
      </c>
      <c r="N1218" s="1275"/>
      <c r="O1218" s="1276"/>
    </row>
    <row r="1219" spans="1:15" customFormat="1">
      <c r="A1219" s="1391"/>
      <c r="B1219" s="676"/>
      <c r="C1219" s="166" t="s">
        <v>21</v>
      </c>
      <c r="D1219" s="695" t="s">
        <v>11</v>
      </c>
      <c r="E1219" s="1235">
        <v>1.6000000000000001E-3</v>
      </c>
      <c r="F1219" s="1235">
        <f>F1217*E1219</f>
        <v>3.2000000000000001E-2</v>
      </c>
      <c r="G1219" s="448"/>
      <c r="H1219" s="448"/>
      <c r="I1219" s="448"/>
      <c r="J1219" s="448"/>
      <c r="K1219" s="448"/>
      <c r="L1219" s="448">
        <f>F1219*K1219</f>
        <v>0</v>
      </c>
      <c r="M1219" s="1251">
        <f>H1219+J1219+L1219</f>
        <v>0</v>
      </c>
      <c r="N1219" s="1275"/>
      <c r="O1219" s="1276"/>
    </row>
    <row r="1220" spans="1:15" customFormat="1">
      <c r="A1220" s="1392"/>
      <c r="B1220" s="676"/>
      <c r="C1220" s="142" t="s">
        <v>1032</v>
      </c>
      <c r="D1220" s="695" t="s">
        <v>6</v>
      </c>
      <c r="E1220" s="1235">
        <v>0.4</v>
      </c>
      <c r="F1220" s="1235">
        <f>F1217*E1220</f>
        <v>8</v>
      </c>
      <c r="G1220" s="448"/>
      <c r="H1220" s="448">
        <f>F1220*G1220</f>
        <v>0</v>
      </c>
      <c r="I1220" s="448"/>
      <c r="J1220" s="448"/>
      <c r="K1220" s="448"/>
      <c r="L1220" s="448"/>
      <c r="M1220" s="1260">
        <f>H1220</f>
        <v>0</v>
      </c>
      <c r="N1220" s="1275"/>
      <c r="O1220" s="1276"/>
    </row>
    <row r="1221" spans="1:15" customFormat="1" ht="31.5">
      <c r="A1221" s="1390" t="s">
        <v>433</v>
      </c>
      <c r="B1221" s="42" t="s">
        <v>262</v>
      </c>
      <c r="C1221" s="225" t="s">
        <v>1033</v>
      </c>
      <c r="D1221" s="44" t="s">
        <v>5</v>
      </c>
      <c r="E1221" s="383"/>
      <c r="F1221" s="383">
        <f>20</f>
        <v>20</v>
      </c>
      <c r="G1221" s="670"/>
      <c r="H1221" s="87"/>
      <c r="I1221" s="87"/>
      <c r="J1221" s="87"/>
      <c r="K1221" s="87"/>
      <c r="L1221" s="87"/>
      <c r="M1221" s="1274"/>
      <c r="N1221" s="1275"/>
      <c r="O1221" s="1276"/>
    </row>
    <row r="1222" spans="1:15" customFormat="1">
      <c r="A1222" s="1391"/>
      <c r="B1222" s="42"/>
      <c r="C1222" s="148" t="s">
        <v>1867</v>
      </c>
      <c r="D1222" s="447" t="s">
        <v>5</v>
      </c>
      <c r="E1222" s="1234">
        <v>1</v>
      </c>
      <c r="F1222" s="1234">
        <f>F1221*E1222</f>
        <v>20</v>
      </c>
      <c r="G1222" s="448"/>
      <c r="H1222" s="448"/>
      <c r="I1222" s="448"/>
      <c r="J1222" s="448">
        <f>F1222*I1222</f>
        <v>0</v>
      </c>
      <c r="K1222" s="448"/>
      <c r="L1222" s="448"/>
      <c r="M1222" s="1251">
        <f t="shared" ref="M1222:M1228" si="157">H1222+J1222+L1222</f>
        <v>0</v>
      </c>
      <c r="N1222" s="1275"/>
      <c r="O1222" s="1276"/>
    </row>
    <row r="1223" spans="1:15" customFormat="1">
      <c r="A1223" s="1391"/>
      <c r="B1223" s="42"/>
      <c r="C1223" s="166" t="s">
        <v>21</v>
      </c>
      <c r="D1223" s="447" t="s">
        <v>16</v>
      </c>
      <c r="E1223" s="1234">
        <v>2.64E-2</v>
      </c>
      <c r="F1223" s="1234">
        <f>F1221*E1223</f>
        <v>0.52800000000000002</v>
      </c>
      <c r="G1223" s="448"/>
      <c r="H1223" s="448"/>
      <c r="I1223" s="448"/>
      <c r="J1223" s="448"/>
      <c r="K1223" s="448"/>
      <c r="L1223" s="448">
        <f>F1223*K1223</f>
        <v>0</v>
      </c>
      <c r="M1223" s="1251">
        <f t="shared" si="157"/>
        <v>0</v>
      </c>
      <c r="N1223" s="1275"/>
      <c r="O1223" s="1276"/>
    </row>
    <row r="1224" spans="1:15" customFormat="1" ht="31.5">
      <c r="A1224" s="1391"/>
      <c r="B1224" s="42"/>
      <c r="C1224" s="148" t="s">
        <v>1034</v>
      </c>
      <c r="D1224" s="447" t="s">
        <v>5</v>
      </c>
      <c r="E1224" s="1234">
        <v>1.3</v>
      </c>
      <c r="F1224" s="1234">
        <f>F1221*E1224</f>
        <v>26</v>
      </c>
      <c r="G1224" s="448"/>
      <c r="H1224" s="448">
        <f>F1224*G1224</f>
        <v>0</v>
      </c>
      <c r="I1224" s="448"/>
      <c r="J1224" s="448"/>
      <c r="K1224" s="448"/>
      <c r="L1224" s="448"/>
      <c r="M1224" s="1251">
        <f t="shared" si="157"/>
        <v>0</v>
      </c>
      <c r="N1224" s="1275"/>
      <c r="O1224" s="1276"/>
    </row>
    <row r="1225" spans="1:15" customFormat="1">
      <c r="A1225" s="1391"/>
      <c r="B1225" s="42"/>
      <c r="C1225" s="148" t="s">
        <v>263</v>
      </c>
      <c r="D1225" s="447" t="s">
        <v>2</v>
      </c>
      <c r="E1225" s="1234">
        <v>6</v>
      </c>
      <c r="F1225" s="1234">
        <f>F1221*E1225</f>
        <v>120</v>
      </c>
      <c r="G1225" s="448"/>
      <c r="H1225" s="448">
        <f>F1225*G1225</f>
        <v>0</v>
      </c>
      <c r="I1225" s="448"/>
      <c r="J1225" s="448"/>
      <c r="K1225" s="448"/>
      <c r="L1225" s="448"/>
      <c r="M1225" s="1251">
        <f t="shared" si="157"/>
        <v>0</v>
      </c>
      <c r="N1225" s="1275"/>
      <c r="O1225" s="1276"/>
    </row>
    <row r="1226" spans="1:15" customFormat="1">
      <c r="A1226" s="1391"/>
      <c r="B1226" s="42"/>
      <c r="C1226" s="148" t="s">
        <v>112</v>
      </c>
      <c r="D1226" s="447" t="s">
        <v>6</v>
      </c>
      <c r="E1226" s="1234">
        <v>7.9000000000000001E-2</v>
      </c>
      <c r="F1226" s="1234">
        <f>F1221*E1226</f>
        <v>1.58</v>
      </c>
      <c r="G1226" s="448"/>
      <c r="H1226" s="448">
        <f>F1226*G1226</f>
        <v>0</v>
      </c>
      <c r="I1226" s="448"/>
      <c r="J1226" s="448"/>
      <c r="K1226" s="448"/>
      <c r="L1226" s="448"/>
      <c r="M1226" s="1251">
        <f t="shared" si="157"/>
        <v>0</v>
      </c>
      <c r="N1226" s="1275"/>
      <c r="O1226" s="1276"/>
    </row>
    <row r="1227" spans="1:15" customFormat="1">
      <c r="A1227" s="1391"/>
      <c r="B1227" s="42"/>
      <c r="C1227" s="148" t="s">
        <v>986</v>
      </c>
      <c r="D1227" s="447" t="s">
        <v>7</v>
      </c>
      <c r="E1227" s="1234">
        <v>2.0000000000000001E-4</v>
      </c>
      <c r="F1227" s="1234">
        <f>F1221*E1227</f>
        <v>4.0000000000000001E-3</v>
      </c>
      <c r="G1227" s="77"/>
      <c r="H1227" s="448">
        <f>F1227*G1227</f>
        <v>0</v>
      </c>
      <c r="I1227" s="448"/>
      <c r="J1227" s="448"/>
      <c r="K1227" s="448"/>
      <c r="L1227" s="448"/>
      <c r="M1227" s="1251">
        <f t="shared" si="157"/>
        <v>0</v>
      </c>
      <c r="N1227" s="1275"/>
      <c r="O1227" s="1276"/>
    </row>
    <row r="1228" spans="1:15" customFormat="1">
      <c r="A1228" s="1391"/>
      <c r="B1228" s="42"/>
      <c r="C1228" s="148" t="s">
        <v>26</v>
      </c>
      <c r="D1228" s="447" t="s">
        <v>11</v>
      </c>
      <c r="E1228" s="1234">
        <v>6.3600000000000004E-2</v>
      </c>
      <c r="F1228" s="1234">
        <f>F1221*E1228</f>
        <v>1.272</v>
      </c>
      <c r="G1228" s="448"/>
      <c r="H1228" s="448">
        <f>F1228*G1228</f>
        <v>0</v>
      </c>
      <c r="I1228" s="448"/>
      <c r="J1228" s="448"/>
      <c r="K1228" s="448"/>
      <c r="L1228" s="448"/>
      <c r="M1228" s="1251">
        <f t="shared" si="157"/>
        <v>0</v>
      </c>
      <c r="N1228" s="1275"/>
      <c r="O1228" s="1276"/>
    </row>
    <row r="1229" spans="1:15" customFormat="1">
      <c r="A1229" s="1401" t="s">
        <v>434</v>
      </c>
      <c r="B1229" s="42" t="s">
        <v>264</v>
      </c>
      <c r="C1229" s="225" t="s">
        <v>1112</v>
      </c>
      <c r="D1229" s="42" t="s">
        <v>1</v>
      </c>
      <c r="E1229" s="1235"/>
      <c r="F1229" s="20">
        <v>4</v>
      </c>
      <c r="G1229" s="77"/>
      <c r="H1229" s="77"/>
      <c r="I1229" s="77"/>
      <c r="J1229" s="77"/>
      <c r="K1229" s="77"/>
      <c r="L1229" s="77"/>
      <c r="M1229" s="1252"/>
      <c r="N1229" s="1275"/>
      <c r="O1229" s="1276"/>
    </row>
    <row r="1230" spans="1:15" customFormat="1">
      <c r="A1230" s="1401"/>
      <c r="B1230" s="447"/>
      <c r="C1230" s="154" t="s">
        <v>1804</v>
      </c>
      <c r="D1230" s="447" t="s">
        <v>1</v>
      </c>
      <c r="E1230" s="554">
        <v>1</v>
      </c>
      <c r="F1230" s="282">
        <f>F1229*E1230</f>
        <v>4</v>
      </c>
      <c r="G1230" s="77"/>
      <c r="H1230" s="77"/>
      <c r="I1230" s="77"/>
      <c r="J1230" s="77">
        <f>F1230*I1230</f>
        <v>0</v>
      </c>
      <c r="K1230" s="77"/>
      <c r="L1230" s="77"/>
      <c r="M1230" s="1252">
        <f t="shared" ref="M1230:M1238" si="158">H1230+J1230+L1230</f>
        <v>0</v>
      </c>
      <c r="N1230" s="1275"/>
      <c r="O1230" s="1276"/>
    </row>
    <row r="1231" spans="1:15" customFormat="1">
      <c r="A1231" s="1401"/>
      <c r="B1231" s="447"/>
      <c r="C1231" s="154" t="s">
        <v>14</v>
      </c>
      <c r="D1231" s="447" t="s">
        <v>11</v>
      </c>
      <c r="E1231" s="554">
        <v>4.1000000000000003E-3</v>
      </c>
      <c r="F1231" s="282">
        <f>F1229*E1231</f>
        <v>1.6400000000000001E-2</v>
      </c>
      <c r="G1231" s="77"/>
      <c r="H1231" s="77"/>
      <c r="I1231" s="77"/>
      <c r="J1231" s="77"/>
      <c r="K1231" s="77"/>
      <c r="L1231" s="77">
        <f>F1231*K1231</f>
        <v>0</v>
      </c>
      <c r="M1231" s="1252">
        <f t="shared" si="158"/>
        <v>0</v>
      </c>
      <c r="N1231" s="1275"/>
      <c r="O1231" s="1276"/>
    </row>
    <row r="1232" spans="1:15" customFormat="1">
      <c r="A1232" s="1401"/>
      <c r="B1232" s="447"/>
      <c r="C1232" s="166" t="s">
        <v>265</v>
      </c>
      <c r="D1232" s="447" t="s">
        <v>260</v>
      </c>
      <c r="E1232" s="1235">
        <v>1.1000000000000001</v>
      </c>
      <c r="F1232" s="282">
        <f>F1229*E1232</f>
        <v>4.4000000000000004</v>
      </c>
      <c r="G1232" s="77"/>
      <c r="H1232" s="77">
        <f t="shared" ref="H1232:H1238" si="159">F1232*G1232</f>
        <v>0</v>
      </c>
      <c r="I1232" s="77"/>
      <c r="J1232" s="77"/>
      <c r="K1232" s="77"/>
      <c r="L1232" s="77"/>
      <c r="M1232" s="1252">
        <f t="shared" si="158"/>
        <v>0</v>
      </c>
      <c r="N1232" s="1275"/>
      <c r="O1232" s="1276"/>
    </row>
    <row r="1233" spans="1:15" customFormat="1">
      <c r="A1233" s="1401"/>
      <c r="B1233" s="447"/>
      <c r="C1233" s="166" t="s">
        <v>772</v>
      </c>
      <c r="D1233" s="447" t="s">
        <v>12</v>
      </c>
      <c r="E1233" s="730">
        <f>F1229/0.5*2</f>
        <v>16</v>
      </c>
      <c r="F1233" s="282">
        <f>E1233</f>
        <v>16</v>
      </c>
      <c r="G1233" s="77"/>
      <c r="H1233" s="77">
        <f t="shared" si="159"/>
        <v>0</v>
      </c>
      <c r="I1233" s="77"/>
      <c r="J1233" s="77"/>
      <c r="K1233" s="77"/>
      <c r="L1233" s="77"/>
      <c r="M1233" s="1252">
        <f t="shared" si="158"/>
        <v>0</v>
      </c>
      <c r="N1233" s="1275"/>
      <c r="O1233" s="1276"/>
    </row>
    <row r="1234" spans="1:15" customFormat="1">
      <c r="A1234" s="1401"/>
      <c r="B1234" s="447"/>
      <c r="C1234" s="165" t="s">
        <v>273</v>
      </c>
      <c r="D1234" s="63" t="s">
        <v>250</v>
      </c>
      <c r="E1234" s="554">
        <v>2.3E-3</v>
      </c>
      <c r="F1234" s="282">
        <f>F1229*E1234</f>
        <v>9.1999999999999998E-3</v>
      </c>
      <c r="G1234" s="77"/>
      <c r="H1234" s="77">
        <f t="shared" si="159"/>
        <v>0</v>
      </c>
      <c r="I1234" s="77"/>
      <c r="J1234" s="77"/>
      <c r="K1234" s="77"/>
      <c r="L1234" s="77"/>
      <c r="M1234" s="1252">
        <f t="shared" si="158"/>
        <v>0</v>
      </c>
      <c r="N1234" s="1275"/>
      <c r="O1234" s="1276"/>
    </row>
    <row r="1235" spans="1:15" customFormat="1">
      <c r="A1235" s="1401"/>
      <c r="B1235" s="447"/>
      <c r="C1235" s="154" t="s">
        <v>261</v>
      </c>
      <c r="D1235" s="63" t="s">
        <v>6</v>
      </c>
      <c r="E1235" s="554">
        <v>3.7999999999999999E-2</v>
      </c>
      <c r="F1235" s="282">
        <f>F1229*E1235</f>
        <v>0.152</v>
      </c>
      <c r="G1235" s="77"/>
      <c r="H1235" s="77">
        <f t="shared" si="159"/>
        <v>0</v>
      </c>
      <c r="I1235" s="77"/>
      <c r="J1235" s="77"/>
      <c r="K1235" s="77"/>
      <c r="L1235" s="77"/>
      <c r="M1235" s="1252">
        <f t="shared" si="158"/>
        <v>0</v>
      </c>
      <c r="N1235" s="1275"/>
      <c r="O1235" s="1276"/>
    </row>
    <row r="1236" spans="1:15" customFormat="1">
      <c r="A1236" s="1401"/>
      <c r="B1236" s="447"/>
      <c r="C1236" s="154" t="s">
        <v>266</v>
      </c>
      <c r="D1236" s="63" t="s">
        <v>6</v>
      </c>
      <c r="E1236" s="554">
        <v>3.7999999999999999E-2</v>
      </c>
      <c r="F1236" s="282">
        <f>F1229*E1236</f>
        <v>0.152</v>
      </c>
      <c r="G1236" s="77"/>
      <c r="H1236" s="77">
        <f t="shared" si="159"/>
        <v>0</v>
      </c>
      <c r="I1236" s="77"/>
      <c r="J1236" s="77"/>
      <c r="K1236" s="77"/>
      <c r="L1236" s="77"/>
      <c r="M1236" s="1252">
        <f t="shared" si="158"/>
        <v>0</v>
      </c>
      <c r="N1236" s="1275"/>
      <c r="O1236" s="1276"/>
    </row>
    <row r="1237" spans="1:15" customFormat="1">
      <c r="A1237" s="1401"/>
      <c r="B1237" s="447"/>
      <c r="C1237" s="154" t="s">
        <v>267</v>
      </c>
      <c r="D1237" s="63" t="s">
        <v>6</v>
      </c>
      <c r="E1237" s="554">
        <v>1.69</v>
      </c>
      <c r="F1237" s="282">
        <f>F1229*E1237</f>
        <v>6.76</v>
      </c>
      <c r="G1237" s="77"/>
      <c r="H1237" s="77">
        <f t="shared" si="159"/>
        <v>0</v>
      </c>
      <c r="I1237" s="77"/>
      <c r="J1237" s="77"/>
      <c r="K1237" s="77"/>
      <c r="L1237" s="77"/>
      <c r="M1237" s="1252">
        <f t="shared" si="158"/>
        <v>0</v>
      </c>
      <c r="N1237" s="1275"/>
      <c r="O1237" s="1276"/>
    </row>
    <row r="1238" spans="1:15" customFormat="1" hidden="1">
      <c r="A1238" s="1401"/>
      <c r="B1238" s="447"/>
      <c r="C1238" s="148" t="s">
        <v>19</v>
      </c>
      <c r="D1238" s="447" t="s">
        <v>11</v>
      </c>
      <c r="E1238" s="282">
        <v>0</v>
      </c>
      <c r="F1238" s="282">
        <f>F1229*E1238</f>
        <v>0</v>
      </c>
      <c r="G1238" s="77">
        <v>4</v>
      </c>
      <c r="H1238" s="77">
        <f t="shared" si="159"/>
        <v>0</v>
      </c>
      <c r="I1238" s="77"/>
      <c r="J1238" s="77"/>
      <c r="K1238" s="77"/>
      <c r="L1238" s="77"/>
      <c r="M1238" s="1252">
        <f t="shared" si="158"/>
        <v>0</v>
      </c>
      <c r="N1238" s="1275"/>
      <c r="O1238" s="1276"/>
    </row>
    <row r="1239" spans="1:15" customFormat="1">
      <c r="A1239" s="1413" t="s">
        <v>69</v>
      </c>
      <c r="B1239" s="44" t="s">
        <v>990</v>
      </c>
      <c r="C1239" s="225" t="s">
        <v>1035</v>
      </c>
      <c r="D1239" s="44" t="s">
        <v>12</v>
      </c>
      <c r="E1239" s="1235"/>
      <c r="F1239" s="383">
        <v>2</v>
      </c>
      <c r="G1239" s="87"/>
      <c r="H1239" s="448"/>
      <c r="I1239" s="87"/>
      <c r="J1239" s="448"/>
      <c r="K1239" s="87"/>
      <c r="L1239" s="448"/>
      <c r="M1239" s="1251"/>
      <c r="N1239" s="1275"/>
      <c r="O1239" s="1276"/>
    </row>
    <row r="1240" spans="1:15" customFormat="1">
      <c r="A1240" s="1413"/>
      <c r="B1240" s="44"/>
      <c r="C1240" s="166" t="s">
        <v>1868</v>
      </c>
      <c r="D1240" s="695" t="s">
        <v>2</v>
      </c>
      <c r="E1240" s="1235">
        <v>1</v>
      </c>
      <c r="F1240" s="1235">
        <f>F1239*E1240</f>
        <v>2</v>
      </c>
      <c r="G1240" s="87"/>
      <c r="H1240" s="448"/>
      <c r="I1240" s="87"/>
      <c r="J1240" s="448">
        <f>F1240*I1240</f>
        <v>0</v>
      </c>
      <c r="K1240" s="87"/>
      <c r="L1240" s="448">
        <f>F1240*K1240</f>
        <v>0</v>
      </c>
      <c r="M1240" s="1251">
        <f>H1240+J1240+L1240</f>
        <v>0</v>
      </c>
      <c r="N1240" s="1275"/>
      <c r="O1240" s="1276"/>
    </row>
    <row r="1241" spans="1:15" customFormat="1">
      <c r="A1241" s="1413"/>
      <c r="B1241" s="44"/>
      <c r="C1241" s="166" t="s">
        <v>139</v>
      </c>
      <c r="D1241" s="695" t="s">
        <v>11</v>
      </c>
      <c r="E1241" s="1235">
        <v>0.45</v>
      </c>
      <c r="F1241" s="1235">
        <f>F1239*E1241</f>
        <v>0.9</v>
      </c>
      <c r="G1241" s="87"/>
      <c r="H1241" s="448"/>
      <c r="I1241" s="87"/>
      <c r="J1241" s="448"/>
      <c r="K1241" s="87"/>
      <c r="L1241" s="448">
        <f>F1241*K1241</f>
        <v>0</v>
      </c>
      <c r="M1241" s="1251">
        <f>H1241+J1241+L1241</f>
        <v>0</v>
      </c>
      <c r="N1241" s="1275"/>
      <c r="O1241" s="1276"/>
    </row>
    <row r="1242" spans="1:15" customFormat="1">
      <c r="A1242" s="1413"/>
      <c r="B1242" s="44" t="s">
        <v>1036</v>
      </c>
      <c r="C1242" s="166" t="s">
        <v>1037</v>
      </c>
      <c r="D1242" s="695" t="s">
        <v>90</v>
      </c>
      <c r="E1242" s="1235">
        <v>1</v>
      </c>
      <c r="F1242" s="1235">
        <f>F1239*E1242</f>
        <v>2</v>
      </c>
      <c r="G1242" s="87"/>
      <c r="H1242" s="448">
        <f>F1242*G1242</f>
        <v>0</v>
      </c>
      <c r="I1242" s="87"/>
      <c r="J1242" s="448"/>
      <c r="K1242" s="87"/>
      <c r="L1242" s="448"/>
      <c r="M1242" s="1251">
        <f>H1242+J1242+L1242</f>
        <v>0</v>
      </c>
      <c r="N1242" s="1275"/>
      <c r="O1242" s="1276"/>
    </row>
    <row r="1243" spans="1:15" customFormat="1">
      <c r="A1243" s="1413"/>
      <c r="B1243" s="44"/>
      <c r="C1243" s="166" t="s">
        <v>23</v>
      </c>
      <c r="D1243" s="695" t="s">
        <v>11</v>
      </c>
      <c r="E1243" s="1235">
        <v>0.14000000000000001</v>
      </c>
      <c r="F1243" s="1235">
        <f>F1239*E1243</f>
        <v>0.28000000000000003</v>
      </c>
      <c r="G1243" s="87"/>
      <c r="H1243" s="448">
        <f>F1243*G1243</f>
        <v>0</v>
      </c>
      <c r="I1243" s="87"/>
      <c r="J1243" s="448"/>
      <c r="K1243" s="87"/>
      <c r="L1243" s="448"/>
      <c r="M1243" s="1251">
        <f>H1243+J1243+L1243</f>
        <v>0</v>
      </c>
      <c r="N1243" s="1275"/>
      <c r="O1243" s="1276"/>
    </row>
    <row r="1244" spans="1:15" customFormat="1">
      <c r="A1244" s="1413" t="s">
        <v>118</v>
      </c>
      <c r="B1244" s="44" t="s">
        <v>270</v>
      </c>
      <c r="C1244" s="225" t="s">
        <v>993</v>
      </c>
      <c r="D1244" s="44" t="s">
        <v>124</v>
      </c>
      <c r="E1244" s="1235"/>
      <c r="F1244" s="383">
        <f>F1239*2</f>
        <v>4</v>
      </c>
      <c r="G1244" s="87"/>
      <c r="H1244" s="448"/>
      <c r="I1244" s="87"/>
      <c r="J1244" s="448"/>
      <c r="K1244" s="87"/>
      <c r="L1244" s="448"/>
      <c r="M1244" s="1251"/>
      <c r="N1244" s="1275"/>
      <c r="O1244" s="1276"/>
    </row>
    <row r="1245" spans="1:15" customFormat="1">
      <c r="A1245" s="1413"/>
      <c r="B1245" s="44"/>
      <c r="C1245" s="166" t="s">
        <v>1806</v>
      </c>
      <c r="D1245" s="695" t="s">
        <v>1</v>
      </c>
      <c r="E1245" s="1235">
        <v>1</v>
      </c>
      <c r="F1245" s="78">
        <f>F1244*E1245</f>
        <v>4</v>
      </c>
      <c r="G1245" s="87"/>
      <c r="H1245" s="448"/>
      <c r="I1245" s="87"/>
      <c r="J1245" s="448">
        <f>F1245*I1245</f>
        <v>0</v>
      </c>
      <c r="K1245" s="87"/>
      <c r="L1245" s="448"/>
      <c r="M1245" s="1251">
        <f t="shared" ref="M1245:M1251" si="160">H1245+J1245+L1245</f>
        <v>0</v>
      </c>
      <c r="N1245" s="1275"/>
      <c r="O1245" s="1276"/>
    </row>
    <row r="1246" spans="1:15" customFormat="1">
      <c r="A1246" s="1413"/>
      <c r="B1246" s="44"/>
      <c r="C1246" s="166" t="s">
        <v>24</v>
      </c>
      <c r="D1246" s="695" t="s">
        <v>11</v>
      </c>
      <c r="E1246" s="1235">
        <v>6.6199999999999995E-2</v>
      </c>
      <c r="F1246" s="78">
        <f>F1244*E1246</f>
        <v>0.26479999999999998</v>
      </c>
      <c r="G1246" s="87"/>
      <c r="H1246" s="448"/>
      <c r="I1246" s="87"/>
      <c r="J1246" s="448"/>
      <c r="K1246" s="87"/>
      <c r="L1246" s="448">
        <f>F1246*K1246</f>
        <v>0</v>
      </c>
      <c r="M1246" s="1251">
        <f t="shared" si="160"/>
        <v>0</v>
      </c>
      <c r="N1246" s="1275"/>
      <c r="O1246" s="1276"/>
    </row>
    <row r="1247" spans="1:15" customFormat="1">
      <c r="A1247" s="1413"/>
      <c r="B1247" s="44" t="s">
        <v>1038</v>
      </c>
      <c r="C1247" s="166" t="s">
        <v>994</v>
      </c>
      <c r="D1247" s="665" t="s">
        <v>201</v>
      </c>
      <c r="E1247" s="1235">
        <v>1.05</v>
      </c>
      <c r="F1247" s="78">
        <f>F1244*E1247</f>
        <v>4.2</v>
      </c>
      <c r="G1247" s="80"/>
      <c r="H1247" s="448">
        <f>F1247*G1247</f>
        <v>0</v>
      </c>
      <c r="I1247" s="87"/>
      <c r="J1247" s="448"/>
      <c r="K1247" s="87"/>
      <c r="L1247" s="448"/>
      <c r="M1247" s="1251">
        <f t="shared" si="160"/>
        <v>0</v>
      </c>
      <c r="N1247" s="1275"/>
      <c r="O1247" s="1276"/>
    </row>
    <row r="1248" spans="1:15" customFormat="1">
      <c r="A1248" s="1413"/>
      <c r="B1248" s="42"/>
      <c r="C1248" s="166" t="s">
        <v>261</v>
      </c>
      <c r="D1248" s="695" t="s">
        <v>6</v>
      </c>
      <c r="E1248" s="1235">
        <v>0.128</v>
      </c>
      <c r="F1248" s="78">
        <f>F1244*E1248</f>
        <v>0.51200000000000001</v>
      </c>
      <c r="G1248" s="80"/>
      <c r="H1248" s="448">
        <f>F1248*G1248</f>
        <v>0</v>
      </c>
      <c r="I1248" s="87"/>
      <c r="J1248" s="448"/>
      <c r="K1248" s="87"/>
      <c r="L1248" s="448"/>
      <c r="M1248" s="1251">
        <f t="shared" si="160"/>
        <v>0</v>
      </c>
      <c r="N1248" s="1275"/>
      <c r="O1248" s="1276"/>
    </row>
    <row r="1249" spans="1:15" customFormat="1">
      <c r="A1249" s="1413"/>
      <c r="B1249" s="42"/>
      <c r="C1249" s="166" t="s">
        <v>266</v>
      </c>
      <c r="D1249" s="695" t="s">
        <v>6</v>
      </c>
      <c r="E1249" s="1235">
        <v>0.128</v>
      </c>
      <c r="F1249" s="78">
        <f>F1244*E1249</f>
        <v>0.51200000000000001</v>
      </c>
      <c r="G1249" s="80"/>
      <c r="H1249" s="448">
        <f>F1249*G1249</f>
        <v>0</v>
      </c>
      <c r="I1249" s="87"/>
      <c r="J1249" s="448"/>
      <c r="K1249" s="87"/>
      <c r="L1249" s="448"/>
      <c r="M1249" s="1251">
        <f t="shared" si="160"/>
        <v>0</v>
      </c>
      <c r="N1249" s="1275"/>
      <c r="O1249" s="1276"/>
    </row>
    <row r="1250" spans="1:15" customFormat="1">
      <c r="A1250" s="1413"/>
      <c r="B1250" s="42"/>
      <c r="C1250" s="166" t="s">
        <v>267</v>
      </c>
      <c r="D1250" s="695" t="s">
        <v>6</v>
      </c>
      <c r="E1250" s="1235">
        <v>0.112</v>
      </c>
      <c r="F1250" s="78">
        <f>F1244*E1250</f>
        <v>0.44800000000000001</v>
      </c>
      <c r="G1250" s="80"/>
      <c r="H1250" s="448">
        <f>F1250*G1250</f>
        <v>0</v>
      </c>
      <c r="I1250" s="87"/>
      <c r="J1250" s="448"/>
      <c r="K1250" s="87"/>
      <c r="L1250" s="448"/>
      <c r="M1250" s="1251">
        <f t="shared" si="160"/>
        <v>0</v>
      </c>
      <c r="N1250" s="1275"/>
      <c r="O1250" s="1276"/>
    </row>
    <row r="1251" spans="1:15" customFormat="1">
      <c r="A1251" s="1413"/>
      <c r="B1251" s="42"/>
      <c r="C1251" s="166" t="s">
        <v>23</v>
      </c>
      <c r="D1251" s="695" t="s">
        <v>11</v>
      </c>
      <c r="E1251" s="1235">
        <v>0.13300000000000001</v>
      </c>
      <c r="F1251" s="78">
        <f>F1244*E1251</f>
        <v>0.53200000000000003</v>
      </c>
      <c r="G1251" s="77"/>
      <c r="H1251" s="448">
        <f>F1251*G1251</f>
        <v>0</v>
      </c>
      <c r="I1251" s="448"/>
      <c r="J1251" s="448"/>
      <c r="K1251" s="448"/>
      <c r="L1251" s="448"/>
      <c r="M1251" s="1251">
        <f t="shared" si="160"/>
        <v>0</v>
      </c>
      <c r="N1251" s="1275"/>
      <c r="O1251" s="1276"/>
    </row>
    <row r="1252" spans="1:15" customFormat="1" ht="40.5">
      <c r="A1252" s="1390" t="s">
        <v>272</v>
      </c>
      <c r="B1252" s="44" t="s">
        <v>1039</v>
      </c>
      <c r="C1252" s="225" t="s">
        <v>1040</v>
      </c>
      <c r="D1252" s="44" t="s">
        <v>5</v>
      </c>
      <c r="E1252" s="383"/>
      <c r="F1252" s="714">
        <f>1.5*1.2</f>
        <v>1.7999999999999998</v>
      </c>
      <c r="G1252" s="670"/>
      <c r="H1252" s="87"/>
      <c r="I1252" s="87"/>
      <c r="J1252" s="87"/>
      <c r="K1252" s="87"/>
      <c r="L1252" s="87"/>
      <c r="M1252" s="1274"/>
      <c r="N1252" s="1275"/>
      <c r="O1252" s="1276"/>
    </row>
    <row r="1253" spans="1:15" customFormat="1">
      <c r="A1253" s="1391"/>
      <c r="B1253" s="42"/>
      <c r="C1253" s="148" t="s">
        <v>1869</v>
      </c>
      <c r="D1253" s="67" t="s">
        <v>5</v>
      </c>
      <c r="E1253" s="709">
        <v>1</v>
      </c>
      <c r="F1253" s="1234">
        <f>F1252*E1253</f>
        <v>1.7999999999999998</v>
      </c>
      <c r="G1253" s="448"/>
      <c r="H1253" s="448"/>
      <c r="I1253" s="448"/>
      <c r="J1253" s="448">
        <f>F1253*I1253</f>
        <v>0</v>
      </c>
      <c r="K1253" s="448"/>
      <c r="L1253" s="448"/>
      <c r="M1253" s="1251">
        <f t="shared" ref="M1253:M1258" si="161">H1253+J1253+L1253</f>
        <v>0</v>
      </c>
      <c r="N1253" s="1275"/>
      <c r="O1253" s="1276"/>
    </row>
    <row r="1254" spans="1:15" customFormat="1">
      <c r="A1254" s="1391"/>
      <c r="B1254" s="42" t="s">
        <v>415</v>
      </c>
      <c r="C1254" s="148" t="s">
        <v>95</v>
      </c>
      <c r="D1254" s="67" t="s">
        <v>16</v>
      </c>
      <c r="E1254" s="709" t="s">
        <v>1041</v>
      </c>
      <c r="F1254" s="1234">
        <f>F1252*E1254</f>
        <v>4.3199999999999995E-2</v>
      </c>
      <c r="G1254" s="448"/>
      <c r="H1254" s="448"/>
      <c r="I1254" s="448"/>
      <c r="J1254" s="448"/>
      <c r="K1254" s="448"/>
      <c r="L1254" s="448">
        <f>F1254*K1254</f>
        <v>0</v>
      </c>
      <c r="M1254" s="1251">
        <f t="shared" si="161"/>
        <v>0</v>
      </c>
      <c r="N1254" s="1275"/>
      <c r="O1254" s="1276"/>
    </row>
    <row r="1255" spans="1:15" customFormat="1">
      <c r="A1255" s="1391"/>
      <c r="B1255" s="42" t="s">
        <v>96</v>
      </c>
      <c r="C1255" s="148" t="s">
        <v>97</v>
      </c>
      <c r="D1255" s="67" t="s">
        <v>16</v>
      </c>
      <c r="E1255" s="709" t="s">
        <v>1042</v>
      </c>
      <c r="F1255" s="1234">
        <f>F1252*E1255</f>
        <v>1.1303999999999998</v>
      </c>
      <c r="G1255" s="448"/>
      <c r="H1255" s="448"/>
      <c r="I1255" s="448"/>
      <c r="J1255" s="448"/>
      <c r="K1255" s="448"/>
      <c r="L1255" s="448">
        <f>F1255*K1255</f>
        <v>0</v>
      </c>
      <c r="M1255" s="1251">
        <f t="shared" si="161"/>
        <v>0</v>
      </c>
      <c r="N1255" s="1275"/>
      <c r="O1255" s="1276"/>
    </row>
    <row r="1256" spans="1:15" customFormat="1" ht="31.5" hidden="1">
      <c r="A1256" s="1391"/>
      <c r="B1256" s="42"/>
      <c r="C1256" s="148" t="s">
        <v>1043</v>
      </c>
      <c r="D1256" s="67" t="s">
        <v>5</v>
      </c>
      <c r="E1256" s="709"/>
      <c r="F1256" s="707">
        <v>0</v>
      </c>
      <c r="G1256" s="77">
        <v>270</v>
      </c>
      <c r="H1256" s="448">
        <f>F1256*G1256</f>
        <v>0</v>
      </c>
      <c r="I1256" s="448"/>
      <c r="J1256" s="448"/>
      <c r="K1256" s="448"/>
      <c r="L1256" s="448"/>
      <c r="M1256" s="1251">
        <f t="shared" si="161"/>
        <v>0</v>
      </c>
      <c r="N1256" s="1275"/>
      <c r="O1256" s="1276"/>
    </row>
    <row r="1257" spans="1:15" customFormat="1" ht="31.5">
      <c r="A1257" s="1391"/>
      <c r="B1257" s="42"/>
      <c r="C1257" s="148" t="s">
        <v>1106</v>
      </c>
      <c r="D1257" s="67" t="s">
        <v>5</v>
      </c>
      <c r="E1257" s="709"/>
      <c r="F1257" s="707">
        <f>1.5*1.2</f>
        <v>1.7999999999999998</v>
      </c>
      <c r="G1257" s="77"/>
      <c r="H1257" s="448">
        <f>F1257*G1257</f>
        <v>0</v>
      </c>
      <c r="I1257" s="448"/>
      <c r="J1257" s="448"/>
      <c r="K1257" s="448"/>
      <c r="L1257" s="448"/>
      <c r="M1257" s="1251">
        <f t="shared" si="161"/>
        <v>0</v>
      </c>
      <c r="N1257" s="1275"/>
      <c r="O1257" s="1276"/>
    </row>
    <row r="1258" spans="1:15" customFormat="1">
      <c r="A1258" s="1392"/>
      <c r="B1258" s="42"/>
      <c r="C1258" s="162" t="s">
        <v>1044</v>
      </c>
      <c r="D1258" s="24" t="s">
        <v>5</v>
      </c>
      <c r="E1258" s="58">
        <v>1</v>
      </c>
      <c r="F1258" s="1235">
        <f>F1252</f>
        <v>1.7999999999999998</v>
      </c>
      <c r="G1258" s="448"/>
      <c r="H1258" s="448">
        <f>F1258*G1258</f>
        <v>0</v>
      </c>
      <c r="I1258" s="448"/>
      <c r="J1258" s="448"/>
      <c r="K1258" s="448"/>
      <c r="L1258" s="448"/>
      <c r="M1258" s="1251">
        <f t="shared" si="161"/>
        <v>0</v>
      </c>
      <c r="N1258" s="1275"/>
      <c r="O1258" s="1276"/>
    </row>
    <row r="1259" spans="1:15" customFormat="1">
      <c r="A1259" s="1413" t="s">
        <v>435</v>
      </c>
      <c r="B1259" s="40" t="s">
        <v>304</v>
      </c>
      <c r="C1259" s="275" t="s">
        <v>306</v>
      </c>
      <c r="D1259" s="40" t="s">
        <v>279</v>
      </c>
      <c r="E1259" s="58"/>
      <c r="F1259" s="383">
        <v>1.5</v>
      </c>
      <c r="G1259" s="448"/>
      <c r="H1259" s="448"/>
      <c r="I1259" s="448"/>
      <c r="J1259" s="448"/>
      <c r="K1259" s="448"/>
      <c r="L1259" s="448"/>
      <c r="M1259" s="1251"/>
      <c r="N1259" s="1275"/>
      <c r="O1259" s="1276"/>
    </row>
    <row r="1260" spans="1:15" customFormat="1">
      <c r="A1260" s="1413"/>
      <c r="B1260" s="262"/>
      <c r="C1260" s="162" t="s">
        <v>1870</v>
      </c>
      <c r="D1260" s="24" t="s">
        <v>1</v>
      </c>
      <c r="E1260" s="84">
        <v>1</v>
      </c>
      <c r="F1260" s="1235">
        <f>F1262</f>
        <v>1.5</v>
      </c>
      <c r="G1260" s="448"/>
      <c r="H1260" s="448"/>
      <c r="I1260" s="448"/>
      <c r="J1260" s="448">
        <f>F1260*I1260</f>
        <v>0</v>
      </c>
      <c r="K1260" s="448"/>
      <c r="L1260" s="448"/>
      <c r="M1260" s="1251">
        <f>H1260+J1260+L1260</f>
        <v>0</v>
      </c>
      <c r="N1260" s="1275"/>
      <c r="O1260" s="1276"/>
    </row>
    <row r="1261" spans="1:15" customFormat="1">
      <c r="A1261" s="1413"/>
      <c r="B1261" s="40"/>
      <c r="C1261" s="160" t="s">
        <v>14</v>
      </c>
      <c r="D1261" s="46" t="s">
        <v>11</v>
      </c>
      <c r="E1261" s="84">
        <f>2.66*0.01</f>
        <v>2.6600000000000002E-2</v>
      </c>
      <c r="F1261" s="710">
        <f>F1259*E1261</f>
        <v>3.9900000000000005E-2</v>
      </c>
      <c r="G1261" s="448"/>
      <c r="H1261" s="448"/>
      <c r="I1261" s="448"/>
      <c r="J1261" s="448"/>
      <c r="K1261" s="448"/>
      <c r="L1261" s="448">
        <f>F1261*K1261</f>
        <v>0</v>
      </c>
      <c r="M1261" s="1251">
        <f>H1261+J1261+L1261</f>
        <v>0</v>
      </c>
      <c r="N1261" s="1275"/>
      <c r="O1261" s="1276"/>
    </row>
    <row r="1262" spans="1:15" customFormat="1">
      <c r="A1262" s="1413"/>
      <c r="B1262" s="42"/>
      <c r="C1262" s="148" t="s">
        <v>1045</v>
      </c>
      <c r="D1262" s="447" t="s">
        <v>1</v>
      </c>
      <c r="E1262" s="84">
        <v>1</v>
      </c>
      <c r="F1262" s="1235">
        <f>F1259*E1262</f>
        <v>1.5</v>
      </c>
      <c r="G1262" s="448"/>
      <c r="H1262" s="448">
        <f>F1262*G1262</f>
        <v>0</v>
      </c>
      <c r="I1262" s="448"/>
      <c r="J1262" s="448"/>
      <c r="K1262" s="448"/>
      <c r="L1262" s="448"/>
      <c r="M1262" s="1251">
        <f>H1262+J1262+L1262</f>
        <v>0</v>
      </c>
      <c r="N1262" s="1275"/>
      <c r="O1262" s="1276"/>
    </row>
    <row r="1263" spans="1:15" customFormat="1">
      <c r="A1263" s="1413"/>
      <c r="B1263" s="262"/>
      <c r="C1263" s="162" t="s">
        <v>305</v>
      </c>
      <c r="D1263" s="24" t="s">
        <v>250</v>
      </c>
      <c r="E1263" s="84">
        <f>0.3*0.01</f>
        <v>3.0000000000000001E-3</v>
      </c>
      <c r="F1263" s="1235">
        <f>E1263*F1259</f>
        <v>4.5000000000000005E-3</v>
      </c>
      <c r="G1263" s="448"/>
      <c r="H1263" s="448">
        <f>F1263*G1263</f>
        <v>0</v>
      </c>
      <c r="I1263" s="448"/>
      <c r="J1263" s="448"/>
      <c r="K1263" s="448"/>
      <c r="L1263" s="448"/>
      <c r="M1263" s="1251">
        <f>H1263+J1263+L1263</f>
        <v>0</v>
      </c>
      <c r="N1263" s="1275"/>
      <c r="O1263" s="1276"/>
    </row>
    <row r="1264" spans="1:15" customFormat="1" ht="27">
      <c r="A1264" s="1390" t="s">
        <v>421</v>
      </c>
      <c r="B1264" s="40" t="s">
        <v>301</v>
      </c>
      <c r="C1264" s="275" t="s">
        <v>1046</v>
      </c>
      <c r="D1264" s="40" t="s">
        <v>279</v>
      </c>
      <c r="E1264" s="58"/>
      <c r="F1264" s="383">
        <f>1.4*2.1</f>
        <v>2.94</v>
      </c>
      <c r="G1264" s="448"/>
      <c r="H1264" s="448"/>
      <c r="I1264" s="448"/>
      <c r="J1264" s="448"/>
      <c r="K1264" s="448"/>
      <c r="L1264" s="448"/>
      <c r="M1264" s="1251"/>
      <c r="N1264" s="1275"/>
      <c r="O1264" s="1276"/>
    </row>
    <row r="1265" spans="1:15" customFormat="1">
      <c r="A1265" s="1391"/>
      <c r="B1265" s="262"/>
      <c r="C1265" s="162" t="s">
        <v>1871</v>
      </c>
      <c r="D1265" s="24" t="s">
        <v>5</v>
      </c>
      <c r="E1265" s="84">
        <v>1</v>
      </c>
      <c r="F1265" s="1235">
        <f>F1264*E1265</f>
        <v>2.94</v>
      </c>
      <c r="G1265" s="448"/>
      <c r="H1265" s="448"/>
      <c r="I1265" s="448"/>
      <c r="J1265" s="448">
        <f>F1265*I1265</f>
        <v>0</v>
      </c>
      <c r="K1265" s="448"/>
      <c r="L1265" s="448"/>
      <c r="M1265" s="1251">
        <f t="shared" ref="M1265:M1270" si="162">H1265+J1265+L1265</f>
        <v>0</v>
      </c>
      <c r="N1265" s="1275"/>
      <c r="O1265" s="1276"/>
    </row>
    <row r="1266" spans="1:15" customFormat="1">
      <c r="A1266" s="1391"/>
      <c r="B1266" s="262" t="s">
        <v>1799</v>
      </c>
      <c r="C1266" s="162" t="s">
        <v>94</v>
      </c>
      <c r="D1266" s="24" t="s">
        <v>16</v>
      </c>
      <c r="E1266" s="84">
        <f>15.1*0.01</f>
        <v>0.151</v>
      </c>
      <c r="F1266" s="1235">
        <f>E1266*F1264</f>
        <v>0.44394</v>
      </c>
      <c r="G1266" s="448"/>
      <c r="H1266" s="448"/>
      <c r="I1266" s="448"/>
      <c r="J1266" s="448"/>
      <c r="K1266" s="448"/>
      <c r="L1266" s="448">
        <f>F1266*K1266</f>
        <v>0</v>
      </c>
      <c r="M1266" s="1251">
        <f t="shared" si="162"/>
        <v>0</v>
      </c>
      <c r="N1266" s="1275"/>
      <c r="O1266" s="1276"/>
    </row>
    <row r="1267" spans="1:15" customFormat="1">
      <c r="A1267" s="1391"/>
      <c r="B1267" s="40"/>
      <c r="C1267" s="160" t="s">
        <v>14</v>
      </c>
      <c r="D1267" s="46" t="s">
        <v>11</v>
      </c>
      <c r="E1267" s="84">
        <f>51.6*0.01</f>
        <v>0.51600000000000001</v>
      </c>
      <c r="F1267" s="710">
        <f>F1264*E1267</f>
        <v>1.5170399999999999</v>
      </c>
      <c r="G1267" s="448"/>
      <c r="H1267" s="448"/>
      <c r="I1267" s="448"/>
      <c r="J1267" s="448"/>
      <c r="K1267" s="448"/>
      <c r="L1267" s="448">
        <f>F1267*K1267</f>
        <v>0</v>
      </c>
      <c r="M1267" s="1251">
        <f t="shared" si="162"/>
        <v>0</v>
      </c>
      <c r="N1267" s="1275"/>
      <c r="O1267" s="1276"/>
    </row>
    <row r="1268" spans="1:15" customFormat="1">
      <c r="A1268" s="1391"/>
      <c r="B1268" s="262"/>
      <c r="C1268" s="162" t="s">
        <v>302</v>
      </c>
      <c r="D1268" s="24" t="s">
        <v>234</v>
      </c>
      <c r="E1268" s="84">
        <v>1</v>
      </c>
      <c r="F1268" s="1235">
        <f>F1264*E1268</f>
        <v>2.94</v>
      </c>
      <c r="G1268" s="448"/>
      <c r="H1268" s="448">
        <f>F1268*G1268</f>
        <v>0</v>
      </c>
      <c r="I1268" s="448"/>
      <c r="J1268" s="448"/>
      <c r="K1268" s="448"/>
      <c r="L1268" s="448"/>
      <c r="M1268" s="1251">
        <f t="shared" si="162"/>
        <v>0</v>
      </c>
      <c r="N1268" s="1275"/>
      <c r="O1268" s="1276"/>
    </row>
    <row r="1269" spans="1:15" customFormat="1">
      <c r="A1269" s="1391"/>
      <c r="B1269" s="262"/>
      <c r="C1269" s="162" t="s">
        <v>303</v>
      </c>
      <c r="D1269" s="24" t="s">
        <v>113</v>
      </c>
      <c r="E1269" s="84">
        <f>6*0.01</f>
        <v>0.06</v>
      </c>
      <c r="F1269" s="1235">
        <f>E1269*F1264</f>
        <v>0.1764</v>
      </c>
      <c r="G1269" s="448"/>
      <c r="H1269" s="448">
        <f>F1269*G1269</f>
        <v>0</v>
      </c>
      <c r="I1269" s="448"/>
      <c r="J1269" s="448"/>
      <c r="K1269" s="448"/>
      <c r="L1269" s="448"/>
      <c r="M1269" s="1251">
        <f t="shared" si="162"/>
        <v>0</v>
      </c>
      <c r="N1269" s="1275"/>
      <c r="O1269" s="1276"/>
    </row>
    <row r="1270" spans="1:15" customFormat="1">
      <c r="A1270" s="1392"/>
      <c r="B1270" s="262"/>
      <c r="C1270" s="162" t="s">
        <v>26</v>
      </c>
      <c r="D1270" s="24" t="s">
        <v>11</v>
      </c>
      <c r="E1270" s="84">
        <f>5.4*0.01</f>
        <v>5.4000000000000006E-2</v>
      </c>
      <c r="F1270" s="1235">
        <f>E1270*F1264</f>
        <v>0.15876000000000001</v>
      </c>
      <c r="G1270" s="448"/>
      <c r="H1270" s="448">
        <f>F1270*G1270</f>
        <v>0</v>
      </c>
      <c r="I1270" s="448"/>
      <c r="J1270" s="448"/>
      <c r="K1270" s="448"/>
      <c r="L1270" s="448"/>
      <c r="M1270" s="1251">
        <f t="shared" si="162"/>
        <v>0</v>
      </c>
      <c r="N1270" s="1275"/>
      <c r="O1270" s="1276"/>
    </row>
    <row r="1271" spans="1:15" customFormat="1" ht="47.25">
      <c r="A1271" s="1413" t="s">
        <v>436</v>
      </c>
      <c r="B1271" s="143" t="s">
        <v>343</v>
      </c>
      <c r="C1271" s="627" t="s">
        <v>1047</v>
      </c>
      <c r="D1271" s="1200" t="s">
        <v>5</v>
      </c>
      <c r="E1271" s="735"/>
      <c r="F1271" s="1223">
        <f>F1264*2</f>
        <v>5.88</v>
      </c>
      <c r="G1271" s="448"/>
      <c r="H1271" s="448"/>
      <c r="I1271" s="448"/>
      <c r="J1271" s="448"/>
      <c r="K1271" s="448"/>
      <c r="L1271" s="448"/>
      <c r="M1271" s="1251"/>
      <c r="N1271" s="1275"/>
      <c r="O1271" s="1276"/>
    </row>
    <row r="1272" spans="1:15" customFormat="1">
      <c r="A1272" s="1413"/>
      <c r="B1272" s="677"/>
      <c r="C1272" s="678" t="s">
        <v>1802</v>
      </c>
      <c r="D1272" s="679" t="s">
        <v>5</v>
      </c>
      <c r="E1272" s="710">
        <v>1</v>
      </c>
      <c r="F1272" s="717">
        <f>F1271*E1272</f>
        <v>5.88</v>
      </c>
      <c r="G1272" s="87"/>
      <c r="H1272" s="87"/>
      <c r="I1272" s="87"/>
      <c r="J1272" s="87">
        <f>F1272*I1272</f>
        <v>0</v>
      </c>
      <c r="K1272" s="87"/>
      <c r="L1272" s="87"/>
      <c r="M1272" s="1260">
        <f>H1272+J1272+L1272</f>
        <v>0</v>
      </c>
      <c r="N1272" s="1275"/>
      <c r="O1272" s="1276"/>
    </row>
    <row r="1273" spans="1:15" customFormat="1">
      <c r="A1273" s="1413"/>
      <c r="B1273" s="680"/>
      <c r="C1273" s="681" t="s">
        <v>14</v>
      </c>
      <c r="D1273" s="682" t="s">
        <v>11</v>
      </c>
      <c r="E1273" s="718">
        <f>0.03*0.01</f>
        <v>2.9999999999999997E-4</v>
      </c>
      <c r="F1273" s="718">
        <f>F1271*E1273</f>
        <v>1.7639999999999997E-3</v>
      </c>
      <c r="G1273" s="87"/>
      <c r="H1273" s="87"/>
      <c r="I1273" s="87"/>
      <c r="J1273" s="87"/>
      <c r="K1273" s="87"/>
      <c r="L1273" s="87">
        <f>F1273*K1273</f>
        <v>0</v>
      </c>
      <c r="M1273" s="1260">
        <f>H1273+J1273+L1273</f>
        <v>0</v>
      </c>
      <c r="N1273" s="1275"/>
      <c r="O1273" s="1276"/>
    </row>
    <row r="1274" spans="1:15" customFormat="1">
      <c r="A1274" s="1413"/>
      <c r="B1274" s="680"/>
      <c r="C1274" s="681" t="s">
        <v>345</v>
      </c>
      <c r="D1274" s="683" t="s">
        <v>113</v>
      </c>
      <c r="E1274" s="719">
        <v>0.35</v>
      </c>
      <c r="F1274" s="719">
        <f>E1274*F1271</f>
        <v>2.0579999999999998</v>
      </c>
      <c r="G1274" s="87"/>
      <c r="H1274" s="87">
        <f>F1274*G1274</f>
        <v>0</v>
      </c>
      <c r="I1274" s="87"/>
      <c r="J1274" s="87"/>
      <c r="K1274" s="87"/>
      <c r="L1274" s="87"/>
      <c r="M1274" s="1260">
        <f>H1274+J1274+L1274</f>
        <v>0</v>
      </c>
      <c r="N1274" s="1275"/>
      <c r="O1274" s="1276"/>
    </row>
    <row r="1275" spans="1:15" customFormat="1">
      <c r="A1275" s="1413"/>
      <c r="B1275" s="680"/>
      <c r="C1275" s="681" t="s">
        <v>1107</v>
      </c>
      <c r="D1275" s="683" t="s">
        <v>113</v>
      </c>
      <c r="E1275" s="719">
        <v>2.7E-2</v>
      </c>
      <c r="F1275" s="719">
        <f>E1275*F1271</f>
        <v>0.15875999999999998</v>
      </c>
      <c r="G1275" s="87"/>
      <c r="H1275" s="87">
        <f>F1275*G1275</f>
        <v>0</v>
      </c>
      <c r="I1275" s="87"/>
      <c r="J1275" s="87"/>
      <c r="K1275" s="87"/>
      <c r="L1275" s="87"/>
      <c r="M1275" s="1260">
        <f>H1275+J1275+L1275</f>
        <v>0</v>
      </c>
      <c r="N1275" s="1275"/>
      <c r="O1275" s="1276"/>
    </row>
    <row r="1276" spans="1:15" customFormat="1">
      <c r="A1276" s="1413"/>
      <c r="B1276" s="680"/>
      <c r="C1276" s="681" t="s">
        <v>26</v>
      </c>
      <c r="D1276" s="682" t="s">
        <v>11</v>
      </c>
      <c r="E1276" s="718">
        <v>1.9E-3</v>
      </c>
      <c r="F1276" s="718">
        <f>F1271*E1276</f>
        <v>1.1172E-2</v>
      </c>
      <c r="G1276" s="87"/>
      <c r="H1276" s="87">
        <f>F1276*G1276</f>
        <v>0</v>
      </c>
      <c r="I1276" s="87"/>
      <c r="J1276" s="87"/>
      <c r="K1276" s="87"/>
      <c r="L1276" s="87"/>
      <c r="M1276" s="1260">
        <f>H1276+J1276+L1276</f>
        <v>0</v>
      </c>
      <c r="N1276" s="1275"/>
      <c r="O1276" s="1276"/>
    </row>
    <row r="1277" spans="1:15" customFormat="1">
      <c r="A1277" s="1390" t="s">
        <v>456</v>
      </c>
      <c r="B1277" s="44" t="s">
        <v>29</v>
      </c>
      <c r="C1277" s="139" t="s">
        <v>1048</v>
      </c>
      <c r="D1277" s="44" t="s">
        <v>5</v>
      </c>
      <c r="E1277" s="1235"/>
      <c r="F1277" s="383">
        <f>2.6*3.6</f>
        <v>9.3600000000000012</v>
      </c>
      <c r="G1277" s="87"/>
      <c r="H1277" s="448"/>
      <c r="I1277" s="87"/>
      <c r="J1277" s="448"/>
      <c r="K1277" s="87"/>
      <c r="L1277" s="448"/>
      <c r="M1277" s="1251"/>
      <c r="N1277" s="1275"/>
      <c r="O1277" s="1276"/>
    </row>
    <row r="1278" spans="1:15" customFormat="1">
      <c r="A1278" s="1391"/>
      <c r="B1278" s="44"/>
      <c r="C1278" s="684" t="s">
        <v>1826</v>
      </c>
      <c r="D1278" s="695" t="s">
        <v>5</v>
      </c>
      <c r="E1278" s="731">
        <v>1</v>
      </c>
      <c r="F1278" s="1235">
        <f>F1277*E1278</f>
        <v>9.3600000000000012</v>
      </c>
      <c r="G1278" s="87"/>
      <c r="H1278" s="448"/>
      <c r="I1278" s="637"/>
      <c r="J1278" s="448">
        <f>F1278*I1278</f>
        <v>0</v>
      </c>
      <c r="K1278" s="87"/>
      <c r="L1278" s="448"/>
      <c r="M1278" s="1251">
        <f>H1278+J1278+L1278</f>
        <v>0</v>
      </c>
      <c r="N1278" s="1275"/>
      <c r="O1278" s="1276"/>
    </row>
    <row r="1279" spans="1:15" customFormat="1">
      <c r="A1279" s="1391"/>
      <c r="B1279" s="44"/>
      <c r="C1279" s="684" t="s">
        <v>21</v>
      </c>
      <c r="D1279" s="695" t="s">
        <v>11</v>
      </c>
      <c r="E1279" s="731">
        <f>0.0095+0.0023*2</f>
        <v>1.41E-2</v>
      </c>
      <c r="F1279" s="1235">
        <f>F1277*E1279</f>
        <v>0.13197600000000001</v>
      </c>
      <c r="G1279" s="87"/>
      <c r="H1279" s="448"/>
      <c r="I1279" s="87"/>
      <c r="J1279" s="448"/>
      <c r="K1279" s="87"/>
      <c r="L1279" s="448">
        <f>F1279*K1279</f>
        <v>0</v>
      </c>
      <c r="M1279" s="1251">
        <f>H1279+J1279+L1279</f>
        <v>0</v>
      </c>
      <c r="N1279" s="1275"/>
      <c r="O1279" s="1276"/>
    </row>
    <row r="1280" spans="1:15" customFormat="1">
      <c r="A1280" s="1391"/>
      <c r="B1280" s="44"/>
      <c r="C1280" s="685" t="s">
        <v>101</v>
      </c>
      <c r="D1280" s="695" t="s">
        <v>4</v>
      </c>
      <c r="E1280" s="1235">
        <f>0.0204+0.0051*2</f>
        <v>3.0600000000000002E-2</v>
      </c>
      <c r="F1280" s="1235">
        <f>F1277*E1280</f>
        <v>0.28641600000000006</v>
      </c>
      <c r="G1280" s="87"/>
      <c r="H1280" s="448">
        <f>F1280*G1280</f>
        <v>0</v>
      </c>
      <c r="I1280" s="87"/>
      <c r="J1280" s="448"/>
      <c r="K1280" s="87"/>
      <c r="L1280" s="448"/>
      <c r="M1280" s="1251">
        <f>H1280+J1280+L1280</f>
        <v>0</v>
      </c>
      <c r="N1280" s="1275"/>
      <c r="O1280" s="1276"/>
    </row>
    <row r="1281" spans="1:15" customFormat="1">
      <c r="A1281" s="1392"/>
      <c r="B1281" s="44"/>
      <c r="C1281" s="142" t="s">
        <v>19</v>
      </c>
      <c r="D1281" s="695" t="s">
        <v>11</v>
      </c>
      <c r="E1281" s="1235">
        <f>0.0636</f>
        <v>6.3600000000000004E-2</v>
      </c>
      <c r="F1281" s="1235">
        <f>F1277*E1281</f>
        <v>0.59529600000000016</v>
      </c>
      <c r="G1281" s="87"/>
      <c r="H1281" s="448">
        <f>F1281*G1281</f>
        <v>0</v>
      </c>
      <c r="I1281" s="87"/>
      <c r="J1281" s="448"/>
      <c r="K1281" s="87"/>
      <c r="L1281" s="448"/>
      <c r="M1281" s="1251">
        <f>H1281+J1281+L1281</f>
        <v>0</v>
      </c>
      <c r="N1281" s="1275"/>
      <c r="O1281" s="1276"/>
    </row>
    <row r="1282" spans="1:15" customFormat="1">
      <c r="A1282" s="1393" t="s">
        <v>1049</v>
      </c>
      <c r="B1282" s="42" t="s">
        <v>30</v>
      </c>
      <c r="C1282" s="287" t="s">
        <v>84</v>
      </c>
      <c r="D1282" s="42" t="s">
        <v>5</v>
      </c>
      <c r="E1282" s="1234"/>
      <c r="F1282" s="707">
        <f>2.6*3.6</f>
        <v>9.3600000000000012</v>
      </c>
      <c r="G1282" s="448"/>
      <c r="H1282" s="448"/>
      <c r="I1282" s="448"/>
      <c r="J1282" s="448"/>
      <c r="K1282" s="448"/>
      <c r="L1282" s="448"/>
      <c r="M1282" s="1251"/>
      <c r="N1282" s="1275"/>
      <c r="O1282" s="1276"/>
    </row>
    <row r="1283" spans="1:15" customFormat="1">
      <c r="A1283" s="1394"/>
      <c r="B1283" s="42"/>
      <c r="C1283" s="148" t="s">
        <v>1872</v>
      </c>
      <c r="D1283" s="447" t="s">
        <v>5</v>
      </c>
      <c r="E1283" s="1234">
        <v>1</v>
      </c>
      <c r="F1283" s="1234">
        <f>F1282*E1283</f>
        <v>9.3600000000000012</v>
      </c>
      <c r="G1283" s="448"/>
      <c r="H1283" s="448"/>
      <c r="I1283" s="448"/>
      <c r="J1283" s="448">
        <f>F1283*I1283</f>
        <v>0</v>
      </c>
      <c r="K1283" s="448"/>
      <c r="L1283" s="448"/>
      <c r="M1283" s="1251">
        <f t="shared" ref="M1283:M1288" si="163">H1283+J1283+L1283</f>
        <v>0</v>
      </c>
      <c r="N1283" s="1275"/>
      <c r="O1283" s="1276"/>
    </row>
    <row r="1284" spans="1:15" customFormat="1">
      <c r="A1284" s="1394"/>
      <c r="B1284" s="42"/>
      <c r="C1284" s="170" t="s">
        <v>14</v>
      </c>
      <c r="D1284" s="447" t="s">
        <v>16</v>
      </c>
      <c r="E1284" s="1234">
        <v>4.5199999999999997E-2</v>
      </c>
      <c r="F1284" s="1234">
        <f>F1282*E1284</f>
        <v>0.423072</v>
      </c>
      <c r="G1284" s="448"/>
      <c r="H1284" s="448"/>
      <c r="I1284" s="448"/>
      <c r="J1284" s="448"/>
      <c r="K1284" s="448"/>
      <c r="L1284" s="448">
        <f>F1284*K1284</f>
        <v>0</v>
      </c>
      <c r="M1284" s="1251">
        <f t="shared" si="163"/>
        <v>0</v>
      </c>
      <c r="N1284" s="1275"/>
      <c r="O1284" s="1276"/>
    </row>
    <row r="1285" spans="1:15" customFormat="1">
      <c r="A1285" s="1394"/>
      <c r="B1285" s="42"/>
      <c r="C1285" s="148" t="s">
        <v>742</v>
      </c>
      <c r="D1285" s="447" t="s">
        <v>5</v>
      </c>
      <c r="E1285" s="1234">
        <v>1.05</v>
      </c>
      <c r="F1285" s="1234">
        <f>F1282*E1285</f>
        <v>9.8280000000000012</v>
      </c>
      <c r="G1285" s="448"/>
      <c r="H1285" s="448">
        <f>F1285*G1285</f>
        <v>0</v>
      </c>
      <c r="I1285" s="448"/>
      <c r="J1285" s="448"/>
      <c r="K1285" s="448"/>
      <c r="L1285" s="448"/>
      <c r="M1285" s="1251">
        <f t="shared" si="163"/>
        <v>0</v>
      </c>
      <c r="N1285" s="1275"/>
      <c r="O1285" s="1276"/>
    </row>
    <row r="1286" spans="1:15" customFormat="1">
      <c r="A1286" s="1394"/>
      <c r="B1286" s="42"/>
      <c r="C1286" s="148" t="s">
        <v>43</v>
      </c>
      <c r="D1286" s="447" t="s">
        <v>6</v>
      </c>
      <c r="E1286" s="1234">
        <v>5</v>
      </c>
      <c r="F1286" s="1234">
        <f>F1282*E1286</f>
        <v>46.800000000000004</v>
      </c>
      <c r="G1286" s="448"/>
      <c r="H1286" s="448">
        <f>F1286*G1286</f>
        <v>0</v>
      </c>
      <c r="I1286" s="448"/>
      <c r="J1286" s="448"/>
      <c r="K1286" s="448"/>
      <c r="L1286" s="448"/>
      <c r="M1286" s="1251">
        <f t="shared" si="163"/>
        <v>0</v>
      </c>
      <c r="N1286" s="1275"/>
      <c r="O1286" s="1276"/>
    </row>
    <row r="1287" spans="1:15" customFormat="1">
      <c r="A1287" s="1394"/>
      <c r="B1287" s="42"/>
      <c r="C1287" s="171" t="s">
        <v>341</v>
      </c>
      <c r="D1287" s="144" t="s">
        <v>113</v>
      </c>
      <c r="E1287" s="733">
        <v>0.3</v>
      </c>
      <c r="F1287" s="720">
        <f>F1282*E1287</f>
        <v>2.8080000000000003</v>
      </c>
      <c r="G1287" s="88"/>
      <c r="H1287" s="448">
        <f>F1287*G1287</f>
        <v>0</v>
      </c>
      <c r="I1287" s="88"/>
      <c r="J1287" s="448"/>
      <c r="K1287" s="88"/>
      <c r="L1287" s="448"/>
      <c r="M1287" s="1251">
        <f t="shared" si="163"/>
        <v>0</v>
      </c>
      <c r="N1287" s="1275"/>
      <c r="O1287" s="1276"/>
    </row>
    <row r="1288" spans="1:15" customFormat="1">
      <c r="A1288" s="1395"/>
      <c r="B1288" s="42"/>
      <c r="C1288" s="148" t="s">
        <v>26</v>
      </c>
      <c r="D1288" s="447" t="s">
        <v>11</v>
      </c>
      <c r="E1288" s="1234">
        <v>4.6600000000000003E-2</v>
      </c>
      <c r="F1288" s="1234">
        <f>F1282*E1288</f>
        <v>0.43617600000000006</v>
      </c>
      <c r="G1288" s="448"/>
      <c r="H1288" s="448">
        <f>F1288*G1288</f>
        <v>0</v>
      </c>
      <c r="I1288" s="448"/>
      <c r="J1288" s="448"/>
      <c r="K1288" s="448"/>
      <c r="L1288" s="448"/>
      <c r="M1288" s="1251">
        <f t="shared" si="163"/>
        <v>0</v>
      </c>
      <c r="N1288" s="1275"/>
      <c r="O1288" s="1276"/>
    </row>
    <row r="1289" spans="1:15" customFormat="1">
      <c r="A1289" s="1390" t="s">
        <v>1053</v>
      </c>
      <c r="B1289" s="44" t="s">
        <v>1050</v>
      </c>
      <c r="C1289" s="225" t="s">
        <v>1051</v>
      </c>
      <c r="D1289" s="44" t="s">
        <v>1</v>
      </c>
      <c r="E1289" s="383"/>
      <c r="F1289" s="714">
        <f>(1.5+1.2)*2*2+(1.4+2.1*2)*2</f>
        <v>22</v>
      </c>
      <c r="G1289" s="670"/>
      <c r="H1289" s="87"/>
      <c r="I1289" s="87"/>
      <c r="J1289" s="87"/>
      <c r="K1289" s="87"/>
      <c r="L1289" s="87"/>
      <c r="M1289" s="1274"/>
      <c r="N1289" s="1275"/>
      <c r="O1289" s="1276"/>
    </row>
    <row r="1290" spans="1:15" customFormat="1">
      <c r="A1290" s="1391"/>
      <c r="B1290" s="636"/>
      <c r="C1290" s="686" t="s">
        <v>1873</v>
      </c>
      <c r="D1290" s="694" t="s">
        <v>1</v>
      </c>
      <c r="E1290" s="639">
        <v>1</v>
      </c>
      <c r="F1290" s="639">
        <f>E1290*F1289</f>
        <v>22</v>
      </c>
      <c r="G1290" s="448"/>
      <c r="H1290" s="448"/>
      <c r="I1290" s="448"/>
      <c r="J1290" s="448">
        <f>F1290*I1290</f>
        <v>0</v>
      </c>
      <c r="K1290" s="448"/>
      <c r="L1290" s="448"/>
      <c r="M1290" s="1251">
        <f>H1290+J1290+L1290</f>
        <v>0</v>
      </c>
      <c r="N1290" s="1275"/>
      <c r="O1290" s="1276"/>
    </row>
    <row r="1291" spans="1:15" customFormat="1">
      <c r="A1291" s="1391"/>
      <c r="B1291" s="636" t="s">
        <v>386</v>
      </c>
      <c r="C1291" s="686" t="s">
        <v>389</v>
      </c>
      <c r="D1291" s="694" t="s">
        <v>212</v>
      </c>
      <c r="E1291" s="639">
        <v>0</v>
      </c>
      <c r="F1291" s="639">
        <f>E1291*F1289</f>
        <v>0</v>
      </c>
      <c r="G1291" s="448"/>
      <c r="H1291" s="448"/>
      <c r="I1291" s="448"/>
      <c r="J1291" s="448"/>
      <c r="K1291" s="448"/>
      <c r="L1291" s="448">
        <f>F1291*K1291</f>
        <v>0</v>
      </c>
      <c r="M1291" s="1251">
        <f>H1291+J1291+L1291</f>
        <v>0</v>
      </c>
      <c r="N1291" s="1275"/>
      <c r="O1291" s="1276"/>
    </row>
    <row r="1292" spans="1:15" customFormat="1">
      <c r="A1292" s="1391"/>
      <c r="B1292" s="636"/>
      <c r="C1292" s="686" t="s">
        <v>14</v>
      </c>
      <c r="D1292" s="694" t="s">
        <v>11</v>
      </c>
      <c r="E1292" s="639">
        <v>1.0999999999999999E-2</v>
      </c>
      <c r="F1292" s="639">
        <f>E1292*F1289</f>
        <v>0.24199999999999999</v>
      </c>
      <c r="G1292" s="448"/>
      <c r="H1292" s="448"/>
      <c r="I1292" s="448"/>
      <c r="J1292" s="448"/>
      <c r="K1292" s="448"/>
      <c r="L1292" s="448">
        <f>F1292*K1292</f>
        <v>0</v>
      </c>
      <c r="M1292" s="1251">
        <f>H1292+J1292+L1292</f>
        <v>0</v>
      </c>
      <c r="N1292" s="1275"/>
      <c r="O1292" s="1276"/>
    </row>
    <row r="1293" spans="1:15" customFormat="1">
      <c r="A1293" s="1392"/>
      <c r="B1293" s="636"/>
      <c r="C1293" s="686" t="s">
        <v>1052</v>
      </c>
      <c r="D1293" s="694" t="s">
        <v>319</v>
      </c>
      <c r="E1293" s="639">
        <v>6.7000000000000002E-3</v>
      </c>
      <c r="F1293" s="639">
        <f>E1293*F1289</f>
        <v>0.1474</v>
      </c>
      <c r="G1293" s="448"/>
      <c r="H1293" s="448">
        <f>F1293*G1293</f>
        <v>0</v>
      </c>
      <c r="I1293" s="448"/>
      <c r="J1293" s="448"/>
      <c r="K1293" s="448"/>
      <c r="L1293" s="448"/>
      <c r="M1293" s="1251">
        <f>H1293+J1293+L1293</f>
        <v>0</v>
      </c>
      <c r="N1293" s="1275"/>
      <c r="O1293" s="1276"/>
    </row>
    <row r="1294" spans="1:15" customFormat="1" ht="31.5">
      <c r="A1294" s="1390" t="s">
        <v>1060</v>
      </c>
      <c r="B1294" s="44" t="s">
        <v>1054</v>
      </c>
      <c r="C1294" s="225" t="s">
        <v>1055</v>
      </c>
      <c r="D1294" s="44" t="s">
        <v>5</v>
      </c>
      <c r="E1294" s="383"/>
      <c r="F1294" s="714">
        <f>(2.6+3.6)*2*(2.75+2.4)/2-1.5*1.2-1.4*2.1</f>
        <v>27.19</v>
      </c>
      <c r="G1294" s="670"/>
      <c r="H1294" s="87"/>
      <c r="I1294" s="87"/>
      <c r="J1294" s="87"/>
      <c r="K1294" s="87"/>
      <c r="L1294" s="87"/>
      <c r="M1294" s="1274"/>
      <c r="N1294" s="1275"/>
      <c r="O1294" s="1276"/>
    </row>
    <row r="1295" spans="1:15" customFormat="1">
      <c r="A1295" s="1391"/>
      <c r="B1295" s="636"/>
      <c r="C1295" s="686" t="s">
        <v>1824</v>
      </c>
      <c r="D1295" s="694" t="s">
        <v>5</v>
      </c>
      <c r="E1295" s="639">
        <v>1</v>
      </c>
      <c r="F1295" s="639">
        <f>E1295*F1294</f>
        <v>27.19</v>
      </c>
      <c r="G1295" s="448"/>
      <c r="H1295" s="448"/>
      <c r="I1295" s="448"/>
      <c r="J1295" s="448">
        <f>F1295*I1295</f>
        <v>0</v>
      </c>
      <c r="K1295" s="448"/>
      <c r="L1295" s="448"/>
      <c r="M1295" s="1251">
        <f t="shared" ref="M1295:M1300" si="164">H1295+J1295+L1295</f>
        <v>0</v>
      </c>
      <c r="N1295" s="1275"/>
      <c r="O1295" s="1276"/>
    </row>
    <row r="1296" spans="1:15" customFormat="1">
      <c r="A1296" s="1391"/>
      <c r="B1296" s="636" t="s">
        <v>388</v>
      </c>
      <c r="C1296" s="686" t="s">
        <v>387</v>
      </c>
      <c r="D1296" s="694" t="s">
        <v>212</v>
      </c>
      <c r="E1296" s="639" t="s">
        <v>1056</v>
      </c>
      <c r="F1296" s="639">
        <f>E1296*F1294</f>
        <v>1.1147900000000002</v>
      </c>
      <c r="G1296" s="448"/>
      <c r="H1296" s="448"/>
      <c r="I1296" s="448"/>
      <c r="J1296" s="448"/>
      <c r="K1296" s="448"/>
      <c r="L1296" s="448">
        <f>F1296*K1296</f>
        <v>0</v>
      </c>
      <c r="M1296" s="1251">
        <f t="shared" si="164"/>
        <v>0</v>
      </c>
      <c r="N1296" s="1275"/>
      <c r="O1296" s="1276"/>
    </row>
    <row r="1297" spans="1:15" customFormat="1">
      <c r="A1297" s="1391"/>
      <c r="B1297" s="636"/>
      <c r="C1297" s="686" t="s">
        <v>14</v>
      </c>
      <c r="D1297" s="694" t="s">
        <v>11</v>
      </c>
      <c r="E1297" s="639" t="s">
        <v>1057</v>
      </c>
      <c r="F1297" s="639">
        <f>E1297*F1294</f>
        <v>0.73413000000000006</v>
      </c>
      <c r="G1297" s="448"/>
      <c r="H1297" s="448"/>
      <c r="I1297" s="448"/>
      <c r="J1297" s="448"/>
      <c r="K1297" s="448"/>
      <c r="L1297" s="448">
        <f>F1297*K1297</f>
        <v>0</v>
      </c>
      <c r="M1297" s="1251">
        <f t="shared" si="164"/>
        <v>0</v>
      </c>
      <c r="N1297" s="1275"/>
      <c r="O1297" s="1276"/>
    </row>
    <row r="1298" spans="1:15" customFormat="1">
      <c r="A1298" s="1391"/>
      <c r="B1298" s="636"/>
      <c r="C1298" s="686" t="s">
        <v>1083</v>
      </c>
      <c r="D1298" s="694" t="s">
        <v>319</v>
      </c>
      <c r="E1298" s="639">
        <f>0.0212+0.0026</f>
        <v>2.3800000000000002E-2</v>
      </c>
      <c r="F1298" s="639">
        <f>E1298*F1294</f>
        <v>0.64712200000000009</v>
      </c>
      <c r="G1298" s="448"/>
      <c r="H1298" s="448">
        <f>F1298*G1298</f>
        <v>0</v>
      </c>
      <c r="I1298" s="448"/>
      <c r="J1298" s="448"/>
      <c r="K1298" s="448"/>
      <c r="L1298" s="448"/>
      <c r="M1298" s="1251">
        <f t="shared" si="164"/>
        <v>0</v>
      </c>
      <c r="N1298" s="1275"/>
      <c r="O1298" s="1276"/>
    </row>
    <row r="1299" spans="1:15" customFormat="1">
      <c r="A1299" s="1391"/>
      <c r="B1299" s="42"/>
      <c r="C1299" s="166" t="s">
        <v>1111</v>
      </c>
      <c r="D1299" s="695" t="s">
        <v>5</v>
      </c>
      <c r="E1299" s="1235" t="s">
        <v>1058</v>
      </c>
      <c r="F1299" s="78">
        <f>F1294*E1299</f>
        <v>1.435632</v>
      </c>
      <c r="G1299" s="448"/>
      <c r="H1299" s="448">
        <f>F1299*G1299</f>
        <v>0</v>
      </c>
      <c r="I1299" s="448"/>
      <c r="J1299" s="448"/>
      <c r="K1299" s="448"/>
      <c r="L1299" s="448"/>
      <c r="M1299" s="1251">
        <f t="shared" si="164"/>
        <v>0</v>
      </c>
      <c r="N1299" s="1275"/>
      <c r="O1299" s="1276"/>
    </row>
    <row r="1300" spans="1:15" customFormat="1">
      <c r="A1300" s="1392"/>
      <c r="B1300" s="42"/>
      <c r="C1300" s="166" t="s">
        <v>26</v>
      </c>
      <c r="D1300" s="695" t="s">
        <v>11</v>
      </c>
      <c r="E1300" s="1235" t="s">
        <v>1059</v>
      </c>
      <c r="F1300" s="78">
        <f>F1294*E1300</f>
        <v>8.1570000000000004E-2</v>
      </c>
      <c r="G1300" s="448"/>
      <c r="H1300" s="448">
        <f>F1300*G1300</f>
        <v>0</v>
      </c>
      <c r="I1300" s="448"/>
      <c r="J1300" s="448"/>
      <c r="K1300" s="448"/>
      <c r="L1300" s="448"/>
      <c r="M1300" s="1251">
        <f t="shared" si="164"/>
        <v>0</v>
      </c>
      <c r="N1300" s="1275"/>
      <c r="O1300" s="1276"/>
    </row>
    <row r="1301" spans="1:15" customFormat="1" ht="31.5">
      <c r="A1301" s="1390" t="s">
        <v>300</v>
      </c>
      <c r="B1301" s="44" t="s">
        <v>32</v>
      </c>
      <c r="C1301" s="225" t="s">
        <v>1061</v>
      </c>
      <c r="D1301" s="44" t="s">
        <v>5</v>
      </c>
      <c r="E1301" s="383"/>
      <c r="F1301" s="714">
        <f>(2.6+3.6)*2*(2.75+2.4)/2-1.5*1.2-1.4*2.1+F1289*0.1</f>
        <v>29.39</v>
      </c>
      <c r="G1301" s="670"/>
      <c r="H1301" s="87"/>
      <c r="I1301" s="87"/>
      <c r="J1301" s="87"/>
      <c r="K1301" s="87"/>
      <c r="L1301" s="87"/>
      <c r="M1301" s="1274"/>
      <c r="N1301" s="1275"/>
      <c r="O1301" s="1276"/>
    </row>
    <row r="1302" spans="1:15" customFormat="1">
      <c r="A1302" s="1391"/>
      <c r="B1302" s="42"/>
      <c r="C1302" s="148" t="s">
        <v>1834</v>
      </c>
      <c r="D1302" s="447" t="s">
        <v>5</v>
      </c>
      <c r="E1302" s="1234">
        <v>1</v>
      </c>
      <c r="F1302" s="1234">
        <f>F1301*E1302</f>
        <v>29.39</v>
      </c>
      <c r="G1302" s="448"/>
      <c r="H1302" s="448"/>
      <c r="I1302" s="448"/>
      <c r="J1302" s="448">
        <f>F1302*I1302</f>
        <v>0</v>
      </c>
      <c r="K1302" s="448"/>
      <c r="L1302" s="448"/>
      <c r="M1302" s="1251">
        <f t="shared" ref="M1302:M1307" si="165">H1302+J1302+L1302</f>
        <v>0</v>
      </c>
      <c r="N1302" s="1275"/>
      <c r="O1302" s="1276"/>
    </row>
    <row r="1303" spans="1:15" customFormat="1">
      <c r="A1303" s="1391"/>
      <c r="B1303" s="42"/>
      <c r="C1303" s="148" t="s">
        <v>14</v>
      </c>
      <c r="D1303" s="447" t="s">
        <v>16</v>
      </c>
      <c r="E1303" s="1234">
        <v>0.01</v>
      </c>
      <c r="F1303" s="1234">
        <f>F1301*E1303</f>
        <v>0.29389999999999999</v>
      </c>
      <c r="G1303" s="448"/>
      <c r="H1303" s="448"/>
      <c r="I1303" s="448"/>
      <c r="J1303" s="448"/>
      <c r="K1303" s="448"/>
      <c r="L1303" s="448">
        <f>F1303*K1303</f>
        <v>0</v>
      </c>
      <c r="M1303" s="1251">
        <f t="shared" si="165"/>
        <v>0</v>
      </c>
      <c r="N1303" s="1275"/>
      <c r="O1303" s="1276"/>
    </row>
    <row r="1304" spans="1:15" customFormat="1">
      <c r="A1304" s="1391"/>
      <c r="B1304" s="42"/>
      <c r="C1304" s="148" t="s">
        <v>33</v>
      </c>
      <c r="D1304" s="447" t="s">
        <v>6</v>
      </c>
      <c r="E1304" s="1234">
        <v>0.79</v>
      </c>
      <c r="F1304" s="1235">
        <f>F1301*E1304</f>
        <v>23.2181</v>
      </c>
      <c r="G1304" s="448"/>
      <c r="H1304" s="448">
        <f>F1304*G1304</f>
        <v>0</v>
      </c>
      <c r="I1304" s="448"/>
      <c r="J1304" s="448"/>
      <c r="K1304" s="448"/>
      <c r="L1304" s="448"/>
      <c r="M1304" s="1251">
        <f t="shared" si="165"/>
        <v>0</v>
      </c>
      <c r="N1304" s="1275"/>
      <c r="O1304" s="1276"/>
    </row>
    <row r="1305" spans="1:15" customFormat="1">
      <c r="A1305" s="1391"/>
      <c r="B1305" s="42"/>
      <c r="C1305" s="148" t="s">
        <v>8</v>
      </c>
      <c r="D1305" s="447" t="s">
        <v>5</v>
      </c>
      <c r="E1305" s="1234">
        <v>0.05</v>
      </c>
      <c r="F1305" s="1234">
        <f>F1301*E1305</f>
        <v>1.4695</v>
      </c>
      <c r="G1305" s="448"/>
      <c r="H1305" s="448">
        <f>F1305*G1305</f>
        <v>0</v>
      </c>
      <c r="I1305" s="448"/>
      <c r="J1305" s="448"/>
      <c r="K1305" s="448"/>
      <c r="L1305" s="448"/>
      <c r="M1305" s="1251">
        <f t="shared" si="165"/>
        <v>0</v>
      </c>
      <c r="N1305" s="1275"/>
      <c r="O1305" s="1276"/>
    </row>
    <row r="1306" spans="1:15" customFormat="1">
      <c r="A1306" s="1391"/>
      <c r="B1306" s="42"/>
      <c r="C1306" s="148" t="s">
        <v>31</v>
      </c>
      <c r="D1306" s="447" t="s">
        <v>6</v>
      </c>
      <c r="E1306" s="1234">
        <v>0.63</v>
      </c>
      <c r="F1306" s="1234">
        <f>F1301*E1306</f>
        <v>18.515699999999999</v>
      </c>
      <c r="G1306" s="448"/>
      <c r="H1306" s="448">
        <f>F1306*G1306</f>
        <v>0</v>
      </c>
      <c r="I1306" s="448"/>
      <c r="J1306" s="448"/>
      <c r="K1306" s="448"/>
      <c r="L1306" s="448"/>
      <c r="M1306" s="1251">
        <f t="shared" si="165"/>
        <v>0</v>
      </c>
      <c r="N1306" s="1275"/>
      <c r="O1306" s="1276"/>
    </row>
    <row r="1307" spans="1:15" customFormat="1">
      <c r="A1307" s="1392"/>
      <c r="B1307" s="42"/>
      <c r="C1307" s="148" t="s">
        <v>26</v>
      </c>
      <c r="D1307" s="447" t="s">
        <v>11</v>
      </c>
      <c r="E1307" s="1234">
        <v>1.6E-2</v>
      </c>
      <c r="F1307" s="1234">
        <f>F1301*E1307</f>
        <v>0.47023999999999999</v>
      </c>
      <c r="G1307" s="448"/>
      <c r="H1307" s="448">
        <f>F1307*G1307</f>
        <v>0</v>
      </c>
      <c r="I1307" s="448"/>
      <c r="J1307" s="448"/>
      <c r="K1307" s="448"/>
      <c r="L1307" s="448"/>
      <c r="M1307" s="1251">
        <f t="shared" si="165"/>
        <v>0</v>
      </c>
      <c r="N1307" s="1275"/>
      <c r="O1307" s="1276"/>
    </row>
    <row r="1308" spans="1:15" customFormat="1" ht="40.5">
      <c r="A1308" s="1393" t="s">
        <v>1063</v>
      </c>
      <c r="B1308" s="42" t="s">
        <v>1554</v>
      </c>
      <c r="C1308" s="287" t="s">
        <v>1062</v>
      </c>
      <c r="D1308" s="42" t="s">
        <v>5</v>
      </c>
      <c r="E1308" s="1234"/>
      <c r="F1308" s="707">
        <f>2.6*3.6</f>
        <v>9.3600000000000012</v>
      </c>
      <c r="G1308" s="448"/>
      <c r="H1308" s="448"/>
      <c r="I1308" s="448"/>
      <c r="J1308" s="448"/>
      <c r="K1308" s="448"/>
      <c r="L1308" s="448"/>
      <c r="M1308" s="1251"/>
      <c r="N1308" s="1275"/>
      <c r="O1308" s="1276"/>
    </row>
    <row r="1309" spans="1:15">
      <c r="A1309" s="1394"/>
      <c r="B1309" s="42"/>
      <c r="C1309" s="157" t="s">
        <v>1877</v>
      </c>
      <c r="D1309" s="203" t="s">
        <v>5</v>
      </c>
      <c r="E1309" s="125">
        <v>1</v>
      </c>
      <c r="F1309" s="45">
        <f>E1309*F1308</f>
        <v>9.3600000000000012</v>
      </c>
      <c r="G1309" s="77"/>
      <c r="H1309" s="77"/>
      <c r="I1309" s="77"/>
      <c r="J1309" s="77">
        <f>F1309*I1309</f>
        <v>0</v>
      </c>
      <c r="K1309" s="77"/>
      <c r="L1309" s="77"/>
      <c r="M1309" s="1252">
        <f t="shared" ref="M1309:M1314" si="166">H1309+J1309+L1309</f>
        <v>0</v>
      </c>
    </row>
    <row r="1310" spans="1:15">
      <c r="A1310" s="1394"/>
      <c r="B1310" s="42"/>
      <c r="C1310" s="150" t="s">
        <v>21</v>
      </c>
      <c r="D1310" s="203" t="s">
        <v>11</v>
      </c>
      <c r="E1310" s="125">
        <f>(3.5+0.39)*0.01</f>
        <v>3.8900000000000004E-2</v>
      </c>
      <c r="F1310" s="45">
        <f>E1310*F1308</f>
        <v>0.36410400000000009</v>
      </c>
      <c r="G1310" s="77"/>
      <c r="H1310" s="77"/>
      <c r="I1310" s="77"/>
      <c r="J1310" s="77"/>
      <c r="K1310" s="77"/>
      <c r="L1310" s="77">
        <f>F1310*K1310</f>
        <v>0</v>
      </c>
      <c r="M1310" s="1252">
        <f t="shared" si="166"/>
        <v>0</v>
      </c>
    </row>
    <row r="1311" spans="1:15">
      <c r="A1311" s="1394"/>
      <c r="B1311" s="42"/>
      <c r="C1311" s="157" t="s">
        <v>110</v>
      </c>
      <c r="D1311" s="203" t="s">
        <v>111</v>
      </c>
      <c r="E1311" s="125">
        <v>6.6</v>
      </c>
      <c r="F1311" s="45">
        <f>E1311*F1308</f>
        <v>61.776000000000003</v>
      </c>
      <c r="G1311" s="77"/>
      <c r="H1311" s="77">
        <f>F1311*G1311</f>
        <v>0</v>
      </c>
      <c r="I1311" s="77"/>
      <c r="J1311" s="77"/>
      <c r="K1311" s="77"/>
      <c r="L1311" s="77"/>
      <c r="M1311" s="1252">
        <f t="shared" si="166"/>
        <v>0</v>
      </c>
    </row>
    <row r="1312" spans="1:15">
      <c r="A1312" s="1394"/>
      <c r="B1312" s="42"/>
      <c r="C1312" s="157" t="s">
        <v>112</v>
      </c>
      <c r="D1312" s="203" t="s">
        <v>113</v>
      </c>
      <c r="E1312" s="125">
        <v>0.06</v>
      </c>
      <c r="F1312" s="45">
        <f>E1312*F1308</f>
        <v>0.5616000000000001</v>
      </c>
      <c r="G1312" s="77"/>
      <c r="H1312" s="77">
        <f>F1312*G1312</f>
        <v>0</v>
      </c>
      <c r="I1312" s="77"/>
      <c r="J1312" s="77"/>
      <c r="K1312" s="77"/>
      <c r="L1312" s="77"/>
      <c r="M1312" s="1252">
        <f t="shared" si="166"/>
        <v>0</v>
      </c>
    </row>
    <row r="1313" spans="1:15">
      <c r="A1313" s="1394"/>
      <c r="B1313" s="42"/>
      <c r="C1313" s="157" t="s">
        <v>1089</v>
      </c>
      <c r="D1313" s="203" t="s">
        <v>234</v>
      </c>
      <c r="E1313" s="125">
        <v>1.03</v>
      </c>
      <c r="F1313" s="45">
        <f>E1313*F1308</f>
        <v>9.6408000000000023</v>
      </c>
      <c r="G1313" s="77"/>
      <c r="H1313" s="77">
        <f>F1313*G1313</f>
        <v>0</v>
      </c>
      <c r="I1313" s="77"/>
      <c r="J1313" s="77"/>
      <c r="K1313" s="77"/>
      <c r="L1313" s="77"/>
      <c r="M1313" s="1252">
        <f t="shared" si="166"/>
        <v>0</v>
      </c>
    </row>
    <row r="1314" spans="1:15">
      <c r="A1314" s="1395"/>
      <c r="B1314" s="42"/>
      <c r="C1314" s="157" t="s">
        <v>115</v>
      </c>
      <c r="D1314" s="203" t="s">
        <v>11</v>
      </c>
      <c r="E1314" s="125">
        <f>(38.9+1.6)*0.01</f>
        <v>0.40500000000000003</v>
      </c>
      <c r="F1314" s="45">
        <f>E1314*F1308</f>
        <v>3.7908000000000008</v>
      </c>
      <c r="G1314" s="77"/>
      <c r="H1314" s="77">
        <f>F1314*G1314</f>
        <v>0</v>
      </c>
      <c r="I1314" s="77"/>
      <c r="J1314" s="77"/>
      <c r="K1314" s="77"/>
      <c r="L1314" s="77"/>
      <c r="M1314" s="1252">
        <f t="shared" si="166"/>
        <v>0</v>
      </c>
    </row>
    <row r="1315" spans="1:15" customFormat="1">
      <c r="A1315" s="1390" t="s">
        <v>1067</v>
      </c>
      <c r="B1315" s="44" t="s">
        <v>1064</v>
      </c>
      <c r="C1315" s="225" t="s">
        <v>1910</v>
      </c>
      <c r="D1315" s="44" t="s">
        <v>5</v>
      </c>
      <c r="E1315" s="383"/>
      <c r="F1315" s="714">
        <f>(2.6+3.6)*2*(2.75+2.4)/2-1.5*1.2-1.4*2.1</f>
        <v>27.19</v>
      </c>
      <c r="G1315" s="670"/>
      <c r="H1315" s="87"/>
      <c r="I1315" s="87"/>
      <c r="J1315" s="87"/>
      <c r="K1315" s="87"/>
      <c r="L1315" s="87"/>
      <c r="M1315" s="1274"/>
      <c r="N1315" s="1275"/>
      <c r="O1315" s="1276"/>
    </row>
    <row r="1316" spans="1:15" customFormat="1">
      <c r="A1316" s="1391"/>
      <c r="B1316" s="636"/>
      <c r="C1316" s="686" t="s">
        <v>1878</v>
      </c>
      <c r="D1316" s="694" t="s">
        <v>5</v>
      </c>
      <c r="E1316" s="639">
        <v>1</v>
      </c>
      <c r="F1316" s="639">
        <f>E1316*F1315</f>
        <v>27.19</v>
      </c>
      <c r="G1316" s="448"/>
      <c r="H1316" s="448"/>
      <c r="I1316" s="448"/>
      <c r="J1316" s="448">
        <f>F1316*I1316</f>
        <v>0</v>
      </c>
      <c r="K1316" s="448"/>
      <c r="L1316" s="448"/>
      <c r="M1316" s="1251">
        <f>H1316+J1316+L1316</f>
        <v>0</v>
      </c>
      <c r="N1316" s="1275"/>
      <c r="O1316" s="1276"/>
    </row>
    <row r="1317" spans="1:15" customFormat="1">
      <c r="A1317" s="1391"/>
      <c r="B1317" s="636" t="s">
        <v>388</v>
      </c>
      <c r="C1317" s="686" t="s">
        <v>390</v>
      </c>
      <c r="D1317" s="694" t="s">
        <v>212</v>
      </c>
      <c r="E1317" s="639">
        <v>2.4E-2</v>
      </c>
      <c r="F1317" s="639">
        <f>E1317*F1315</f>
        <v>0.65256000000000003</v>
      </c>
      <c r="G1317" s="448"/>
      <c r="H1317" s="448"/>
      <c r="I1317" s="448"/>
      <c r="J1317" s="448"/>
      <c r="K1317" s="448"/>
      <c r="L1317" s="448">
        <f>F1317*K1317</f>
        <v>0</v>
      </c>
      <c r="M1317" s="1251">
        <f>H1317+J1317+L1317</f>
        <v>0</v>
      </c>
      <c r="N1317" s="1275"/>
      <c r="O1317" s="1276"/>
    </row>
    <row r="1318" spans="1:15" customFormat="1">
      <c r="A1318" s="1391"/>
      <c r="B1318" s="636"/>
      <c r="C1318" s="686" t="s">
        <v>14</v>
      </c>
      <c r="D1318" s="694" t="s">
        <v>11</v>
      </c>
      <c r="E1318" s="639">
        <v>2.5999999999999999E-2</v>
      </c>
      <c r="F1318" s="639">
        <f>E1318*F1315</f>
        <v>0.70694000000000001</v>
      </c>
      <c r="G1318" s="448"/>
      <c r="H1318" s="448"/>
      <c r="I1318" s="448"/>
      <c r="J1318" s="448"/>
      <c r="K1318" s="448"/>
      <c r="L1318" s="448">
        <f>F1318*K1318</f>
        <v>0</v>
      </c>
      <c r="M1318" s="1251">
        <f>H1318+J1318+L1318</f>
        <v>0</v>
      </c>
      <c r="N1318" s="1275"/>
      <c r="O1318" s="1276"/>
    </row>
    <row r="1319" spans="1:15" customFormat="1">
      <c r="A1319" s="1391"/>
      <c r="B1319" s="42"/>
      <c r="C1319" s="166" t="s">
        <v>1111</v>
      </c>
      <c r="D1319" s="745" t="s">
        <v>5</v>
      </c>
      <c r="E1319" s="1235" t="s">
        <v>1058</v>
      </c>
      <c r="F1319" s="78">
        <f>F1315*E1319</f>
        <v>1.435632</v>
      </c>
      <c r="G1319" s="448"/>
      <c r="H1319" s="448">
        <f>F1319*G1319</f>
        <v>0</v>
      </c>
      <c r="I1319" s="448"/>
      <c r="J1319" s="448"/>
      <c r="K1319" s="448"/>
      <c r="L1319" s="448"/>
      <c r="M1319" s="1251">
        <f>H1319+J1319+L1319</f>
        <v>0</v>
      </c>
      <c r="N1319" s="1275"/>
      <c r="O1319" s="1276"/>
    </row>
    <row r="1320" spans="1:15" customFormat="1">
      <c r="A1320" s="1392"/>
      <c r="B1320" s="636"/>
      <c r="C1320" s="686" t="s">
        <v>1065</v>
      </c>
      <c r="D1320" s="694" t="s">
        <v>319</v>
      </c>
      <c r="E1320" s="639" t="s">
        <v>1066</v>
      </c>
      <c r="F1320" s="639">
        <f>E1320*F1315</f>
        <v>0.69334499999999999</v>
      </c>
      <c r="G1320" s="448"/>
      <c r="H1320" s="448">
        <f>F1320*G1320</f>
        <v>0</v>
      </c>
      <c r="I1320" s="448"/>
      <c r="J1320" s="448"/>
      <c r="K1320" s="448"/>
      <c r="L1320" s="448"/>
      <c r="M1320" s="1251">
        <f>H1320+J1320+L1320</f>
        <v>0</v>
      </c>
      <c r="N1320" s="1275"/>
      <c r="O1320" s="1276"/>
    </row>
    <row r="1321" spans="1:15" customFormat="1" ht="31.5">
      <c r="A1321" s="1436" t="s">
        <v>1069</v>
      </c>
      <c r="B1321" s="636" t="s">
        <v>291</v>
      </c>
      <c r="C1321" s="225" t="s">
        <v>1068</v>
      </c>
      <c r="D1321" s="44" t="s">
        <v>279</v>
      </c>
      <c r="E1321" s="1235"/>
      <c r="F1321" s="714">
        <f>(2.6+3.6)*2*(2.75+2.4)/2-1.5*1.2-1.2*2.1+F1289*0.1</f>
        <v>29.810000000000002</v>
      </c>
      <c r="G1321" s="448"/>
      <c r="H1321" s="448"/>
      <c r="I1321" s="448"/>
      <c r="J1321" s="448"/>
      <c r="K1321" s="448"/>
      <c r="L1321" s="448"/>
      <c r="M1321" s="1251"/>
      <c r="N1321" s="1275"/>
      <c r="O1321" s="1276"/>
    </row>
    <row r="1322" spans="1:15" customFormat="1">
      <c r="A1322" s="1436"/>
      <c r="B1322" s="636"/>
      <c r="C1322" s="686" t="s">
        <v>1879</v>
      </c>
      <c r="D1322" s="694" t="s">
        <v>5</v>
      </c>
      <c r="E1322" s="639">
        <v>1</v>
      </c>
      <c r="F1322" s="639">
        <f>E1322*F1321</f>
        <v>29.810000000000002</v>
      </c>
      <c r="G1322" s="448"/>
      <c r="H1322" s="448"/>
      <c r="I1322" s="448"/>
      <c r="J1322" s="448">
        <f>F1322*I1322</f>
        <v>0</v>
      </c>
      <c r="K1322" s="448"/>
      <c r="L1322" s="448"/>
      <c r="M1322" s="1251">
        <f t="shared" ref="M1322:M1328" si="167">H1322+J1322+L1322</f>
        <v>0</v>
      </c>
      <c r="N1322" s="1275"/>
      <c r="O1322" s="1276"/>
    </row>
    <row r="1323" spans="1:15" customFormat="1">
      <c r="A1323" s="1436"/>
      <c r="B1323" s="636"/>
      <c r="C1323" s="686" t="s">
        <v>14</v>
      </c>
      <c r="D1323" s="694" t="s">
        <v>11</v>
      </c>
      <c r="E1323" s="639">
        <v>0.01</v>
      </c>
      <c r="F1323" s="639">
        <f>E1323*F1321</f>
        <v>0.29810000000000003</v>
      </c>
      <c r="G1323" s="448"/>
      <c r="H1323" s="448"/>
      <c r="I1323" s="448"/>
      <c r="J1323" s="448"/>
      <c r="K1323" s="448"/>
      <c r="L1323" s="448">
        <f>F1323*K1323</f>
        <v>0</v>
      </c>
      <c r="M1323" s="1251">
        <f t="shared" si="167"/>
        <v>0</v>
      </c>
      <c r="N1323" s="1275"/>
      <c r="O1323" s="1276"/>
    </row>
    <row r="1324" spans="1:15" customFormat="1">
      <c r="A1324" s="1436"/>
      <c r="B1324" s="636"/>
      <c r="C1324" s="686" t="s">
        <v>292</v>
      </c>
      <c r="D1324" s="694" t="s">
        <v>6</v>
      </c>
      <c r="E1324" s="639">
        <v>0.79</v>
      </c>
      <c r="F1324" s="639">
        <f>F1321*E1324</f>
        <v>23.549900000000004</v>
      </c>
      <c r="G1324" s="448"/>
      <c r="H1324" s="448">
        <f>F1324*G1324</f>
        <v>0</v>
      </c>
      <c r="I1324" s="448"/>
      <c r="J1324" s="448"/>
      <c r="K1324" s="448"/>
      <c r="L1324" s="448"/>
      <c r="M1324" s="1251">
        <f t="shared" si="167"/>
        <v>0</v>
      </c>
      <c r="N1324" s="1275"/>
      <c r="O1324" s="1276"/>
    </row>
    <row r="1325" spans="1:15" customFormat="1">
      <c r="A1325" s="1436"/>
      <c r="B1325" s="636"/>
      <c r="C1325" s="686" t="s">
        <v>8</v>
      </c>
      <c r="D1325" s="694" t="s">
        <v>5</v>
      </c>
      <c r="E1325" s="639">
        <v>0.05</v>
      </c>
      <c r="F1325" s="639">
        <f>F1321*E1325</f>
        <v>1.4905000000000002</v>
      </c>
      <c r="G1325" s="448"/>
      <c r="H1325" s="448">
        <f>F1325*G1325</f>
        <v>0</v>
      </c>
      <c r="I1325" s="448"/>
      <c r="J1325" s="448"/>
      <c r="K1325" s="448"/>
      <c r="L1325" s="448"/>
      <c r="M1325" s="1251">
        <f t="shared" si="167"/>
        <v>0</v>
      </c>
      <c r="N1325" s="1275"/>
      <c r="O1325" s="1276"/>
    </row>
    <row r="1326" spans="1:15" customFormat="1">
      <c r="A1326" s="1436"/>
      <c r="B1326" s="636"/>
      <c r="C1326" s="686" t="s">
        <v>293</v>
      </c>
      <c r="D1326" s="694" t="s">
        <v>6</v>
      </c>
      <c r="E1326" s="639">
        <v>0.15</v>
      </c>
      <c r="F1326" s="639">
        <f>F1321*E1326</f>
        <v>4.4714999999999998</v>
      </c>
      <c r="G1326" s="448"/>
      <c r="H1326" s="448">
        <f>F1326*G1326</f>
        <v>0</v>
      </c>
      <c r="I1326" s="448"/>
      <c r="J1326" s="448"/>
      <c r="K1326" s="448"/>
      <c r="L1326" s="448"/>
      <c r="M1326" s="1251">
        <f t="shared" si="167"/>
        <v>0</v>
      </c>
      <c r="N1326" s="1275"/>
      <c r="O1326" s="1276"/>
    </row>
    <row r="1327" spans="1:15" customFormat="1">
      <c r="A1327" s="1436"/>
      <c r="B1327" s="636"/>
      <c r="C1327" s="686" t="s">
        <v>288</v>
      </c>
      <c r="D1327" s="694" t="s">
        <v>113</v>
      </c>
      <c r="E1327" s="639">
        <v>0.63</v>
      </c>
      <c r="F1327" s="639">
        <f>E1327*F1321</f>
        <v>18.7803</v>
      </c>
      <c r="G1327" s="448"/>
      <c r="H1327" s="448">
        <f>F1327*G1327</f>
        <v>0</v>
      </c>
      <c r="I1327" s="448"/>
      <c r="J1327" s="448"/>
      <c r="K1327" s="448"/>
      <c r="L1327" s="448"/>
      <c r="M1327" s="1251">
        <f t="shared" si="167"/>
        <v>0</v>
      </c>
      <c r="N1327" s="1275"/>
      <c r="O1327" s="1276"/>
    </row>
    <row r="1328" spans="1:15" customFormat="1">
      <c r="A1328" s="1436"/>
      <c r="B1328" s="636"/>
      <c r="C1328" s="686" t="s">
        <v>26</v>
      </c>
      <c r="D1328" s="694" t="s">
        <v>11</v>
      </c>
      <c r="E1328" s="639">
        <v>1.6E-2</v>
      </c>
      <c r="F1328" s="639">
        <f>E1328*F1321</f>
        <v>0.47696000000000005</v>
      </c>
      <c r="G1328" s="448"/>
      <c r="H1328" s="448">
        <f>F1328*G1328</f>
        <v>0</v>
      </c>
      <c r="I1328" s="448"/>
      <c r="J1328" s="448"/>
      <c r="K1328" s="448"/>
      <c r="L1328" s="448"/>
      <c r="M1328" s="1251">
        <f t="shared" si="167"/>
        <v>0</v>
      </c>
      <c r="N1328" s="1275"/>
      <c r="O1328" s="1276"/>
    </row>
    <row r="1329" spans="1:15" customFormat="1" ht="31.5">
      <c r="A1329" s="697"/>
      <c r="B1329" s="143"/>
      <c r="C1329" s="687" t="s">
        <v>1070</v>
      </c>
      <c r="D1329" s="1203" t="s">
        <v>5</v>
      </c>
      <c r="E1329" s="732"/>
      <c r="F1329" s="721">
        <f>((3+2)*2+4*2)*1</f>
        <v>18</v>
      </c>
      <c r="G1329" s="1226"/>
      <c r="H1329" s="1226"/>
      <c r="I1329" s="1226"/>
      <c r="J1329" s="1226"/>
      <c r="K1329" s="1226"/>
      <c r="L1329" s="1226"/>
      <c r="M1329" s="1259"/>
      <c r="N1329" s="1275"/>
      <c r="O1329" s="1276"/>
    </row>
    <row r="1330" spans="1:15" customFormat="1">
      <c r="A1330" s="1393" t="s">
        <v>1158</v>
      </c>
      <c r="B1330" s="41" t="s">
        <v>335</v>
      </c>
      <c r="C1330" s="134" t="s">
        <v>248</v>
      </c>
      <c r="D1330" s="65" t="s">
        <v>92</v>
      </c>
      <c r="E1330" s="709"/>
      <c r="F1330" s="722">
        <f>F1329*0.2</f>
        <v>3.6</v>
      </c>
      <c r="G1330" s="448"/>
      <c r="H1330" s="448"/>
      <c r="I1330" s="448"/>
      <c r="J1330" s="448"/>
      <c r="K1330" s="448"/>
      <c r="L1330" s="448"/>
      <c r="M1330" s="1251"/>
      <c r="N1330" s="1275"/>
      <c r="O1330" s="1276"/>
    </row>
    <row r="1331" spans="1:15" customFormat="1">
      <c r="A1331" s="1395"/>
      <c r="B1331" s="41"/>
      <c r="C1331" s="658" t="s">
        <v>13</v>
      </c>
      <c r="D1331" s="691" t="s">
        <v>15</v>
      </c>
      <c r="E1331" s="708">
        <v>3.88</v>
      </c>
      <c r="F1331" s="708">
        <f>F1330*E1331</f>
        <v>13.968</v>
      </c>
      <c r="G1331" s="1225"/>
      <c r="H1331" s="448"/>
      <c r="I1331" s="448"/>
      <c r="J1331" s="448">
        <f>F1331*I1331</f>
        <v>0</v>
      </c>
      <c r="K1331" s="448"/>
      <c r="L1331" s="448"/>
      <c r="M1331" s="1251">
        <f t="shared" ref="M1331:M1351" si="168">H1331+J1331+L1331</f>
        <v>0</v>
      </c>
      <c r="N1331" s="1275"/>
      <c r="O1331" s="1276"/>
    </row>
    <row r="1332" spans="1:15" customFormat="1" ht="31.5">
      <c r="A1332" s="1413" t="s">
        <v>1159</v>
      </c>
      <c r="B1332" s="688" t="s">
        <v>864</v>
      </c>
      <c r="C1332" s="140" t="s">
        <v>865</v>
      </c>
      <c r="D1332" s="44" t="s">
        <v>250</v>
      </c>
      <c r="E1332" s="383"/>
      <c r="F1332" s="723">
        <f>F1330*1.95</f>
        <v>7.02</v>
      </c>
      <c r="G1332" s="87"/>
      <c r="H1332" s="448"/>
      <c r="I1332" s="87"/>
      <c r="J1332" s="448"/>
      <c r="K1332" s="87"/>
      <c r="L1332" s="448"/>
      <c r="M1332" s="1251"/>
      <c r="N1332" s="1275"/>
      <c r="O1332" s="1276"/>
    </row>
    <row r="1333" spans="1:15" customFormat="1">
      <c r="A1333" s="1413"/>
      <c r="B1333" s="44"/>
      <c r="C1333" s="142" t="s">
        <v>20</v>
      </c>
      <c r="D1333" s="695" t="s">
        <v>15</v>
      </c>
      <c r="E1333" s="1235">
        <v>0.53</v>
      </c>
      <c r="F1333" s="709">
        <f>F1332*E1333</f>
        <v>3.7206000000000001</v>
      </c>
      <c r="G1333" s="87"/>
      <c r="H1333" s="448"/>
      <c r="I1333" s="87"/>
      <c r="J1333" s="448">
        <f>F1333*I1333</f>
        <v>0</v>
      </c>
      <c r="K1333" s="87"/>
      <c r="L1333" s="448"/>
      <c r="M1333" s="1251">
        <f>H1333+J1333+L1333</f>
        <v>0</v>
      </c>
      <c r="N1333" s="1275"/>
      <c r="O1333" s="1276"/>
    </row>
    <row r="1334" spans="1:15" customFormat="1" ht="31.5">
      <c r="A1334" s="662" t="s">
        <v>1160</v>
      </c>
      <c r="B1334" s="44" t="s">
        <v>394</v>
      </c>
      <c r="C1334" s="140" t="s">
        <v>1418</v>
      </c>
      <c r="D1334" s="44" t="s">
        <v>7</v>
      </c>
      <c r="E1334" s="723"/>
      <c r="F1334" s="723">
        <f>F1332</f>
        <v>7.02</v>
      </c>
      <c r="G1334" s="87"/>
      <c r="H1334" s="448"/>
      <c r="I1334" s="87"/>
      <c r="J1334" s="448"/>
      <c r="K1334" s="146"/>
      <c r="L1334" s="448">
        <f>F1334*K1334</f>
        <v>0</v>
      </c>
      <c r="M1334" s="1251">
        <f>H1334+J1334+L1334</f>
        <v>0</v>
      </c>
      <c r="N1334" s="1275"/>
      <c r="O1334" s="1276"/>
    </row>
    <row r="1335" spans="1:15" customFormat="1">
      <c r="A1335" s="1393" t="s">
        <v>1161</v>
      </c>
      <c r="B1335" s="42" t="s">
        <v>252</v>
      </c>
      <c r="C1335" s="137" t="s">
        <v>253</v>
      </c>
      <c r="D1335" s="447" t="s">
        <v>4</v>
      </c>
      <c r="E1335" s="1234"/>
      <c r="F1335" s="707">
        <f>F1329*0.1</f>
        <v>1.8</v>
      </c>
      <c r="G1335" s="448"/>
      <c r="H1335" s="448"/>
      <c r="I1335" s="448"/>
      <c r="J1335" s="448"/>
      <c r="K1335" s="448"/>
      <c r="L1335" s="448"/>
      <c r="M1335" s="1251"/>
      <c r="N1335" s="1275"/>
      <c r="O1335" s="1276"/>
    </row>
    <row r="1336" spans="1:15" customFormat="1">
      <c r="A1336" s="1394"/>
      <c r="B1336" s="42"/>
      <c r="C1336" s="138" t="s">
        <v>13</v>
      </c>
      <c r="D1336" s="447" t="s">
        <v>15</v>
      </c>
      <c r="E1336" s="1234">
        <v>3.52</v>
      </c>
      <c r="F1336" s="1234">
        <f>F1335*E1336</f>
        <v>6.3360000000000003</v>
      </c>
      <c r="G1336" s="448"/>
      <c r="H1336" s="448"/>
      <c r="I1336" s="448"/>
      <c r="J1336" s="448">
        <f>F1336*I1336</f>
        <v>0</v>
      </c>
      <c r="K1336" s="448"/>
      <c r="L1336" s="448"/>
      <c r="M1336" s="1251">
        <f t="shared" si="168"/>
        <v>0</v>
      </c>
      <c r="N1336" s="1275"/>
      <c r="O1336" s="1276"/>
    </row>
    <row r="1337" spans="1:15" customFormat="1">
      <c r="A1337" s="1394"/>
      <c r="B1337" s="42"/>
      <c r="C1337" s="138" t="s">
        <v>25</v>
      </c>
      <c r="D1337" s="447" t="s">
        <v>11</v>
      </c>
      <c r="E1337" s="1234">
        <v>1.06</v>
      </c>
      <c r="F1337" s="1234">
        <f>F1335*E1337</f>
        <v>1.9080000000000001</v>
      </c>
      <c r="G1337" s="448"/>
      <c r="H1337" s="448"/>
      <c r="I1337" s="448"/>
      <c r="J1337" s="448"/>
      <c r="K1337" s="448"/>
      <c r="L1337" s="448">
        <f>F1337*K1337</f>
        <v>0</v>
      </c>
      <c r="M1337" s="1251">
        <f t="shared" si="168"/>
        <v>0</v>
      </c>
      <c r="N1337" s="1275"/>
      <c r="O1337" s="1276"/>
    </row>
    <row r="1338" spans="1:15" customFormat="1">
      <c r="A1338" s="1394"/>
      <c r="B1338" s="42"/>
      <c r="C1338" s="138" t="s">
        <v>220</v>
      </c>
      <c r="D1338" s="447" t="s">
        <v>4</v>
      </c>
      <c r="E1338" s="1234">
        <f>0.18+0.09+0.97</f>
        <v>1.24</v>
      </c>
      <c r="F1338" s="1234">
        <f>F1335*E1338</f>
        <v>2.2320000000000002</v>
      </c>
      <c r="G1338" s="448"/>
      <c r="H1338" s="448">
        <f t="shared" ref="H1338:H1351" si="169">F1338*G1338</f>
        <v>0</v>
      </c>
      <c r="I1338" s="448"/>
      <c r="J1338" s="448"/>
      <c r="K1338" s="448"/>
      <c r="L1338" s="448"/>
      <c r="M1338" s="1251">
        <f t="shared" si="168"/>
        <v>0</v>
      </c>
      <c r="N1338" s="1275"/>
      <c r="O1338" s="1276"/>
    </row>
    <row r="1339" spans="1:15" customFormat="1">
      <c r="A1339" s="1395"/>
      <c r="B1339" s="42"/>
      <c r="C1339" s="138" t="s">
        <v>26</v>
      </c>
      <c r="D1339" s="447" t="s">
        <v>11</v>
      </c>
      <c r="E1339" s="1234">
        <v>0.02</v>
      </c>
      <c r="F1339" s="1234">
        <f>F1335*E1339</f>
        <v>3.6000000000000004E-2</v>
      </c>
      <c r="G1339" s="448"/>
      <c r="H1339" s="448">
        <f t="shared" si="169"/>
        <v>0</v>
      </c>
      <c r="I1339" s="448"/>
      <c r="J1339" s="448"/>
      <c r="K1339" s="448"/>
      <c r="L1339" s="448"/>
      <c r="M1339" s="1251">
        <f t="shared" si="168"/>
        <v>0</v>
      </c>
      <c r="N1339" s="1275"/>
      <c r="O1339" s="1276"/>
    </row>
    <row r="1340" spans="1:15" customFormat="1">
      <c r="A1340" s="1393" t="s">
        <v>1162</v>
      </c>
      <c r="B1340" s="42" t="s">
        <v>254</v>
      </c>
      <c r="C1340" s="139" t="s">
        <v>255</v>
      </c>
      <c r="D1340" s="44" t="s">
        <v>88</v>
      </c>
      <c r="E1340" s="1235"/>
      <c r="F1340" s="383">
        <f>F1329/100</f>
        <v>0.18</v>
      </c>
      <c r="G1340" s="87"/>
      <c r="H1340" s="448"/>
      <c r="I1340" s="87"/>
      <c r="J1340" s="448"/>
      <c r="K1340" s="448"/>
      <c r="L1340" s="448"/>
      <c r="M1340" s="1251"/>
      <c r="N1340" s="1275"/>
      <c r="O1340" s="1276"/>
    </row>
    <row r="1341" spans="1:15">
      <c r="A1341" s="1394"/>
      <c r="B1341" s="1142"/>
      <c r="C1341" s="148" t="s">
        <v>13</v>
      </c>
      <c r="D1341" s="1142" t="s">
        <v>15</v>
      </c>
      <c r="E1341" s="1235">
        <v>31.2</v>
      </c>
      <c r="F1341" s="282">
        <f>F1340*E1341</f>
        <v>5.6159999999999997</v>
      </c>
      <c r="G1341" s="77"/>
      <c r="H1341" s="77"/>
      <c r="I1341" s="77"/>
      <c r="J1341" s="77">
        <f>F1341*I1341</f>
        <v>0</v>
      </c>
      <c r="K1341" s="77"/>
      <c r="L1341" s="77"/>
      <c r="M1341" s="1252">
        <f t="shared" ref="M1341:M1346" si="170">H1341+J1341+L1341</f>
        <v>0</v>
      </c>
    </row>
    <row r="1342" spans="1:15">
      <c r="A1342" s="1394"/>
      <c r="B1342" s="1142"/>
      <c r="C1342" s="148" t="s">
        <v>25</v>
      </c>
      <c r="D1342" s="1142" t="s">
        <v>16</v>
      </c>
      <c r="E1342" s="1235">
        <v>1.38</v>
      </c>
      <c r="F1342" s="282">
        <f>F1340*E1342</f>
        <v>0.24839999999999998</v>
      </c>
      <c r="G1342" s="77"/>
      <c r="H1342" s="77"/>
      <c r="I1342" s="77"/>
      <c r="J1342" s="77"/>
      <c r="K1342" s="77"/>
      <c r="L1342" s="77">
        <f>F1342*K1342</f>
        <v>0</v>
      </c>
      <c r="M1342" s="1252">
        <f t="shared" si="170"/>
        <v>0</v>
      </c>
    </row>
    <row r="1343" spans="1:15">
      <c r="A1343" s="1394"/>
      <c r="B1343" s="1227"/>
      <c r="C1343" s="148" t="s">
        <v>1073</v>
      </c>
      <c r="D1343" s="1227" t="s">
        <v>256</v>
      </c>
      <c r="E1343" s="282">
        <v>112</v>
      </c>
      <c r="F1343" s="282">
        <f>F1340*E1343</f>
        <v>20.16</v>
      </c>
      <c r="G1343" s="80"/>
      <c r="H1343" s="77">
        <f>F1343*G1343</f>
        <v>0</v>
      </c>
      <c r="I1343" s="80"/>
      <c r="J1343" s="77"/>
      <c r="K1343" s="77"/>
      <c r="L1343" s="77"/>
      <c r="M1343" s="1252">
        <f t="shared" si="170"/>
        <v>0</v>
      </c>
    </row>
    <row r="1344" spans="1:15">
      <c r="A1344" s="1394"/>
      <c r="B1344" s="1142"/>
      <c r="C1344" s="148" t="s">
        <v>257</v>
      </c>
      <c r="D1344" s="1231" t="s">
        <v>7</v>
      </c>
      <c r="E1344" s="282">
        <v>0.53</v>
      </c>
      <c r="F1344" s="282">
        <f>F1340*E1344</f>
        <v>9.5399999999999999E-2</v>
      </c>
      <c r="G1344" s="80"/>
      <c r="H1344" s="77">
        <f>F1344*G1344</f>
        <v>0</v>
      </c>
      <c r="I1344" s="80"/>
      <c r="J1344" s="77"/>
      <c r="K1344" s="77"/>
      <c r="L1344" s="77"/>
      <c r="M1344" s="1252">
        <f t="shared" si="170"/>
        <v>0</v>
      </c>
    </row>
    <row r="1345" spans="1:15">
      <c r="A1345" s="1394"/>
      <c r="B1345" s="1142"/>
      <c r="C1345" s="148" t="s">
        <v>226</v>
      </c>
      <c r="D1345" s="1231" t="s">
        <v>6</v>
      </c>
      <c r="E1345" s="282">
        <v>76</v>
      </c>
      <c r="F1345" s="282">
        <f>F1340*E1345</f>
        <v>13.68</v>
      </c>
      <c r="G1345" s="80"/>
      <c r="H1345" s="77">
        <f>F1345*G1345</f>
        <v>0</v>
      </c>
      <c r="I1345" s="80"/>
      <c r="J1345" s="77"/>
      <c r="K1345" s="77"/>
      <c r="L1345" s="77"/>
      <c r="M1345" s="1252">
        <f t="shared" si="170"/>
        <v>0</v>
      </c>
    </row>
    <row r="1346" spans="1:15">
      <c r="A1346" s="1395"/>
      <c r="B1346" s="1142"/>
      <c r="C1346" s="148" t="s">
        <v>26</v>
      </c>
      <c r="D1346" s="1142" t="s">
        <v>11</v>
      </c>
      <c r="E1346" s="1235">
        <v>0.19</v>
      </c>
      <c r="F1346" s="282">
        <f>F1340*E1346</f>
        <v>3.4200000000000001E-2</v>
      </c>
      <c r="G1346" s="77"/>
      <c r="H1346" s="77">
        <f>F1346*G1346</f>
        <v>0</v>
      </c>
      <c r="I1346" s="77"/>
      <c r="J1346" s="77"/>
      <c r="K1346" s="77"/>
      <c r="L1346" s="77"/>
      <c r="M1346" s="1252">
        <f t="shared" si="170"/>
        <v>0</v>
      </c>
    </row>
    <row r="1347" spans="1:15" customFormat="1">
      <c r="A1347" s="1393" t="s">
        <v>1163</v>
      </c>
      <c r="B1347" s="42" t="s">
        <v>258</v>
      </c>
      <c r="C1347" s="140" t="s">
        <v>454</v>
      </c>
      <c r="D1347" s="44" t="s">
        <v>5</v>
      </c>
      <c r="E1347" s="1235"/>
      <c r="F1347" s="383">
        <f>F1329</f>
        <v>18</v>
      </c>
      <c r="G1347" s="689"/>
      <c r="H1347" s="448"/>
      <c r="I1347" s="87"/>
      <c r="J1347" s="448"/>
      <c r="K1347" s="689"/>
      <c r="L1347" s="448"/>
      <c r="M1347" s="1251"/>
      <c r="N1347" s="1275"/>
      <c r="O1347" s="1276"/>
    </row>
    <row r="1348" spans="1:15" customFormat="1">
      <c r="A1348" s="1394"/>
      <c r="B1348" s="42"/>
      <c r="C1348" s="141"/>
      <c r="D1348" s="695" t="s">
        <v>4</v>
      </c>
      <c r="E1348" s="1235"/>
      <c r="F1348" s="383">
        <v>2.73</v>
      </c>
      <c r="G1348" s="689"/>
      <c r="H1348" s="448"/>
      <c r="I1348" s="87"/>
      <c r="J1348" s="448"/>
      <c r="K1348" s="689"/>
      <c r="L1348" s="448"/>
      <c r="M1348" s="1251"/>
      <c r="N1348" s="1275"/>
      <c r="O1348" s="1276"/>
    </row>
    <row r="1349" spans="1:15" customFormat="1">
      <c r="A1349" s="1394"/>
      <c r="B1349" s="44"/>
      <c r="C1349" s="138" t="s">
        <v>1880</v>
      </c>
      <c r="D1349" s="447" t="s">
        <v>4</v>
      </c>
      <c r="E1349" s="1234">
        <v>1</v>
      </c>
      <c r="F1349" s="1234">
        <f>F1348*E1349</f>
        <v>2.73</v>
      </c>
      <c r="G1349" s="448"/>
      <c r="H1349" s="448"/>
      <c r="I1349" s="448"/>
      <c r="J1349" s="448">
        <f>F1349*I1349</f>
        <v>0</v>
      </c>
      <c r="K1349" s="689"/>
      <c r="L1349" s="448"/>
      <c r="M1349" s="1251">
        <f t="shared" si="168"/>
        <v>0</v>
      </c>
      <c r="N1349" s="1275"/>
      <c r="O1349" s="1276"/>
    </row>
    <row r="1350" spans="1:15" customFormat="1">
      <c r="A1350" s="1394"/>
      <c r="B1350" s="44"/>
      <c r="C1350" s="142" t="s">
        <v>91</v>
      </c>
      <c r="D1350" s="695" t="s">
        <v>4</v>
      </c>
      <c r="E1350" s="1235">
        <v>1.02</v>
      </c>
      <c r="F1350" s="1235">
        <f>F1348*E1350</f>
        <v>2.7846000000000002</v>
      </c>
      <c r="G1350" s="689"/>
      <c r="H1350" s="448">
        <f t="shared" si="169"/>
        <v>0</v>
      </c>
      <c r="I1350" s="87"/>
      <c r="J1350" s="448"/>
      <c r="K1350" s="689"/>
      <c r="L1350" s="448"/>
      <c r="M1350" s="1251">
        <f t="shared" si="168"/>
        <v>0</v>
      </c>
      <c r="N1350" s="1275"/>
      <c r="O1350" s="1276"/>
    </row>
    <row r="1351" spans="1:15" customFormat="1">
      <c r="A1351" s="1395"/>
      <c r="B1351" s="44"/>
      <c r="C1351" s="142" t="s">
        <v>204</v>
      </c>
      <c r="D1351" s="695" t="s">
        <v>11</v>
      </c>
      <c r="E1351" s="1235">
        <v>0.88</v>
      </c>
      <c r="F1351" s="1235">
        <f>F1348*E1351</f>
        <v>2.4024000000000001</v>
      </c>
      <c r="G1351" s="689"/>
      <c r="H1351" s="448">
        <f t="shared" si="169"/>
        <v>0</v>
      </c>
      <c r="I1351" s="87"/>
      <c r="J1351" s="448"/>
      <c r="K1351" s="689"/>
      <c r="L1351" s="448"/>
      <c r="M1351" s="1251">
        <f t="shared" si="168"/>
        <v>0</v>
      </c>
      <c r="N1351" s="1275"/>
      <c r="O1351" s="1276"/>
    </row>
    <row r="1352" spans="1:15">
      <c r="A1352" s="740"/>
      <c r="B1352" s="75"/>
      <c r="C1352" s="157"/>
      <c r="D1352" s="203"/>
      <c r="E1352" s="45"/>
      <c r="F1352" s="45"/>
      <c r="G1352" s="77"/>
      <c r="H1352" s="77"/>
      <c r="I1352" s="77"/>
      <c r="J1352" s="77"/>
      <c r="K1352" s="77"/>
      <c r="L1352" s="77"/>
      <c r="M1352" s="1252"/>
    </row>
    <row r="1353" spans="1:15" ht="47.25">
      <c r="A1353" s="1201"/>
      <c r="B1353" s="1188"/>
      <c r="C1353" s="1107" t="s">
        <v>1737</v>
      </c>
      <c r="D1353" s="1142"/>
      <c r="E1353" s="282"/>
      <c r="F1353" s="282"/>
      <c r="G1353" s="77"/>
      <c r="H1353" s="77"/>
      <c r="I1353" s="77"/>
      <c r="J1353" s="77"/>
      <c r="K1353" s="77"/>
      <c r="L1353" s="77"/>
      <c r="M1353" s="1252"/>
    </row>
    <row r="1354" spans="1:15" ht="31.5">
      <c r="A1354" s="1393" t="s">
        <v>429</v>
      </c>
      <c r="B1354" s="1199" t="s">
        <v>335</v>
      </c>
      <c r="C1354" s="287" t="s">
        <v>1736</v>
      </c>
      <c r="D1354" s="1202" t="s">
        <v>4</v>
      </c>
      <c r="E1354" s="709"/>
      <c r="F1354" s="347">
        <f>10+7</f>
        <v>17</v>
      </c>
      <c r="G1354" s="77"/>
      <c r="H1354" s="77"/>
      <c r="I1354" s="77"/>
      <c r="J1354" s="77"/>
      <c r="K1354" s="77"/>
      <c r="L1354" s="77"/>
      <c r="M1354" s="1252"/>
    </row>
    <row r="1355" spans="1:15">
      <c r="A1355" s="1395"/>
      <c r="B1355" s="1194"/>
      <c r="C1355" s="630" t="s">
        <v>13</v>
      </c>
      <c r="D1355" s="1194" t="s">
        <v>15</v>
      </c>
      <c r="E1355" s="709">
        <v>3.88</v>
      </c>
      <c r="F1355" s="283">
        <f>F1354*E1355</f>
        <v>65.959999999999994</v>
      </c>
      <c r="G1355" s="339"/>
      <c r="H1355" s="77"/>
      <c r="I1355" s="77"/>
      <c r="J1355" s="77">
        <f>F1355*I1355</f>
        <v>0</v>
      </c>
      <c r="K1355" s="77"/>
      <c r="L1355" s="77"/>
      <c r="M1355" s="1252">
        <f>H1355+J1355+L1355</f>
        <v>0</v>
      </c>
    </row>
    <row r="1356" spans="1:15" ht="31.5">
      <c r="A1356" s="1393" t="s">
        <v>430</v>
      </c>
      <c r="B1356" s="42" t="s">
        <v>252</v>
      </c>
      <c r="C1356" s="287" t="s">
        <v>1738</v>
      </c>
      <c r="D1356" s="42" t="s">
        <v>4</v>
      </c>
      <c r="E1356" s="1235"/>
      <c r="F1356" s="20">
        <f>1.88+1.25</f>
        <v>3.13</v>
      </c>
      <c r="G1356" s="77"/>
      <c r="H1356" s="77"/>
      <c r="I1356" s="77"/>
      <c r="J1356" s="77"/>
      <c r="K1356" s="77"/>
      <c r="L1356" s="77"/>
      <c r="M1356" s="1252"/>
    </row>
    <row r="1357" spans="1:15">
      <c r="A1357" s="1394"/>
      <c r="B1357" s="1142"/>
      <c r="C1357" s="148" t="s">
        <v>13</v>
      </c>
      <c r="D1357" s="1142" t="s">
        <v>15</v>
      </c>
      <c r="E1357" s="1235">
        <v>3.52</v>
      </c>
      <c r="F1357" s="282">
        <f>F1356*E1357</f>
        <v>11.0176</v>
      </c>
      <c r="G1357" s="77"/>
      <c r="H1357" s="77"/>
      <c r="I1357" s="77"/>
      <c r="J1357" s="77">
        <f>F1357*I1357</f>
        <v>0</v>
      </c>
      <c r="K1357" s="77"/>
      <c r="L1357" s="77"/>
      <c r="M1357" s="1252">
        <f>H1357+J1357+L1357</f>
        <v>0</v>
      </c>
    </row>
    <row r="1358" spans="1:15">
      <c r="A1358" s="1394"/>
      <c r="B1358" s="1142"/>
      <c r="C1358" s="148" t="s">
        <v>25</v>
      </c>
      <c r="D1358" s="1142" t="s">
        <v>11</v>
      </c>
      <c r="E1358" s="1235">
        <v>1.06</v>
      </c>
      <c r="F1358" s="282">
        <f>F1356*E1358</f>
        <v>3.3178000000000001</v>
      </c>
      <c r="G1358" s="77"/>
      <c r="H1358" s="77"/>
      <c r="I1358" s="77"/>
      <c r="J1358" s="77"/>
      <c r="K1358" s="77"/>
      <c r="L1358" s="77">
        <f>F1358*K1358</f>
        <v>0</v>
      </c>
      <c r="M1358" s="1252">
        <f>H1358+J1358+L1358</f>
        <v>0</v>
      </c>
    </row>
    <row r="1359" spans="1:15">
      <c r="A1359" s="1394"/>
      <c r="B1359" s="1142"/>
      <c r="C1359" s="148" t="s">
        <v>220</v>
      </c>
      <c r="D1359" s="1142" t="s">
        <v>4</v>
      </c>
      <c r="E1359" s="1235">
        <f>0.18+0.09+0.97</f>
        <v>1.24</v>
      </c>
      <c r="F1359" s="282">
        <f>F1356*E1359</f>
        <v>3.8811999999999998</v>
      </c>
      <c r="G1359" s="77"/>
      <c r="H1359" s="77">
        <f>F1359*G1359</f>
        <v>0</v>
      </c>
      <c r="I1359" s="77"/>
      <c r="J1359" s="77"/>
      <c r="K1359" s="77"/>
      <c r="L1359" s="77"/>
      <c r="M1359" s="1252">
        <f>H1359+J1359+L1359</f>
        <v>0</v>
      </c>
    </row>
    <row r="1360" spans="1:15">
      <c r="A1360" s="1395"/>
      <c r="B1360" s="1142"/>
      <c r="C1360" s="148" t="s">
        <v>26</v>
      </c>
      <c r="D1360" s="1142" t="s">
        <v>11</v>
      </c>
      <c r="E1360" s="1235">
        <v>0.02</v>
      </c>
      <c r="F1360" s="282">
        <f>F1356*E1360</f>
        <v>6.2600000000000003E-2</v>
      </c>
      <c r="G1360" s="77"/>
      <c r="H1360" s="77">
        <f>F1360*G1360</f>
        <v>0</v>
      </c>
      <c r="I1360" s="77"/>
      <c r="J1360" s="77"/>
      <c r="K1360" s="77"/>
      <c r="L1360" s="77"/>
      <c r="M1360" s="1252">
        <f>H1360+J1360+L1360</f>
        <v>0</v>
      </c>
    </row>
    <row r="1361" spans="1:13" ht="31.5">
      <c r="A1361" s="1421" t="s">
        <v>83</v>
      </c>
      <c r="B1361" s="75" t="s">
        <v>407</v>
      </c>
      <c r="C1361" s="156" t="s">
        <v>1661</v>
      </c>
      <c r="D1361" s="75" t="s">
        <v>318</v>
      </c>
      <c r="E1361" s="83"/>
      <c r="F1361" s="83">
        <f>1.64+1.09</f>
        <v>2.73</v>
      </c>
      <c r="G1361" s="79"/>
      <c r="H1361" s="77"/>
      <c r="I1361" s="79"/>
      <c r="J1361" s="77"/>
      <c r="K1361" s="79"/>
      <c r="L1361" s="77"/>
      <c r="M1361" s="1252"/>
    </row>
    <row r="1362" spans="1:13">
      <c r="A1362" s="1421"/>
      <c r="B1362" s="636"/>
      <c r="C1362" s="641" t="s">
        <v>1782</v>
      </c>
      <c r="D1362" s="694" t="s">
        <v>4</v>
      </c>
      <c r="E1362" s="639">
        <v>1</v>
      </c>
      <c r="F1362" s="639">
        <f>E1362*F1361</f>
        <v>2.73</v>
      </c>
      <c r="G1362" s="637"/>
      <c r="H1362" s="448"/>
      <c r="I1362" s="637"/>
      <c r="J1362" s="448">
        <f>F1362*I1362</f>
        <v>0</v>
      </c>
      <c r="K1362" s="637"/>
      <c r="L1362" s="448"/>
      <c r="M1362" s="1251">
        <f>H1362+J1362+L1362</f>
        <v>0</v>
      </c>
    </row>
    <row r="1363" spans="1:13">
      <c r="A1363" s="1421"/>
      <c r="B1363" s="636"/>
      <c r="C1363" s="128" t="s">
        <v>14</v>
      </c>
      <c r="D1363" s="635" t="s">
        <v>11</v>
      </c>
      <c r="E1363" s="639">
        <v>0.28299999999999997</v>
      </c>
      <c r="F1363" s="639">
        <f>E1363*F1361</f>
        <v>0.77258999999999989</v>
      </c>
      <c r="G1363" s="637"/>
      <c r="H1363" s="448"/>
      <c r="I1363" s="637"/>
      <c r="J1363" s="448"/>
      <c r="K1363" s="637"/>
      <c r="L1363" s="448">
        <f>F1363*K1363</f>
        <v>0</v>
      </c>
      <c r="M1363" s="1251">
        <f>H1363+J1363+L1363</f>
        <v>0</v>
      </c>
    </row>
    <row r="1364" spans="1:13">
      <c r="A1364" s="1421"/>
      <c r="B1364" s="636"/>
      <c r="C1364" s="641" t="s">
        <v>1739</v>
      </c>
      <c r="D1364" s="694" t="s">
        <v>319</v>
      </c>
      <c r="E1364" s="639">
        <v>1.02</v>
      </c>
      <c r="F1364" s="639">
        <f>E1364*F1361</f>
        <v>2.7846000000000002</v>
      </c>
      <c r="G1364" s="637"/>
      <c r="H1364" s="448">
        <f>F1364*G1364</f>
        <v>0</v>
      </c>
      <c r="I1364" s="637"/>
      <c r="J1364" s="448"/>
      <c r="K1364" s="637"/>
      <c r="L1364" s="448"/>
      <c r="M1364" s="1251">
        <f>H1364+J1364+L1364</f>
        <v>0</v>
      </c>
    </row>
    <row r="1365" spans="1:13">
      <c r="A1365" s="1421"/>
      <c r="B1365" s="636"/>
      <c r="C1365" s="128" t="s">
        <v>26</v>
      </c>
      <c r="D1365" s="144" t="s">
        <v>11</v>
      </c>
      <c r="E1365" s="639">
        <v>0.62</v>
      </c>
      <c r="F1365" s="639">
        <f>E1365*F1361</f>
        <v>1.6925999999999999</v>
      </c>
      <c r="G1365" s="637"/>
      <c r="H1365" s="448">
        <f>F1365*G1365</f>
        <v>0</v>
      </c>
      <c r="I1365" s="637"/>
      <c r="J1365" s="448"/>
      <c r="K1365" s="637"/>
      <c r="L1365" s="448"/>
      <c r="M1365" s="1251">
        <f>H1365+J1365+L1365</f>
        <v>0</v>
      </c>
    </row>
    <row r="1366" spans="1:13" ht="45.75" customHeight="1">
      <c r="A1366" s="1407" t="s">
        <v>431</v>
      </c>
      <c r="B1366" s="75" t="s">
        <v>462</v>
      </c>
      <c r="C1366" s="158" t="s">
        <v>1741</v>
      </c>
      <c r="D1366" s="75" t="s">
        <v>318</v>
      </c>
      <c r="E1366" s="45"/>
      <c r="F1366" s="83">
        <f>6.52+4.35</f>
        <v>10.87</v>
      </c>
      <c r="G1366" s="79"/>
      <c r="H1366" s="77"/>
      <c r="I1366" s="81"/>
      <c r="J1366" s="77"/>
      <c r="K1366" s="81"/>
      <c r="L1366" s="77"/>
      <c r="M1366" s="1252"/>
    </row>
    <row r="1367" spans="1:13">
      <c r="A1367" s="1408"/>
      <c r="B1367" s="636"/>
      <c r="C1367" s="128" t="s">
        <v>1783</v>
      </c>
      <c r="D1367" s="144" t="s">
        <v>4</v>
      </c>
      <c r="E1367" s="639">
        <v>1</v>
      </c>
      <c r="F1367" s="639">
        <f>F1366*E1367</f>
        <v>10.87</v>
      </c>
      <c r="G1367" s="637"/>
      <c r="H1367" s="448"/>
      <c r="I1367" s="637"/>
      <c r="J1367" s="448">
        <f>F1367*I1367</f>
        <v>0</v>
      </c>
      <c r="K1367" s="637"/>
      <c r="L1367" s="448"/>
      <c r="M1367" s="1251">
        <f t="shared" ref="M1367:M1374" si="171">H1367+J1367+L1367</f>
        <v>0</v>
      </c>
    </row>
    <row r="1368" spans="1:13">
      <c r="A1368" s="1408"/>
      <c r="B1368" s="636"/>
      <c r="C1368" s="128" t="s">
        <v>25</v>
      </c>
      <c r="D1368" s="144" t="s">
        <v>11</v>
      </c>
      <c r="E1368" s="639">
        <v>0.77</v>
      </c>
      <c r="F1368" s="639">
        <f>F1366*E1368</f>
        <v>8.3698999999999995</v>
      </c>
      <c r="G1368" s="637"/>
      <c r="H1368" s="448"/>
      <c r="I1368" s="637"/>
      <c r="J1368" s="448"/>
      <c r="K1368" s="637"/>
      <c r="L1368" s="448">
        <f>F1368*K1368</f>
        <v>0</v>
      </c>
      <c r="M1368" s="1251">
        <f t="shared" si="171"/>
        <v>0</v>
      </c>
    </row>
    <row r="1369" spans="1:13">
      <c r="A1369" s="1408"/>
      <c r="B1369" s="636"/>
      <c r="C1369" s="128" t="s">
        <v>91</v>
      </c>
      <c r="D1369" s="144" t="s">
        <v>4</v>
      </c>
      <c r="E1369" s="639">
        <v>1.0149999999999999</v>
      </c>
      <c r="F1369" s="639">
        <f>F1366*E1369</f>
        <v>11.033049999999998</v>
      </c>
      <c r="G1369" s="637"/>
      <c r="H1369" s="448">
        <f t="shared" ref="H1369:H1374" si="172">F1369*G1369</f>
        <v>0</v>
      </c>
      <c r="I1369" s="637"/>
      <c r="J1369" s="448"/>
      <c r="K1369" s="637"/>
      <c r="L1369" s="448"/>
      <c r="M1369" s="1251">
        <f t="shared" si="171"/>
        <v>0</v>
      </c>
    </row>
    <row r="1370" spans="1:13">
      <c r="A1370" s="1408"/>
      <c r="B1370" s="636"/>
      <c r="C1370" s="128" t="s">
        <v>966</v>
      </c>
      <c r="D1370" s="144" t="s">
        <v>5</v>
      </c>
      <c r="E1370" s="639">
        <v>7.54</v>
      </c>
      <c r="F1370" s="639">
        <f>F1366*E1370</f>
        <v>81.959800000000001</v>
      </c>
      <c r="G1370" s="637"/>
      <c r="H1370" s="448">
        <f t="shared" si="172"/>
        <v>0</v>
      </c>
      <c r="I1370" s="637"/>
      <c r="J1370" s="448"/>
      <c r="K1370" s="637"/>
      <c r="L1370" s="448"/>
      <c r="M1370" s="1251">
        <f t="shared" si="171"/>
        <v>0</v>
      </c>
    </row>
    <row r="1371" spans="1:13">
      <c r="A1371" s="1408"/>
      <c r="B1371" s="636"/>
      <c r="C1371" s="128" t="s">
        <v>235</v>
      </c>
      <c r="D1371" s="144" t="s">
        <v>4</v>
      </c>
      <c r="E1371" s="639">
        <f>(0.08)/100</f>
        <v>8.0000000000000004E-4</v>
      </c>
      <c r="F1371" s="639">
        <f>F1366*E1371</f>
        <v>8.6960000000000006E-3</v>
      </c>
      <c r="G1371" s="637"/>
      <c r="H1371" s="448">
        <f t="shared" si="172"/>
        <v>0</v>
      </c>
      <c r="I1371" s="637"/>
      <c r="J1371" s="448"/>
      <c r="K1371" s="637"/>
      <c r="L1371" s="448"/>
      <c r="M1371" s="1251">
        <f t="shared" si="171"/>
        <v>0</v>
      </c>
    </row>
    <row r="1372" spans="1:13">
      <c r="A1372" s="1408"/>
      <c r="B1372" s="636"/>
      <c r="C1372" s="128" t="s">
        <v>19</v>
      </c>
      <c r="D1372" s="144" t="s">
        <v>11</v>
      </c>
      <c r="E1372" s="639">
        <v>7.0000000000000007E-2</v>
      </c>
      <c r="F1372" s="639">
        <f>F1366*E1372</f>
        <v>0.76090000000000002</v>
      </c>
      <c r="G1372" s="637"/>
      <c r="H1372" s="448">
        <f t="shared" si="172"/>
        <v>0</v>
      </c>
      <c r="I1372" s="637"/>
      <c r="J1372" s="448"/>
      <c r="K1372" s="637"/>
      <c r="L1372" s="448"/>
      <c r="M1372" s="1251">
        <f t="shared" si="171"/>
        <v>0</v>
      </c>
    </row>
    <row r="1373" spans="1:13">
      <c r="A1373" s="1408"/>
      <c r="B1373" s="636"/>
      <c r="C1373" s="642" t="s">
        <v>426</v>
      </c>
      <c r="D1373" s="694" t="s">
        <v>218</v>
      </c>
      <c r="E1373" s="639"/>
      <c r="F1373" s="640">
        <f>0.51143+0.32816</f>
        <v>0.83959000000000006</v>
      </c>
      <c r="G1373" s="87"/>
      <c r="H1373" s="448">
        <f t="shared" si="172"/>
        <v>0</v>
      </c>
      <c r="I1373" s="637"/>
      <c r="J1373" s="448"/>
      <c r="K1373" s="637"/>
      <c r="L1373" s="448"/>
      <c r="M1373" s="1251">
        <f t="shared" si="171"/>
        <v>0</v>
      </c>
    </row>
    <row r="1374" spans="1:13">
      <c r="A1374" s="1409"/>
      <c r="B1374" s="636"/>
      <c r="C1374" s="642" t="s">
        <v>447</v>
      </c>
      <c r="D1374" s="694" t="s">
        <v>218</v>
      </c>
      <c r="E1374" s="639"/>
      <c r="F1374" s="640">
        <f>0.06418+0.042</f>
        <v>0.10618</v>
      </c>
      <c r="G1374" s="638"/>
      <c r="H1374" s="448">
        <f t="shared" si="172"/>
        <v>0</v>
      </c>
      <c r="I1374" s="637"/>
      <c r="J1374" s="448"/>
      <c r="K1374" s="637"/>
      <c r="L1374" s="448"/>
      <c r="M1374" s="1251">
        <f t="shared" si="171"/>
        <v>0</v>
      </c>
    </row>
    <row r="1375" spans="1:13" ht="31.5">
      <c r="A1375" s="1393" t="s">
        <v>38</v>
      </c>
      <c r="B1375" s="43"/>
      <c r="C1375" s="287" t="s">
        <v>1742</v>
      </c>
      <c r="D1375" s="42"/>
      <c r="E1375" s="20"/>
      <c r="F1375" s="20"/>
      <c r="G1375" s="77"/>
      <c r="H1375" s="77"/>
      <c r="I1375" s="77"/>
      <c r="J1375" s="77"/>
      <c r="K1375" s="77"/>
      <c r="L1375" s="77"/>
      <c r="M1375" s="1252"/>
    </row>
    <row r="1376" spans="1:13">
      <c r="A1376" s="1394"/>
      <c r="B1376" s="43"/>
      <c r="C1376" s="1205" t="s">
        <v>1748</v>
      </c>
      <c r="D1376" s="1071"/>
      <c r="E1376" s="855"/>
      <c r="F1376" s="20"/>
      <c r="G1376" s="77"/>
      <c r="H1376" s="77"/>
      <c r="I1376" s="77"/>
      <c r="J1376" s="77"/>
      <c r="K1376" s="77"/>
      <c r="L1376" s="77"/>
      <c r="M1376" s="1252"/>
    </row>
    <row r="1377" spans="1:13">
      <c r="A1377" s="1394"/>
      <c r="B1377" s="1188"/>
      <c r="C1377" s="1206" t="s">
        <v>1743</v>
      </c>
      <c r="D1377" s="1207" t="s">
        <v>1</v>
      </c>
      <c r="E1377" s="385">
        <f>244+133</f>
        <v>377</v>
      </c>
      <c r="F1377" s="20"/>
      <c r="G1377" s="77"/>
      <c r="H1377" s="77"/>
      <c r="I1377" s="77"/>
      <c r="J1377" s="77"/>
      <c r="K1377" s="77"/>
      <c r="L1377" s="77"/>
      <c r="M1377" s="1252"/>
    </row>
    <row r="1378" spans="1:13">
      <c r="A1378" s="1394"/>
      <c r="B1378" s="1188"/>
      <c r="C1378" s="1208"/>
      <c r="D1378" s="1207" t="s">
        <v>7</v>
      </c>
      <c r="E1378" s="385">
        <f>2.20088+1.19966</f>
        <v>3.4005400000000003</v>
      </c>
      <c r="F1378" s="20"/>
      <c r="G1378" s="77"/>
      <c r="H1378" s="77"/>
      <c r="I1378" s="77"/>
      <c r="J1378" s="77"/>
      <c r="K1378" s="77"/>
      <c r="L1378" s="77"/>
      <c r="M1378" s="1252"/>
    </row>
    <row r="1379" spans="1:13">
      <c r="A1379" s="1394"/>
      <c r="B1379" s="1188"/>
      <c r="C1379" s="1206" t="s">
        <v>1744</v>
      </c>
      <c r="D1379" s="1207" t="s">
        <v>1</v>
      </c>
      <c r="E1379" s="385">
        <f>166+105</f>
        <v>271</v>
      </c>
      <c r="F1379" s="20"/>
      <c r="G1379" s="77"/>
      <c r="H1379" s="77"/>
      <c r="I1379" s="77"/>
      <c r="J1379" s="77"/>
      <c r="K1379" s="77"/>
      <c r="L1379" s="77"/>
      <c r="M1379" s="1252"/>
    </row>
    <row r="1380" spans="1:13">
      <c r="A1380" s="1394"/>
      <c r="B1380" s="1195"/>
      <c r="C1380" s="1208"/>
      <c r="D1380" s="1207" t="s">
        <v>7</v>
      </c>
      <c r="E1380" s="385">
        <f>0.33532+0.2121</f>
        <v>0.54742000000000002</v>
      </c>
      <c r="F1380" s="20"/>
      <c r="G1380" s="77"/>
      <c r="H1380" s="77"/>
      <c r="I1380" s="77"/>
      <c r="J1380" s="77"/>
      <c r="K1380" s="77"/>
      <c r="L1380" s="77"/>
      <c r="M1380" s="1252"/>
    </row>
    <row r="1381" spans="1:13">
      <c r="A1381" s="1394"/>
      <c r="B1381" s="1195"/>
      <c r="C1381" s="1206" t="s">
        <v>972</v>
      </c>
      <c r="D1381" s="1207" t="s">
        <v>5</v>
      </c>
      <c r="E1381" s="385">
        <f>9.8+7.96</f>
        <v>17.760000000000002</v>
      </c>
      <c r="F1381" s="20"/>
      <c r="G1381" s="77"/>
      <c r="H1381" s="77"/>
      <c r="I1381" s="77"/>
      <c r="J1381" s="77"/>
      <c r="K1381" s="77"/>
      <c r="L1381" s="77"/>
      <c r="M1381" s="1252"/>
    </row>
    <row r="1382" spans="1:13">
      <c r="A1382" s="1394"/>
      <c r="B1382" s="1195"/>
      <c r="C1382" s="1208"/>
      <c r="D1382" s="1207" t="s">
        <v>7</v>
      </c>
      <c r="E1382" s="385">
        <f>0.30772+0.24994</f>
        <v>0.55766000000000004</v>
      </c>
      <c r="F1382" s="20"/>
      <c r="G1382" s="77"/>
      <c r="H1382" s="77"/>
      <c r="I1382" s="77"/>
      <c r="J1382" s="77"/>
      <c r="K1382" s="77"/>
      <c r="L1382" s="77"/>
      <c r="M1382" s="1252"/>
    </row>
    <row r="1383" spans="1:13" ht="31.5" customHeight="1">
      <c r="A1383" s="1394"/>
      <c r="B1383" s="1195"/>
      <c r="C1383" s="1206" t="s">
        <v>1745</v>
      </c>
      <c r="D1383" s="1207" t="s">
        <v>5</v>
      </c>
      <c r="E1383" s="385">
        <f>0.72+0.36</f>
        <v>1.08</v>
      </c>
      <c r="F1383" s="20"/>
      <c r="G1383" s="77"/>
      <c r="H1383" s="77"/>
      <c r="I1383" s="77"/>
      <c r="J1383" s="77"/>
      <c r="K1383" s="77"/>
      <c r="L1383" s="77"/>
      <c r="M1383" s="1252"/>
    </row>
    <row r="1384" spans="1:13">
      <c r="A1384" s="1394"/>
      <c r="B1384" s="1195"/>
      <c r="C1384" s="1208"/>
      <c r="D1384" s="1207" t="s">
        <v>7</v>
      </c>
      <c r="E1384" s="385">
        <f>0.05652+0.02826</f>
        <v>8.4779999999999994E-2</v>
      </c>
      <c r="F1384" s="20"/>
      <c r="G1384" s="77"/>
      <c r="H1384" s="77"/>
      <c r="I1384" s="77"/>
      <c r="J1384" s="77"/>
      <c r="K1384" s="77"/>
      <c r="L1384" s="77"/>
      <c r="M1384" s="1252"/>
    </row>
    <row r="1385" spans="1:13" ht="31.5">
      <c r="A1385" s="1394"/>
      <c r="B1385" s="1195"/>
      <c r="C1385" s="1206" t="s">
        <v>1746</v>
      </c>
      <c r="D1385" s="1207" t="s">
        <v>5</v>
      </c>
      <c r="E1385" s="385">
        <f>0.16+0.08</f>
        <v>0.24</v>
      </c>
      <c r="F1385" s="20"/>
      <c r="G1385" s="77"/>
      <c r="H1385" s="77"/>
      <c r="I1385" s="77"/>
      <c r="J1385" s="77"/>
      <c r="K1385" s="77"/>
      <c r="L1385" s="77"/>
      <c r="M1385" s="1252"/>
    </row>
    <row r="1386" spans="1:13">
      <c r="A1386" s="1394"/>
      <c r="B1386" s="1195"/>
      <c r="C1386" s="1208"/>
      <c r="D1386" s="1207" t="s">
        <v>7</v>
      </c>
      <c r="E1386" s="385">
        <f>0.00754+0.00377</f>
        <v>1.1310000000000001E-2</v>
      </c>
      <c r="F1386" s="20"/>
      <c r="G1386" s="77"/>
      <c r="H1386" s="77"/>
      <c r="I1386" s="77"/>
      <c r="J1386" s="77"/>
      <c r="K1386" s="77"/>
      <c r="L1386" s="77"/>
      <c r="M1386" s="1252"/>
    </row>
    <row r="1387" spans="1:13">
      <c r="A1387" s="1394"/>
      <c r="B1387" s="1195"/>
      <c r="C1387" s="1206" t="s">
        <v>1747</v>
      </c>
      <c r="D1387" s="1207" t="s">
        <v>2</v>
      </c>
      <c r="E1387" s="385">
        <f>32+16</f>
        <v>48</v>
      </c>
      <c r="F1387" s="20"/>
      <c r="G1387" s="77"/>
      <c r="H1387" s="77"/>
      <c r="I1387" s="77"/>
      <c r="J1387" s="77"/>
      <c r="K1387" s="77"/>
      <c r="L1387" s="77"/>
      <c r="M1387" s="1252"/>
    </row>
    <row r="1388" spans="1:13">
      <c r="A1388" s="1394"/>
      <c r="B1388" s="1195"/>
      <c r="C1388" s="1208"/>
      <c r="D1388" s="1207" t="s">
        <v>7</v>
      </c>
      <c r="E1388" s="385">
        <f>0.0224+0.0112</f>
        <v>3.3599999999999998E-2</v>
      </c>
      <c r="F1388" s="20"/>
      <c r="G1388" s="77"/>
      <c r="H1388" s="77"/>
      <c r="I1388" s="77"/>
      <c r="J1388" s="77"/>
      <c r="K1388" s="77"/>
      <c r="L1388" s="77"/>
      <c r="M1388" s="1252"/>
    </row>
    <row r="1389" spans="1:13">
      <c r="A1389" s="1394"/>
      <c r="B1389" s="1195"/>
      <c r="C1389" s="1209" t="s">
        <v>1749</v>
      </c>
      <c r="D1389" s="1207"/>
      <c r="E1389" s="385"/>
      <c r="F1389" s="20"/>
      <c r="G1389" s="77"/>
      <c r="H1389" s="77"/>
      <c r="I1389" s="77"/>
      <c r="J1389" s="77"/>
      <c r="K1389" s="77"/>
      <c r="L1389" s="77"/>
      <c r="M1389" s="1252"/>
    </row>
    <row r="1390" spans="1:13">
      <c r="A1390" s="1394"/>
      <c r="B1390" s="1195"/>
      <c r="C1390" s="1206" t="s">
        <v>1743</v>
      </c>
      <c r="D1390" s="1207" t="s">
        <v>1</v>
      </c>
      <c r="E1390" s="385">
        <f>38+19</f>
        <v>57</v>
      </c>
      <c r="F1390" s="20"/>
      <c r="G1390" s="77"/>
      <c r="H1390" s="77"/>
      <c r="I1390" s="77"/>
      <c r="J1390" s="77"/>
      <c r="K1390" s="77"/>
      <c r="L1390" s="77"/>
      <c r="M1390" s="1252"/>
    </row>
    <row r="1391" spans="1:13">
      <c r="A1391" s="1394"/>
      <c r="B1391" s="1195"/>
      <c r="C1391" s="1208"/>
      <c r="D1391" s="1207" t="s">
        <v>7</v>
      </c>
      <c r="E1391" s="385">
        <f>0.34276+0.17138</f>
        <v>0.51414000000000004</v>
      </c>
      <c r="F1391" s="20"/>
      <c r="G1391" s="77"/>
      <c r="H1391" s="77"/>
      <c r="I1391" s="77"/>
      <c r="J1391" s="77"/>
      <c r="K1391" s="77"/>
      <c r="L1391" s="77"/>
      <c r="M1391" s="1252"/>
    </row>
    <row r="1392" spans="1:13">
      <c r="A1392" s="1394"/>
      <c r="B1392" s="1195"/>
      <c r="C1392" s="1206" t="s">
        <v>1750</v>
      </c>
      <c r="D1392" s="1207" t="s">
        <v>1</v>
      </c>
      <c r="E1392" s="385">
        <f>64+32</f>
        <v>96</v>
      </c>
      <c r="F1392" s="20"/>
      <c r="G1392" s="77"/>
      <c r="H1392" s="77"/>
      <c r="I1392" s="77"/>
      <c r="J1392" s="77"/>
      <c r="K1392" s="77"/>
      <c r="L1392" s="77"/>
      <c r="M1392" s="1252"/>
    </row>
    <row r="1393" spans="1:13">
      <c r="A1393" s="1394"/>
      <c r="B1393" s="1195"/>
      <c r="C1393" s="1208"/>
      <c r="D1393" s="1207" t="s">
        <v>7</v>
      </c>
      <c r="E1393" s="385">
        <f>0.1088+0.0544</f>
        <v>0.16319999999999998</v>
      </c>
      <c r="F1393" s="20"/>
      <c r="G1393" s="77"/>
      <c r="H1393" s="77"/>
      <c r="I1393" s="77"/>
      <c r="J1393" s="77"/>
      <c r="K1393" s="77"/>
      <c r="L1393" s="77"/>
      <c r="M1393" s="1252"/>
    </row>
    <row r="1394" spans="1:13">
      <c r="A1394" s="1394"/>
      <c r="B1394" s="1195"/>
      <c r="C1394" s="1206" t="s">
        <v>972</v>
      </c>
      <c r="D1394" s="1207" t="s">
        <v>5</v>
      </c>
      <c r="E1394" s="385">
        <f>8.57+4.29</f>
        <v>12.86</v>
      </c>
      <c r="F1394" s="20"/>
      <c r="G1394" s="77"/>
      <c r="H1394" s="77"/>
      <c r="I1394" s="77"/>
      <c r="J1394" s="77"/>
      <c r="K1394" s="77"/>
      <c r="L1394" s="77"/>
      <c r="M1394" s="1252"/>
    </row>
    <row r="1395" spans="1:13">
      <c r="A1395" s="1394"/>
      <c r="B1395" s="1195"/>
      <c r="C1395" s="1208"/>
      <c r="D1395" s="1207" t="s">
        <v>7</v>
      </c>
      <c r="E1395" s="385">
        <f>0.2691+0.13455</f>
        <v>0.40365000000000001</v>
      </c>
      <c r="F1395" s="20"/>
      <c r="G1395" s="77"/>
      <c r="H1395" s="77"/>
      <c r="I1395" s="77"/>
      <c r="J1395" s="77"/>
      <c r="K1395" s="77"/>
      <c r="L1395" s="77"/>
      <c r="M1395" s="1252"/>
    </row>
    <row r="1396" spans="1:13" ht="31.5">
      <c r="A1396" s="1394"/>
      <c r="B1396" s="1195"/>
      <c r="C1396" s="1206" t="s">
        <v>1754</v>
      </c>
      <c r="D1396" s="1207" t="s">
        <v>5</v>
      </c>
      <c r="E1396" s="385">
        <f>0.432+0.216</f>
        <v>0.64800000000000002</v>
      </c>
      <c r="F1396" s="20"/>
      <c r="G1396" s="77"/>
      <c r="H1396" s="77"/>
      <c r="I1396" s="77"/>
      <c r="J1396" s="77"/>
      <c r="K1396" s="77"/>
      <c r="L1396" s="77"/>
      <c r="M1396" s="1252"/>
    </row>
    <row r="1397" spans="1:13">
      <c r="A1397" s="1394"/>
      <c r="B1397" s="1195"/>
      <c r="C1397" s="1208"/>
      <c r="D1397" s="1207" t="s">
        <v>7</v>
      </c>
      <c r="E1397" s="385">
        <f>0.03391+0.01696</f>
        <v>5.0869999999999999E-2</v>
      </c>
      <c r="F1397" s="20"/>
      <c r="G1397" s="77"/>
      <c r="H1397" s="77"/>
      <c r="I1397" s="77"/>
      <c r="J1397" s="77"/>
      <c r="K1397" s="77"/>
      <c r="L1397" s="77"/>
      <c r="M1397" s="1252"/>
    </row>
    <row r="1398" spans="1:13" ht="31.5">
      <c r="A1398" s="1394"/>
      <c r="B1398" s="1195"/>
      <c r="C1398" s="1206" t="s">
        <v>1751</v>
      </c>
      <c r="D1398" s="1207" t="s">
        <v>5</v>
      </c>
      <c r="E1398" s="385">
        <f>0.04+0.02</f>
        <v>0.06</v>
      </c>
      <c r="F1398" s="20"/>
      <c r="G1398" s="77"/>
      <c r="H1398" s="77"/>
      <c r="I1398" s="77"/>
      <c r="J1398" s="77"/>
      <c r="K1398" s="77"/>
      <c r="L1398" s="77"/>
      <c r="M1398" s="1252"/>
    </row>
    <row r="1399" spans="1:13">
      <c r="A1399" s="1394"/>
      <c r="B1399" s="1195"/>
      <c r="C1399" s="1208"/>
      <c r="D1399" s="1207" t="s">
        <v>7</v>
      </c>
      <c r="E1399" s="385">
        <f>0.00188+0.000942</f>
        <v>2.8219999999999999E-3</v>
      </c>
      <c r="F1399" s="20"/>
      <c r="G1399" s="77"/>
      <c r="H1399" s="77"/>
      <c r="I1399" s="77"/>
      <c r="J1399" s="77"/>
      <c r="K1399" s="77"/>
      <c r="L1399" s="77"/>
      <c r="M1399" s="1252"/>
    </row>
    <row r="1400" spans="1:13" ht="31.5">
      <c r="A1400" s="1394"/>
      <c r="B1400" s="1195"/>
      <c r="C1400" s="1206" t="s">
        <v>1752</v>
      </c>
      <c r="D1400" s="1207" t="s">
        <v>5</v>
      </c>
      <c r="E1400" s="385">
        <f>0.09646+0.04823</f>
        <v>0.14469000000000001</v>
      </c>
      <c r="F1400" s="20"/>
      <c r="G1400" s="77"/>
      <c r="H1400" s="77"/>
      <c r="I1400" s="77"/>
      <c r="J1400" s="77"/>
      <c r="K1400" s="77"/>
      <c r="L1400" s="77"/>
      <c r="M1400" s="1252"/>
    </row>
    <row r="1401" spans="1:13">
      <c r="A1401" s="1394"/>
      <c r="B1401" s="1195"/>
      <c r="C1401" s="1208"/>
      <c r="D1401" s="1207" t="s">
        <v>7</v>
      </c>
      <c r="E1401" s="385">
        <f>0.00454+0.00227</f>
        <v>6.8100000000000001E-3</v>
      </c>
      <c r="F1401" s="20"/>
      <c r="G1401" s="77"/>
      <c r="H1401" s="77"/>
      <c r="I1401" s="77"/>
      <c r="J1401" s="77"/>
      <c r="K1401" s="77"/>
      <c r="L1401" s="77"/>
      <c r="M1401" s="1252"/>
    </row>
    <row r="1402" spans="1:13" ht="47.25" customHeight="1">
      <c r="A1402" s="1394"/>
      <c r="B1402" s="1195"/>
      <c r="C1402" s="1206" t="s">
        <v>1753</v>
      </c>
      <c r="D1402" s="1207" t="s">
        <v>5</v>
      </c>
      <c r="E1402" s="385">
        <f>0.0317+0.01585</f>
        <v>4.7549999999999995E-2</v>
      </c>
      <c r="F1402" s="20"/>
      <c r="G1402" s="77"/>
      <c r="H1402" s="77"/>
      <c r="I1402" s="77"/>
      <c r="J1402" s="77"/>
      <c r="K1402" s="77"/>
      <c r="L1402" s="77"/>
      <c r="M1402" s="1252"/>
    </row>
    <row r="1403" spans="1:13">
      <c r="A1403" s="1394"/>
      <c r="B1403" s="1195"/>
      <c r="C1403" s="1208"/>
      <c r="D1403" s="1207" t="s">
        <v>7</v>
      </c>
      <c r="E1403" s="385">
        <f>0.00149+0.000746</f>
        <v>2.2360000000000001E-3</v>
      </c>
      <c r="F1403" s="20"/>
      <c r="G1403" s="77"/>
      <c r="H1403" s="77"/>
      <c r="I1403" s="77"/>
      <c r="J1403" s="77"/>
      <c r="K1403" s="77"/>
      <c r="L1403" s="77"/>
      <c r="M1403" s="1252"/>
    </row>
    <row r="1404" spans="1:13">
      <c r="A1404" s="1394"/>
      <c r="B1404" s="1195"/>
      <c r="C1404" s="1206" t="s">
        <v>1747</v>
      </c>
      <c r="D1404" s="1207" t="s">
        <v>2</v>
      </c>
      <c r="E1404" s="385">
        <f>16+8</f>
        <v>24</v>
      </c>
      <c r="F1404" s="20"/>
      <c r="G1404" s="77"/>
      <c r="H1404" s="77"/>
      <c r="I1404" s="77"/>
      <c r="J1404" s="77"/>
      <c r="K1404" s="77"/>
      <c r="L1404" s="77"/>
      <c r="M1404" s="1252"/>
    </row>
    <row r="1405" spans="1:13">
      <c r="A1405" s="1394"/>
      <c r="B1405" s="1195"/>
      <c r="C1405" s="1208"/>
      <c r="D1405" s="1207" t="s">
        <v>7</v>
      </c>
      <c r="E1405" s="385">
        <f>0.0112+0.0056</f>
        <v>1.6799999999999999E-2</v>
      </c>
      <c r="F1405" s="20"/>
      <c r="G1405" s="77"/>
      <c r="H1405" s="77"/>
      <c r="I1405" s="77"/>
      <c r="J1405" s="77"/>
      <c r="K1405" s="77"/>
      <c r="L1405" s="77"/>
      <c r="M1405" s="1252"/>
    </row>
    <row r="1406" spans="1:13">
      <c r="A1406" s="1394"/>
      <c r="B1406" s="1195"/>
      <c r="C1406" s="1210" t="s">
        <v>70</v>
      </c>
      <c r="D1406" s="1207" t="s">
        <v>7</v>
      </c>
      <c r="E1406" s="385">
        <f>(60+35+20+10)/1000</f>
        <v>0.125</v>
      </c>
      <c r="F1406" s="20"/>
      <c r="G1406" s="77"/>
      <c r="H1406" s="77"/>
      <c r="I1406" s="77"/>
      <c r="J1406" s="77"/>
      <c r="K1406" s="77"/>
      <c r="L1406" s="77"/>
      <c r="M1406" s="1252"/>
    </row>
    <row r="1407" spans="1:13">
      <c r="A1407" s="1394"/>
      <c r="B1407" s="43" t="s">
        <v>1488</v>
      </c>
      <c r="C1407" s="1211" t="s">
        <v>1493</v>
      </c>
      <c r="D1407" s="1071" t="s">
        <v>7</v>
      </c>
      <c r="E1407" s="855"/>
      <c r="F1407" s="387">
        <f>E1378+E1380+E1382+E1384+E1386+E1388+E1391+E1393+E1395+E1397+E1399+E1401+E1403+E1405+E1406</f>
        <v>5.9208379999999998</v>
      </c>
      <c r="G1407" s="77"/>
      <c r="H1407" s="77"/>
      <c r="I1407" s="77"/>
      <c r="J1407" s="77"/>
      <c r="K1407" s="77"/>
      <c r="L1407" s="77"/>
      <c r="M1407" s="1252"/>
    </row>
    <row r="1408" spans="1:13">
      <c r="A1408" s="1394"/>
      <c r="B1408" s="1195"/>
      <c r="C1408" s="148" t="s">
        <v>1881</v>
      </c>
      <c r="D1408" s="1142" t="s">
        <v>7</v>
      </c>
      <c r="E1408" s="282">
        <v>1</v>
      </c>
      <c r="F1408" s="282">
        <f>F1407*E1408</f>
        <v>5.9208379999999998</v>
      </c>
      <c r="G1408" s="77"/>
      <c r="H1408" s="77"/>
      <c r="I1408" s="77"/>
      <c r="J1408" s="77">
        <f>F1408*I1408</f>
        <v>0</v>
      </c>
      <c r="K1408" s="77"/>
      <c r="L1408" s="77"/>
      <c r="M1408" s="1252">
        <f>H1408+J1408+L1408</f>
        <v>0</v>
      </c>
    </row>
    <row r="1409" spans="1:13">
      <c r="A1409" s="1394"/>
      <c r="B1409" s="1195"/>
      <c r="C1409" s="148" t="s">
        <v>25</v>
      </c>
      <c r="D1409" s="1142" t="s">
        <v>11</v>
      </c>
      <c r="E1409" s="282">
        <v>4.07</v>
      </c>
      <c r="F1409" s="282">
        <f>F1407*E1409</f>
        <v>24.09781066</v>
      </c>
      <c r="G1409" s="77"/>
      <c r="H1409" s="77"/>
      <c r="I1409" s="77"/>
      <c r="J1409" s="77"/>
      <c r="K1409" s="77"/>
      <c r="L1409" s="77">
        <f>F1409*K1409</f>
        <v>0</v>
      </c>
      <c r="M1409" s="1252">
        <f t="shared" ref="M1409:M1430" si="173">H1409+J1409+L1409</f>
        <v>0</v>
      </c>
    </row>
    <row r="1410" spans="1:13">
      <c r="A1410" s="1394"/>
      <c r="B1410" s="1195"/>
      <c r="C1410" s="1204" t="s">
        <v>1494</v>
      </c>
      <c r="D1410" s="1142"/>
      <c r="E1410" s="282"/>
      <c r="F1410" s="282"/>
      <c r="G1410" s="77"/>
      <c r="H1410" s="77"/>
      <c r="I1410" s="77"/>
      <c r="J1410" s="77"/>
      <c r="K1410" s="77"/>
      <c r="L1410" s="77"/>
      <c r="M1410" s="1252">
        <f t="shared" si="173"/>
        <v>0</v>
      </c>
    </row>
    <row r="1411" spans="1:13">
      <c r="A1411" s="1394"/>
      <c r="B1411" s="1195"/>
      <c r="C1411" s="1204" t="s">
        <v>1748</v>
      </c>
      <c r="D1411" s="1142"/>
      <c r="E1411" s="282"/>
      <c r="F1411" s="282"/>
      <c r="G1411" s="77"/>
      <c r="H1411" s="77"/>
      <c r="I1411" s="77"/>
      <c r="J1411" s="77"/>
      <c r="K1411" s="77"/>
      <c r="L1411" s="77"/>
      <c r="M1411" s="1252">
        <f t="shared" si="173"/>
        <v>0</v>
      </c>
    </row>
    <row r="1412" spans="1:13">
      <c r="A1412" s="1394"/>
      <c r="B1412" s="1195"/>
      <c r="C1412" s="148" t="s">
        <v>1743</v>
      </c>
      <c r="D1412" s="1142" t="s">
        <v>7</v>
      </c>
      <c r="E1412" s="282"/>
      <c r="F1412" s="282">
        <f>E1391</f>
        <v>0.51414000000000004</v>
      </c>
      <c r="G1412" s="77"/>
      <c r="H1412" s="77">
        <f>F1412*G1412</f>
        <v>0</v>
      </c>
      <c r="I1412" s="77"/>
      <c r="J1412" s="77"/>
      <c r="K1412" s="77"/>
      <c r="L1412" s="77"/>
      <c r="M1412" s="1252">
        <f t="shared" si="173"/>
        <v>0</v>
      </c>
    </row>
    <row r="1413" spans="1:13">
      <c r="A1413" s="1394"/>
      <c r="B1413" s="1195"/>
      <c r="C1413" s="148" t="s">
        <v>1744</v>
      </c>
      <c r="D1413" s="1142" t="s">
        <v>7</v>
      </c>
      <c r="E1413" s="282"/>
      <c r="F1413" s="282">
        <f>E1380</f>
        <v>0.54742000000000002</v>
      </c>
      <c r="G1413" s="77"/>
      <c r="H1413" s="77">
        <f t="shared" ref="H1413:H1427" si="174">F1413*G1413</f>
        <v>0</v>
      </c>
      <c r="I1413" s="77"/>
      <c r="J1413" s="77"/>
      <c r="K1413" s="77"/>
      <c r="L1413" s="77"/>
      <c r="M1413" s="1252">
        <f t="shared" si="173"/>
        <v>0</v>
      </c>
    </row>
    <row r="1414" spans="1:13">
      <c r="A1414" s="1394"/>
      <c r="B1414" s="1195"/>
      <c r="C1414" s="148" t="s">
        <v>972</v>
      </c>
      <c r="D1414" s="1142" t="s">
        <v>7</v>
      </c>
      <c r="E1414" s="282"/>
      <c r="F1414" s="282">
        <f>E1382</f>
        <v>0.55766000000000004</v>
      </c>
      <c r="G1414" s="77"/>
      <c r="H1414" s="77">
        <f t="shared" si="174"/>
        <v>0</v>
      </c>
      <c r="I1414" s="77"/>
      <c r="J1414" s="77"/>
      <c r="K1414" s="77"/>
      <c r="L1414" s="77"/>
      <c r="M1414" s="1252">
        <f t="shared" si="173"/>
        <v>0</v>
      </c>
    </row>
    <row r="1415" spans="1:13" ht="31.5">
      <c r="A1415" s="1394"/>
      <c r="B1415" s="1195"/>
      <c r="C1415" s="148" t="s">
        <v>1745</v>
      </c>
      <c r="D1415" s="1142" t="s">
        <v>7</v>
      </c>
      <c r="E1415" s="282"/>
      <c r="F1415" s="282">
        <f>E1384</f>
        <v>8.4779999999999994E-2</v>
      </c>
      <c r="G1415" s="77"/>
      <c r="H1415" s="77">
        <f t="shared" si="174"/>
        <v>0</v>
      </c>
      <c r="I1415" s="77"/>
      <c r="J1415" s="77"/>
      <c r="K1415" s="77"/>
      <c r="L1415" s="77"/>
      <c r="M1415" s="1252">
        <f t="shared" si="173"/>
        <v>0</v>
      </c>
    </row>
    <row r="1416" spans="1:13" ht="31.5">
      <c r="A1416" s="1394"/>
      <c r="B1416" s="1195"/>
      <c r="C1416" s="148" t="s">
        <v>1746</v>
      </c>
      <c r="D1416" s="1142" t="s">
        <v>7</v>
      </c>
      <c r="E1416" s="282"/>
      <c r="F1416" s="282">
        <f>E1386</f>
        <v>1.1310000000000001E-2</v>
      </c>
      <c r="G1416" s="77"/>
      <c r="H1416" s="77">
        <f t="shared" si="174"/>
        <v>0</v>
      </c>
      <c r="I1416" s="77"/>
      <c r="J1416" s="77"/>
      <c r="K1416" s="77"/>
      <c r="L1416" s="77"/>
      <c r="M1416" s="1252">
        <f t="shared" si="173"/>
        <v>0</v>
      </c>
    </row>
    <row r="1417" spans="1:13">
      <c r="A1417" s="1394"/>
      <c r="B1417" s="1195"/>
      <c r="C1417" s="148" t="s">
        <v>1747</v>
      </c>
      <c r="D1417" s="1142" t="s">
        <v>7</v>
      </c>
      <c r="E1417" s="282"/>
      <c r="F1417" s="282">
        <f>E1388</f>
        <v>3.3599999999999998E-2</v>
      </c>
      <c r="G1417" s="77"/>
      <c r="H1417" s="77">
        <f t="shared" si="174"/>
        <v>0</v>
      </c>
      <c r="I1417" s="77"/>
      <c r="J1417" s="77"/>
      <c r="K1417" s="77"/>
      <c r="L1417" s="77"/>
      <c r="M1417" s="1252">
        <f t="shared" si="173"/>
        <v>0</v>
      </c>
    </row>
    <row r="1418" spans="1:13">
      <c r="A1418" s="1394"/>
      <c r="B1418" s="1195"/>
      <c r="C1418" s="1209" t="s">
        <v>1749</v>
      </c>
      <c r="D1418" s="1142"/>
      <c r="E1418" s="282"/>
      <c r="F1418" s="282"/>
      <c r="G1418" s="77"/>
      <c r="H1418" s="77">
        <f t="shared" si="174"/>
        <v>0</v>
      </c>
      <c r="I1418" s="77"/>
      <c r="J1418" s="77"/>
      <c r="K1418" s="77"/>
      <c r="L1418" s="77"/>
      <c r="M1418" s="1252">
        <f t="shared" si="173"/>
        <v>0</v>
      </c>
    </row>
    <row r="1419" spans="1:13">
      <c r="A1419" s="1394"/>
      <c r="B1419" s="1195"/>
      <c r="C1419" s="148" t="s">
        <v>1743</v>
      </c>
      <c r="D1419" s="1142" t="s">
        <v>7</v>
      </c>
      <c r="E1419" s="282"/>
      <c r="F1419" s="282">
        <f>E1391</f>
        <v>0.51414000000000004</v>
      </c>
      <c r="G1419" s="77"/>
      <c r="H1419" s="77">
        <f t="shared" si="174"/>
        <v>0</v>
      </c>
      <c r="I1419" s="77"/>
      <c r="J1419" s="77"/>
      <c r="K1419" s="77"/>
      <c r="L1419" s="77"/>
      <c r="M1419" s="1252">
        <f t="shared" si="173"/>
        <v>0</v>
      </c>
    </row>
    <row r="1420" spans="1:13">
      <c r="A1420" s="1394"/>
      <c r="B1420" s="1195"/>
      <c r="C1420" s="148" t="s">
        <v>1750</v>
      </c>
      <c r="D1420" s="1142" t="s">
        <v>7</v>
      </c>
      <c r="E1420" s="282"/>
      <c r="F1420" s="282">
        <f>E1393</f>
        <v>0.16319999999999998</v>
      </c>
      <c r="G1420" s="77"/>
      <c r="H1420" s="77">
        <f t="shared" si="174"/>
        <v>0</v>
      </c>
      <c r="I1420" s="77"/>
      <c r="J1420" s="77"/>
      <c r="K1420" s="77"/>
      <c r="L1420" s="77"/>
      <c r="M1420" s="1252">
        <f t="shared" si="173"/>
        <v>0</v>
      </c>
    </row>
    <row r="1421" spans="1:13">
      <c r="A1421" s="1394"/>
      <c r="B1421" s="1195"/>
      <c r="C1421" s="148" t="s">
        <v>972</v>
      </c>
      <c r="D1421" s="1142" t="s">
        <v>7</v>
      </c>
      <c r="E1421" s="282"/>
      <c r="F1421" s="282">
        <f>E1395</f>
        <v>0.40365000000000001</v>
      </c>
      <c r="G1421" s="77"/>
      <c r="H1421" s="77">
        <f t="shared" si="174"/>
        <v>0</v>
      </c>
      <c r="I1421" s="77"/>
      <c r="J1421" s="77"/>
      <c r="K1421" s="77"/>
      <c r="L1421" s="77"/>
      <c r="M1421" s="1252">
        <f t="shared" si="173"/>
        <v>0</v>
      </c>
    </row>
    <row r="1422" spans="1:13" ht="31.5">
      <c r="A1422" s="1394"/>
      <c r="B1422" s="1195"/>
      <c r="C1422" s="148" t="s">
        <v>1754</v>
      </c>
      <c r="D1422" s="1142" t="s">
        <v>7</v>
      </c>
      <c r="E1422" s="282"/>
      <c r="F1422" s="282">
        <f>E1397</f>
        <v>5.0869999999999999E-2</v>
      </c>
      <c r="G1422" s="77"/>
      <c r="H1422" s="77">
        <f t="shared" si="174"/>
        <v>0</v>
      </c>
      <c r="I1422" s="77"/>
      <c r="J1422" s="77"/>
      <c r="K1422" s="77"/>
      <c r="L1422" s="77"/>
      <c r="M1422" s="1252">
        <f t="shared" si="173"/>
        <v>0</v>
      </c>
    </row>
    <row r="1423" spans="1:13" ht="31.5">
      <c r="A1423" s="1394"/>
      <c r="B1423" s="1195"/>
      <c r="C1423" s="148" t="s">
        <v>1751</v>
      </c>
      <c r="D1423" s="1142" t="s">
        <v>7</v>
      </c>
      <c r="E1423" s="282"/>
      <c r="F1423" s="282">
        <f>E1399</f>
        <v>2.8219999999999999E-3</v>
      </c>
      <c r="G1423" s="77"/>
      <c r="H1423" s="77">
        <f t="shared" si="174"/>
        <v>0</v>
      </c>
      <c r="I1423" s="77"/>
      <c r="J1423" s="77"/>
      <c r="K1423" s="77"/>
      <c r="L1423" s="77"/>
      <c r="M1423" s="1252">
        <f t="shared" si="173"/>
        <v>0</v>
      </c>
    </row>
    <row r="1424" spans="1:13" ht="31.5">
      <c r="A1424" s="1394"/>
      <c r="B1424" s="1195"/>
      <c r="C1424" s="148" t="s">
        <v>1752</v>
      </c>
      <c r="D1424" s="1142" t="s">
        <v>7</v>
      </c>
      <c r="E1424" s="282"/>
      <c r="F1424" s="282">
        <f>E1401</f>
        <v>6.8100000000000001E-3</v>
      </c>
      <c r="G1424" s="77"/>
      <c r="H1424" s="77">
        <f t="shared" si="174"/>
        <v>0</v>
      </c>
      <c r="I1424" s="77"/>
      <c r="J1424" s="77"/>
      <c r="K1424" s="77"/>
      <c r="L1424" s="77"/>
      <c r="M1424" s="1252">
        <f t="shared" si="173"/>
        <v>0</v>
      </c>
    </row>
    <row r="1425" spans="1:13" ht="47.25">
      <c r="A1425" s="1394"/>
      <c r="B1425" s="1195"/>
      <c r="C1425" s="148" t="s">
        <v>1753</v>
      </c>
      <c r="D1425" s="1142" t="s">
        <v>7</v>
      </c>
      <c r="E1425" s="282"/>
      <c r="F1425" s="282">
        <f>E1403</f>
        <v>2.2360000000000001E-3</v>
      </c>
      <c r="G1425" s="77"/>
      <c r="H1425" s="77">
        <f t="shared" si="174"/>
        <v>0</v>
      </c>
      <c r="I1425" s="77"/>
      <c r="J1425" s="77"/>
      <c r="K1425" s="77"/>
      <c r="L1425" s="77"/>
      <c r="M1425" s="1252">
        <f t="shared" si="173"/>
        <v>0</v>
      </c>
    </row>
    <row r="1426" spans="1:13">
      <c r="A1426" s="1394"/>
      <c r="B1426" s="1195"/>
      <c r="C1426" s="148" t="s">
        <v>1747</v>
      </c>
      <c r="D1426" s="1142" t="s">
        <v>7</v>
      </c>
      <c r="E1426" s="282"/>
      <c r="F1426" s="282">
        <f>E1405</f>
        <v>1.6799999999999999E-2</v>
      </c>
      <c r="G1426" s="77"/>
      <c r="H1426" s="77">
        <f t="shared" si="174"/>
        <v>0</v>
      </c>
      <c r="I1426" s="77"/>
      <c r="J1426" s="77"/>
      <c r="K1426" s="77"/>
      <c r="L1426" s="77"/>
      <c r="M1426" s="1252">
        <f t="shared" si="173"/>
        <v>0</v>
      </c>
    </row>
    <row r="1427" spans="1:13">
      <c r="A1427" s="1394"/>
      <c r="B1427" s="1195"/>
      <c r="C1427" s="148" t="s">
        <v>70</v>
      </c>
      <c r="D1427" s="1142" t="s">
        <v>6</v>
      </c>
      <c r="E1427" s="282"/>
      <c r="F1427" s="282">
        <f>E1406*1000</f>
        <v>125</v>
      </c>
      <c r="G1427" s="77"/>
      <c r="H1427" s="77">
        <f t="shared" si="174"/>
        <v>0</v>
      </c>
      <c r="I1427" s="77"/>
      <c r="J1427" s="77"/>
      <c r="K1427" s="77"/>
      <c r="L1427" s="77"/>
      <c r="M1427" s="1252">
        <f t="shared" si="173"/>
        <v>0</v>
      </c>
    </row>
    <row r="1428" spans="1:13">
      <c r="A1428" s="1394"/>
      <c r="B1428" s="1195"/>
      <c r="C1428" s="148" t="s">
        <v>1755</v>
      </c>
      <c r="D1428" s="1142" t="s">
        <v>6</v>
      </c>
      <c r="E1428" s="282">
        <v>3.3</v>
      </c>
      <c r="F1428" s="282">
        <f>F1407*E1428</f>
        <v>19.538765399999999</v>
      </c>
      <c r="G1428" s="77"/>
      <c r="H1428" s="77">
        <f>F1428*G1428</f>
        <v>0</v>
      </c>
      <c r="I1428" s="77"/>
      <c r="J1428" s="77"/>
      <c r="K1428" s="77"/>
      <c r="L1428" s="77"/>
      <c r="M1428" s="1252">
        <f t="shared" si="173"/>
        <v>0</v>
      </c>
    </row>
    <row r="1429" spans="1:13" hidden="1">
      <c r="A1429" s="1394"/>
      <c r="B1429" s="1195"/>
      <c r="C1429" s="148" t="s">
        <v>70</v>
      </c>
      <c r="D1429" s="1142" t="s">
        <v>6</v>
      </c>
      <c r="E1429" s="282">
        <v>15.2</v>
      </c>
      <c r="F1429" s="282">
        <f>F1407*E1429</f>
        <v>89.996737599999989</v>
      </c>
      <c r="G1429" s="334"/>
      <c r="H1429" s="334"/>
      <c r="I1429" s="334"/>
      <c r="J1429" s="334"/>
      <c r="K1429" s="334"/>
      <c r="L1429" s="334"/>
      <c r="M1429" s="1266">
        <f t="shared" si="173"/>
        <v>0</v>
      </c>
    </row>
    <row r="1430" spans="1:13">
      <c r="A1430" s="1395"/>
      <c r="B1430" s="1195"/>
      <c r="C1430" s="148" t="s">
        <v>19</v>
      </c>
      <c r="D1430" s="1142" t="s">
        <v>11</v>
      </c>
      <c r="E1430" s="282">
        <v>2.78</v>
      </c>
      <c r="F1430" s="282">
        <f>F1407*E1430</f>
        <v>16.459929639999999</v>
      </c>
      <c r="G1430" s="77"/>
      <c r="H1430" s="77">
        <f>F1430*G1430</f>
        <v>0</v>
      </c>
      <c r="I1430" s="77"/>
      <c r="J1430" s="77"/>
      <c r="K1430" s="77"/>
      <c r="L1430" s="77"/>
      <c r="M1430" s="1252">
        <f t="shared" si="173"/>
        <v>0</v>
      </c>
    </row>
    <row r="1431" spans="1:13" ht="31.5">
      <c r="A1431" s="1401" t="s">
        <v>409</v>
      </c>
      <c r="B1431" s="42" t="s">
        <v>343</v>
      </c>
      <c r="C1431" s="287" t="s">
        <v>1108</v>
      </c>
      <c r="D1431" s="42" t="s">
        <v>5</v>
      </c>
      <c r="E1431" s="1235"/>
      <c r="F1431" s="20">
        <f>(0.1+0.1)*2*E1377+(0.04+0.03)*2*E1379+E1381+E1383+E1385+(0.1+0.1)*2*E1390+(0.03+0.03)*2*E1392+E1394+E1396+E1398+E1400+E1402</f>
        <v>255.90024000000005</v>
      </c>
      <c r="G1431" s="77"/>
      <c r="H1431" s="77"/>
      <c r="I1431" s="77"/>
      <c r="J1431" s="77"/>
      <c r="K1431" s="77"/>
      <c r="L1431" s="77"/>
      <c r="M1431" s="1252"/>
    </row>
    <row r="1432" spans="1:13">
      <c r="A1432" s="1401"/>
      <c r="B1432" s="677"/>
      <c r="C1432" s="678" t="s">
        <v>1802</v>
      </c>
      <c r="D1432" s="679" t="s">
        <v>5</v>
      </c>
      <c r="E1432" s="710">
        <v>1</v>
      </c>
      <c r="F1432" s="717">
        <f>F1431*E1432</f>
        <v>255.90024000000005</v>
      </c>
      <c r="G1432" s="87"/>
      <c r="H1432" s="87"/>
      <c r="I1432" s="87"/>
      <c r="J1432" s="87">
        <f>F1432*I1432</f>
        <v>0</v>
      </c>
      <c r="K1432" s="87"/>
      <c r="L1432" s="87"/>
      <c r="M1432" s="1260">
        <f>H1432+J1432+L1432</f>
        <v>0</v>
      </c>
    </row>
    <row r="1433" spans="1:13">
      <c r="A1433" s="1401"/>
      <c r="B1433" s="680"/>
      <c r="C1433" s="681" t="s">
        <v>14</v>
      </c>
      <c r="D1433" s="682" t="s">
        <v>11</v>
      </c>
      <c r="E1433" s="718">
        <f>0.03*0.01</f>
        <v>2.9999999999999997E-4</v>
      </c>
      <c r="F1433" s="718">
        <f>F1431*E1433</f>
        <v>7.6770072000000009E-2</v>
      </c>
      <c r="G1433" s="87"/>
      <c r="H1433" s="87"/>
      <c r="I1433" s="87"/>
      <c r="J1433" s="87"/>
      <c r="K1433" s="87"/>
      <c r="L1433" s="87">
        <f>F1433*K1433</f>
        <v>0</v>
      </c>
      <c r="M1433" s="1260">
        <f>H1433+J1433+L1433</f>
        <v>0</v>
      </c>
    </row>
    <row r="1434" spans="1:13">
      <c r="A1434" s="1401"/>
      <c r="B1434" s="680"/>
      <c r="C1434" s="681" t="s">
        <v>345</v>
      </c>
      <c r="D1434" s="1196" t="s">
        <v>6</v>
      </c>
      <c r="E1434" s="719">
        <v>0.35</v>
      </c>
      <c r="F1434" s="719">
        <f>E1434*F1431</f>
        <v>89.565084000000013</v>
      </c>
      <c r="G1434" s="87"/>
      <c r="H1434" s="87">
        <f>F1434*G1434</f>
        <v>0</v>
      </c>
      <c r="I1434" s="87"/>
      <c r="J1434" s="87"/>
      <c r="K1434" s="87"/>
      <c r="L1434" s="87"/>
      <c r="M1434" s="1260">
        <f>H1434+J1434+L1434</f>
        <v>0</v>
      </c>
    </row>
    <row r="1435" spans="1:13">
      <c r="A1435" s="1401"/>
      <c r="B1435" s="680"/>
      <c r="C1435" s="681" t="s">
        <v>1092</v>
      </c>
      <c r="D1435" s="1196" t="s">
        <v>6</v>
      </c>
      <c r="E1435" s="719">
        <v>2.7E-2</v>
      </c>
      <c r="F1435" s="719">
        <f>E1435*F1431</f>
        <v>6.9093064800000015</v>
      </c>
      <c r="G1435" s="87"/>
      <c r="H1435" s="87">
        <f>F1435*G1435</f>
        <v>0</v>
      </c>
      <c r="I1435" s="87"/>
      <c r="J1435" s="87"/>
      <c r="K1435" s="87"/>
      <c r="L1435" s="87"/>
      <c r="M1435" s="1260">
        <f>H1435+J1435+L1435</f>
        <v>0</v>
      </c>
    </row>
    <row r="1436" spans="1:13">
      <c r="A1436" s="1401"/>
      <c r="B1436" s="680"/>
      <c r="C1436" s="681" t="s">
        <v>26</v>
      </c>
      <c r="D1436" s="682" t="s">
        <v>11</v>
      </c>
      <c r="E1436" s="718">
        <v>1.9E-3</v>
      </c>
      <c r="F1436" s="718">
        <f>F1431*E1436</f>
        <v>0.48621045600000012</v>
      </c>
      <c r="G1436" s="87"/>
      <c r="H1436" s="87">
        <f>F1436*G1436</f>
        <v>0</v>
      </c>
      <c r="I1436" s="87"/>
      <c r="J1436" s="87"/>
      <c r="K1436" s="87"/>
      <c r="L1436" s="87"/>
      <c r="M1436" s="1260">
        <f>H1436+J1436+L1436</f>
        <v>0</v>
      </c>
    </row>
    <row r="1437" spans="1:13" ht="31.5">
      <c r="A1437" s="1446" t="s">
        <v>432</v>
      </c>
      <c r="B1437" s="43" t="s">
        <v>262</v>
      </c>
      <c r="C1437" s="287" t="s">
        <v>1756</v>
      </c>
      <c r="D1437" s="42" t="s">
        <v>88</v>
      </c>
      <c r="E1437" s="282"/>
      <c r="F1437" s="20">
        <f>(16.7+17.7+12+23.7)/100</f>
        <v>0.70099999999999996</v>
      </c>
      <c r="G1437" s="77"/>
      <c r="H1437" s="77"/>
      <c r="I1437" s="77"/>
      <c r="J1437" s="77"/>
      <c r="K1437" s="77"/>
      <c r="L1437" s="77"/>
      <c r="M1437" s="1252"/>
    </row>
    <row r="1438" spans="1:13">
      <c r="A1438" s="1446"/>
      <c r="B1438" s="1195"/>
      <c r="C1438" s="148" t="s">
        <v>1803</v>
      </c>
      <c r="D1438" s="1142" t="s">
        <v>15</v>
      </c>
      <c r="E1438" s="282">
        <v>42.9</v>
      </c>
      <c r="F1438" s="282">
        <f>F1437*E1438</f>
        <v>30.072899999999997</v>
      </c>
      <c r="G1438" s="77"/>
      <c r="H1438" s="77"/>
      <c r="I1438" s="77"/>
      <c r="J1438" s="77">
        <f>F1438*I1438</f>
        <v>0</v>
      </c>
      <c r="K1438" s="77"/>
      <c r="L1438" s="77"/>
      <c r="M1438" s="1252">
        <f t="shared" ref="M1438:M1444" si="175">H1438+J1438+L1438</f>
        <v>0</v>
      </c>
    </row>
    <row r="1439" spans="1:13">
      <c r="A1439" s="1446"/>
      <c r="B1439" s="1195"/>
      <c r="C1439" s="154" t="s">
        <v>21</v>
      </c>
      <c r="D1439" s="1195" t="s">
        <v>16</v>
      </c>
      <c r="E1439" s="282">
        <v>2.64</v>
      </c>
      <c r="F1439" s="282">
        <f>F1437*E1439</f>
        <v>1.8506400000000001</v>
      </c>
      <c r="G1439" s="77"/>
      <c r="H1439" s="77"/>
      <c r="I1439" s="77"/>
      <c r="J1439" s="77"/>
      <c r="K1439" s="77"/>
      <c r="L1439" s="77">
        <f>F1439*K1439</f>
        <v>0</v>
      </c>
      <c r="M1439" s="1252">
        <f t="shared" si="175"/>
        <v>0</v>
      </c>
    </row>
    <row r="1440" spans="1:13">
      <c r="A1440" s="1446"/>
      <c r="B1440" s="1195"/>
      <c r="C1440" s="165" t="s">
        <v>1757</v>
      </c>
      <c r="D1440" s="1195" t="s">
        <v>5</v>
      </c>
      <c r="E1440" s="282">
        <v>130</v>
      </c>
      <c r="F1440" s="282">
        <f>F1437*E1440</f>
        <v>91.13</v>
      </c>
      <c r="G1440" s="77"/>
      <c r="H1440" s="77">
        <f t="shared" ref="H1440:H1444" si="176">F1440*G1440</f>
        <v>0</v>
      </c>
      <c r="I1440" s="77"/>
      <c r="J1440" s="77"/>
      <c r="K1440" s="77"/>
      <c r="L1440" s="77"/>
      <c r="M1440" s="1252">
        <f t="shared" si="175"/>
        <v>0</v>
      </c>
    </row>
    <row r="1441" spans="1:13">
      <c r="A1441" s="1446"/>
      <c r="B1441" s="1195"/>
      <c r="C1441" s="165" t="s">
        <v>263</v>
      </c>
      <c r="D1441" s="1195" t="s">
        <v>2</v>
      </c>
      <c r="E1441" s="282">
        <v>600</v>
      </c>
      <c r="F1441" s="282">
        <f>F1437*E1441</f>
        <v>420.59999999999997</v>
      </c>
      <c r="G1441" s="77"/>
      <c r="H1441" s="77">
        <f t="shared" si="176"/>
        <v>0</v>
      </c>
      <c r="I1441" s="77"/>
      <c r="J1441" s="77"/>
      <c r="K1441" s="77"/>
      <c r="L1441" s="77"/>
      <c r="M1441" s="1252">
        <f t="shared" si="175"/>
        <v>0</v>
      </c>
    </row>
    <row r="1442" spans="1:13">
      <c r="A1442" s="1446"/>
      <c r="B1442" s="1195"/>
      <c r="C1442" s="165" t="s">
        <v>112</v>
      </c>
      <c r="D1442" s="1195" t="s">
        <v>6</v>
      </c>
      <c r="E1442" s="282">
        <v>7.9</v>
      </c>
      <c r="F1442" s="282">
        <f>F1437*E1442</f>
        <v>5.5378999999999996</v>
      </c>
      <c r="G1442" s="77"/>
      <c r="H1442" s="77">
        <f t="shared" si="176"/>
        <v>0</v>
      </c>
      <c r="I1442" s="77"/>
      <c r="J1442" s="77"/>
      <c r="K1442" s="77"/>
      <c r="L1442" s="77"/>
      <c r="M1442" s="1252">
        <f t="shared" si="175"/>
        <v>0</v>
      </c>
    </row>
    <row r="1443" spans="1:13">
      <c r="A1443" s="1446"/>
      <c r="B1443" s="1195"/>
      <c r="C1443" s="165" t="s">
        <v>273</v>
      </c>
      <c r="D1443" s="1195" t="s">
        <v>7</v>
      </c>
      <c r="E1443" s="282">
        <v>0.02</v>
      </c>
      <c r="F1443" s="282">
        <f>F1437*E1443</f>
        <v>1.4019999999999999E-2</v>
      </c>
      <c r="G1443" s="77"/>
      <c r="H1443" s="77">
        <f t="shared" si="176"/>
        <v>0</v>
      </c>
      <c r="I1443" s="77"/>
      <c r="J1443" s="77"/>
      <c r="K1443" s="77"/>
      <c r="L1443" s="77"/>
      <c r="M1443" s="1252">
        <f t="shared" si="175"/>
        <v>0</v>
      </c>
    </row>
    <row r="1444" spans="1:13">
      <c r="A1444" s="1446"/>
      <c r="B1444" s="1195"/>
      <c r="C1444" s="148" t="s">
        <v>26</v>
      </c>
      <c r="D1444" s="1142" t="s">
        <v>11</v>
      </c>
      <c r="E1444" s="282">
        <v>6.36</v>
      </c>
      <c r="F1444" s="282">
        <f>F1437*E1444</f>
        <v>4.4583599999999999</v>
      </c>
      <c r="G1444" s="77"/>
      <c r="H1444" s="77">
        <f t="shared" si="176"/>
        <v>0</v>
      </c>
      <c r="I1444" s="77"/>
      <c r="J1444" s="77"/>
      <c r="K1444" s="77"/>
      <c r="L1444" s="77"/>
      <c r="M1444" s="1252">
        <f t="shared" si="175"/>
        <v>0</v>
      </c>
    </row>
    <row r="1445" spans="1:13" ht="40.5">
      <c r="A1445" s="1393" t="s">
        <v>39</v>
      </c>
      <c r="B1445" s="42" t="s">
        <v>1882</v>
      </c>
      <c r="C1445" s="287" t="s">
        <v>1760</v>
      </c>
      <c r="D1445" s="43" t="s">
        <v>5</v>
      </c>
      <c r="E1445" s="56">
        <f>1.55+0.829</f>
        <v>2.379</v>
      </c>
      <c r="F1445" s="20">
        <f>(2.1+0.8)*2*3*2+(1.8+2.1)*2*3*1</f>
        <v>58.2</v>
      </c>
      <c r="G1445" s="77"/>
      <c r="H1445" s="77"/>
      <c r="I1445" s="77"/>
      <c r="J1445" s="77"/>
      <c r="K1445" s="77"/>
      <c r="L1445" s="77"/>
      <c r="M1445" s="1252"/>
    </row>
    <row r="1446" spans="1:13">
      <c r="A1446" s="1394"/>
      <c r="B1446" s="42"/>
      <c r="C1446" s="157" t="s">
        <v>1883</v>
      </c>
      <c r="D1446" s="203" t="s">
        <v>5</v>
      </c>
      <c r="E1446" s="125">
        <v>1</v>
      </c>
      <c r="F1446" s="45">
        <f>E1446*F1445</f>
        <v>58.2</v>
      </c>
      <c r="G1446" s="77"/>
      <c r="H1446" s="77"/>
      <c r="I1446" s="77"/>
      <c r="J1446" s="77">
        <f>F1446*I1446</f>
        <v>0</v>
      </c>
      <c r="K1446" s="77"/>
      <c r="L1446" s="77"/>
      <c r="M1446" s="1252">
        <f t="shared" ref="M1446:M1451" si="177">H1446+J1446+L1446</f>
        <v>0</v>
      </c>
    </row>
    <row r="1447" spans="1:13">
      <c r="A1447" s="1394"/>
      <c r="B1447" s="42"/>
      <c r="C1447" s="150" t="s">
        <v>21</v>
      </c>
      <c r="D1447" s="203" t="s">
        <v>11</v>
      </c>
      <c r="E1447" s="125">
        <f>(2.44+0.39)*0.01</f>
        <v>2.8300000000000002E-2</v>
      </c>
      <c r="F1447" s="45">
        <f>E1447*F1445</f>
        <v>1.6470600000000002</v>
      </c>
      <c r="G1447" s="77"/>
      <c r="H1447" s="77"/>
      <c r="I1447" s="77"/>
      <c r="J1447" s="77"/>
      <c r="K1447" s="77"/>
      <c r="L1447" s="77">
        <f>F1447*K1447</f>
        <v>0</v>
      </c>
      <c r="M1447" s="1252">
        <f t="shared" si="177"/>
        <v>0</v>
      </c>
    </row>
    <row r="1448" spans="1:13">
      <c r="A1448" s="1394"/>
      <c r="B1448" s="42"/>
      <c r="C1448" s="157" t="s">
        <v>110</v>
      </c>
      <c r="D1448" s="203" t="s">
        <v>111</v>
      </c>
      <c r="E1448" s="125">
        <v>6.6</v>
      </c>
      <c r="F1448" s="45">
        <f>E1448*F1445</f>
        <v>384.12</v>
      </c>
      <c r="G1448" s="77"/>
      <c r="H1448" s="77">
        <f>F1448*G1448</f>
        <v>0</v>
      </c>
      <c r="I1448" s="77"/>
      <c r="J1448" s="77"/>
      <c r="K1448" s="77"/>
      <c r="L1448" s="77"/>
      <c r="M1448" s="1252">
        <f t="shared" si="177"/>
        <v>0</v>
      </c>
    </row>
    <row r="1449" spans="1:13">
      <c r="A1449" s="1394"/>
      <c r="B1449" s="42"/>
      <c r="C1449" s="157" t="s">
        <v>112</v>
      </c>
      <c r="D1449" s="203" t="s">
        <v>113</v>
      </c>
      <c r="E1449" s="125">
        <v>0.06</v>
      </c>
      <c r="F1449" s="45">
        <f>E1449*F1445</f>
        <v>3.492</v>
      </c>
      <c r="G1449" s="77"/>
      <c r="H1449" s="77">
        <f>F1449*G1449</f>
        <v>0</v>
      </c>
      <c r="I1449" s="77"/>
      <c r="J1449" s="77"/>
      <c r="K1449" s="77"/>
      <c r="L1449" s="77"/>
      <c r="M1449" s="1252">
        <f t="shared" si="177"/>
        <v>0</v>
      </c>
    </row>
    <row r="1450" spans="1:13">
      <c r="A1450" s="1394"/>
      <c r="B1450" s="42"/>
      <c r="C1450" s="157" t="s">
        <v>1087</v>
      </c>
      <c r="D1450" s="203" t="s">
        <v>234</v>
      </c>
      <c r="E1450" s="125">
        <v>1.05</v>
      </c>
      <c r="F1450" s="45">
        <f>E1450*F1445</f>
        <v>61.110000000000007</v>
      </c>
      <c r="G1450" s="77"/>
      <c r="H1450" s="77">
        <f>F1450*G1450</f>
        <v>0</v>
      </c>
      <c r="I1450" s="77"/>
      <c r="J1450" s="77"/>
      <c r="K1450" s="77"/>
      <c r="L1450" s="77"/>
      <c r="M1450" s="1252">
        <f t="shared" si="177"/>
        <v>0</v>
      </c>
    </row>
    <row r="1451" spans="1:13">
      <c r="A1451" s="1395"/>
      <c r="B1451" s="42"/>
      <c r="C1451" s="157" t="s">
        <v>115</v>
      </c>
      <c r="D1451" s="203" t="s">
        <v>11</v>
      </c>
      <c r="E1451" s="125">
        <f>(12.8+1.6)*0.01</f>
        <v>0.14400000000000002</v>
      </c>
      <c r="F1451" s="45">
        <f>E1451*F1445</f>
        <v>8.3808000000000007</v>
      </c>
      <c r="G1451" s="77"/>
      <c r="H1451" s="77">
        <f>F1451*G1451</f>
        <v>0</v>
      </c>
      <c r="I1451" s="77"/>
      <c r="J1451" s="77"/>
      <c r="K1451" s="77"/>
      <c r="L1451" s="77"/>
      <c r="M1451" s="1252">
        <f t="shared" si="177"/>
        <v>0</v>
      </c>
    </row>
    <row r="1452" spans="1:13" ht="40.5">
      <c r="A1452" s="1393" t="s">
        <v>64</v>
      </c>
      <c r="B1452" s="42" t="s">
        <v>1554</v>
      </c>
      <c r="C1452" s="287" t="s">
        <v>1086</v>
      </c>
      <c r="D1452" s="43" t="s">
        <v>5</v>
      </c>
      <c r="E1452" s="56"/>
      <c r="F1452" s="108">
        <f>2.1*1.8+2.1*0.8*2</f>
        <v>7.1400000000000006</v>
      </c>
      <c r="G1452" s="77"/>
      <c r="H1452" s="77"/>
      <c r="I1452" s="77"/>
      <c r="J1452" s="77"/>
      <c r="K1452" s="77"/>
      <c r="L1452" s="77"/>
      <c r="M1452" s="1252"/>
    </row>
    <row r="1453" spans="1:13">
      <c r="A1453" s="1394"/>
      <c r="B1453" s="42"/>
      <c r="C1453" s="157" t="s">
        <v>1877</v>
      </c>
      <c r="D1453" s="203" t="s">
        <v>5</v>
      </c>
      <c r="E1453" s="125">
        <f>(261+98.5)*0.01</f>
        <v>3.5950000000000002</v>
      </c>
      <c r="F1453" s="45">
        <f>E1453*F1452</f>
        <v>25.668300000000002</v>
      </c>
      <c r="G1453" s="77"/>
      <c r="H1453" s="77"/>
      <c r="I1453" s="77"/>
      <c r="J1453" s="77">
        <f>F1453*I1453</f>
        <v>0</v>
      </c>
      <c r="K1453" s="77"/>
      <c r="L1453" s="77"/>
      <c r="M1453" s="1252">
        <f t="shared" ref="M1453:M1458" si="178">H1453+J1453+L1453</f>
        <v>0</v>
      </c>
    </row>
    <row r="1454" spans="1:13">
      <c r="A1454" s="1394"/>
      <c r="B1454" s="42"/>
      <c r="C1454" s="150" t="s">
        <v>21</v>
      </c>
      <c r="D1454" s="203" t="s">
        <v>11</v>
      </c>
      <c r="E1454" s="125">
        <f>(3.5+0.39)*0.01</f>
        <v>3.8900000000000004E-2</v>
      </c>
      <c r="F1454" s="45">
        <f>E1454*F1452</f>
        <v>0.27774600000000005</v>
      </c>
      <c r="G1454" s="77"/>
      <c r="H1454" s="77"/>
      <c r="I1454" s="77"/>
      <c r="J1454" s="77"/>
      <c r="K1454" s="77"/>
      <c r="L1454" s="77">
        <f>F1454*K1454</f>
        <v>0</v>
      </c>
      <c r="M1454" s="1252">
        <f t="shared" si="178"/>
        <v>0</v>
      </c>
    </row>
    <row r="1455" spans="1:13">
      <c r="A1455" s="1394"/>
      <c r="B1455" s="42"/>
      <c r="C1455" s="157" t="s">
        <v>110</v>
      </c>
      <c r="D1455" s="203" t="s">
        <v>111</v>
      </c>
      <c r="E1455" s="125">
        <v>6.6</v>
      </c>
      <c r="F1455" s="45">
        <f>E1455*F1452</f>
        <v>47.124000000000002</v>
      </c>
      <c r="G1455" s="77"/>
      <c r="H1455" s="77">
        <f>F1455*G1455</f>
        <v>0</v>
      </c>
      <c r="I1455" s="77"/>
      <c r="J1455" s="77"/>
      <c r="K1455" s="77"/>
      <c r="L1455" s="77"/>
      <c r="M1455" s="1252">
        <f t="shared" si="178"/>
        <v>0</v>
      </c>
    </row>
    <row r="1456" spans="1:13">
      <c r="A1456" s="1394"/>
      <c r="B1456" s="42"/>
      <c r="C1456" s="157" t="s">
        <v>112</v>
      </c>
      <c r="D1456" s="203" t="s">
        <v>113</v>
      </c>
      <c r="E1456" s="125">
        <v>0.06</v>
      </c>
      <c r="F1456" s="45">
        <f>E1456*F1452</f>
        <v>0.4284</v>
      </c>
      <c r="G1456" s="77"/>
      <c r="H1456" s="77">
        <f>F1456*G1456</f>
        <v>0</v>
      </c>
      <c r="I1456" s="77"/>
      <c r="J1456" s="77"/>
      <c r="K1456" s="77"/>
      <c r="L1456" s="77"/>
      <c r="M1456" s="1252">
        <f t="shared" si="178"/>
        <v>0</v>
      </c>
    </row>
    <row r="1457" spans="1:13">
      <c r="A1457" s="1394"/>
      <c r="B1457" s="42"/>
      <c r="C1457" s="157" t="s">
        <v>1087</v>
      </c>
      <c r="D1457" s="203" t="s">
        <v>234</v>
      </c>
      <c r="E1457" s="125">
        <v>1.05</v>
      </c>
      <c r="F1457" s="45">
        <f>E1457*F1452</f>
        <v>7.4970000000000008</v>
      </c>
      <c r="G1457" s="77"/>
      <c r="H1457" s="77">
        <f>F1457*G1457</f>
        <v>0</v>
      </c>
      <c r="I1457" s="77"/>
      <c r="J1457" s="77"/>
      <c r="K1457" s="77"/>
      <c r="L1457" s="77"/>
      <c r="M1457" s="1252">
        <f t="shared" si="178"/>
        <v>0</v>
      </c>
    </row>
    <row r="1458" spans="1:13">
      <c r="A1458" s="1395"/>
      <c r="B1458" s="42"/>
      <c r="C1458" s="157" t="s">
        <v>115</v>
      </c>
      <c r="D1458" s="203" t="s">
        <v>11</v>
      </c>
      <c r="E1458" s="125">
        <f>(38.9+1.6)*0.01</f>
        <v>0.40500000000000003</v>
      </c>
      <c r="F1458" s="45">
        <f>E1458*F1452</f>
        <v>2.8917000000000006</v>
      </c>
      <c r="G1458" s="77"/>
      <c r="H1458" s="77">
        <f>F1458*G1458</f>
        <v>0</v>
      </c>
      <c r="I1458" s="77"/>
      <c r="J1458" s="77"/>
      <c r="K1458" s="77"/>
      <c r="L1458" s="77"/>
      <c r="M1458" s="1252">
        <f t="shared" si="178"/>
        <v>0</v>
      </c>
    </row>
    <row r="1459" spans="1:13" ht="31.5">
      <c r="A1459" s="1393" t="s">
        <v>433</v>
      </c>
      <c r="B1459" s="1198" t="s">
        <v>41</v>
      </c>
      <c r="C1459" s="287" t="s">
        <v>1085</v>
      </c>
      <c r="D1459" s="43" t="s">
        <v>5</v>
      </c>
      <c r="E1459" s="282"/>
      <c r="F1459" s="20">
        <f>F1452</f>
        <v>7.1400000000000006</v>
      </c>
      <c r="G1459" s="77"/>
      <c r="H1459" s="77"/>
      <c r="I1459" s="77"/>
      <c r="J1459" s="77"/>
      <c r="K1459" s="77"/>
      <c r="L1459" s="77"/>
      <c r="M1459" s="1252"/>
    </row>
    <row r="1460" spans="1:13">
      <c r="A1460" s="1394"/>
      <c r="B1460" s="1229"/>
      <c r="C1460" s="165" t="s">
        <v>1833</v>
      </c>
      <c r="D1460" s="1229" t="s">
        <v>5</v>
      </c>
      <c r="E1460" s="282">
        <v>1</v>
      </c>
      <c r="F1460" s="282">
        <f>F1459*E1460</f>
        <v>7.1400000000000006</v>
      </c>
      <c r="G1460" s="77"/>
      <c r="H1460" s="77"/>
      <c r="I1460" s="77"/>
      <c r="J1460" s="77">
        <f>F1460*I1460</f>
        <v>0</v>
      </c>
      <c r="K1460" s="77"/>
      <c r="L1460" s="77"/>
      <c r="M1460" s="1252">
        <f t="shared" ref="M1460:M1465" si="179">H1460+J1460+L1460</f>
        <v>0</v>
      </c>
    </row>
    <row r="1461" spans="1:13">
      <c r="A1461" s="1394"/>
      <c r="B1461" s="1229"/>
      <c r="C1461" s="165" t="s">
        <v>14</v>
      </c>
      <c r="D1461" s="1229" t="s">
        <v>16</v>
      </c>
      <c r="E1461" s="282">
        <v>1.2E-2</v>
      </c>
      <c r="F1461" s="282">
        <f>F1459*E1461</f>
        <v>8.5680000000000006E-2</v>
      </c>
      <c r="G1461" s="77"/>
      <c r="H1461" s="77"/>
      <c r="I1461" s="77"/>
      <c r="J1461" s="77"/>
      <c r="K1461" s="77"/>
      <c r="L1461" s="77">
        <f>F1461*K1461</f>
        <v>0</v>
      </c>
      <c r="M1461" s="1252">
        <f t="shared" si="179"/>
        <v>0</v>
      </c>
    </row>
    <row r="1462" spans="1:13">
      <c r="A1462" s="1394"/>
      <c r="B1462" s="1229"/>
      <c r="C1462" s="165" t="s">
        <v>146</v>
      </c>
      <c r="D1462" s="1229" t="s">
        <v>6</v>
      </c>
      <c r="E1462" s="282">
        <v>0.37</v>
      </c>
      <c r="F1462" s="282">
        <f>F1459*E1462</f>
        <v>2.6418000000000004</v>
      </c>
      <c r="G1462" s="77"/>
      <c r="H1462" s="77">
        <f>F1462*G1462</f>
        <v>0</v>
      </c>
      <c r="I1462" s="77"/>
      <c r="J1462" s="77"/>
      <c r="K1462" s="77"/>
      <c r="L1462" s="77"/>
      <c r="M1462" s="1252">
        <f t="shared" si="179"/>
        <v>0</v>
      </c>
    </row>
    <row r="1463" spans="1:13">
      <c r="A1463" s="1394"/>
      <c r="B1463" s="1229"/>
      <c r="C1463" s="165" t="s">
        <v>8</v>
      </c>
      <c r="D1463" s="1229" t="s">
        <v>5</v>
      </c>
      <c r="E1463" s="282">
        <v>0.05</v>
      </c>
      <c r="F1463" s="282">
        <f>F1459*E1463</f>
        <v>0.35700000000000004</v>
      </c>
      <c r="G1463" s="77"/>
      <c r="H1463" s="77">
        <f>F1463*G1463</f>
        <v>0</v>
      </c>
      <c r="I1463" s="77"/>
      <c r="J1463" s="77"/>
      <c r="K1463" s="77"/>
      <c r="L1463" s="77"/>
      <c r="M1463" s="1252">
        <f t="shared" si="179"/>
        <v>0</v>
      </c>
    </row>
    <row r="1464" spans="1:13">
      <c r="A1464" s="1394"/>
      <c r="B1464" s="1142"/>
      <c r="C1464" s="148" t="s">
        <v>31</v>
      </c>
      <c r="D1464" s="1142" t="s">
        <v>6</v>
      </c>
      <c r="E1464" s="1235">
        <v>0.63</v>
      </c>
      <c r="F1464" s="282">
        <f>F1459*E1464</f>
        <v>4.4982000000000006</v>
      </c>
      <c r="G1464" s="77"/>
      <c r="H1464" s="77">
        <f>F1464*G1464</f>
        <v>0</v>
      </c>
      <c r="I1464" s="77"/>
      <c r="J1464" s="77"/>
      <c r="K1464" s="77"/>
      <c r="L1464" s="77"/>
      <c r="M1464" s="1252">
        <f t="shared" si="179"/>
        <v>0</v>
      </c>
    </row>
    <row r="1465" spans="1:13">
      <c r="A1465" s="1395"/>
      <c r="B1465" s="1229"/>
      <c r="C1465" s="165" t="s">
        <v>26</v>
      </c>
      <c r="D1465" s="1229" t="s">
        <v>11</v>
      </c>
      <c r="E1465" s="282">
        <v>1.6E-2</v>
      </c>
      <c r="F1465" s="282">
        <f>F1459*E1465</f>
        <v>0.11424000000000001</v>
      </c>
      <c r="G1465" s="77"/>
      <c r="H1465" s="77">
        <f>F1465*G1465</f>
        <v>0</v>
      </c>
      <c r="I1465" s="77"/>
      <c r="J1465" s="77"/>
      <c r="K1465" s="77"/>
      <c r="L1465" s="77"/>
      <c r="M1465" s="1252">
        <f t="shared" si="179"/>
        <v>0</v>
      </c>
    </row>
    <row r="1466" spans="1:13" ht="31.5">
      <c r="A1466" s="1393" t="s">
        <v>434</v>
      </c>
      <c r="B1466" s="42" t="s">
        <v>32</v>
      </c>
      <c r="C1466" s="287" t="s">
        <v>1764</v>
      </c>
      <c r="D1466" s="42" t="s">
        <v>5</v>
      </c>
      <c r="E1466" s="1235"/>
      <c r="F1466" s="20">
        <f>F1445</f>
        <v>58.2</v>
      </c>
      <c r="G1466" s="77"/>
      <c r="H1466" s="77"/>
      <c r="I1466" s="77"/>
      <c r="J1466" s="77"/>
      <c r="K1466" s="77"/>
      <c r="L1466" s="77"/>
      <c r="M1466" s="1252"/>
    </row>
    <row r="1467" spans="1:13">
      <c r="A1467" s="1394"/>
      <c r="B1467" s="1142"/>
      <c r="C1467" s="148" t="s">
        <v>1834</v>
      </c>
      <c r="D1467" s="1142" t="s">
        <v>5</v>
      </c>
      <c r="E1467" s="282">
        <v>1</v>
      </c>
      <c r="F1467" s="282">
        <f>F1466*E1467</f>
        <v>58.2</v>
      </c>
      <c r="G1467" s="77"/>
      <c r="H1467" s="77"/>
      <c r="I1467" s="77"/>
      <c r="J1467" s="77">
        <f>F1467*I1467</f>
        <v>0</v>
      </c>
      <c r="K1467" s="77"/>
      <c r="L1467" s="77"/>
      <c r="M1467" s="1252">
        <f t="shared" ref="M1467:M1470" si="180">H1467+J1467+L1467</f>
        <v>0</v>
      </c>
    </row>
    <row r="1468" spans="1:13">
      <c r="A1468" s="1394"/>
      <c r="B1468" s="1142"/>
      <c r="C1468" s="165" t="s">
        <v>14</v>
      </c>
      <c r="D1468" s="1229" t="s">
        <v>16</v>
      </c>
      <c r="E1468" s="282">
        <v>0.01</v>
      </c>
      <c r="F1468" s="282">
        <f>F1466*E1468</f>
        <v>0.58200000000000007</v>
      </c>
      <c r="G1468" s="77"/>
      <c r="H1468" s="77"/>
      <c r="I1468" s="77"/>
      <c r="J1468" s="77"/>
      <c r="K1468" s="77"/>
      <c r="L1468" s="77">
        <f>F1468*K1468</f>
        <v>0</v>
      </c>
      <c r="M1468" s="1252">
        <f t="shared" si="180"/>
        <v>0</v>
      </c>
    </row>
    <row r="1469" spans="1:13">
      <c r="A1469" s="1394"/>
      <c r="B1469" s="1142"/>
      <c r="C1469" s="148" t="s">
        <v>33</v>
      </c>
      <c r="D1469" s="1142" t="s">
        <v>6</v>
      </c>
      <c r="E1469" s="1235">
        <v>0.79</v>
      </c>
      <c r="F1469" s="282">
        <f>F1466*E1469</f>
        <v>45.978000000000002</v>
      </c>
      <c r="G1469" s="77"/>
      <c r="H1469" s="77">
        <f>F1469*G1469</f>
        <v>0</v>
      </c>
      <c r="I1469" s="77"/>
      <c r="J1469" s="77"/>
      <c r="K1469" s="77"/>
      <c r="L1469" s="77"/>
      <c r="M1469" s="1252">
        <f t="shared" si="180"/>
        <v>0</v>
      </c>
    </row>
    <row r="1470" spans="1:13">
      <c r="A1470" s="1394"/>
      <c r="B1470" s="1142"/>
      <c r="C1470" s="148" t="s">
        <v>8</v>
      </c>
      <c r="D1470" s="1142" t="s">
        <v>5</v>
      </c>
      <c r="E1470" s="1235">
        <v>0.05</v>
      </c>
      <c r="F1470" s="282">
        <f>F1466*E1470</f>
        <v>2.91</v>
      </c>
      <c r="G1470" s="77"/>
      <c r="H1470" s="77">
        <f>F1470*G1470</f>
        <v>0</v>
      </c>
      <c r="I1470" s="77"/>
      <c r="J1470" s="77"/>
      <c r="K1470" s="77"/>
      <c r="L1470" s="77"/>
      <c r="M1470" s="1252">
        <f t="shared" si="180"/>
        <v>0</v>
      </c>
    </row>
    <row r="1471" spans="1:13" hidden="1">
      <c r="A1471" s="1394"/>
      <c r="B1471" s="1142"/>
      <c r="C1471" s="148" t="s">
        <v>103</v>
      </c>
      <c r="D1471" s="1142" t="s">
        <v>5</v>
      </c>
      <c r="E1471" s="1235">
        <v>1.1499999999999999</v>
      </c>
      <c r="F1471" s="282">
        <f>F1466*E1471</f>
        <v>66.929999999999993</v>
      </c>
      <c r="G1471" s="77"/>
      <c r="H1471" s="334"/>
      <c r="I1471" s="334"/>
      <c r="J1471" s="334"/>
      <c r="K1471" s="334"/>
      <c r="L1471" s="334"/>
      <c r="M1471" s="1266"/>
    </row>
    <row r="1472" spans="1:13">
      <c r="A1472" s="1394"/>
      <c r="B1472" s="1142"/>
      <c r="C1472" s="148" t="s">
        <v>31</v>
      </c>
      <c r="D1472" s="1142" t="s">
        <v>6</v>
      </c>
      <c r="E1472" s="1235">
        <v>0.63</v>
      </c>
      <c r="F1472" s="282">
        <f>F1466*E1472</f>
        <v>36.666000000000004</v>
      </c>
      <c r="G1472" s="77"/>
      <c r="H1472" s="77">
        <f>F1472*G1472</f>
        <v>0</v>
      </c>
      <c r="I1472" s="77"/>
      <c r="J1472" s="77"/>
      <c r="K1472" s="77"/>
      <c r="L1472" s="77"/>
      <c r="M1472" s="1252">
        <f t="shared" ref="M1472:M1473" si="181">H1472+J1472+L1472</f>
        <v>0</v>
      </c>
    </row>
    <row r="1473" spans="1:13">
      <c r="A1473" s="1395"/>
      <c r="B1473" s="1142"/>
      <c r="C1473" s="165" t="s">
        <v>26</v>
      </c>
      <c r="D1473" s="1229" t="s">
        <v>11</v>
      </c>
      <c r="E1473" s="282">
        <v>1.6E-2</v>
      </c>
      <c r="F1473" s="282">
        <f>F1466*E1473</f>
        <v>0.93120000000000003</v>
      </c>
      <c r="G1473" s="77"/>
      <c r="H1473" s="77">
        <f>F1473*G1473</f>
        <v>0</v>
      </c>
      <c r="I1473" s="77"/>
      <c r="J1473" s="77"/>
      <c r="K1473" s="77"/>
      <c r="L1473" s="77"/>
      <c r="M1473" s="1252">
        <f t="shared" si="181"/>
        <v>0</v>
      </c>
    </row>
    <row r="1474" spans="1:13" ht="40.5">
      <c r="A1474" s="1393" t="s">
        <v>69</v>
      </c>
      <c r="B1474" s="40" t="s">
        <v>298</v>
      </c>
      <c r="C1474" s="275" t="s">
        <v>1765</v>
      </c>
      <c r="D1474" s="40" t="s">
        <v>1</v>
      </c>
      <c r="E1474" s="58"/>
      <c r="F1474" s="109">
        <f>16.4+8.2</f>
        <v>24.599999999999998</v>
      </c>
      <c r="G1474" s="77"/>
      <c r="H1474" s="77"/>
      <c r="I1474" s="77"/>
      <c r="J1474" s="77"/>
      <c r="K1474" s="77"/>
      <c r="L1474" s="77"/>
      <c r="M1474" s="1252"/>
    </row>
    <row r="1475" spans="1:13">
      <c r="A1475" s="1394"/>
      <c r="B1475" s="24"/>
      <c r="C1475" s="162" t="s">
        <v>1836</v>
      </c>
      <c r="D1475" s="69" t="s">
        <v>1</v>
      </c>
      <c r="E1475" s="84">
        <v>1</v>
      </c>
      <c r="F1475" s="337">
        <f>F1474*E1475</f>
        <v>24.599999999999998</v>
      </c>
      <c r="G1475" s="77"/>
      <c r="H1475" s="77"/>
      <c r="I1475" s="77"/>
      <c r="J1475" s="77">
        <f>F1475*I1475</f>
        <v>0</v>
      </c>
      <c r="K1475" s="77"/>
      <c r="L1475" s="77"/>
      <c r="M1475" s="1252">
        <f t="shared" ref="M1475:M1478" si="182">H1475+J1475+L1475</f>
        <v>0</v>
      </c>
    </row>
    <row r="1476" spans="1:13">
      <c r="A1476" s="1394"/>
      <c r="B1476" s="46"/>
      <c r="C1476" s="160" t="s">
        <v>14</v>
      </c>
      <c r="D1476" s="46" t="s">
        <v>11</v>
      </c>
      <c r="E1476" s="84">
        <f>2.8*0.01</f>
        <v>2.7999999999999997E-2</v>
      </c>
      <c r="F1476" s="205">
        <f>F1474*E1476</f>
        <v>0.68879999999999986</v>
      </c>
      <c r="G1476" s="77"/>
      <c r="H1476" s="77"/>
      <c r="I1476" s="77"/>
      <c r="J1476" s="77"/>
      <c r="K1476" s="77"/>
      <c r="L1476" s="77">
        <f>F1476*K1476</f>
        <v>0</v>
      </c>
      <c r="M1476" s="1252">
        <f t="shared" si="182"/>
        <v>0</v>
      </c>
    </row>
    <row r="1477" spans="1:13">
      <c r="A1477" s="1394"/>
      <c r="B1477" s="46"/>
      <c r="C1477" s="160" t="s">
        <v>299</v>
      </c>
      <c r="D1477" s="24" t="str">
        <f>D1474</f>
        <v>g/m</v>
      </c>
      <c r="E1477" s="58">
        <v>1</v>
      </c>
      <c r="F1477" s="282">
        <f>E1477*F1474</f>
        <v>24.599999999999998</v>
      </c>
      <c r="G1477" s="77"/>
      <c r="H1477" s="77">
        <f>F1477*G1477</f>
        <v>0</v>
      </c>
      <c r="I1477" s="77"/>
      <c r="J1477" s="77"/>
      <c r="K1477" s="77"/>
      <c r="L1477" s="77"/>
      <c r="M1477" s="1252">
        <f t="shared" si="182"/>
        <v>0</v>
      </c>
    </row>
    <row r="1478" spans="1:13">
      <c r="A1478" s="1395"/>
      <c r="B1478" s="46"/>
      <c r="C1478" s="160" t="s">
        <v>296</v>
      </c>
      <c r="D1478" s="46" t="s">
        <v>250</v>
      </c>
      <c r="E1478" s="84">
        <f>0.15*0.01</f>
        <v>1.5E-3</v>
      </c>
      <c r="F1478" s="205">
        <f>F1474*E1478</f>
        <v>3.6899999999999995E-2</v>
      </c>
      <c r="G1478" s="77"/>
      <c r="H1478" s="77">
        <f>F1478*G1478</f>
        <v>0</v>
      </c>
      <c r="I1478" s="77"/>
      <c r="J1478" s="77"/>
      <c r="K1478" s="77"/>
      <c r="L1478" s="77"/>
      <c r="M1478" s="1252">
        <f t="shared" si="182"/>
        <v>0</v>
      </c>
    </row>
    <row r="1479" spans="1:13" ht="31.5">
      <c r="A1479" s="1415" t="s">
        <v>118</v>
      </c>
      <c r="B1479" s="40" t="s">
        <v>343</v>
      </c>
      <c r="C1479" s="275" t="s">
        <v>344</v>
      </c>
      <c r="D1479" s="40" t="s">
        <v>279</v>
      </c>
      <c r="E1479" s="58"/>
      <c r="F1479" s="20">
        <f>F1474*0.9</f>
        <v>22.139999999999997</v>
      </c>
      <c r="G1479" s="341"/>
      <c r="H1479" s="77"/>
      <c r="I1479" s="77"/>
      <c r="J1479" s="77"/>
      <c r="K1479" s="77"/>
      <c r="L1479" s="77"/>
      <c r="M1479" s="1252"/>
    </row>
    <row r="1480" spans="1:13">
      <c r="A1480" s="1416"/>
      <c r="B1480" s="677"/>
      <c r="C1480" s="678" t="s">
        <v>1802</v>
      </c>
      <c r="D1480" s="679" t="s">
        <v>15</v>
      </c>
      <c r="E1480" s="710">
        <f>68*0.01</f>
        <v>0.68</v>
      </c>
      <c r="F1480" s="717">
        <f>F1479*E1480</f>
        <v>15.055199999999999</v>
      </c>
      <c r="G1480" s="87"/>
      <c r="H1480" s="87"/>
      <c r="I1480" s="87"/>
      <c r="J1480" s="87">
        <f>F1480*I1480</f>
        <v>0</v>
      </c>
      <c r="K1480" s="87"/>
      <c r="L1480" s="87"/>
      <c r="M1480" s="1260">
        <f>H1480+J1480+L1480</f>
        <v>0</v>
      </c>
    </row>
    <row r="1481" spans="1:13">
      <c r="A1481" s="1416"/>
      <c r="B1481" s="680"/>
      <c r="C1481" s="681" t="s">
        <v>14</v>
      </c>
      <c r="D1481" s="682" t="s">
        <v>11</v>
      </c>
      <c r="E1481" s="718">
        <f>0.03*0.01</f>
        <v>2.9999999999999997E-4</v>
      </c>
      <c r="F1481" s="718">
        <f>F1479*E1481</f>
        <v>6.6419999999999986E-3</v>
      </c>
      <c r="G1481" s="87"/>
      <c r="H1481" s="87"/>
      <c r="I1481" s="87"/>
      <c r="J1481" s="87"/>
      <c r="K1481" s="87"/>
      <c r="L1481" s="87">
        <f>F1481*K1481</f>
        <v>0</v>
      </c>
      <c r="M1481" s="1260">
        <f>H1481+J1481+L1481</f>
        <v>0</v>
      </c>
    </row>
    <row r="1482" spans="1:13">
      <c r="A1482" s="1416"/>
      <c r="B1482" s="680"/>
      <c r="C1482" s="681" t="s">
        <v>345</v>
      </c>
      <c r="D1482" s="1196" t="s">
        <v>113</v>
      </c>
      <c r="E1482" s="719">
        <v>0.35</v>
      </c>
      <c r="F1482" s="719">
        <f>E1482*F1479</f>
        <v>7.7489999999999988</v>
      </c>
      <c r="G1482" s="87"/>
      <c r="H1482" s="87">
        <f>F1482*G1482</f>
        <v>0</v>
      </c>
      <c r="I1482" s="87"/>
      <c r="J1482" s="87"/>
      <c r="K1482" s="87"/>
      <c r="L1482" s="87"/>
      <c r="M1482" s="1260">
        <f>H1482+J1482+L1482</f>
        <v>0</v>
      </c>
    </row>
    <row r="1483" spans="1:13">
      <c r="A1483" s="1416"/>
      <c r="B1483" s="680"/>
      <c r="C1483" s="681" t="s">
        <v>1092</v>
      </c>
      <c r="D1483" s="1196" t="s">
        <v>113</v>
      </c>
      <c r="E1483" s="719">
        <v>2.7E-2</v>
      </c>
      <c r="F1483" s="719">
        <f>E1483*F1479</f>
        <v>0.59777999999999987</v>
      </c>
      <c r="G1483" s="87"/>
      <c r="H1483" s="87">
        <f>F1483*G1483</f>
        <v>0</v>
      </c>
      <c r="I1483" s="87"/>
      <c r="J1483" s="87"/>
      <c r="K1483" s="87"/>
      <c r="L1483" s="87"/>
      <c r="M1483" s="1260">
        <f>H1483+J1483+L1483</f>
        <v>0</v>
      </c>
    </row>
    <row r="1484" spans="1:13">
      <c r="A1484" s="1417"/>
      <c r="B1484" s="680"/>
      <c r="C1484" s="681" t="s">
        <v>26</v>
      </c>
      <c r="D1484" s="682" t="s">
        <v>11</v>
      </c>
      <c r="E1484" s="718">
        <v>1.9E-3</v>
      </c>
      <c r="F1484" s="718">
        <f>F1479*E1484</f>
        <v>4.2065999999999992E-2</v>
      </c>
      <c r="G1484" s="87"/>
      <c r="H1484" s="87">
        <f>F1484*G1484</f>
        <v>0</v>
      </c>
      <c r="I1484" s="87"/>
      <c r="J1484" s="87"/>
      <c r="K1484" s="87"/>
      <c r="L1484" s="87"/>
      <c r="M1484" s="1260">
        <f>H1484+J1484+L1484</f>
        <v>0</v>
      </c>
    </row>
    <row r="1485" spans="1:13">
      <c r="A1485" s="1193"/>
      <c r="B1485" s="75"/>
      <c r="C1485" s="157"/>
      <c r="D1485" s="203"/>
      <c r="E1485" s="45"/>
      <c r="F1485" s="45"/>
      <c r="G1485" s="77"/>
      <c r="H1485" s="77"/>
      <c r="I1485" s="77"/>
      <c r="J1485" s="77"/>
      <c r="K1485" s="77"/>
      <c r="L1485" s="77"/>
      <c r="M1485" s="1252"/>
    </row>
    <row r="1486" spans="1:13" ht="28.5" customHeight="1">
      <c r="A1486" s="1157"/>
      <c r="B1486" s="1153"/>
      <c r="C1486" s="1151" t="s">
        <v>1593</v>
      </c>
      <c r="D1486" s="1153"/>
      <c r="E1486" s="1148"/>
      <c r="F1486" s="1148"/>
      <c r="G1486" s="77"/>
      <c r="H1486" s="77"/>
      <c r="I1486" s="77"/>
      <c r="J1486" s="77"/>
      <c r="K1486" s="77"/>
      <c r="L1486" s="77"/>
      <c r="M1486" s="1252"/>
    </row>
    <row r="1487" spans="1:13">
      <c r="A1487" s="1134"/>
      <c r="B1487" s="75"/>
      <c r="C1487" s="1158" t="s">
        <v>1594</v>
      </c>
      <c r="D1487" s="203"/>
      <c r="E1487" s="45"/>
      <c r="F1487" s="45"/>
      <c r="G1487" s="77"/>
      <c r="H1487" s="77"/>
      <c r="I1487" s="77"/>
      <c r="J1487" s="77"/>
      <c r="K1487" s="77"/>
      <c r="L1487" s="77"/>
      <c r="M1487" s="1252"/>
    </row>
    <row r="1488" spans="1:13" ht="47.25">
      <c r="A1488" s="1132" t="s">
        <v>429</v>
      </c>
      <c r="B1488" s="42" t="s">
        <v>34</v>
      </c>
      <c r="C1488" s="288" t="s">
        <v>1529</v>
      </c>
      <c r="D1488" s="1111" t="s">
        <v>1</v>
      </c>
      <c r="E1488" s="1112"/>
      <c r="F1488" s="108">
        <v>120</v>
      </c>
      <c r="G1488" s="146"/>
      <c r="H1488" s="77"/>
      <c r="I1488" s="146"/>
      <c r="J1488" s="77">
        <f t="shared" ref="J1488:J1489" si="183">F1488*I1488</f>
        <v>0</v>
      </c>
      <c r="K1488" s="77"/>
      <c r="L1488" s="77">
        <f>F1488*K1488</f>
        <v>0</v>
      </c>
      <c r="M1488" s="1252">
        <f t="shared" ref="M1488:M1489" si="184">H1488+J1488+L1488</f>
        <v>0</v>
      </c>
    </row>
    <row r="1489" spans="1:15" ht="63">
      <c r="A1489" s="1131" t="s">
        <v>430</v>
      </c>
      <c r="B1489" s="42" t="s">
        <v>34</v>
      </c>
      <c r="C1489" s="288" t="s">
        <v>1610</v>
      </c>
      <c r="D1489" s="1111" t="s">
        <v>2</v>
      </c>
      <c r="E1489" s="746"/>
      <c r="F1489" s="108">
        <v>1122</v>
      </c>
      <c r="G1489" s="146"/>
      <c r="H1489" s="77"/>
      <c r="I1489" s="146"/>
      <c r="J1489" s="77">
        <f t="shared" si="183"/>
        <v>0</v>
      </c>
      <c r="K1489" s="77"/>
      <c r="L1489" s="77">
        <f>F1489*K1489</f>
        <v>0</v>
      </c>
      <c r="M1489" s="1252">
        <f t="shared" si="184"/>
        <v>0</v>
      </c>
    </row>
    <row r="1490" spans="1:15" ht="31.5">
      <c r="A1490" s="1447" t="s">
        <v>83</v>
      </c>
      <c r="B1490" s="42" t="s">
        <v>1527</v>
      </c>
      <c r="C1490" s="288" t="s">
        <v>1526</v>
      </c>
      <c r="D1490" s="1111" t="s">
        <v>5</v>
      </c>
      <c r="E1490" s="746"/>
      <c r="F1490" s="108">
        <v>1015</v>
      </c>
      <c r="G1490" s="146"/>
      <c r="H1490" s="77"/>
      <c r="I1490" s="146"/>
      <c r="J1490" s="77"/>
      <c r="K1490" s="77"/>
      <c r="L1490" s="448"/>
      <c r="M1490" s="1251"/>
    </row>
    <row r="1491" spans="1:15">
      <c r="A1491" s="1448"/>
      <c r="B1491" s="42"/>
      <c r="C1491" s="165" t="s">
        <v>1884</v>
      </c>
      <c r="D1491" s="1136" t="s">
        <v>5</v>
      </c>
      <c r="E1491" s="17">
        <v>0.13200000000000001</v>
      </c>
      <c r="F1491" s="17">
        <f>F1490*E1491</f>
        <v>133.98000000000002</v>
      </c>
      <c r="G1491" s="77"/>
      <c r="H1491" s="77"/>
      <c r="I1491" s="77"/>
      <c r="J1491" s="77">
        <f>F1491*I1491</f>
        <v>0</v>
      </c>
      <c r="K1491" s="77"/>
      <c r="L1491" s="77"/>
      <c r="M1491" s="1252">
        <f>H1491+J1491+L1491</f>
        <v>0</v>
      </c>
    </row>
    <row r="1492" spans="1:15">
      <c r="A1492" s="1449"/>
      <c r="B1492" s="42"/>
      <c r="C1492" s="165" t="s">
        <v>14</v>
      </c>
      <c r="D1492" s="1136" t="s">
        <v>1511</v>
      </c>
      <c r="E1492" s="17">
        <v>1.9E-2</v>
      </c>
      <c r="F1492" s="17">
        <f>F1490*E1492</f>
        <v>19.285</v>
      </c>
      <c r="G1492" s="77"/>
      <c r="H1492" s="77"/>
      <c r="I1492" s="77"/>
      <c r="J1492" s="77"/>
      <c r="K1492" s="77"/>
      <c r="L1492" s="77">
        <f>F1492*K1492</f>
        <v>0</v>
      </c>
      <c r="M1492" s="1252">
        <f t="shared" ref="M1492" si="185">H1492+J1492+L1492</f>
        <v>0</v>
      </c>
    </row>
    <row r="1493" spans="1:15" ht="47.25">
      <c r="A1493" s="1450" t="s">
        <v>431</v>
      </c>
      <c r="B1493" s="39" t="s">
        <v>104</v>
      </c>
      <c r="C1493" s="287" t="s">
        <v>1532</v>
      </c>
      <c r="D1493" s="42" t="s">
        <v>7</v>
      </c>
      <c r="E1493" s="1235"/>
      <c r="F1493" s="20">
        <f>F1488*1*0.1+F1490*0.01+20</f>
        <v>42.15</v>
      </c>
      <c r="G1493" s="77"/>
      <c r="H1493" s="77"/>
      <c r="I1493" s="77"/>
      <c r="J1493" s="77"/>
      <c r="K1493" s="77"/>
      <c r="L1493" s="77"/>
      <c r="M1493" s="1252"/>
    </row>
    <row r="1494" spans="1:15">
      <c r="A1494" s="1450"/>
      <c r="B1494" s="1142"/>
      <c r="C1494" s="150" t="s">
        <v>20</v>
      </c>
      <c r="D1494" s="64" t="s">
        <v>15</v>
      </c>
      <c r="E1494" s="277">
        <v>1.85</v>
      </c>
      <c r="F1494" s="78">
        <f>F1493*E1494</f>
        <v>77.977500000000006</v>
      </c>
      <c r="G1494" s="146"/>
      <c r="H1494" s="77"/>
      <c r="I1494" s="146"/>
      <c r="J1494" s="77">
        <f>F1494*I1494</f>
        <v>0</v>
      </c>
      <c r="K1494" s="77"/>
      <c r="L1494" s="77"/>
      <c r="M1494" s="1252">
        <f>H1494+J1494+L1494</f>
        <v>0</v>
      </c>
    </row>
    <row r="1495" spans="1:15" ht="31.5">
      <c r="A1495" s="1450" t="s">
        <v>38</v>
      </c>
      <c r="B1495" s="34"/>
      <c r="C1495" s="288" t="s">
        <v>106</v>
      </c>
      <c r="D1495" s="42" t="s">
        <v>7</v>
      </c>
      <c r="E1495" s="277"/>
      <c r="F1495" s="109">
        <f>F1488*1*0.002*7.85+F1490*0.01*2+20*0.7</f>
        <v>36.183999999999997</v>
      </c>
      <c r="G1495" s="146"/>
      <c r="H1495" s="77"/>
      <c r="I1495" s="146"/>
      <c r="J1495" s="77"/>
      <c r="K1495" s="146"/>
      <c r="L1495" s="77"/>
      <c r="M1495" s="1252"/>
    </row>
    <row r="1496" spans="1:15">
      <c r="A1496" s="1450"/>
      <c r="B1496" s="34"/>
      <c r="C1496" s="150" t="s">
        <v>28</v>
      </c>
      <c r="D1496" s="64" t="s">
        <v>15</v>
      </c>
      <c r="E1496" s="277">
        <v>0.53</v>
      </c>
      <c r="F1496" s="78">
        <f>F1495*E1496</f>
        <v>19.177520000000001</v>
      </c>
      <c r="G1496" s="146"/>
      <c r="H1496" s="77"/>
      <c r="I1496" s="146"/>
      <c r="J1496" s="77">
        <f>F1496*I1496</f>
        <v>0</v>
      </c>
      <c r="K1496" s="146"/>
      <c r="L1496" s="77"/>
      <c r="M1496" s="1252">
        <f>H1496+J1496+L1496</f>
        <v>0</v>
      </c>
    </row>
    <row r="1497" spans="1:15">
      <c r="A1497" s="1133" t="s">
        <v>409</v>
      </c>
      <c r="B1497" s="1142"/>
      <c r="C1497" s="151" t="s">
        <v>1533</v>
      </c>
      <c r="D1497" s="42" t="s">
        <v>7</v>
      </c>
      <c r="E1497" s="277"/>
      <c r="F1497" s="109">
        <f>F1495</f>
        <v>36.183999999999997</v>
      </c>
      <c r="G1497" s="146"/>
      <c r="H1497" s="77"/>
      <c r="I1497" s="146"/>
      <c r="J1497" s="77"/>
      <c r="K1497" s="146"/>
      <c r="L1497" s="77">
        <f>F1497*K1497</f>
        <v>0</v>
      </c>
      <c r="M1497" s="1252">
        <f>H1497+J1497+L1497</f>
        <v>0</v>
      </c>
    </row>
    <row r="1498" spans="1:15">
      <c r="A1498" s="1134"/>
      <c r="B1498" s="75"/>
      <c r="C1498" s="1158" t="s">
        <v>1604</v>
      </c>
      <c r="D1498" s="203"/>
      <c r="E1498" s="45"/>
      <c r="F1498" s="45"/>
      <c r="G1498" s="77"/>
      <c r="H1498" s="77"/>
      <c r="I1498" s="77"/>
      <c r="J1498" s="77"/>
      <c r="K1498" s="77"/>
      <c r="L1498" s="77"/>
      <c r="M1498" s="1252"/>
    </row>
    <row r="1499" spans="1:15" s="643" customFormat="1" ht="47.25">
      <c r="A1499" s="1387" t="s">
        <v>429</v>
      </c>
      <c r="B1499" s="1190" t="s">
        <v>439</v>
      </c>
      <c r="C1499" s="156" t="s">
        <v>1682</v>
      </c>
      <c r="D1499" s="75" t="s">
        <v>318</v>
      </c>
      <c r="E1499" s="83"/>
      <c r="F1499" s="83">
        <v>1</v>
      </c>
      <c r="G1499" s="81"/>
      <c r="H1499" s="77"/>
      <c r="I1499" s="81"/>
      <c r="J1499" s="77"/>
      <c r="K1499" s="81"/>
      <c r="L1499" s="77"/>
      <c r="M1499" s="1252"/>
      <c r="N1499" s="1255"/>
      <c r="O1499" s="1256"/>
    </row>
    <row r="1500" spans="1:15" s="643" customFormat="1">
      <c r="A1500" s="1388"/>
      <c r="B1500" s="1190"/>
      <c r="C1500" s="157" t="s">
        <v>1793</v>
      </c>
      <c r="D1500" s="203" t="s">
        <v>4</v>
      </c>
      <c r="E1500" s="45">
        <v>1</v>
      </c>
      <c r="F1500" s="45">
        <f>E1500*F1499</f>
        <v>1</v>
      </c>
      <c r="G1500" s="81"/>
      <c r="H1500" s="77"/>
      <c r="I1500" s="637"/>
      <c r="J1500" s="77">
        <f>F1500*I1500</f>
        <v>0</v>
      </c>
      <c r="K1500" s="81"/>
      <c r="L1500" s="77"/>
      <c r="M1500" s="1252">
        <f t="shared" ref="M1500:M1508" si="186">H1500+J1500+L1500</f>
        <v>0</v>
      </c>
      <c r="N1500" s="1255"/>
      <c r="O1500" s="1256"/>
    </row>
    <row r="1501" spans="1:15" s="643" customFormat="1">
      <c r="A1501" s="1388"/>
      <c r="B1501" s="1190"/>
      <c r="C1501" s="160" t="s">
        <v>14</v>
      </c>
      <c r="D1501" s="203" t="s">
        <v>11</v>
      </c>
      <c r="E1501" s="45">
        <v>1.32</v>
      </c>
      <c r="F1501" s="45">
        <f>E1501*F1499</f>
        <v>1.32</v>
      </c>
      <c r="G1501" s="81"/>
      <c r="H1501" s="77"/>
      <c r="I1501" s="81"/>
      <c r="J1501" s="77"/>
      <c r="K1501" s="81"/>
      <c r="L1501" s="77">
        <f>F1501*K1501</f>
        <v>0</v>
      </c>
      <c r="M1501" s="1252">
        <f t="shared" si="186"/>
        <v>0</v>
      </c>
      <c r="N1501" s="1255"/>
      <c r="O1501" s="1256"/>
    </row>
    <row r="1502" spans="1:15" s="643" customFormat="1">
      <c r="A1502" s="1388"/>
      <c r="B1502" s="203"/>
      <c r="C1502" s="157" t="s">
        <v>91</v>
      </c>
      <c r="D1502" s="203" t="s">
        <v>319</v>
      </c>
      <c r="E1502" s="45">
        <f>101.5*0.01</f>
        <v>1.0150000000000001</v>
      </c>
      <c r="F1502" s="45">
        <f>E1502*F1499</f>
        <v>1.0150000000000001</v>
      </c>
      <c r="G1502" s="81"/>
      <c r="H1502" s="77">
        <f t="shared" ref="H1502:H1508" si="187">F1502*G1502</f>
        <v>0</v>
      </c>
      <c r="I1502" s="81"/>
      <c r="J1502" s="77"/>
      <c r="K1502" s="81"/>
      <c r="L1502" s="77"/>
      <c r="M1502" s="1252">
        <f t="shared" si="186"/>
        <v>0</v>
      </c>
      <c r="N1502" s="1255"/>
      <c r="O1502" s="1256"/>
    </row>
    <row r="1503" spans="1:15" s="643" customFormat="1">
      <c r="A1503" s="1388"/>
      <c r="B1503" s="203"/>
      <c r="C1503" s="157" t="s">
        <v>464</v>
      </c>
      <c r="D1503" s="203" t="s">
        <v>234</v>
      </c>
      <c r="E1503" s="45">
        <f>229*0.01</f>
        <v>2.29</v>
      </c>
      <c r="F1503" s="45">
        <f>E1503*F1499</f>
        <v>2.29</v>
      </c>
      <c r="G1503" s="81"/>
      <c r="H1503" s="77">
        <f t="shared" si="187"/>
        <v>0</v>
      </c>
      <c r="I1503" s="81"/>
      <c r="J1503" s="77"/>
      <c r="K1503" s="81"/>
      <c r="L1503" s="77"/>
      <c r="M1503" s="1252">
        <f t="shared" si="186"/>
        <v>0</v>
      </c>
      <c r="N1503" s="1255"/>
      <c r="O1503" s="1256"/>
    </row>
    <row r="1504" spans="1:15" s="643" customFormat="1">
      <c r="A1504" s="1388"/>
      <c r="B1504" s="203"/>
      <c r="C1504" s="157" t="s">
        <v>222</v>
      </c>
      <c r="D1504" s="203" t="s">
        <v>319</v>
      </c>
      <c r="E1504" s="45">
        <f>(1.4+4.29+0.34)*0.01</f>
        <v>6.0299999999999992E-2</v>
      </c>
      <c r="F1504" s="45">
        <f>F1499*E1504</f>
        <v>6.0299999999999992E-2</v>
      </c>
      <c r="G1504" s="81"/>
      <c r="H1504" s="77">
        <f t="shared" si="187"/>
        <v>0</v>
      </c>
      <c r="I1504" s="81"/>
      <c r="J1504" s="77"/>
      <c r="K1504" s="81"/>
      <c r="L1504" s="77"/>
      <c r="M1504" s="1252">
        <f t="shared" si="186"/>
        <v>0</v>
      </c>
      <c r="N1504" s="1255"/>
      <c r="O1504" s="1256"/>
    </row>
    <row r="1505" spans="1:15" s="643" customFormat="1">
      <c r="A1505" s="1388"/>
      <c r="B1505" s="203"/>
      <c r="C1505" s="157" t="s">
        <v>70</v>
      </c>
      <c r="D1505" s="204" t="s">
        <v>6</v>
      </c>
      <c r="E1505" s="85">
        <v>2.5</v>
      </c>
      <c r="F1505" s="85">
        <f>E1505*F1499</f>
        <v>2.5</v>
      </c>
      <c r="G1505" s="86"/>
      <c r="H1505" s="77">
        <f t="shared" si="187"/>
        <v>0</v>
      </c>
      <c r="I1505" s="86"/>
      <c r="J1505" s="77"/>
      <c r="K1505" s="86"/>
      <c r="L1505" s="77"/>
      <c r="M1505" s="1252">
        <f t="shared" si="186"/>
        <v>0</v>
      </c>
      <c r="N1505" s="1255"/>
      <c r="O1505" s="1256"/>
    </row>
    <row r="1506" spans="1:15" s="643" customFormat="1">
      <c r="A1506" s="1388"/>
      <c r="B1506" s="203"/>
      <c r="C1506" s="157" t="s">
        <v>26</v>
      </c>
      <c r="D1506" s="204" t="s">
        <v>11</v>
      </c>
      <c r="E1506" s="85">
        <v>1.2</v>
      </c>
      <c r="F1506" s="85">
        <f>E1506*F1499</f>
        <v>1.2</v>
      </c>
      <c r="G1506" s="86"/>
      <c r="H1506" s="77">
        <f t="shared" si="187"/>
        <v>0</v>
      </c>
      <c r="I1506" s="86"/>
      <c r="J1506" s="77"/>
      <c r="K1506" s="86"/>
      <c r="L1506" s="77"/>
      <c r="M1506" s="1252">
        <f t="shared" si="186"/>
        <v>0</v>
      </c>
      <c r="N1506" s="1255"/>
      <c r="O1506" s="1256"/>
    </row>
    <row r="1507" spans="1:15" s="643" customFormat="1" hidden="1">
      <c r="A1507" s="1388"/>
      <c r="B1507" s="203"/>
      <c r="C1507" s="159" t="s">
        <v>426</v>
      </c>
      <c r="D1507" s="203" t="s">
        <v>218</v>
      </c>
      <c r="E1507" s="45"/>
      <c r="F1507" s="82">
        <f>0</f>
        <v>0</v>
      </c>
      <c r="G1507" s="80">
        <v>2458</v>
      </c>
      <c r="H1507" s="77">
        <f t="shared" si="187"/>
        <v>0</v>
      </c>
      <c r="I1507" s="81"/>
      <c r="J1507" s="77"/>
      <c r="K1507" s="81"/>
      <c r="L1507" s="77"/>
      <c r="M1507" s="1252">
        <f t="shared" si="186"/>
        <v>0</v>
      </c>
      <c r="N1507" s="1255"/>
      <c r="O1507" s="1256"/>
    </row>
    <row r="1508" spans="1:15" s="643" customFormat="1" hidden="1">
      <c r="A1508" s="1388"/>
      <c r="B1508" s="203"/>
      <c r="C1508" s="159" t="s">
        <v>427</v>
      </c>
      <c r="D1508" s="203" t="s">
        <v>218</v>
      </c>
      <c r="E1508" s="45"/>
      <c r="F1508" s="82">
        <f>0</f>
        <v>0</v>
      </c>
      <c r="G1508" s="341">
        <v>2560</v>
      </c>
      <c r="H1508" s="77">
        <f t="shared" si="187"/>
        <v>0</v>
      </c>
      <c r="I1508" s="81"/>
      <c r="J1508" s="77"/>
      <c r="K1508" s="81"/>
      <c r="L1508" s="77"/>
      <c r="M1508" s="1252">
        <f t="shared" si="186"/>
        <v>0</v>
      </c>
      <c r="N1508" s="1255"/>
      <c r="O1508" s="1256"/>
    </row>
    <row r="1509" spans="1:15" s="643" customFormat="1" ht="47.25">
      <c r="A1509" s="1389" t="s">
        <v>430</v>
      </c>
      <c r="B1509" s="1190" t="s">
        <v>439</v>
      </c>
      <c r="C1509" s="156" t="s">
        <v>1683</v>
      </c>
      <c r="D1509" s="75" t="s">
        <v>318</v>
      </c>
      <c r="E1509" s="83"/>
      <c r="F1509" s="83">
        <v>6.71</v>
      </c>
      <c r="G1509" s="81"/>
      <c r="H1509" s="77"/>
      <c r="I1509" s="81"/>
      <c r="J1509" s="77"/>
      <c r="K1509" s="81"/>
      <c r="L1509" s="77"/>
      <c r="M1509" s="1252"/>
      <c r="N1509" s="1255"/>
      <c r="O1509" s="1256"/>
    </row>
    <row r="1510" spans="1:15" s="643" customFormat="1">
      <c r="A1510" s="1389"/>
      <c r="B1510" s="1190"/>
      <c r="C1510" s="157" t="s">
        <v>1793</v>
      </c>
      <c r="D1510" s="203" t="s">
        <v>4</v>
      </c>
      <c r="E1510" s="45">
        <v>1</v>
      </c>
      <c r="F1510" s="45">
        <f>E1510*F1509</f>
        <v>6.71</v>
      </c>
      <c r="G1510" s="81"/>
      <c r="H1510" s="77"/>
      <c r="I1510" s="637"/>
      <c r="J1510" s="77">
        <f>F1510*I1510</f>
        <v>0</v>
      </c>
      <c r="K1510" s="81"/>
      <c r="L1510" s="77"/>
      <c r="M1510" s="1252">
        <f t="shared" ref="M1510:M1518" si="188">H1510+J1510+L1510</f>
        <v>0</v>
      </c>
      <c r="N1510" s="1255"/>
      <c r="O1510" s="1256"/>
    </row>
    <row r="1511" spans="1:15" s="643" customFormat="1">
      <c r="A1511" s="1389"/>
      <c r="B1511" s="1190"/>
      <c r="C1511" s="160" t="s">
        <v>14</v>
      </c>
      <c r="D1511" s="203" t="s">
        <v>11</v>
      </c>
      <c r="E1511" s="45">
        <v>1.32</v>
      </c>
      <c r="F1511" s="45">
        <f>E1511*F1509</f>
        <v>8.8572000000000006</v>
      </c>
      <c r="G1511" s="81"/>
      <c r="H1511" s="77"/>
      <c r="I1511" s="81"/>
      <c r="J1511" s="77"/>
      <c r="K1511" s="81"/>
      <c r="L1511" s="77">
        <f>F1511*K1511</f>
        <v>0</v>
      </c>
      <c r="M1511" s="1252">
        <f t="shared" si="188"/>
        <v>0</v>
      </c>
      <c r="N1511" s="1255"/>
      <c r="O1511" s="1256"/>
    </row>
    <row r="1512" spans="1:15" s="643" customFormat="1">
      <c r="A1512" s="1389"/>
      <c r="B1512" s="203"/>
      <c r="C1512" s="157" t="s">
        <v>91</v>
      </c>
      <c r="D1512" s="203" t="s">
        <v>319</v>
      </c>
      <c r="E1512" s="45">
        <f>101.5*0.01</f>
        <v>1.0150000000000001</v>
      </c>
      <c r="F1512" s="45">
        <f>E1512*F1509</f>
        <v>6.8106500000000008</v>
      </c>
      <c r="G1512" s="81"/>
      <c r="H1512" s="77">
        <f t="shared" ref="H1512:H1518" si="189">F1512*G1512</f>
        <v>0</v>
      </c>
      <c r="I1512" s="81"/>
      <c r="J1512" s="77"/>
      <c r="K1512" s="81"/>
      <c r="L1512" s="77"/>
      <c r="M1512" s="1252">
        <f t="shared" si="188"/>
        <v>0</v>
      </c>
      <c r="N1512" s="1255"/>
      <c r="O1512" s="1256"/>
    </row>
    <row r="1513" spans="1:15" s="643" customFormat="1">
      <c r="A1513" s="1389"/>
      <c r="B1513" s="203"/>
      <c r="C1513" s="157" t="s">
        <v>464</v>
      </c>
      <c r="D1513" s="203" t="s">
        <v>234</v>
      </c>
      <c r="E1513" s="45">
        <f>229*0.01</f>
        <v>2.29</v>
      </c>
      <c r="F1513" s="45">
        <f>E1513*F1509</f>
        <v>15.3659</v>
      </c>
      <c r="G1513" s="81"/>
      <c r="H1513" s="77">
        <f t="shared" si="189"/>
        <v>0</v>
      </c>
      <c r="I1513" s="81"/>
      <c r="J1513" s="77"/>
      <c r="K1513" s="81"/>
      <c r="L1513" s="77"/>
      <c r="M1513" s="1252">
        <f t="shared" si="188"/>
        <v>0</v>
      </c>
      <c r="N1513" s="1255"/>
      <c r="O1513" s="1256"/>
    </row>
    <row r="1514" spans="1:15" s="643" customFormat="1">
      <c r="A1514" s="1389"/>
      <c r="B1514" s="203"/>
      <c r="C1514" s="157" t="s">
        <v>222</v>
      </c>
      <c r="D1514" s="203" t="s">
        <v>319</v>
      </c>
      <c r="E1514" s="45">
        <f>(1.4+4.29+0.34)*0.01</f>
        <v>6.0299999999999992E-2</v>
      </c>
      <c r="F1514" s="45">
        <f>F1509*E1514</f>
        <v>0.40461299999999994</v>
      </c>
      <c r="G1514" s="81"/>
      <c r="H1514" s="77">
        <f t="shared" si="189"/>
        <v>0</v>
      </c>
      <c r="I1514" s="81"/>
      <c r="J1514" s="77"/>
      <c r="K1514" s="81"/>
      <c r="L1514" s="77"/>
      <c r="M1514" s="1252">
        <f t="shared" si="188"/>
        <v>0</v>
      </c>
      <c r="N1514" s="1255"/>
      <c r="O1514" s="1256"/>
    </row>
    <row r="1515" spans="1:15" s="643" customFormat="1">
      <c r="A1515" s="1389"/>
      <c r="B1515" s="203"/>
      <c r="C1515" s="157" t="s">
        <v>70</v>
      </c>
      <c r="D1515" s="204" t="s">
        <v>6</v>
      </c>
      <c r="E1515" s="85">
        <v>2.5</v>
      </c>
      <c r="F1515" s="85">
        <f>E1515*F1509</f>
        <v>16.774999999999999</v>
      </c>
      <c r="G1515" s="86"/>
      <c r="H1515" s="77">
        <f t="shared" si="189"/>
        <v>0</v>
      </c>
      <c r="I1515" s="86"/>
      <c r="J1515" s="77"/>
      <c r="K1515" s="86"/>
      <c r="L1515" s="77"/>
      <c r="M1515" s="1252">
        <f t="shared" si="188"/>
        <v>0</v>
      </c>
      <c r="N1515" s="1255"/>
      <c r="O1515" s="1256"/>
    </row>
    <row r="1516" spans="1:15" s="643" customFormat="1">
      <c r="A1516" s="1389"/>
      <c r="B1516" s="203"/>
      <c r="C1516" s="157" t="s">
        <v>26</v>
      </c>
      <c r="D1516" s="204" t="s">
        <v>11</v>
      </c>
      <c r="E1516" s="85">
        <v>1.2</v>
      </c>
      <c r="F1516" s="85">
        <f>E1516*F1509</f>
        <v>8.0519999999999996</v>
      </c>
      <c r="G1516" s="86"/>
      <c r="H1516" s="77">
        <f t="shared" si="189"/>
        <v>0</v>
      </c>
      <c r="I1516" s="86"/>
      <c r="J1516" s="77"/>
      <c r="K1516" s="86"/>
      <c r="L1516" s="77"/>
      <c r="M1516" s="1252">
        <f t="shared" si="188"/>
        <v>0</v>
      </c>
      <c r="N1516" s="1255"/>
      <c r="O1516" s="1256"/>
    </row>
    <row r="1517" spans="1:15" s="643" customFormat="1">
      <c r="A1517" s="1389"/>
      <c r="B1517" s="203"/>
      <c r="C1517" s="159" t="s">
        <v>426</v>
      </c>
      <c r="D1517" s="203" t="s">
        <v>218</v>
      </c>
      <c r="E1517" s="45"/>
      <c r="F1517" s="82">
        <v>0.57287999999999994</v>
      </c>
      <c r="G1517" s="80"/>
      <c r="H1517" s="77">
        <f t="shared" si="189"/>
        <v>0</v>
      </c>
      <c r="I1517" s="81"/>
      <c r="J1517" s="77"/>
      <c r="K1517" s="81"/>
      <c r="L1517" s="77"/>
      <c r="M1517" s="1252">
        <f t="shared" si="188"/>
        <v>0</v>
      </c>
      <c r="N1517" s="1255"/>
      <c r="O1517" s="1256"/>
    </row>
    <row r="1518" spans="1:15" s="643" customFormat="1" hidden="1">
      <c r="A1518" s="1389"/>
      <c r="B1518" s="203"/>
      <c r="C1518" s="159" t="s">
        <v>427</v>
      </c>
      <c r="D1518" s="203" t="s">
        <v>218</v>
      </c>
      <c r="E1518" s="45"/>
      <c r="F1518" s="82">
        <f>0</f>
        <v>0</v>
      </c>
      <c r="G1518" s="341">
        <v>2560</v>
      </c>
      <c r="H1518" s="77">
        <f t="shared" si="189"/>
        <v>0</v>
      </c>
      <c r="I1518" s="81"/>
      <c r="J1518" s="77"/>
      <c r="K1518" s="81"/>
      <c r="L1518" s="77"/>
      <c r="M1518" s="1252">
        <f t="shared" si="188"/>
        <v>0</v>
      </c>
      <c r="N1518" s="1255"/>
      <c r="O1518" s="1256"/>
    </row>
    <row r="1519" spans="1:15" s="643" customFormat="1" ht="47.25">
      <c r="A1519" s="1389" t="s">
        <v>83</v>
      </c>
      <c r="B1519" s="1190" t="s">
        <v>439</v>
      </c>
      <c r="C1519" s="156" t="s">
        <v>1684</v>
      </c>
      <c r="D1519" s="75" t="s">
        <v>318</v>
      </c>
      <c r="E1519" s="83"/>
      <c r="F1519" s="83">
        <v>8</v>
      </c>
      <c r="G1519" s="81"/>
      <c r="H1519" s="77"/>
      <c r="I1519" s="81"/>
      <c r="J1519" s="77"/>
      <c r="K1519" s="81"/>
      <c r="L1519" s="77"/>
      <c r="M1519" s="1252"/>
      <c r="N1519" s="1255"/>
      <c r="O1519" s="1256"/>
    </row>
    <row r="1520" spans="1:15" s="643" customFormat="1">
      <c r="A1520" s="1389"/>
      <c r="B1520" s="1190"/>
      <c r="C1520" s="157" t="s">
        <v>1793</v>
      </c>
      <c r="D1520" s="203" t="s">
        <v>4</v>
      </c>
      <c r="E1520" s="45">
        <v>1</v>
      </c>
      <c r="F1520" s="45">
        <f>E1520*F1519</f>
        <v>8</v>
      </c>
      <c r="G1520" s="81"/>
      <c r="H1520" s="77"/>
      <c r="I1520" s="637"/>
      <c r="J1520" s="77">
        <f>F1520*I1520</f>
        <v>0</v>
      </c>
      <c r="K1520" s="81"/>
      <c r="L1520" s="77"/>
      <c r="M1520" s="1252">
        <f t="shared" ref="M1520:M1528" si="190">H1520+J1520+L1520</f>
        <v>0</v>
      </c>
      <c r="N1520" s="1255"/>
      <c r="O1520" s="1256"/>
    </row>
    <row r="1521" spans="1:15" s="643" customFormat="1">
      <c r="A1521" s="1389"/>
      <c r="B1521" s="1190"/>
      <c r="C1521" s="160" t="s">
        <v>14</v>
      </c>
      <c r="D1521" s="203" t="s">
        <v>11</v>
      </c>
      <c r="E1521" s="45">
        <v>1.32</v>
      </c>
      <c r="F1521" s="45">
        <f>E1521*F1519</f>
        <v>10.56</v>
      </c>
      <c r="G1521" s="81"/>
      <c r="H1521" s="77"/>
      <c r="I1521" s="81"/>
      <c r="J1521" s="77"/>
      <c r="K1521" s="81"/>
      <c r="L1521" s="77">
        <f>F1521*K1521</f>
        <v>0</v>
      </c>
      <c r="M1521" s="1252">
        <f t="shared" si="190"/>
        <v>0</v>
      </c>
      <c r="N1521" s="1255"/>
      <c r="O1521" s="1256"/>
    </row>
    <row r="1522" spans="1:15" s="643" customFormat="1">
      <c r="A1522" s="1389"/>
      <c r="B1522" s="203"/>
      <c r="C1522" s="157" t="s">
        <v>91</v>
      </c>
      <c r="D1522" s="203" t="s">
        <v>319</v>
      </c>
      <c r="E1522" s="45">
        <f>101.5*0.01</f>
        <v>1.0150000000000001</v>
      </c>
      <c r="F1522" s="45">
        <f>E1522*F1519</f>
        <v>8.120000000000001</v>
      </c>
      <c r="G1522" s="81"/>
      <c r="H1522" s="77">
        <f t="shared" ref="H1522:H1528" si="191">F1522*G1522</f>
        <v>0</v>
      </c>
      <c r="I1522" s="81"/>
      <c r="J1522" s="77"/>
      <c r="K1522" s="81"/>
      <c r="L1522" s="77"/>
      <c r="M1522" s="1252">
        <f t="shared" si="190"/>
        <v>0</v>
      </c>
      <c r="N1522" s="1255"/>
      <c r="O1522" s="1256"/>
    </row>
    <row r="1523" spans="1:15" s="643" customFormat="1">
      <c r="A1523" s="1389"/>
      <c r="B1523" s="203"/>
      <c r="C1523" s="157" t="s">
        <v>464</v>
      </c>
      <c r="D1523" s="203" t="s">
        <v>234</v>
      </c>
      <c r="E1523" s="45">
        <f>229*0.01</f>
        <v>2.29</v>
      </c>
      <c r="F1523" s="45">
        <f>E1523*F1519</f>
        <v>18.32</v>
      </c>
      <c r="G1523" s="81"/>
      <c r="H1523" s="77">
        <f t="shared" si="191"/>
        <v>0</v>
      </c>
      <c r="I1523" s="81"/>
      <c r="J1523" s="77"/>
      <c r="K1523" s="81"/>
      <c r="L1523" s="77"/>
      <c r="M1523" s="1252">
        <f t="shared" si="190"/>
        <v>0</v>
      </c>
      <c r="N1523" s="1255"/>
      <c r="O1523" s="1256"/>
    </row>
    <row r="1524" spans="1:15" s="643" customFormat="1">
      <c r="A1524" s="1389"/>
      <c r="B1524" s="203"/>
      <c r="C1524" s="157" t="s">
        <v>222</v>
      </c>
      <c r="D1524" s="203" t="s">
        <v>319</v>
      </c>
      <c r="E1524" s="45">
        <f>(1.4+4.29+0.34)*0.01</f>
        <v>6.0299999999999992E-2</v>
      </c>
      <c r="F1524" s="45">
        <f>F1519*E1524</f>
        <v>0.48239999999999994</v>
      </c>
      <c r="G1524" s="81"/>
      <c r="H1524" s="77">
        <f t="shared" si="191"/>
        <v>0</v>
      </c>
      <c r="I1524" s="81"/>
      <c r="J1524" s="77"/>
      <c r="K1524" s="81"/>
      <c r="L1524" s="77"/>
      <c r="M1524" s="1252">
        <f t="shared" si="190"/>
        <v>0</v>
      </c>
      <c r="N1524" s="1255"/>
      <c r="O1524" s="1256"/>
    </row>
    <row r="1525" spans="1:15" s="643" customFormat="1">
      <c r="A1525" s="1389"/>
      <c r="B1525" s="203"/>
      <c r="C1525" s="157" t="s">
        <v>70</v>
      </c>
      <c r="D1525" s="204" t="s">
        <v>6</v>
      </c>
      <c r="E1525" s="85">
        <v>2.5</v>
      </c>
      <c r="F1525" s="85">
        <f>E1525*F1519</f>
        <v>20</v>
      </c>
      <c r="G1525" s="86"/>
      <c r="H1525" s="77">
        <f t="shared" si="191"/>
        <v>0</v>
      </c>
      <c r="I1525" s="86"/>
      <c r="J1525" s="77"/>
      <c r="K1525" s="86"/>
      <c r="L1525" s="77"/>
      <c r="M1525" s="1252">
        <f t="shared" si="190"/>
        <v>0</v>
      </c>
      <c r="N1525" s="1255"/>
      <c r="O1525" s="1256"/>
    </row>
    <row r="1526" spans="1:15" s="643" customFormat="1">
      <c r="A1526" s="1389"/>
      <c r="B1526" s="203"/>
      <c r="C1526" s="157" t="s">
        <v>26</v>
      </c>
      <c r="D1526" s="204" t="s">
        <v>11</v>
      </c>
      <c r="E1526" s="85">
        <v>1.2</v>
      </c>
      <c r="F1526" s="85">
        <f>E1526*F1519</f>
        <v>9.6</v>
      </c>
      <c r="G1526" s="86"/>
      <c r="H1526" s="77">
        <f t="shared" si="191"/>
        <v>0</v>
      </c>
      <c r="I1526" s="86"/>
      <c r="J1526" s="77"/>
      <c r="K1526" s="86"/>
      <c r="L1526" s="77"/>
      <c r="M1526" s="1252">
        <f t="shared" si="190"/>
        <v>0</v>
      </c>
      <c r="N1526" s="1255"/>
      <c r="O1526" s="1256"/>
    </row>
    <row r="1527" spans="1:15" s="643" customFormat="1" ht="15.75" hidden="1" customHeight="1">
      <c r="A1527" s="1389"/>
      <c r="B1527" s="203"/>
      <c r="C1527" s="159" t="s">
        <v>426</v>
      </c>
      <c r="D1527" s="203" t="s">
        <v>218</v>
      </c>
      <c r="E1527" s="45"/>
      <c r="F1527" s="82">
        <f>0</f>
        <v>0</v>
      </c>
      <c r="G1527" s="80">
        <v>2458</v>
      </c>
      <c r="H1527" s="77">
        <f t="shared" si="191"/>
        <v>0</v>
      </c>
      <c r="I1527" s="81"/>
      <c r="J1527" s="77"/>
      <c r="K1527" s="81"/>
      <c r="L1527" s="77"/>
      <c r="M1527" s="1252">
        <f t="shared" si="190"/>
        <v>0</v>
      </c>
      <c r="N1527" s="1255"/>
      <c r="O1527" s="1256"/>
    </row>
    <row r="1528" spans="1:15" s="643" customFormat="1" ht="15.75" hidden="1" customHeight="1">
      <c r="A1528" s="1389"/>
      <c r="B1528" s="203"/>
      <c r="C1528" s="159" t="s">
        <v>427</v>
      </c>
      <c r="D1528" s="203" t="s">
        <v>218</v>
      </c>
      <c r="E1528" s="45"/>
      <c r="F1528" s="82">
        <f>0</f>
        <v>0</v>
      </c>
      <c r="G1528" s="341">
        <v>2560</v>
      </c>
      <c r="H1528" s="77">
        <f t="shared" si="191"/>
        <v>0</v>
      </c>
      <c r="I1528" s="81"/>
      <c r="J1528" s="77"/>
      <c r="K1528" s="81"/>
      <c r="L1528" s="77"/>
      <c r="M1528" s="1252">
        <f t="shared" si="190"/>
        <v>0</v>
      </c>
      <c r="N1528" s="1255"/>
      <c r="O1528" s="1256"/>
    </row>
    <row r="1529" spans="1:15" s="643" customFormat="1" ht="47.25">
      <c r="A1529" s="1389" t="s">
        <v>431</v>
      </c>
      <c r="B1529" s="1190" t="s">
        <v>439</v>
      </c>
      <c r="C1529" s="156" t="s">
        <v>1685</v>
      </c>
      <c r="D1529" s="75" t="s">
        <v>318</v>
      </c>
      <c r="E1529" s="83"/>
      <c r="F1529" s="83">
        <v>74.42</v>
      </c>
      <c r="G1529" s="81"/>
      <c r="H1529" s="77"/>
      <c r="I1529" s="81"/>
      <c r="J1529" s="77"/>
      <c r="K1529" s="81"/>
      <c r="L1529" s="77"/>
      <c r="M1529" s="1252"/>
      <c r="N1529" s="1255"/>
      <c r="O1529" s="1256"/>
    </row>
    <row r="1530" spans="1:15" s="643" customFormat="1">
      <c r="A1530" s="1389"/>
      <c r="B1530" s="1190"/>
      <c r="C1530" s="157" t="s">
        <v>1793</v>
      </c>
      <c r="D1530" s="203" t="s">
        <v>4</v>
      </c>
      <c r="E1530" s="45">
        <v>1</v>
      </c>
      <c r="F1530" s="45">
        <f>E1530*F1529</f>
        <v>74.42</v>
      </c>
      <c r="G1530" s="81"/>
      <c r="H1530" s="77"/>
      <c r="I1530" s="637"/>
      <c r="J1530" s="77">
        <f>F1530*I1530</f>
        <v>0</v>
      </c>
      <c r="K1530" s="81"/>
      <c r="L1530" s="77"/>
      <c r="M1530" s="1252">
        <f t="shared" ref="M1530:M1538" si="192">H1530+J1530+L1530</f>
        <v>0</v>
      </c>
      <c r="N1530" s="1255"/>
      <c r="O1530" s="1256"/>
    </row>
    <row r="1531" spans="1:15" s="643" customFormat="1">
      <c r="A1531" s="1389"/>
      <c r="B1531" s="1190"/>
      <c r="C1531" s="160" t="s">
        <v>14</v>
      </c>
      <c r="D1531" s="203" t="s">
        <v>11</v>
      </c>
      <c r="E1531" s="45">
        <v>1.32</v>
      </c>
      <c r="F1531" s="45">
        <f>E1531*F1529</f>
        <v>98.234400000000008</v>
      </c>
      <c r="G1531" s="81"/>
      <c r="H1531" s="77"/>
      <c r="I1531" s="81"/>
      <c r="J1531" s="77"/>
      <c r="K1531" s="81"/>
      <c r="L1531" s="77">
        <f>F1531*K1531</f>
        <v>0</v>
      </c>
      <c r="M1531" s="1252">
        <f t="shared" si="192"/>
        <v>0</v>
      </c>
      <c r="N1531" s="1255"/>
      <c r="O1531" s="1256"/>
    </row>
    <row r="1532" spans="1:15" s="643" customFormat="1">
      <c r="A1532" s="1389"/>
      <c r="B1532" s="203"/>
      <c r="C1532" s="157" t="s">
        <v>91</v>
      </c>
      <c r="D1532" s="203" t="s">
        <v>319</v>
      </c>
      <c r="E1532" s="45">
        <f>101.5*0.01</f>
        <v>1.0150000000000001</v>
      </c>
      <c r="F1532" s="45">
        <f>E1532*F1529</f>
        <v>75.536300000000011</v>
      </c>
      <c r="G1532" s="81"/>
      <c r="H1532" s="77">
        <f t="shared" ref="H1532:H1538" si="193">F1532*G1532</f>
        <v>0</v>
      </c>
      <c r="I1532" s="81"/>
      <c r="J1532" s="77"/>
      <c r="K1532" s="81"/>
      <c r="L1532" s="77"/>
      <c r="M1532" s="1252">
        <f t="shared" si="192"/>
        <v>0</v>
      </c>
      <c r="N1532" s="1255"/>
      <c r="O1532" s="1256"/>
    </row>
    <row r="1533" spans="1:15" s="643" customFormat="1">
      <c r="A1533" s="1389"/>
      <c r="B1533" s="203"/>
      <c r="C1533" s="157" t="s">
        <v>464</v>
      </c>
      <c r="D1533" s="203" t="s">
        <v>234</v>
      </c>
      <c r="E1533" s="45">
        <f>229*0.01</f>
        <v>2.29</v>
      </c>
      <c r="F1533" s="45">
        <f>E1533*F1529</f>
        <v>170.42180000000002</v>
      </c>
      <c r="G1533" s="81"/>
      <c r="H1533" s="77">
        <f t="shared" si="193"/>
        <v>0</v>
      </c>
      <c r="I1533" s="81"/>
      <c r="J1533" s="77"/>
      <c r="K1533" s="81"/>
      <c r="L1533" s="77"/>
      <c r="M1533" s="1252">
        <f t="shared" si="192"/>
        <v>0</v>
      </c>
      <c r="N1533" s="1255"/>
      <c r="O1533" s="1256"/>
    </row>
    <row r="1534" spans="1:15" s="643" customFormat="1">
      <c r="A1534" s="1389"/>
      <c r="B1534" s="203"/>
      <c r="C1534" s="157" t="s">
        <v>222</v>
      </c>
      <c r="D1534" s="203" t="s">
        <v>319</v>
      </c>
      <c r="E1534" s="45">
        <f>(1.4+4.29+0.34)*0.01</f>
        <v>6.0299999999999992E-2</v>
      </c>
      <c r="F1534" s="45">
        <f>F1529*E1534</f>
        <v>4.4875259999999999</v>
      </c>
      <c r="G1534" s="81"/>
      <c r="H1534" s="77">
        <f t="shared" si="193"/>
        <v>0</v>
      </c>
      <c r="I1534" s="81"/>
      <c r="J1534" s="77"/>
      <c r="K1534" s="81"/>
      <c r="L1534" s="77"/>
      <c r="M1534" s="1252">
        <f t="shared" si="192"/>
        <v>0</v>
      </c>
      <c r="N1534" s="1255"/>
      <c r="O1534" s="1256"/>
    </row>
    <row r="1535" spans="1:15" s="643" customFormat="1">
      <c r="A1535" s="1389"/>
      <c r="B1535" s="203"/>
      <c r="C1535" s="157" t="s">
        <v>70</v>
      </c>
      <c r="D1535" s="204" t="s">
        <v>6</v>
      </c>
      <c r="E1535" s="85">
        <v>2.5</v>
      </c>
      <c r="F1535" s="85">
        <f>E1535*F1529</f>
        <v>186.05</v>
      </c>
      <c r="G1535" s="86"/>
      <c r="H1535" s="77">
        <f t="shared" si="193"/>
        <v>0</v>
      </c>
      <c r="I1535" s="86"/>
      <c r="J1535" s="77"/>
      <c r="K1535" s="86"/>
      <c r="L1535" s="77"/>
      <c r="M1535" s="1252">
        <f t="shared" si="192"/>
        <v>0</v>
      </c>
      <c r="N1535" s="1255"/>
      <c r="O1535" s="1256"/>
    </row>
    <row r="1536" spans="1:15" s="643" customFormat="1">
      <c r="A1536" s="1389"/>
      <c r="B1536" s="203"/>
      <c r="C1536" s="157" t="s">
        <v>26</v>
      </c>
      <c r="D1536" s="204" t="s">
        <v>11</v>
      </c>
      <c r="E1536" s="85">
        <v>1.2</v>
      </c>
      <c r="F1536" s="85">
        <f>E1536*F1529</f>
        <v>89.304000000000002</v>
      </c>
      <c r="G1536" s="86"/>
      <c r="H1536" s="77">
        <f t="shared" si="193"/>
        <v>0</v>
      </c>
      <c r="I1536" s="86"/>
      <c r="J1536" s="77"/>
      <c r="K1536" s="86"/>
      <c r="L1536" s="77"/>
      <c r="M1536" s="1252">
        <f t="shared" si="192"/>
        <v>0</v>
      </c>
      <c r="N1536" s="1255"/>
      <c r="O1536" s="1256"/>
    </row>
    <row r="1537" spans="1:15" s="643" customFormat="1">
      <c r="A1537" s="1389"/>
      <c r="B1537" s="203"/>
      <c r="C1537" s="159" t="s">
        <v>426</v>
      </c>
      <c r="D1537" s="203" t="s">
        <v>218</v>
      </c>
      <c r="E1537" s="45"/>
      <c r="F1537" s="82">
        <v>6.0576600000000003</v>
      </c>
      <c r="G1537" s="80"/>
      <c r="H1537" s="77">
        <f t="shared" si="193"/>
        <v>0</v>
      </c>
      <c r="I1537" s="81"/>
      <c r="J1537" s="77"/>
      <c r="K1537" s="81"/>
      <c r="L1537" s="77"/>
      <c r="M1537" s="1252">
        <f t="shared" si="192"/>
        <v>0</v>
      </c>
      <c r="N1537" s="1255"/>
      <c r="O1537" s="1256"/>
    </row>
    <row r="1538" spans="1:15" s="643" customFormat="1" hidden="1">
      <c r="A1538" s="1389"/>
      <c r="B1538" s="203"/>
      <c r="C1538" s="159" t="s">
        <v>427</v>
      </c>
      <c r="D1538" s="203" t="s">
        <v>218</v>
      </c>
      <c r="E1538" s="45"/>
      <c r="F1538" s="82">
        <f>0</f>
        <v>0</v>
      </c>
      <c r="G1538" s="341">
        <v>2560</v>
      </c>
      <c r="H1538" s="77">
        <f t="shared" si="193"/>
        <v>0</v>
      </c>
      <c r="I1538" s="81"/>
      <c r="J1538" s="77"/>
      <c r="K1538" s="81"/>
      <c r="L1538" s="77"/>
      <c r="M1538" s="1252">
        <f t="shared" si="192"/>
        <v>0</v>
      </c>
      <c r="N1538" s="1255"/>
      <c r="O1538" s="1256"/>
    </row>
    <row r="1539" spans="1:15" s="643" customFormat="1" ht="27" hidden="1">
      <c r="A1539" s="1393" t="s">
        <v>1161</v>
      </c>
      <c r="B1539" s="1159" t="s">
        <v>1595</v>
      </c>
      <c r="C1539" s="286" t="s">
        <v>1596</v>
      </c>
      <c r="D1539" s="1190"/>
      <c r="E1539" s="57"/>
      <c r="F1539" s="57"/>
      <c r="G1539" s="1166"/>
      <c r="H1539" s="1166"/>
      <c r="I1539" s="1166"/>
      <c r="J1539" s="1166"/>
      <c r="K1539" s="1166"/>
      <c r="L1539" s="1166"/>
      <c r="M1539" s="1257"/>
      <c r="N1539" s="1255"/>
      <c r="O1539" s="1256"/>
    </row>
    <row r="1540" spans="1:15" s="643" customFormat="1" hidden="1">
      <c r="A1540" s="1394"/>
      <c r="B1540" s="1160"/>
      <c r="C1540" s="1167" t="s">
        <v>1601</v>
      </c>
      <c r="D1540" s="651" t="s">
        <v>7</v>
      </c>
      <c r="E1540" s="1168"/>
      <c r="F1540" s="57"/>
      <c r="G1540" s="1166"/>
      <c r="H1540" s="1166"/>
      <c r="I1540" s="1166"/>
      <c r="J1540" s="1166"/>
      <c r="K1540" s="1166"/>
      <c r="L1540" s="1166"/>
      <c r="M1540" s="1257"/>
      <c r="N1540" s="1255"/>
      <c r="O1540" s="1256"/>
    </row>
    <row r="1541" spans="1:15" s="643" customFormat="1" hidden="1">
      <c r="A1541" s="1394"/>
      <c r="B1541" s="1160"/>
      <c r="C1541" s="1167" t="s">
        <v>1602</v>
      </c>
      <c r="D1541" s="651" t="s">
        <v>7</v>
      </c>
      <c r="E1541" s="1168"/>
      <c r="F1541" s="57"/>
      <c r="G1541" s="1166"/>
      <c r="H1541" s="1166"/>
      <c r="I1541" s="1166"/>
      <c r="J1541" s="1166"/>
      <c r="K1541" s="1166"/>
      <c r="L1541" s="1166"/>
      <c r="M1541" s="1257"/>
      <c r="N1541" s="1255"/>
      <c r="O1541" s="1256"/>
    </row>
    <row r="1542" spans="1:15" s="643" customFormat="1" hidden="1">
      <c r="A1542" s="1394"/>
      <c r="B1542" s="1160"/>
      <c r="C1542" s="1167" t="s">
        <v>1603</v>
      </c>
      <c r="D1542" s="651" t="s">
        <v>7</v>
      </c>
      <c r="E1542" s="1168"/>
      <c r="F1542" s="57"/>
      <c r="G1542" s="1166"/>
      <c r="H1542" s="1166"/>
      <c r="I1542" s="1166"/>
      <c r="J1542" s="1166"/>
      <c r="K1542" s="1166"/>
      <c r="L1542" s="1166"/>
      <c r="M1542" s="1257"/>
      <c r="N1542" s="1255"/>
      <c r="O1542" s="1256"/>
    </row>
    <row r="1543" spans="1:15" s="643" customFormat="1" hidden="1">
      <c r="A1543" s="1394"/>
      <c r="B1543" s="1160"/>
      <c r="C1543" s="1169" t="s">
        <v>1493</v>
      </c>
      <c r="D1543" s="1170" t="s">
        <v>7</v>
      </c>
      <c r="E1543" s="1161"/>
      <c r="F1543" s="857">
        <f>SUM(E1540:E1542)</f>
        <v>0</v>
      </c>
      <c r="G1543" s="1166"/>
      <c r="H1543" s="1166"/>
      <c r="I1543" s="1166"/>
      <c r="J1543" s="1166"/>
      <c r="K1543" s="1166"/>
      <c r="L1543" s="1166"/>
      <c r="M1543" s="1257"/>
      <c r="N1543" s="1255"/>
      <c r="O1543" s="1256"/>
    </row>
    <row r="1544" spans="1:15" s="643" customFormat="1" hidden="1">
      <c r="A1544" s="1394"/>
      <c r="B1544" s="1162"/>
      <c r="C1544" s="1075" t="s">
        <v>13</v>
      </c>
      <c r="D1544" s="1191" t="s">
        <v>15</v>
      </c>
      <c r="E1544" s="26">
        <v>39.200000000000003</v>
      </c>
      <c r="F1544" s="26">
        <f>F1543*E1544</f>
        <v>0</v>
      </c>
      <c r="G1544" s="1163"/>
      <c r="H1544" s="1164"/>
      <c r="I1544" s="1163">
        <v>7.8</v>
      </c>
      <c r="J1544" s="1164">
        <f>F1544*I1544</f>
        <v>0</v>
      </c>
      <c r="K1544" s="1163"/>
      <c r="L1544" s="1164"/>
      <c r="M1544" s="1257">
        <f>H1544+J1544+L1544</f>
        <v>0</v>
      </c>
      <c r="N1544" s="1255"/>
      <c r="O1544" s="1256"/>
    </row>
    <row r="1545" spans="1:15" s="643" customFormat="1" hidden="1">
      <c r="A1545" s="1394"/>
      <c r="B1545" s="1162"/>
      <c r="C1545" s="422" t="s">
        <v>14</v>
      </c>
      <c r="D1545" s="1191" t="s">
        <v>11</v>
      </c>
      <c r="E1545" s="233">
        <v>14.8</v>
      </c>
      <c r="F1545" s="233">
        <f>F1543*E1545</f>
        <v>0</v>
      </c>
      <c r="G1545" s="1163"/>
      <c r="H1545" s="1164"/>
      <c r="I1545" s="1163"/>
      <c r="J1545" s="1164"/>
      <c r="K1545" s="1163">
        <v>4</v>
      </c>
      <c r="L1545" s="1164">
        <f>F1545*K1545</f>
        <v>0</v>
      </c>
      <c r="M1545" s="1257">
        <f>H1545+J1545+L1545</f>
        <v>0</v>
      </c>
      <c r="N1545" s="1255"/>
      <c r="O1545" s="1256"/>
    </row>
    <row r="1546" spans="1:15" s="643" customFormat="1" hidden="1">
      <c r="A1546" s="1394"/>
      <c r="B1546" s="1162"/>
      <c r="C1546" s="1165" t="s">
        <v>1597</v>
      </c>
      <c r="D1546" s="1191" t="s">
        <v>7</v>
      </c>
      <c r="E1546" s="26">
        <v>1</v>
      </c>
      <c r="F1546" s="26"/>
      <c r="G1546" s="1163"/>
      <c r="H1546" s="1164"/>
      <c r="I1546" s="1163"/>
      <c r="J1546" s="1164"/>
      <c r="K1546" s="1163"/>
      <c r="L1546" s="1164"/>
      <c r="M1546" s="1257"/>
      <c r="N1546" s="1255"/>
      <c r="O1546" s="1256"/>
    </row>
    <row r="1547" spans="1:15" s="643" customFormat="1" hidden="1">
      <c r="A1547" s="1394"/>
      <c r="B1547" s="1162"/>
      <c r="C1547" s="1075" t="s">
        <v>1598</v>
      </c>
      <c r="D1547" s="1191" t="s">
        <v>7</v>
      </c>
      <c r="E1547" s="26"/>
      <c r="F1547" s="26">
        <f>E1540</f>
        <v>0</v>
      </c>
      <c r="G1547" s="1163"/>
      <c r="H1547" s="1164">
        <f>F1547*G1547</f>
        <v>0</v>
      </c>
      <c r="I1547" s="1163"/>
      <c r="J1547" s="1164"/>
      <c r="K1547" s="1163"/>
      <c r="L1547" s="1164"/>
      <c r="M1547" s="1257">
        <f>H1547+J1547+L1547</f>
        <v>0</v>
      </c>
      <c r="N1547" s="1255"/>
      <c r="O1547" s="1256"/>
    </row>
    <row r="1548" spans="1:15" s="643" customFormat="1" hidden="1">
      <c r="A1548" s="1394"/>
      <c r="B1548" s="1162"/>
      <c r="C1548" s="1075" t="s">
        <v>1599</v>
      </c>
      <c r="D1548" s="1191" t="s">
        <v>7</v>
      </c>
      <c r="E1548" s="26"/>
      <c r="F1548" s="26">
        <f>E1541</f>
        <v>0</v>
      </c>
      <c r="G1548" s="1163"/>
      <c r="H1548" s="1164">
        <f>F1548*G1548</f>
        <v>0</v>
      </c>
      <c r="I1548" s="1163"/>
      <c r="J1548" s="1164"/>
      <c r="K1548" s="1163"/>
      <c r="L1548" s="1164"/>
      <c r="M1548" s="1257">
        <f>H1548+J1548+L1548</f>
        <v>0</v>
      </c>
      <c r="N1548" s="1255"/>
      <c r="O1548" s="1256"/>
    </row>
    <row r="1549" spans="1:15" s="643" customFormat="1" hidden="1">
      <c r="A1549" s="1394"/>
      <c r="B1549" s="1162"/>
      <c r="C1549" s="1075" t="s">
        <v>1600</v>
      </c>
      <c r="D1549" s="1191" t="s">
        <v>7</v>
      </c>
      <c r="E1549" s="26"/>
      <c r="F1549" s="26">
        <f>E1542</f>
        <v>0</v>
      </c>
      <c r="G1549" s="1163"/>
      <c r="H1549" s="1164">
        <f>F1549*G1549</f>
        <v>0</v>
      </c>
      <c r="I1549" s="1163"/>
      <c r="J1549" s="1164"/>
      <c r="K1549" s="1163"/>
      <c r="L1549" s="1164"/>
      <c r="M1549" s="1257">
        <f>H1549+J1549+L1549</f>
        <v>0</v>
      </c>
      <c r="N1549" s="1255"/>
      <c r="O1549" s="1256"/>
    </row>
    <row r="1550" spans="1:15" s="643" customFormat="1" hidden="1">
      <c r="A1550" s="1394"/>
      <c r="B1550" s="1162"/>
      <c r="C1550" s="1075" t="s">
        <v>70</v>
      </c>
      <c r="D1550" s="1191" t="s">
        <v>6</v>
      </c>
      <c r="E1550" s="26" t="s">
        <v>93</v>
      </c>
      <c r="F1550" s="26">
        <v>45</v>
      </c>
      <c r="G1550" s="1163"/>
      <c r="H1550" s="1164">
        <f>F1550*G1550</f>
        <v>0</v>
      </c>
      <c r="I1550" s="1163"/>
      <c r="J1550" s="1164"/>
      <c r="K1550" s="1163"/>
      <c r="L1550" s="1164"/>
      <c r="M1550" s="1257">
        <f>H1550+J1550+L1550</f>
        <v>0</v>
      </c>
      <c r="N1550" s="1255"/>
      <c r="O1550" s="1256"/>
    </row>
    <row r="1551" spans="1:15" s="643" customFormat="1" hidden="1">
      <c r="A1551" s="1395"/>
      <c r="B1551" s="1162"/>
      <c r="C1551" s="392" t="s">
        <v>19</v>
      </c>
      <c r="D1551" s="1191" t="s">
        <v>11</v>
      </c>
      <c r="E1551" s="26">
        <f>0.4</f>
        <v>0.4</v>
      </c>
      <c r="F1551" s="26">
        <f>F1543*E1551</f>
        <v>0</v>
      </c>
      <c r="G1551" s="1163"/>
      <c r="H1551" s="1164">
        <f>F1551*G1551</f>
        <v>0</v>
      </c>
      <c r="I1551" s="1164"/>
      <c r="J1551" s="1164"/>
      <c r="K1551" s="1163"/>
      <c r="L1551" s="1164"/>
      <c r="M1551" s="1257">
        <f>H1551+J1551+L1551</f>
        <v>0</v>
      </c>
      <c r="N1551" s="1255"/>
      <c r="O1551" s="1256"/>
    </row>
    <row r="1552" spans="1:15" s="643" customFormat="1" ht="31.5">
      <c r="A1552" s="1390" t="s">
        <v>1717</v>
      </c>
      <c r="B1552" s="42" t="s">
        <v>752</v>
      </c>
      <c r="C1552" s="151" t="s">
        <v>1551</v>
      </c>
      <c r="D1552" s="553" t="s">
        <v>1</v>
      </c>
      <c r="E1552" s="554"/>
      <c r="F1552" s="20">
        <v>850</v>
      </c>
      <c r="G1552" s="146"/>
      <c r="H1552" s="77"/>
      <c r="I1552" s="77"/>
      <c r="J1552" s="77"/>
      <c r="K1552" s="77"/>
      <c r="L1552" s="77"/>
      <c r="M1552" s="1252"/>
      <c r="N1552" s="1255"/>
      <c r="O1552" s="1256"/>
    </row>
    <row r="1553" spans="1:15" s="643" customFormat="1">
      <c r="A1553" s="1391"/>
      <c r="B1553" s="1142"/>
      <c r="C1553" s="150" t="s">
        <v>1794</v>
      </c>
      <c r="D1553" s="64" t="s">
        <v>1</v>
      </c>
      <c r="E1553" s="277">
        <v>1</v>
      </c>
      <c r="F1553" s="282">
        <f>F1552*E1553</f>
        <v>850</v>
      </c>
      <c r="G1553" s="77"/>
      <c r="H1553" s="77"/>
      <c r="I1553" s="77"/>
      <c r="J1553" s="77">
        <f>F1553*I1553</f>
        <v>0</v>
      </c>
      <c r="K1553" s="77"/>
      <c r="L1553" s="77"/>
      <c r="M1553" s="1252">
        <f>H1553+J1553+L1553</f>
        <v>0</v>
      </c>
      <c r="N1553" s="1255"/>
      <c r="O1553" s="1256"/>
    </row>
    <row r="1554" spans="1:15" s="643" customFormat="1">
      <c r="A1554" s="1391"/>
      <c r="B1554" s="1142"/>
      <c r="C1554" s="150" t="s">
        <v>21</v>
      </c>
      <c r="D1554" s="63" t="s">
        <v>11</v>
      </c>
      <c r="E1554" s="277">
        <v>2E-3</v>
      </c>
      <c r="F1554" s="282">
        <f>F1552*E1554</f>
        <v>1.7</v>
      </c>
      <c r="G1554" s="77"/>
      <c r="H1554" s="77"/>
      <c r="I1554" s="77"/>
      <c r="J1554" s="77"/>
      <c r="K1554" s="77"/>
      <c r="L1554" s="77">
        <f>F1554*K1554</f>
        <v>0</v>
      </c>
      <c r="M1554" s="1252">
        <f>H1554+J1554+L1554</f>
        <v>0</v>
      </c>
      <c r="N1554" s="1255"/>
      <c r="O1554" s="1256"/>
    </row>
    <row r="1555" spans="1:15" s="643" customFormat="1">
      <c r="A1555" s="1391"/>
      <c r="B1555" s="1142"/>
      <c r="C1555" s="154" t="s">
        <v>1772</v>
      </c>
      <c r="D1555" s="63" t="s">
        <v>1</v>
      </c>
      <c r="E1555" s="554">
        <v>1.05</v>
      </c>
      <c r="F1555" s="78">
        <f>F1552*E1555</f>
        <v>892.5</v>
      </c>
      <c r="G1555" s="77"/>
      <c r="H1555" s="77">
        <f t="shared" ref="H1555:H1556" si="194">F1555*G1555</f>
        <v>0</v>
      </c>
      <c r="I1555" s="77"/>
      <c r="J1555" s="77"/>
      <c r="K1555" s="77"/>
      <c r="L1555" s="77"/>
      <c r="M1555" s="1252">
        <f>H1555+J1555+L1555</f>
        <v>0</v>
      </c>
      <c r="N1555" s="1255"/>
      <c r="O1555" s="1256"/>
    </row>
    <row r="1556" spans="1:15" s="643" customFormat="1">
      <c r="A1556" s="1392"/>
      <c r="B1556" s="1142"/>
      <c r="C1556" s="150" t="s">
        <v>19</v>
      </c>
      <c r="D1556" s="63" t="s">
        <v>11</v>
      </c>
      <c r="E1556" s="277">
        <v>2E-3</v>
      </c>
      <c r="F1556" s="282">
        <f>F1552*E1556</f>
        <v>1.7</v>
      </c>
      <c r="G1556" s="77"/>
      <c r="H1556" s="77">
        <f t="shared" si="194"/>
        <v>0</v>
      </c>
      <c r="I1556" s="77"/>
      <c r="J1556" s="77"/>
      <c r="K1556" s="77"/>
      <c r="L1556" s="77"/>
      <c r="M1556" s="1252">
        <f>H1556+J1556+L1556</f>
        <v>0</v>
      </c>
      <c r="N1556" s="1255"/>
      <c r="O1556" s="1256"/>
    </row>
    <row r="1557" spans="1:15" ht="47.25">
      <c r="A1557" s="1451" t="s">
        <v>409</v>
      </c>
      <c r="B1557" s="636" t="s">
        <v>1909</v>
      </c>
      <c r="C1557" s="156" t="s">
        <v>1590</v>
      </c>
      <c r="D1557" s="75" t="s">
        <v>5</v>
      </c>
      <c r="E1557" s="83"/>
      <c r="F1557" s="83">
        <v>105</v>
      </c>
      <c r="G1557" s="77"/>
      <c r="H1557" s="77"/>
      <c r="I1557" s="77"/>
      <c r="J1557" s="77"/>
      <c r="K1557" s="77"/>
      <c r="L1557" s="77"/>
      <c r="M1557" s="1252"/>
      <c r="N1557" s="1255"/>
      <c r="O1557" s="1256"/>
    </row>
    <row r="1558" spans="1:15">
      <c r="A1558" s="1452"/>
      <c r="B1558" s="694"/>
      <c r="C1558" s="686" t="s">
        <v>13</v>
      </c>
      <c r="D1558" s="694" t="s">
        <v>15</v>
      </c>
      <c r="E1558" s="639">
        <v>8.9</v>
      </c>
      <c r="F1558" s="91">
        <f>F1557*E1558</f>
        <v>934.5</v>
      </c>
      <c r="G1558" s="87"/>
      <c r="H1558" s="87"/>
      <c r="I1558" s="87"/>
      <c r="J1558" s="87">
        <f>F1558*I1558</f>
        <v>0</v>
      </c>
      <c r="K1558" s="87"/>
      <c r="L1558" s="87"/>
      <c r="M1558" s="1260">
        <f t="shared" ref="M1558:M1563" si="195">H1558+J1558+L1558</f>
        <v>0</v>
      </c>
      <c r="N1558" s="1255"/>
      <c r="O1558" s="1256"/>
    </row>
    <row r="1559" spans="1:15">
      <c r="A1559" s="1452"/>
      <c r="B1559" s="694"/>
      <c r="C1559" s="686" t="s">
        <v>25</v>
      </c>
      <c r="D1559" s="694" t="s">
        <v>11</v>
      </c>
      <c r="E1559" s="639">
        <v>0.21</v>
      </c>
      <c r="F1559" s="91">
        <f>F1557*E1559</f>
        <v>22.05</v>
      </c>
      <c r="G1559" s="87"/>
      <c r="H1559" s="87"/>
      <c r="I1559" s="87"/>
      <c r="J1559" s="87"/>
      <c r="K1559" s="87"/>
      <c r="L1559" s="87">
        <f>F1559*K1559</f>
        <v>0</v>
      </c>
      <c r="M1559" s="1260">
        <f t="shared" si="195"/>
        <v>0</v>
      </c>
      <c r="N1559" s="1255"/>
      <c r="O1559" s="1256"/>
    </row>
    <row r="1560" spans="1:15">
      <c r="A1560" s="1452"/>
      <c r="B1560" s="694"/>
      <c r="C1560" s="681" t="s">
        <v>1579</v>
      </c>
      <c r="D1560" s="694" t="s">
        <v>5</v>
      </c>
      <c r="E1560" s="639">
        <v>1.05</v>
      </c>
      <c r="F1560" s="91">
        <f>F1557*E1560</f>
        <v>110.25</v>
      </c>
      <c r="G1560" s="87"/>
      <c r="H1560" s="87">
        <f>F1560*G1560</f>
        <v>0</v>
      </c>
      <c r="I1560" s="87"/>
      <c r="J1560" s="87"/>
      <c r="K1560" s="87"/>
      <c r="L1560" s="87"/>
      <c r="M1560" s="1260">
        <f t="shared" si="195"/>
        <v>0</v>
      </c>
      <c r="N1560" s="1255"/>
      <c r="O1560" s="1256"/>
    </row>
    <row r="1561" spans="1:15">
      <c r="A1561" s="1452"/>
      <c r="B1561" s="694"/>
      <c r="C1561" s="686" t="s">
        <v>101</v>
      </c>
      <c r="D1561" s="694" t="s">
        <v>4</v>
      </c>
      <c r="E1561" s="639">
        <v>3.5999999999999997E-2</v>
      </c>
      <c r="F1561" s="91">
        <f>F1557*E1561</f>
        <v>3.78</v>
      </c>
      <c r="G1561" s="87"/>
      <c r="H1561" s="87">
        <f>F1561*G1561</f>
        <v>0</v>
      </c>
      <c r="I1561" s="87"/>
      <c r="J1561" s="87"/>
      <c r="K1561" s="87"/>
      <c r="L1561" s="87"/>
      <c r="M1561" s="1260">
        <f t="shared" si="195"/>
        <v>0</v>
      </c>
      <c r="N1561" s="1255"/>
      <c r="O1561" s="1256"/>
    </row>
    <row r="1562" spans="1:15">
      <c r="A1562" s="1452"/>
      <c r="B1562" s="694"/>
      <c r="C1562" s="686" t="s">
        <v>19</v>
      </c>
      <c r="D1562" s="694" t="s">
        <v>11</v>
      </c>
      <c r="E1562" s="639">
        <v>0.09</v>
      </c>
      <c r="F1562" s="91">
        <f>F1557*E1562</f>
        <v>9.4499999999999993</v>
      </c>
      <c r="G1562" s="87"/>
      <c r="H1562" s="87">
        <f>F1562*G1562</f>
        <v>0</v>
      </c>
      <c r="I1562" s="87"/>
      <c r="J1562" s="87"/>
      <c r="K1562" s="87"/>
      <c r="L1562" s="87"/>
      <c r="M1562" s="1260">
        <f t="shared" si="195"/>
        <v>0</v>
      </c>
      <c r="N1562" s="1255"/>
      <c r="O1562" s="1256"/>
    </row>
    <row r="1563" spans="1:15">
      <c r="A1563" s="1453"/>
      <c r="B1563" s="694"/>
      <c r="C1563" s="685" t="s">
        <v>1581</v>
      </c>
      <c r="D1563" s="694" t="s">
        <v>7</v>
      </c>
      <c r="E1563" s="1149">
        <v>1.6999999999999999E-3</v>
      </c>
      <c r="F1563" s="639">
        <f>F1557*E1563</f>
        <v>0.17849999999999999</v>
      </c>
      <c r="G1563" s="81"/>
      <c r="H1563" s="87">
        <f>F1563*G1563</f>
        <v>0</v>
      </c>
      <c r="I1563" s="87"/>
      <c r="J1563" s="87"/>
      <c r="K1563" s="87"/>
      <c r="L1563" s="87"/>
      <c r="M1563" s="1260">
        <f t="shared" si="195"/>
        <v>0</v>
      </c>
      <c r="N1563" s="1255"/>
      <c r="O1563" s="1256"/>
    </row>
    <row r="1564" spans="1:15" ht="31.5">
      <c r="A1564" s="1171" t="s">
        <v>432</v>
      </c>
      <c r="B1564" s="75" t="s">
        <v>34</v>
      </c>
      <c r="C1564" s="156" t="s">
        <v>1679</v>
      </c>
      <c r="D1564" s="75" t="s">
        <v>5</v>
      </c>
      <c r="E1564" s="83"/>
      <c r="F1564" s="83">
        <v>1015</v>
      </c>
      <c r="G1564" s="77"/>
      <c r="H1564" s="491">
        <f>F1564*G1564</f>
        <v>0</v>
      </c>
      <c r="I1564" s="77"/>
      <c r="J1564" s="491">
        <f>F1564*I1564</f>
        <v>0</v>
      </c>
      <c r="K1564" s="77"/>
      <c r="L1564" s="77"/>
      <c r="M1564" s="1271">
        <f>H1564+J1564+L1564</f>
        <v>0</v>
      </c>
      <c r="N1564" s="1255"/>
      <c r="O1564" s="1256"/>
    </row>
    <row r="1565" spans="1:15" hidden="1">
      <c r="A1565" s="1134"/>
      <c r="B1565" s="75"/>
      <c r="C1565" s="157"/>
      <c r="D1565" s="203"/>
      <c r="E1565" s="45"/>
      <c r="F1565" s="45"/>
      <c r="G1565" s="77"/>
      <c r="H1565" s="77"/>
      <c r="I1565" s="77"/>
      <c r="J1565" s="77"/>
      <c r="K1565" s="77"/>
      <c r="L1565" s="77"/>
      <c r="M1565" s="1252"/>
    </row>
    <row r="1566" spans="1:15" hidden="1">
      <c r="A1566" s="1134"/>
      <c r="B1566" s="75"/>
      <c r="C1566" s="157"/>
      <c r="D1566" s="203"/>
      <c r="E1566" s="45"/>
      <c r="F1566" s="45"/>
      <c r="G1566" s="77"/>
      <c r="H1566" s="77"/>
      <c r="I1566" s="77"/>
      <c r="J1566" s="77"/>
      <c r="K1566" s="77"/>
      <c r="L1566" s="77"/>
      <c r="M1566" s="1252"/>
    </row>
    <row r="1567" spans="1:15">
      <c r="A1567" s="740"/>
      <c r="B1567" s="75"/>
      <c r="C1567" s="157"/>
      <c r="D1567" s="203"/>
      <c r="E1567" s="45"/>
      <c r="F1567" s="45"/>
      <c r="G1567" s="77"/>
      <c r="H1567" s="77"/>
      <c r="I1567" s="77"/>
      <c r="J1567" s="77"/>
      <c r="K1567" s="77"/>
      <c r="L1567" s="77"/>
      <c r="M1567" s="1252"/>
    </row>
    <row r="1568" spans="1:15" ht="31.5">
      <c r="A1568" s="1401" t="s">
        <v>456</v>
      </c>
      <c r="B1568" s="34" t="s">
        <v>104</v>
      </c>
      <c r="C1568" s="287" t="s">
        <v>105</v>
      </c>
      <c r="D1568" s="42" t="s">
        <v>7</v>
      </c>
      <c r="E1568" s="1235"/>
      <c r="F1568" s="20">
        <v>50</v>
      </c>
      <c r="G1568" s="77"/>
      <c r="H1568" s="77"/>
      <c r="I1568" s="77"/>
      <c r="J1568" s="77"/>
      <c r="K1568" s="77"/>
      <c r="L1568" s="77"/>
      <c r="M1568" s="1252"/>
    </row>
    <row r="1569" spans="1:14">
      <c r="A1569" s="1401"/>
      <c r="B1569" s="447"/>
      <c r="C1569" s="150" t="s">
        <v>20</v>
      </c>
      <c r="D1569" s="64" t="s">
        <v>15</v>
      </c>
      <c r="E1569" s="277">
        <v>1.85</v>
      </c>
      <c r="F1569" s="78">
        <f>F1568*E1569</f>
        <v>92.5</v>
      </c>
      <c r="G1569" s="146"/>
      <c r="H1569" s="77"/>
      <c r="I1569" s="146"/>
      <c r="J1569" s="77">
        <f>F1569*I1569</f>
        <v>0</v>
      </c>
      <c r="K1569" s="77"/>
      <c r="L1569" s="77"/>
      <c r="M1569" s="1252">
        <f>H1569+J1569+L1569</f>
        <v>0</v>
      </c>
    </row>
    <row r="1570" spans="1:14" ht="31.5">
      <c r="A1570" s="1401"/>
      <c r="B1570" s="34"/>
      <c r="C1570" s="288" t="s">
        <v>106</v>
      </c>
      <c r="D1570" s="42" t="s">
        <v>7</v>
      </c>
      <c r="E1570" s="277"/>
      <c r="F1570" s="109">
        <f>F1568</f>
        <v>50</v>
      </c>
      <c r="G1570" s="146"/>
      <c r="H1570" s="77"/>
      <c r="I1570" s="146"/>
      <c r="J1570" s="77"/>
      <c r="K1570" s="146"/>
      <c r="L1570" s="77"/>
      <c r="M1570" s="1252"/>
    </row>
    <row r="1571" spans="1:14">
      <c r="A1571" s="1401"/>
      <c r="B1571" s="34"/>
      <c r="C1571" s="150" t="s">
        <v>28</v>
      </c>
      <c r="D1571" s="64" t="s">
        <v>15</v>
      </c>
      <c r="E1571" s="277">
        <v>0.53</v>
      </c>
      <c r="F1571" s="78">
        <f>F1570*E1571</f>
        <v>26.5</v>
      </c>
      <c r="G1571" s="146"/>
      <c r="H1571" s="77"/>
      <c r="I1571" s="146"/>
      <c r="J1571" s="77">
        <f>F1571*I1571</f>
        <v>0</v>
      </c>
      <c r="K1571" s="146"/>
      <c r="L1571" s="77"/>
      <c r="M1571" s="1252">
        <f>H1571+J1571+L1571</f>
        <v>0</v>
      </c>
    </row>
    <row r="1572" spans="1:14">
      <c r="A1572" s="1401"/>
      <c r="B1572" s="447" t="s">
        <v>35</v>
      </c>
      <c r="C1572" s="151" t="s">
        <v>1533</v>
      </c>
      <c r="D1572" s="42" t="s">
        <v>7</v>
      </c>
      <c r="E1572" s="277"/>
      <c r="F1572" s="109">
        <f>F1568</f>
        <v>50</v>
      </c>
      <c r="G1572" s="146"/>
      <c r="H1572" s="77"/>
      <c r="I1572" s="146"/>
      <c r="J1572" s="77"/>
      <c r="K1572" s="146"/>
      <c r="L1572" s="77">
        <f>F1572*K1572</f>
        <v>0</v>
      </c>
      <c r="M1572" s="1252">
        <f>H1572+J1572+L1572</f>
        <v>0</v>
      </c>
    </row>
    <row r="1573" spans="1:14">
      <c r="A1573" s="449"/>
      <c r="B1573" s="447"/>
      <c r="C1573" s="696"/>
      <c r="D1573" s="701"/>
      <c r="E1573" s="282"/>
      <c r="F1573" s="282"/>
      <c r="G1573" s="77"/>
      <c r="H1573" s="77"/>
      <c r="I1573" s="77"/>
      <c r="J1573" s="77"/>
      <c r="K1573" s="77"/>
      <c r="L1573" s="448"/>
      <c r="M1573" s="1251"/>
    </row>
    <row r="1574" spans="1:14" hidden="1">
      <c r="A1574" s="449"/>
      <c r="B1574" s="447"/>
      <c r="C1574" s="696"/>
      <c r="D1574" s="701"/>
      <c r="E1574" s="282"/>
      <c r="F1574" s="282"/>
      <c r="G1574" s="77"/>
      <c r="H1574" s="77"/>
      <c r="I1574" s="77"/>
      <c r="J1574" s="77"/>
      <c r="K1574" s="77"/>
      <c r="L1574" s="448"/>
      <c r="M1574" s="1251"/>
    </row>
    <row r="1575" spans="1:14" hidden="1">
      <c r="A1575" s="449"/>
      <c r="B1575" s="447"/>
      <c r="C1575" s="696"/>
      <c r="D1575" s="701"/>
      <c r="E1575" s="282"/>
      <c r="F1575" s="282"/>
      <c r="G1575" s="77"/>
      <c r="H1575" s="77"/>
      <c r="I1575" s="77"/>
      <c r="J1575" s="77"/>
      <c r="K1575" s="77"/>
      <c r="L1575" s="448"/>
      <c r="M1575" s="1251"/>
    </row>
    <row r="1576" spans="1:14" hidden="1">
      <c r="A1576" s="449"/>
      <c r="B1576" s="447"/>
      <c r="C1576" s="696"/>
      <c r="D1576" s="701"/>
      <c r="E1576" s="282"/>
      <c r="F1576" s="282"/>
      <c r="G1576" s="77"/>
      <c r="H1576" s="77"/>
      <c r="I1576" s="77"/>
      <c r="J1576" s="77"/>
      <c r="K1576" s="77"/>
      <c r="L1576" s="448"/>
      <c r="M1576" s="1251"/>
    </row>
    <row r="1577" spans="1:14">
      <c r="A1577" s="697"/>
      <c r="B1577" s="447"/>
      <c r="C1577" s="50"/>
      <c r="D1577" s="63"/>
      <c r="E1577" s="554"/>
      <c r="F1577" s="78"/>
      <c r="G1577" s="448"/>
      <c r="H1577" s="77"/>
      <c r="I1577" s="448"/>
      <c r="J1577" s="77"/>
      <c r="K1577" s="448"/>
      <c r="L1577" s="448"/>
      <c r="M1577" s="1251"/>
    </row>
    <row r="1578" spans="1:14" ht="25.5" customHeight="1">
      <c r="A1578" s="548"/>
      <c r="B1578" s="484"/>
      <c r="C1578" s="104" t="s">
        <v>71</v>
      </c>
      <c r="D1578" s="238"/>
      <c r="E1578" s="244"/>
      <c r="F1578" s="1349"/>
      <c r="G1578" s="1350"/>
      <c r="H1578" s="1350">
        <f>SUM(H7:H1577)</f>
        <v>0</v>
      </c>
      <c r="I1578" s="1350"/>
      <c r="J1578" s="1350">
        <f>SUM(J7:J1577)</f>
        <v>0</v>
      </c>
      <c r="K1578" s="1350"/>
      <c r="L1578" s="1350">
        <f>SUM(L7:L1577)</f>
        <v>0</v>
      </c>
      <c r="M1578" s="1351">
        <f>SUM(M7:M1577)</f>
        <v>0</v>
      </c>
      <c r="N1578" s="1292">
        <f>H1578+J1578+L1578</f>
        <v>0</v>
      </c>
    </row>
    <row r="1579" spans="1:14" ht="31.5">
      <c r="A1579" s="327"/>
      <c r="B1579" s="338"/>
      <c r="C1579" s="787" t="s">
        <v>1134</v>
      </c>
      <c r="D1579" s="338"/>
      <c r="E1579" s="357"/>
      <c r="F1579" s="1370"/>
      <c r="G1579" s="1289"/>
      <c r="H1579" s="1289"/>
      <c r="I1579" s="1289"/>
      <c r="J1579" s="1289"/>
      <c r="K1579" s="1289"/>
      <c r="L1579" s="1289"/>
      <c r="M1579" s="1279">
        <f>H1578*F1579</f>
        <v>0</v>
      </c>
    </row>
    <row r="1580" spans="1:14">
      <c r="A1580" s="327"/>
      <c r="B1580" s="338"/>
      <c r="C1580" s="335" t="s">
        <v>54</v>
      </c>
      <c r="D1580" s="338"/>
      <c r="E1580" s="357"/>
      <c r="F1580" s="357"/>
      <c r="G1580" s="1289"/>
      <c r="H1580" s="1289"/>
      <c r="I1580" s="1289"/>
      <c r="J1580" s="1289"/>
      <c r="K1580" s="1289"/>
      <c r="L1580" s="1289"/>
      <c r="M1580" s="1279">
        <f>M1578+M1579</f>
        <v>0</v>
      </c>
    </row>
    <row r="1581" spans="1:14">
      <c r="A1581" s="358"/>
      <c r="B1581" s="359"/>
      <c r="C1581" s="52" t="s">
        <v>63</v>
      </c>
      <c r="D1581" s="36"/>
      <c r="E1581" s="736"/>
      <c r="F1581" s="1371"/>
      <c r="G1581" s="1290"/>
      <c r="H1581" s="1290"/>
      <c r="I1581" s="1290"/>
      <c r="J1581" s="1290"/>
      <c r="K1581" s="1290"/>
      <c r="L1581" s="1290"/>
      <c r="M1581" s="1280">
        <f>M1580*F1581</f>
        <v>0</v>
      </c>
    </row>
    <row r="1582" spans="1:14">
      <c r="A1582" s="362"/>
      <c r="B1582" s="363"/>
      <c r="C1582" s="335" t="s">
        <v>54</v>
      </c>
      <c r="D1582" s="37"/>
      <c r="E1582" s="737"/>
      <c r="F1582" s="364"/>
      <c r="G1582" s="1291"/>
      <c r="H1582" s="1291"/>
      <c r="I1582" s="1291"/>
      <c r="J1582" s="1291"/>
      <c r="K1582" s="1291"/>
      <c r="L1582" s="1291"/>
      <c r="M1582" s="1281">
        <f>M1580+M1581</f>
        <v>0</v>
      </c>
    </row>
    <row r="1583" spans="1:14" ht="23.25" customHeight="1">
      <c r="A1583" s="362"/>
      <c r="B1583" s="363"/>
      <c r="C1583" s="53" t="s">
        <v>46</v>
      </c>
      <c r="D1583" s="37"/>
      <c r="E1583" s="737"/>
      <c r="F1583" s="1372"/>
      <c r="G1583" s="1291"/>
      <c r="H1583" s="1291"/>
      <c r="I1583" s="1291"/>
      <c r="J1583" s="1291"/>
      <c r="K1583" s="1291"/>
      <c r="L1583" s="1291"/>
      <c r="M1583" s="1281">
        <f>M1582*F1583</f>
        <v>0</v>
      </c>
    </row>
    <row r="1584" spans="1:14">
      <c r="A1584" s="1353"/>
      <c r="B1584" s="1354"/>
      <c r="C1584" s="1341" t="s">
        <v>786</v>
      </c>
      <c r="D1584" s="1355"/>
      <c r="E1584" s="1359"/>
      <c r="F1584" s="1357"/>
      <c r="G1584" s="1358"/>
      <c r="H1584" s="1358"/>
      <c r="I1584" s="1358"/>
      <c r="J1584" s="1358"/>
      <c r="K1584" s="1358"/>
      <c r="L1584" s="1358"/>
      <c r="M1584" s="1360">
        <f>M1582+M1583</f>
        <v>0</v>
      </c>
    </row>
    <row r="1586" spans="2:9">
      <c r="C1586" s="1328"/>
      <c r="D1586" s="18"/>
      <c r="H1586" s="1426"/>
      <c r="I1586" s="1426"/>
    </row>
    <row r="1587" spans="2:9">
      <c r="C1587" s="98"/>
    </row>
    <row r="1588" spans="2:9">
      <c r="B1588" s="727"/>
      <c r="C1588" s="705"/>
      <c r="D1588" s="18"/>
      <c r="E1588" s="1223"/>
    </row>
    <row r="1589" spans="2:9">
      <c r="B1589" s="727"/>
      <c r="C1589" s="705"/>
      <c r="D1589" s="18"/>
      <c r="E1589" s="1223"/>
    </row>
    <row r="1590" spans="2:9">
      <c r="B1590" s="727"/>
      <c r="C1590" s="705"/>
      <c r="D1590" s="18"/>
      <c r="E1590" s="1223"/>
    </row>
    <row r="1591" spans="2:9">
      <c r="B1591" s="727"/>
      <c r="C1591" s="705"/>
      <c r="D1591" s="18"/>
      <c r="E1591" s="1223"/>
    </row>
    <row r="1592" spans="2:9">
      <c r="B1592" s="727"/>
      <c r="C1592" s="705"/>
      <c r="D1592" s="18"/>
      <c r="E1592" s="1223"/>
    </row>
    <row r="1593" spans="2:9">
      <c r="B1593" s="727"/>
      <c r="C1593" s="705"/>
      <c r="D1593" s="18"/>
      <c r="E1593" s="1223"/>
    </row>
  </sheetData>
  <autoFilter ref="A6:O6" xr:uid="{219380AF-0EFA-4ABA-B9C7-FE372BAF1313}"/>
  <mergeCells count="230">
    <mergeCell ref="A1459:A1465"/>
    <mergeCell ref="A1466:A1473"/>
    <mergeCell ref="A1474:A1478"/>
    <mergeCell ref="A1479:A1484"/>
    <mergeCell ref="A1495:A1496"/>
    <mergeCell ref="A462:A474"/>
    <mergeCell ref="A646:A647"/>
    <mergeCell ref="A765:A771"/>
    <mergeCell ref="A772:A778"/>
    <mergeCell ref="A737:A741"/>
    <mergeCell ref="A742:A745"/>
    <mergeCell ref="A615:A620"/>
    <mergeCell ref="A746:A752"/>
    <mergeCell ref="A621:A630"/>
    <mergeCell ref="A631:A635"/>
    <mergeCell ref="A636:A643"/>
    <mergeCell ref="A717:A723"/>
    <mergeCell ref="A706:A711"/>
    <mergeCell ref="A845:A851"/>
    <mergeCell ref="A864:A871"/>
    <mergeCell ref="A877:A883"/>
    <mergeCell ref="A1366:A1374"/>
    <mergeCell ref="A1437:A1444"/>
    <mergeCell ref="A486:A490"/>
    <mergeCell ref="A1557:A1563"/>
    <mergeCell ref="A1076:A1083"/>
    <mergeCell ref="A1084:A1089"/>
    <mergeCell ref="A986:A992"/>
    <mergeCell ref="A993:A1000"/>
    <mergeCell ref="A1001:A1006"/>
    <mergeCell ref="A1052:A1055"/>
    <mergeCell ref="A1056:A1060"/>
    <mergeCell ref="A1490:A1492"/>
    <mergeCell ref="A1493:A1494"/>
    <mergeCell ref="A1069:A1073"/>
    <mergeCell ref="A1025:A1030"/>
    <mergeCell ref="A1010:A1016"/>
    <mergeCell ref="A1017:A1024"/>
    <mergeCell ref="A1031:A1037"/>
    <mergeCell ref="A1340:A1346"/>
    <mergeCell ref="A1354:A1355"/>
    <mergeCell ref="A1356:A1360"/>
    <mergeCell ref="A1361:A1365"/>
    <mergeCell ref="A1452:A1458"/>
    <mergeCell ref="A1445:A1451"/>
    <mergeCell ref="A1038:A1045"/>
    <mergeCell ref="A1172:A1176"/>
    <mergeCell ref="A1308:A1314"/>
    <mergeCell ref="A10:A13"/>
    <mergeCell ref="A14:A17"/>
    <mergeCell ref="A18:A19"/>
    <mergeCell ref="A45:A48"/>
    <mergeCell ref="A21:A23"/>
    <mergeCell ref="A24:A26"/>
    <mergeCell ref="A33:A35"/>
    <mergeCell ref="A28:A30"/>
    <mergeCell ref="A39:A40"/>
    <mergeCell ref="A41:A42"/>
    <mergeCell ref="A36:A38"/>
    <mergeCell ref="A872:A876"/>
    <mergeCell ref="A731:A736"/>
    <mergeCell ref="A673:A679"/>
    <mergeCell ref="A1332:A1333"/>
    <mergeCell ref="A1335:A1339"/>
    <mergeCell ref="A1229:A1238"/>
    <mergeCell ref="A1244:A1251"/>
    <mergeCell ref="A1259:A1263"/>
    <mergeCell ref="A1264:A1270"/>
    <mergeCell ref="A1271:A1276"/>
    <mergeCell ref="A1277:A1281"/>
    <mergeCell ref="A948:A952"/>
    <mergeCell ref="A965:A972"/>
    <mergeCell ref="A687:A693"/>
    <mergeCell ref="A694:A697"/>
    <mergeCell ref="A1177:A1183"/>
    <mergeCell ref="A935:A940"/>
    <mergeCell ref="A931:A934"/>
    <mergeCell ref="A724:A730"/>
    <mergeCell ref="A680:A686"/>
    <mergeCell ref="A648:A649"/>
    <mergeCell ref="A579:A583"/>
    <mergeCell ref="A590:A594"/>
    <mergeCell ref="A595:A600"/>
    <mergeCell ref="A606:A614"/>
    <mergeCell ref="A800:A804"/>
    <mergeCell ref="A805:A809"/>
    <mergeCell ref="A663:A671"/>
    <mergeCell ref="A753:A759"/>
    <mergeCell ref="A698:A705"/>
    <mergeCell ref="A760:A764"/>
    <mergeCell ref="A779:A783"/>
    <mergeCell ref="A651:A655"/>
    <mergeCell ref="A656:A662"/>
    <mergeCell ref="A322:A330"/>
    <mergeCell ref="A331:A339"/>
    <mergeCell ref="A341:A345"/>
    <mergeCell ref="A346:A350"/>
    <mergeCell ref="A351:A359"/>
    <mergeCell ref="A542:A549"/>
    <mergeCell ref="A423:A432"/>
    <mergeCell ref="A433:A442"/>
    <mergeCell ref="A443:A452"/>
    <mergeCell ref="A475:A485"/>
    <mergeCell ref="A453:A456"/>
    <mergeCell ref="A457:A461"/>
    <mergeCell ref="A402:A411"/>
    <mergeCell ref="A392:A396"/>
    <mergeCell ref="A397:A401"/>
    <mergeCell ref="A380:A390"/>
    <mergeCell ref="A413:A422"/>
    <mergeCell ref="A491:A500"/>
    <mergeCell ref="A232:A240"/>
    <mergeCell ref="A241:A249"/>
    <mergeCell ref="A163:A172"/>
    <mergeCell ref="A184:A193"/>
    <mergeCell ref="A535:A540"/>
    <mergeCell ref="A502:A534"/>
    <mergeCell ref="A601:A605"/>
    <mergeCell ref="A565:A572"/>
    <mergeCell ref="A573:A578"/>
    <mergeCell ref="A550:A559"/>
    <mergeCell ref="A560:A564"/>
    <mergeCell ref="A361:A365"/>
    <mergeCell ref="A366:A370"/>
    <mergeCell ref="A371:A379"/>
    <mergeCell ref="A250:A258"/>
    <mergeCell ref="A259:A267"/>
    <mergeCell ref="A268:A276"/>
    <mergeCell ref="A277:A285"/>
    <mergeCell ref="A286:A294"/>
    <mergeCell ref="A295:A303"/>
    <mergeCell ref="A223:A231"/>
    <mergeCell ref="A218:A222"/>
    <mergeCell ref="A304:A312"/>
    <mergeCell ref="A313:A321"/>
    <mergeCell ref="A1:M1"/>
    <mergeCell ref="A2:M2"/>
    <mergeCell ref="A3:M3"/>
    <mergeCell ref="A4:A5"/>
    <mergeCell ref="B4:B5"/>
    <mergeCell ref="C4:C5"/>
    <mergeCell ref="D4:D5"/>
    <mergeCell ref="G4:H4"/>
    <mergeCell ref="I4:J4"/>
    <mergeCell ref="K4:L4"/>
    <mergeCell ref="M4:M5"/>
    <mergeCell ref="E4:F4"/>
    <mergeCell ref="H1586:I1586"/>
    <mergeCell ref="A1092:A1093"/>
    <mergeCell ref="A1094:A1098"/>
    <mergeCell ref="A1099:A1103"/>
    <mergeCell ref="A1104:A1112"/>
    <mergeCell ref="A1113:A1122"/>
    <mergeCell ref="A1123:A1132"/>
    <mergeCell ref="A1133:A1141"/>
    <mergeCell ref="A1142:A1152"/>
    <mergeCell ref="A1154:A1157"/>
    <mergeCell ref="A1184:A1193"/>
    <mergeCell ref="A1209:A1216"/>
    <mergeCell ref="A1221:A1228"/>
    <mergeCell ref="A1239:A1243"/>
    <mergeCell ref="A1282:A1288"/>
    <mergeCell ref="A1217:A1220"/>
    <mergeCell ref="A1252:A1258"/>
    <mergeCell ref="A1347:A1351"/>
    <mergeCell ref="A1289:A1293"/>
    <mergeCell ref="A1294:A1300"/>
    <mergeCell ref="A1301:A1307"/>
    <mergeCell ref="A1315:A1320"/>
    <mergeCell ref="A1321:A1328"/>
    <mergeCell ref="A1568:A1572"/>
    <mergeCell ref="A76:A80"/>
    <mergeCell ref="A156:A161"/>
    <mergeCell ref="A151:A155"/>
    <mergeCell ref="A211:A217"/>
    <mergeCell ref="A91:A95"/>
    <mergeCell ref="A96:A100"/>
    <mergeCell ref="A111:A115"/>
    <mergeCell ref="A116:A120"/>
    <mergeCell ref="A131:A135"/>
    <mergeCell ref="A173:A182"/>
    <mergeCell ref="A194:A203"/>
    <mergeCell ref="A50:A57"/>
    <mergeCell ref="A62:A65"/>
    <mergeCell ref="A101:A109"/>
    <mergeCell ref="A121:A129"/>
    <mergeCell ref="A136:A140"/>
    <mergeCell ref="A206:A210"/>
    <mergeCell ref="A1194:A1200"/>
    <mergeCell ref="A1201:A1208"/>
    <mergeCell ref="A712:A716"/>
    <mergeCell ref="A1062:A1068"/>
    <mergeCell ref="A941:A947"/>
    <mergeCell ref="A66:A67"/>
    <mergeCell ref="A71:A75"/>
    <mergeCell ref="A958:A964"/>
    <mergeCell ref="A897:A902"/>
    <mergeCell ref="A859:A863"/>
    <mergeCell ref="A810:A816"/>
    <mergeCell ref="A892:A896"/>
    <mergeCell ref="A884:A891"/>
    <mergeCell ref="A817:A823"/>
    <mergeCell ref="A784:A799"/>
    <mergeCell ref="A81:A89"/>
    <mergeCell ref="A141:A150"/>
    <mergeCell ref="A584:A588"/>
    <mergeCell ref="A1499:A1508"/>
    <mergeCell ref="A1509:A1518"/>
    <mergeCell ref="A1519:A1528"/>
    <mergeCell ref="A1552:A1556"/>
    <mergeCell ref="A1529:A1538"/>
    <mergeCell ref="A1539:A1551"/>
    <mergeCell ref="A908:A912"/>
    <mergeCell ref="A852:A858"/>
    <mergeCell ref="A824:A830"/>
    <mergeCell ref="A838:A844"/>
    <mergeCell ref="A831:A837"/>
    <mergeCell ref="A903:A907"/>
    <mergeCell ref="A1158:A1162"/>
    <mergeCell ref="A1163:A1171"/>
    <mergeCell ref="A913:A918"/>
    <mergeCell ref="A973:A979"/>
    <mergeCell ref="A980:A984"/>
    <mergeCell ref="A919:A923"/>
    <mergeCell ref="A925:A930"/>
    <mergeCell ref="A1375:A1430"/>
    <mergeCell ref="A1431:A1436"/>
    <mergeCell ref="A1046:A1051"/>
    <mergeCell ref="A953:A957"/>
    <mergeCell ref="A1330:A1331"/>
  </mergeCells>
  <conditionalFormatting sqref="C981:D981">
    <cfRule type="cellIs" dxfId="8" priority="2" stopIfTrue="1" operator="equal">
      <formula>8223.307275</formula>
    </cfRule>
  </conditionalFormatting>
  <conditionalFormatting sqref="C920:D920">
    <cfRule type="cellIs" dxfId="7" priority="1" stopIfTrue="1" operator="equal">
      <formula>8223.307275</formula>
    </cfRule>
  </conditionalFormatting>
  <pageMargins left="0.35433070866141736" right="0.15748031496062992" top="0.51181102362204722" bottom="0.31496062992125984" header="0.39370078740157483" footer="0.15748031496062992"/>
  <pageSetup paperSize="9" scale="80" orientation="landscape" r:id="rId1"/>
  <headerFooter>
    <oddHeader>&amp;R&amp;P--&amp;N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99"/>
  </sheetPr>
  <dimension ref="A1:O356"/>
  <sheetViews>
    <sheetView zoomScale="110" zoomScaleNormal="110" workbookViewId="0">
      <pane xSplit="3" ySplit="6" topLeftCell="D249" activePane="bottomRight" state="frozen"/>
      <selection pane="topRight" activeCell="D1" sqref="D1"/>
      <selection pane="bottomLeft" activeCell="A7" sqref="A7"/>
      <selection pane="bottomRight" activeCell="M253" sqref="M253"/>
    </sheetView>
  </sheetViews>
  <sheetFormatPr defaultColWidth="8.875" defaultRowHeight="15.75"/>
  <cols>
    <col min="1" max="1" width="6.75" style="38" customWidth="1"/>
    <col min="2" max="2" width="10.25" style="38" customWidth="1"/>
    <col min="3" max="3" width="54" style="2" customWidth="1"/>
    <col min="4" max="4" width="10.75" style="38" customWidth="1"/>
    <col min="5" max="5" width="10.625" style="285" customWidth="1"/>
    <col min="6" max="6" width="12" style="272" customWidth="1"/>
    <col min="7" max="13" width="13" style="923" customWidth="1"/>
    <col min="14" max="14" width="18" style="16" hidden="1" customWidth="1"/>
    <col min="15" max="15" width="36.625" style="16" hidden="1" customWidth="1"/>
    <col min="16" max="16384" width="8.875" style="16"/>
  </cols>
  <sheetData>
    <row r="1" spans="1:15" ht="33" customHeight="1">
      <c r="A1" s="1437" t="str">
        <f>krebsiti!A3</f>
        <v>q.borjomi fexburTis centraluri stadioni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042" t="s">
        <v>1482</v>
      </c>
    </row>
    <row r="2" spans="1:15">
      <c r="A2" s="1437" t="s">
        <v>73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</row>
    <row r="3" spans="1:15">
      <c r="A3" s="1437" t="s">
        <v>1118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</row>
    <row r="4" spans="1:15" ht="31.5" customHeight="1">
      <c r="A4" s="1470" t="s">
        <v>0</v>
      </c>
      <c r="B4" s="1472" t="s">
        <v>789</v>
      </c>
      <c r="C4" s="1472" t="s">
        <v>790</v>
      </c>
      <c r="D4" s="1472" t="s">
        <v>791</v>
      </c>
      <c r="E4" s="1444" t="s">
        <v>209</v>
      </c>
      <c r="F4" s="1445"/>
      <c r="G4" s="1440" t="s">
        <v>208</v>
      </c>
      <c r="H4" s="1441"/>
      <c r="I4" s="1440" t="s">
        <v>792</v>
      </c>
      <c r="J4" s="1441"/>
      <c r="K4" s="1440" t="s">
        <v>17</v>
      </c>
      <c r="L4" s="1441"/>
      <c r="M4" s="1474" t="s">
        <v>425</v>
      </c>
    </row>
    <row r="5" spans="1:15" ht="30" customHeight="1">
      <c r="A5" s="1471"/>
      <c r="B5" s="1473"/>
      <c r="C5" s="1473"/>
      <c r="D5" s="1473"/>
      <c r="E5" s="949" t="s">
        <v>210</v>
      </c>
      <c r="F5" s="949" t="s">
        <v>9</v>
      </c>
      <c r="G5" s="448" t="s">
        <v>793</v>
      </c>
      <c r="H5" s="448" t="s">
        <v>9</v>
      </c>
      <c r="I5" s="448" t="s">
        <v>793</v>
      </c>
      <c r="J5" s="448" t="s">
        <v>9</v>
      </c>
      <c r="K5" s="448" t="s">
        <v>793</v>
      </c>
      <c r="L5" s="448" t="s">
        <v>9</v>
      </c>
      <c r="M5" s="1475"/>
    </row>
    <row r="6" spans="1:15">
      <c r="A6" s="929">
        <v>1</v>
      </c>
      <c r="B6" s="281">
        <v>2</v>
      </c>
      <c r="C6" s="945">
        <v>3</v>
      </c>
      <c r="D6" s="945">
        <v>4</v>
      </c>
      <c r="E6" s="949">
        <v>5</v>
      </c>
      <c r="F6" s="945">
        <v>6</v>
      </c>
      <c r="G6" s="949">
        <v>7</v>
      </c>
      <c r="H6" s="945">
        <v>8</v>
      </c>
      <c r="I6" s="949">
        <v>9</v>
      </c>
      <c r="J6" s="945">
        <v>10</v>
      </c>
      <c r="K6" s="949">
        <v>11</v>
      </c>
      <c r="L6" s="945">
        <v>12</v>
      </c>
      <c r="M6" s="949">
        <v>13</v>
      </c>
    </row>
    <row r="7" spans="1:15" ht="30.75" customHeight="1">
      <c r="A7" s="377" t="s">
        <v>1119</v>
      </c>
      <c r="B7" s="377"/>
      <c r="C7" s="375" t="s">
        <v>1118</v>
      </c>
      <c r="D7" s="377"/>
      <c r="E7" s="378"/>
      <c r="F7" s="382"/>
      <c r="G7" s="77"/>
      <c r="H7" s="448"/>
      <c r="I7" s="448"/>
      <c r="J7" s="448"/>
      <c r="K7" s="448"/>
      <c r="L7" s="448"/>
      <c r="M7" s="448"/>
    </row>
    <row r="8" spans="1:15" ht="24.75" customHeight="1">
      <c r="A8" s="812" t="s">
        <v>429</v>
      </c>
      <c r="B8" s="812"/>
      <c r="C8" s="813" t="s">
        <v>202</v>
      </c>
      <c r="D8" s="812"/>
      <c r="E8" s="814"/>
      <c r="F8" s="815"/>
      <c r="G8" s="77"/>
      <c r="H8" s="448"/>
      <c r="I8" s="448"/>
      <c r="J8" s="448"/>
      <c r="K8" s="448"/>
      <c r="L8" s="448"/>
      <c r="M8" s="448"/>
    </row>
    <row r="9" spans="1:15">
      <c r="A9" s="181"/>
      <c r="B9" s="181"/>
      <c r="C9" s="177" t="s">
        <v>492</v>
      </c>
      <c r="D9" s="181"/>
      <c r="E9" s="182"/>
      <c r="F9" s="91"/>
      <c r="G9" s="180"/>
      <c r="H9" s="180"/>
      <c r="I9" s="180"/>
      <c r="J9" s="180"/>
      <c r="K9" s="180"/>
      <c r="L9" s="180"/>
      <c r="M9" s="180"/>
    </row>
    <row r="10" spans="1:15" ht="47.25">
      <c r="A10" s="1457">
        <v>1</v>
      </c>
      <c r="B10" s="178" t="s">
        <v>493</v>
      </c>
      <c r="C10" s="289" t="s">
        <v>494</v>
      </c>
      <c r="D10" s="178" t="s">
        <v>495</v>
      </c>
      <c r="E10" s="179"/>
      <c r="F10" s="380">
        <f>(100+1.5)*0.25*0.7/1000</f>
        <v>1.7762500000000001E-2</v>
      </c>
      <c r="G10" s="180"/>
      <c r="H10" s="180"/>
      <c r="I10" s="180"/>
      <c r="J10" s="180"/>
      <c r="K10" s="180"/>
      <c r="L10" s="180"/>
      <c r="M10" s="180"/>
      <c r="O10" s="16" t="s">
        <v>1359</v>
      </c>
    </row>
    <row r="11" spans="1:15" s="215" customFormat="1">
      <c r="A11" s="1458"/>
      <c r="B11" s="181"/>
      <c r="C11" s="195" t="s">
        <v>189</v>
      </c>
      <c r="D11" s="181" t="s">
        <v>15</v>
      </c>
      <c r="E11" s="182">
        <v>15.4</v>
      </c>
      <c r="F11" s="91">
        <f>F10*E11</f>
        <v>0.27354250000000002</v>
      </c>
      <c r="G11" s="180"/>
      <c r="H11" s="180"/>
      <c r="I11" s="180"/>
      <c r="J11" s="180">
        <f>F11*I11</f>
        <v>0</v>
      </c>
      <c r="K11" s="180"/>
      <c r="L11" s="180"/>
      <c r="M11" s="180">
        <f t="shared" ref="M11:M26" si="0">H11+J11+L11</f>
        <v>0</v>
      </c>
    </row>
    <row r="12" spans="1:15" s="215" customFormat="1">
      <c r="A12" s="1459"/>
      <c r="B12" s="183" t="s">
        <v>384</v>
      </c>
      <c r="C12" s="195" t="s">
        <v>496</v>
      </c>
      <c r="D12" s="181" t="s">
        <v>212</v>
      </c>
      <c r="E12" s="182">
        <v>72.599999999999994</v>
      </c>
      <c r="F12" s="91">
        <f>F10*E12</f>
        <v>1.2895574999999999</v>
      </c>
      <c r="G12" s="180"/>
      <c r="H12" s="180"/>
      <c r="I12" s="180"/>
      <c r="J12" s="180"/>
      <c r="K12" s="180"/>
      <c r="L12" s="180">
        <f>F12*K12</f>
        <v>0</v>
      </c>
      <c r="M12" s="180">
        <f t="shared" si="0"/>
        <v>0</v>
      </c>
    </row>
    <row r="13" spans="1:15" s="215" customFormat="1">
      <c r="A13" s="1457">
        <v>3</v>
      </c>
      <c r="B13" s="178" t="s">
        <v>247</v>
      </c>
      <c r="C13" s="289" t="s">
        <v>497</v>
      </c>
      <c r="D13" s="178" t="s">
        <v>4</v>
      </c>
      <c r="E13" s="179"/>
      <c r="F13" s="380">
        <f>(F10*1000)*10%</f>
        <v>1.7762500000000001</v>
      </c>
      <c r="G13" s="180"/>
      <c r="H13" s="180"/>
      <c r="I13" s="180"/>
      <c r="J13" s="180"/>
      <c r="K13" s="180"/>
      <c r="L13" s="180"/>
      <c r="M13" s="180"/>
    </row>
    <row r="14" spans="1:15" s="215" customFormat="1">
      <c r="A14" s="1459"/>
      <c r="B14" s="181"/>
      <c r="C14" s="195" t="s">
        <v>410</v>
      </c>
      <c r="D14" s="181" t="s">
        <v>411</v>
      </c>
      <c r="E14" s="182">
        <v>2.06</v>
      </c>
      <c r="F14" s="91">
        <f>F13*E14</f>
        <v>3.6590750000000005</v>
      </c>
      <c r="G14" s="180"/>
      <c r="H14" s="180"/>
      <c r="I14" s="180"/>
      <c r="J14" s="180">
        <f>F14*I14</f>
        <v>0</v>
      </c>
      <c r="K14" s="180"/>
      <c r="L14" s="180"/>
      <c r="M14" s="180">
        <f t="shared" si="0"/>
        <v>0</v>
      </c>
    </row>
    <row r="15" spans="1:15" s="215" customFormat="1">
      <c r="A15" s="1457">
        <v>4</v>
      </c>
      <c r="B15" s="178" t="s">
        <v>498</v>
      </c>
      <c r="C15" s="289" t="s">
        <v>499</v>
      </c>
      <c r="D15" s="178" t="s">
        <v>412</v>
      </c>
      <c r="E15" s="179"/>
      <c r="F15" s="380">
        <f>(100+150)*0.25*0.25</f>
        <v>15.625</v>
      </c>
      <c r="G15" s="180"/>
      <c r="H15" s="180"/>
      <c r="I15" s="180"/>
      <c r="J15" s="180"/>
      <c r="K15" s="180"/>
      <c r="L15" s="180"/>
      <c r="M15" s="180"/>
    </row>
    <row r="16" spans="1:15" s="215" customFormat="1">
      <c r="A16" s="1458"/>
      <c r="B16" s="181"/>
      <c r="C16" s="195" t="s">
        <v>189</v>
      </c>
      <c r="D16" s="181" t="s">
        <v>15</v>
      </c>
      <c r="E16" s="182">
        <v>1.8</v>
      </c>
      <c r="F16" s="91">
        <f>F15*E16</f>
        <v>28.125</v>
      </c>
      <c r="G16" s="180"/>
      <c r="H16" s="180"/>
      <c r="I16" s="180"/>
      <c r="J16" s="180">
        <f>F16*I16</f>
        <v>0</v>
      </c>
      <c r="K16" s="180"/>
      <c r="L16" s="180"/>
      <c r="M16" s="180">
        <f t="shared" si="0"/>
        <v>0</v>
      </c>
    </row>
    <row r="17" spans="1:13" s="215" customFormat="1">
      <c r="A17" s="1459"/>
      <c r="B17" s="181"/>
      <c r="C17" s="195" t="s">
        <v>500</v>
      </c>
      <c r="D17" s="181" t="s">
        <v>412</v>
      </c>
      <c r="E17" s="182">
        <v>1.1000000000000001</v>
      </c>
      <c r="F17" s="91">
        <f>F15*E17</f>
        <v>17.1875</v>
      </c>
      <c r="G17" s="180"/>
      <c r="H17" s="180">
        <f>F17*G17</f>
        <v>0</v>
      </c>
      <c r="I17" s="180"/>
      <c r="J17" s="180"/>
      <c r="K17" s="180"/>
      <c r="L17" s="180"/>
      <c r="M17" s="180">
        <f t="shared" si="0"/>
        <v>0</v>
      </c>
    </row>
    <row r="18" spans="1:13" s="215" customFormat="1">
      <c r="A18" s="1457">
        <v>6</v>
      </c>
      <c r="B18" s="178" t="s">
        <v>1100</v>
      </c>
      <c r="C18" s="289" t="s">
        <v>501</v>
      </c>
      <c r="D18" s="178" t="s">
        <v>201</v>
      </c>
      <c r="E18" s="179"/>
      <c r="F18" s="380">
        <f>100+150</f>
        <v>250</v>
      </c>
      <c r="G18" s="180"/>
      <c r="H18" s="180"/>
      <c r="I18" s="180"/>
      <c r="J18" s="180"/>
      <c r="K18" s="180"/>
      <c r="L18" s="180"/>
      <c r="M18" s="180"/>
    </row>
    <row r="19" spans="1:13" s="215" customFormat="1">
      <c r="A19" s="1458"/>
      <c r="B19" s="181"/>
      <c r="C19" s="195" t="s">
        <v>189</v>
      </c>
      <c r="D19" s="181" t="s">
        <v>201</v>
      </c>
      <c r="E19" s="182">
        <v>1.0999999999999999E-2</v>
      </c>
      <c r="F19" s="91">
        <f>F18*E19</f>
        <v>2.75</v>
      </c>
      <c r="G19" s="180"/>
      <c r="H19" s="180"/>
      <c r="I19" s="180"/>
      <c r="J19" s="180">
        <f>F19*I19</f>
        <v>0</v>
      </c>
      <c r="K19" s="180"/>
      <c r="L19" s="180"/>
      <c r="M19" s="180">
        <f t="shared" si="0"/>
        <v>0</v>
      </c>
    </row>
    <row r="20" spans="1:13" s="215" customFormat="1">
      <c r="A20" s="1459"/>
      <c r="B20" s="184"/>
      <c r="C20" s="195" t="s">
        <v>502</v>
      </c>
      <c r="D20" s="181" t="s">
        <v>201</v>
      </c>
      <c r="E20" s="182"/>
      <c r="F20" s="91">
        <f>F18</f>
        <v>250</v>
      </c>
      <c r="G20" s="180"/>
      <c r="H20" s="180">
        <f>F20*G20</f>
        <v>0</v>
      </c>
      <c r="I20" s="180"/>
      <c r="J20" s="180"/>
      <c r="K20" s="180"/>
      <c r="L20" s="180"/>
      <c r="M20" s="180">
        <f t="shared" si="0"/>
        <v>0</v>
      </c>
    </row>
    <row r="21" spans="1:13" s="215" customFormat="1">
      <c r="A21" s="1457">
        <v>7</v>
      </c>
      <c r="B21" s="178" t="s">
        <v>503</v>
      </c>
      <c r="C21" s="289" t="s">
        <v>504</v>
      </c>
      <c r="D21" s="178" t="s">
        <v>505</v>
      </c>
      <c r="E21" s="179"/>
      <c r="F21" s="380">
        <f>(100+150)*0.25*(0.75-0.25)</f>
        <v>31.25</v>
      </c>
      <c r="G21" s="180"/>
      <c r="H21" s="180"/>
      <c r="I21" s="180"/>
      <c r="J21" s="180"/>
      <c r="K21" s="180"/>
      <c r="L21" s="180"/>
      <c r="M21" s="180"/>
    </row>
    <row r="22" spans="1:13" s="215" customFormat="1">
      <c r="A22" s="1459"/>
      <c r="B22" s="181"/>
      <c r="C22" s="384" t="s">
        <v>189</v>
      </c>
      <c r="D22" s="181" t="s">
        <v>15</v>
      </c>
      <c r="E22" s="182">
        <v>1.21</v>
      </c>
      <c r="F22" s="91">
        <f>F21*E22</f>
        <v>37.8125</v>
      </c>
      <c r="G22" s="180"/>
      <c r="H22" s="180"/>
      <c r="I22" s="180"/>
      <c r="J22" s="180">
        <f>F22*I22</f>
        <v>0</v>
      </c>
      <c r="K22" s="180"/>
      <c r="L22" s="180"/>
      <c r="M22" s="180">
        <f t="shared" si="0"/>
        <v>0</v>
      </c>
    </row>
    <row r="23" spans="1:13" s="215" customFormat="1" ht="31.5">
      <c r="A23" s="1457">
        <v>9</v>
      </c>
      <c r="B23" s="781" t="s">
        <v>864</v>
      </c>
      <c r="C23" s="290" t="s">
        <v>506</v>
      </c>
      <c r="D23" s="186" t="s">
        <v>4</v>
      </c>
      <c r="E23" s="179"/>
      <c r="F23" s="380">
        <f>F10*1000-F15</f>
        <v>2.1374999999999993</v>
      </c>
      <c r="G23" s="180"/>
      <c r="H23" s="180"/>
      <c r="I23" s="180"/>
      <c r="J23" s="180"/>
      <c r="K23" s="180"/>
      <c r="L23" s="180"/>
      <c r="M23" s="180"/>
    </row>
    <row r="24" spans="1:13" s="215" customFormat="1">
      <c r="A24" s="1458"/>
      <c r="B24" s="927"/>
      <c r="C24" s="291"/>
      <c r="D24" s="186" t="s">
        <v>233</v>
      </c>
      <c r="E24" s="182">
        <v>1.95</v>
      </c>
      <c r="F24" s="380">
        <f>F23*E24</f>
        <v>4.1681249999999981</v>
      </c>
      <c r="G24" s="180"/>
      <c r="H24" s="180"/>
      <c r="I24" s="180"/>
      <c r="J24" s="180"/>
      <c r="K24" s="180"/>
      <c r="L24" s="180"/>
      <c r="M24" s="180"/>
    </row>
    <row r="25" spans="1:13" s="215" customFormat="1">
      <c r="A25" s="1459"/>
      <c r="B25" s="921"/>
      <c r="C25" s="142" t="s">
        <v>20</v>
      </c>
      <c r="D25" s="921" t="s">
        <v>15</v>
      </c>
      <c r="E25" s="948">
        <v>0.53</v>
      </c>
      <c r="F25" s="709">
        <f>F24*E25</f>
        <v>2.2091062499999992</v>
      </c>
      <c r="G25" s="80"/>
      <c r="H25" s="87"/>
      <c r="I25" s="87"/>
      <c r="J25" s="87">
        <f>F25*I25</f>
        <v>0</v>
      </c>
      <c r="K25" s="87"/>
      <c r="L25" s="87"/>
      <c r="M25" s="87">
        <f>H25+J25+L25</f>
        <v>0</v>
      </c>
    </row>
    <row r="26" spans="1:13" s="215" customFormat="1">
      <c r="A26" s="925">
        <v>10</v>
      </c>
      <c r="B26" s="898" t="s">
        <v>35</v>
      </c>
      <c r="C26" s="289" t="s">
        <v>1360</v>
      </c>
      <c r="D26" s="181" t="s">
        <v>233</v>
      </c>
      <c r="E26" s="182"/>
      <c r="F26" s="380">
        <f>F24</f>
        <v>4.1681249999999981</v>
      </c>
      <c r="G26" s="188"/>
      <c r="H26" s="180"/>
      <c r="I26" s="188"/>
      <c r="J26" s="180"/>
      <c r="K26" s="180"/>
      <c r="L26" s="180">
        <f>F26*K26</f>
        <v>0</v>
      </c>
      <c r="M26" s="180">
        <f t="shared" si="0"/>
        <v>0</v>
      </c>
    </row>
    <row r="27" spans="1:13" s="215" customFormat="1">
      <c r="A27" s="897"/>
      <c r="B27" s="897"/>
      <c r="C27" s="780" t="s">
        <v>1145</v>
      </c>
      <c r="D27" s="1081" t="s">
        <v>2</v>
      </c>
      <c r="E27" s="1082"/>
      <c r="F27" s="1083">
        <v>12</v>
      </c>
      <c r="G27" s="556"/>
      <c r="H27" s="87"/>
      <c r="I27" s="213"/>
      <c r="J27" s="87"/>
      <c r="K27" s="214"/>
      <c r="L27" s="87"/>
      <c r="M27" s="87"/>
    </row>
    <row r="28" spans="1:13" s="215" customFormat="1">
      <c r="A28" s="1390" t="s">
        <v>429</v>
      </c>
      <c r="B28" s="44" t="s">
        <v>335</v>
      </c>
      <c r="C28" s="287" t="s">
        <v>942</v>
      </c>
      <c r="D28" s="42" t="s">
        <v>4</v>
      </c>
      <c r="E28" s="981"/>
      <c r="F28" s="707">
        <f>0.5*0.5*1.3*F27</f>
        <v>3.9000000000000004</v>
      </c>
      <c r="G28" s="77"/>
      <c r="H28" s="448"/>
      <c r="I28" s="448"/>
      <c r="J28" s="448"/>
      <c r="K28" s="448"/>
      <c r="L28" s="448"/>
      <c r="M28" s="448"/>
    </row>
    <row r="29" spans="1:13" s="215" customFormat="1">
      <c r="A29" s="1392"/>
      <c r="B29" s="181"/>
      <c r="C29" s="195" t="s">
        <v>410</v>
      </c>
      <c r="D29" s="551" t="s">
        <v>15</v>
      </c>
      <c r="E29" s="182">
        <v>3.88</v>
      </c>
      <c r="F29" s="91">
        <f>F28*E29</f>
        <v>15.132000000000001</v>
      </c>
      <c r="G29" s="180"/>
      <c r="H29" s="180"/>
      <c r="I29" s="180"/>
      <c r="J29" s="180">
        <f>F29*I29</f>
        <v>0</v>
      </c>
      <c r="K29" s="180"/>
      <c r="L29" s="180"/>
      <c r="M29" s="180">
        <f>H29+J29+L29</f>
        <v>0</v>
      </c>
    </row>
    <row r="30" spans="1:13" s="215" customFormat="1" ht="31.5">
      <c r="A30" s="1390" t="s">
        <v>430</v>
      </c>
      <c r="B30" s="781" t="s">
        <v>864</v>
      </c>
      <c r="C30" s="140" t="s">
        <v>865</v>
      </c>
      <c r="D30" s="44" t="s">
        <v>250</v>
      </c>
      <c r="E30" s="982"/>
      <c r="F30" s="723">
        <f>F28*1.95</f>
        <v>7.6050000000000004</v>
      </c>
      <c r="G30" s="80"/>
      <c r="H30" s="87"/>
      <c r="I30" s="87"/>
      <c r="J30" s="87"/>
      <c r="K30" s="87"/>
      <c r="L30" s="87"/>
      <c r="M30" s="87"/>
    </row>
    <row r="31" spans="1:13" s="215" customFormat="1">
      <c r="A31" s="1392"/>
      <c r="B31" s="921"/>
      <c r="C31" s="142" t="s">
        <v>20</v>
      </c>
      <c r="D31" s="921" t="s">
        <v>15</v>
      </c>
      <c r="E31" s="948">
        <v>0.53</v>
      </c>
      <c r="F31" s="709">
        <f>F30*E31</f>
        <v>4.0306500000000005</v>
      </c>
      <c r="G31" s="80"/>
      <c r="H31" s="87"/>
      <c r="I31" s="87"/>
      <c r="J31" s="87">
        <f>F31*I31</f>
        <v>0</v>
      </c>
      <c r="K31" s="87"/>
      <c r="L31" s="87"/>
      <c r="M31" s="87">
        <f>H31+J31+L31</f>
        <v>0</v>
      </c>
    </row>
    <row r="32" spans="1:13" s="215" customFormat="1" ht="31.5">
      <c r="A32" s="915" t="s">
        <v>83</v>
      </c>
      <c r="B32" s="44" t="s">
        <v>891</v>
      </c>
      <c r="C32" s="140" t="s">
        <v>1418</v>
      </c>
      <c r="D32" s="44" t="s">
        <v>7</v>
      </c>
      <c r="E32" s="983"/>
      <c r="F32" s="723">
        <f>F30</f>
        <v>7.6050000000000004</v>
      </c>
      <c r="G32" s="80"/>
      <c r="H32" s="87"/>
      <c r="I32" s="87"/>
      <c r="J32" s="87"/>
      <c r="K32" s="146"/>
      <c r="L32" s="87">
        <f>F32*K32</f>
        <v>0</v>
      </c>
      <c r="M32" s="87">
        <f>H32+J32+L32</f>
        <v>0</v>
      </c>
    </row>
    <row r="33" spans="1:14" s="215" customFormat="1" ht="31.5">
      <c r="A33" s="1390" t="s">
        <v>431</v>
      </c>
      <c r="B33" s="44" t="s">
        <v>252</v>
      </c>
      <c r="C33" s="139" t="s">
        <v>900</v>
      </c>
      <c r="D33" s="44" t="s">
        <v>4</v>
      </c>
      <c r="E33" s="948"/>
      <c r="F33" s="380">
        <f>0.5*0.5*0.1*(F27)</f>
        <v>0.30000000000000004</v>
      </c>
      <c r="G33" s="80"/>
      <c r="H33" s="87"/>
      <c r="I33" s="87"/>
      <c r="J33" s="87"/>
      <c r="K33" s="87"/>
      <c r="L33" s="87"/>
      <c r="M33" s="87"/>
    </row>
    <row r="34" spans="1:14" s="215" customFormat="1">
      <c r="A34" s="1391"/>
      <c r="B34" s="921"/>
      <c r="C34" s="166" t="s">
        <v>189</v>
      </c>
      <c r="D34" s="921" t="s">
        <v>109</v>
      </c>
      <c r="E34" s="948">
        <v>3.52</v>
      </c>
      <c r="F34" s="91">
        <f>E34*F33</f>
        <v>1.0560000000000003</v>
      </c>
      <c r="G34" s="80"/>
      <c r="H34" s="87"/>
      <c r="I34" s="87"/>
      <c r="J34" s="87">
        <f>F34*I34</f>
        <v>0</v>
      </c>
      <c r="K34" s="87"/>
      <c r="L34" s="87"/>
      <c r="M34" s="87">
        <f>H34+J34+L34</f>
        <v>0</v>
      </c>
    </row>
    <row r="35" spans="1:14" s="215" customFormat="1">
      <c r="A35" s="1391"/>
      <c r="B35" s="921"/>
      <c r="C35" s="166" t="s">
        <v>25</v>
      </c>
      <c r="D35" s="921" t="s">
        <v>11</v>
      </c>
      <c r="E35" s="948">
        <v>1.06</v>
      </c>
      <c r="F35" s="91">
        <f>F33*E35</f>
        <v>0.31800000000000006</v>
      </c>
      <c r="G35" s="80"/>
      <c r="H35" s="87"/>
      <c r="I35" s="87"/>
      <c r="J35" s="87"/>
      <c r="K35" s="87"/>
      <c r="L35" s="87">
        <f>F35*K35</f>
        <v>0</v>
      </c>
      <c r="M35" s="87">
        <f>H35+J35+L35</f>
        <v>0</v>
      </c>
    </row>
    <row r="36" spans="1:14" s="215" customFormat="1">
      <c r="A36" s="1391"/>
      <c r="B36" s="921"/>
      <c r="C36" s="166" t="s">
        <v>893</v>
      </c>
      <c r="D36" s="921" t="s">
        <v>319</v>
      </c>
      <c r="E36" s="948">
        <f>0.18+0.09+0.97</f>
        <v>1.24</v>
      </c>
      <c r="F36" s="91">
        <f>E36*F33</f>
        <v>0.37200000000000005</v>
      </c>
      <c r="G36" s="80"/>
      <c r="H36" s="87">
        <f>F36*G36</f>
        <v>0</v>
      </c>
      <c r="I36" s="87"/>
      <c r="J36" s="87"/>
      <c r="K36" s="87"/>
      <c r="L36" s="87"/>
      <c r="M36" s="87">
        <f>H36+J36+L36</f>
        <v>0</v>
      </c>
    </row>
    <row r="37" spans="1:14" s="215" customFormat="1">
      <c r="A37" s="1392"/>
      <c r="B37" s="921"/>
      <c r="C37" s="545" t="s">
        <v>19</v>
      </c>
      <c r="D37" s="181" t="s">
        <v>11</v>
      </c>
      <c r="E37" s="948">
        <v>0.02</v>
      </c>
      <c r="F37" s="91">
        <f>F33*E37</f>
        <v>6.000000000000001E-3</v>
      </c>
      <c r="G37" s="180"/>
      <c r="H37" s="87">
        <f>F37*G37</f>
        <v>0</v>
      </c>
      <c r="I37" s="213"/>
      <c r="J37" s="87"/>
      <c r="K37" s="214"/>
      <c r="L37" s="87"/>
      <c r="M37" s="87">
        <f>H37+J37+L37</f>
        <v>0</v>
      </c>
    </row>
    <row r="38" spans="1:14" s="215" customFormat="1">
      <c r="A38" s="1455" t="s">
        <v>38</v>
      </c>
      <c r="B38" s="753" t="s">
        <v>943</v>
      </c>
      <c r="C38" s="754" t="s">
        <v>944</v>
      </c>
      <c r="D38" s="753" t="s">
        <v>945</v>
      </c>
      <c r="E38" s="984"/>
      <c r="F38" s="756">
        <f>0.5*0.5*1*F27</f>
        <v>3</v>
      </c>
      <c r="G38" s="556"/>
      <c r="H38" s="87"/>
      <c r="I38" s="213"/>
      <c r="J38" s="87"/>
      <c r="K38" s="214"/>
      <c r="L38" s="87"/>
      <c r="M38" s="87"/>
    </row>
    <row r="39" spans="1:14" s="215" customFormat="1">
      <c r="A39" s="1456"/>
      <c r="B39" s="757"/>
      <c r="C39" s="758" t="s">
        <v>946</v>
      </c>
      <c r="D39" s="757" t="s">
        <v>120</v>
      </c>
      <c r="E39" s="984">
        <v>1.37</v>
      </c>
      <c r="F39" s="755">
        <f>F38*E39</f>
        <v>4.1100000000000003</v>
      </c>
      <c r="G39" s="556"/>
      <c r="H39" s="87"/>
      <c r="I39" s="213"/>
      <c r="J39" s="87">
        <f>F39*I39</f>
        <v>0</v>
      </c>
      <c r="K39" s="214"/>
      <c r="L39" s="87"/>
      <c r="M39" s="87">
        <f>H39+J39+L39</f>
        <v>0</v>
      </c>
    </row>
    <row r="40" spans="1:14" s="215" customFormat="1">
      <c r="A40" s="1456"/>
      <c r="B40" s="757"/>
      <c r="C40" s="758" t="s">
        <v>947</v>
      </c>
      <c r="D40" s="757" t="s">
        <v>121</v>
      </c>
      <c r="E40" s="984">
        <v>0.28299999999999997</v>
      </c>
      <c r="F40" s="755">
        <f>F38*E40</f>
        <v>0.84899999999999998</v>
      </c>
      <c r="G40" s="556"/>
      <c r="H40" s="87"/>
      <c r="I40" s="213"/>
      <c r="J40" s="87"/>
      <c r="K40" s="214"/>
      <c r="L40" s="87">
        <f>F40*K40</f>
        <v>0</v>
      </c>
      <c r="M40" s="87">
        <f>H40+J40+L40</f>
        <v>0</v>
      </c>
    </row>
    <row r="41" spans="1:14" s="215" customFormat="1">
      <c r="A41" s="1456"/>
      <c r="B41" s="757"/>
      <c r="C41" s="758" t="s">
        <v>948</v>
      </c>
      <c r="D41" s="757" t="s">
        <v>945</v>
      </c>
      <c r="E41" s="984">
        <v>1.02</v>
      </c>
      <c r="F41" s="755">
        <f>F38*E41</f>
        <v>3.06</v>
      </c>
      <c r="G41" s="556"/>
      <c r="H41" s="87">
        <f>F41*G41</f>
        <v>0</v>
      </c>
      <c r="I41" s="213"/>
      <c r="J41" s="87"/>
      <c r="K41" s="214"/>
      <c r="L41" s="87"/>
      <c r="M41" s="87">
        <f>H41+J41+L41</f>
        <v>0</v>
      </c>
    </row>
    <row r="42" spans="1:14" s="215" customFormat="1">
      <c r="A42" s="1456"/>
      <c r="B42" s="921"/>
      <c r="C42" s="166" t="s">
        <v>949</v>
      </c>
      <c r="D42" s="921" t="s">
        <v>950</v>
      </c>
      <c r="E42" s="984">
        <v>1.03</v>
      </c>
      <c r="F42" s="755">
        <f>(0.5*4*2*1.03*0.395/1000)  *F27</f>
        <v>1.9528800000000002E-2</v>
      </c>
      <c r="G42" s="556"/>
      <c r="H42" s="87">
        <f>F42*G42</f>
        <v>0</v>
      </c>
      <c r="I42" s="213"/>
      <c r="J42" s="87"/>
      <c r="K42" s="214"/>
      <c r="L42" s="87"/>
      <c r="M42" s="87">
        <f>H42+J42+L42</f>
        <v>0</v>
      </c>
    </row>
    <row r="43" spans="1:14" s="215" customFormat="1">
      <c r="A43" s="1456"/>
      <c r="B43" s="924"/>
      <c r="C43" s="778" t="s">
        <v>951</v>
      </c>
      <c r="D43" s="782" t="s">
        <v>121</v>
      </c>
      <c r="E43" s="985">
        <v>0.62</v>
      </c>
      <c r="F43" s="775">
        <f>F38*E43</f>
        <v>1.8599999999999999</v>
      </c>
      <c r="G43" s="556"/>
      <c r="H43" s="87">
        <f>F43*G43</f>
        <v>0</v>
      </c>
      <c r="I43" s="87"/>
      <c r="J43" s="87"/>
      <c r="K43" s="214"/>
      <c r="L43" s="87"/>
      <c r="M43" s="87">
        <f>H43+J43+L43</f>
        <v>0</v>
      </c>
    </row>
    <row r="44" spans="1:14" s="215" customFormat="1">
      <c r="A44" s="925"/>
      <c r="B44" s="178"/>
      <c r="C44" s="289"/>
      <c r="D44" s="181"/>
      <c r="E44" s="182"/>
      <c r="F44" s="380"/>
      <c r="G44" s="188"/>
      <c r="H44" s="180"/>
      <c r="I44" s="188"/>
      <c r="J44" s="180"/>
      <c r="K44" s="180"/>
      <c r="L44" s="180"/>
      <c r="M44" s="180"/>
    </row>
    <row r="45" spans="1:14" s="215" customFormat="1">
      <c r="A45" s="322"/>
      <c r="B45" s="105"/>
      <c r="C45" s="104" t="s">
        <v>1895</v>
      </c>
      <c r="D45" s="105"/>
      <c r="E45" s="373"/>
      <c r="F45" s="374"/>
      <c r="G45" s="100"/>
      <c r="H45" s="100">
        <f>SUM(H9:H44)</f>
        <v>0</v>
      </c>
      <c r="I45" s="100"/>
      <c r="J45" s="100">
        <f>SUM(J9:J44)</f>
        <v>0</v>
      </c>
      <c r="K45" s="100"/>
      <c r="L45" s="100">
        <f>SUM(L9:L44)</f>
        <v>0</v>
      </c>
      <c r="M45" s="100">
        <f>SUM(M9:M44)</f>
        <v>0</v>
      </c>
      <c r="N45" s="587">
        <f>H45+J45+L45</f>
        <v>0</v>
      </c>
    </row>
    <row r="46" spans="1:14" s="215" customFormat="1" ht="31.5">
      <c r="A46" s="920"/>
      <c r="B46" s="338"/>
      <c r="C46" s="787" t="s">
        <v>1134</v>
      </c>
      <c r="D46" s="338"/>
      <c r="E46" s="353"/>
      <c r="F46" s="1370"/>
      <c r="G46" s="355"/>
      <c r="H46" s="355"/>
      <c r="I46" s="355"/>
      <c r="J46" s="355"/>
      <c r="K46" s="355"/>
      <c r="L46" s="355"/>
      <c r="M46" s="356">
        <f>H45*F46</f>
        <v>0</v>
      </c>
    </row>
    <row r="47" spans="1:14" s="215" customFormat="1">
      <c r="A47" s="920"/>
      <c r="B47" s="338"/>
      <c r="C47" s="335" t="s">
        <v>54</v>
      </c>
      <c r="D47" s="338"/>
      <c r="E47" s="353"/>
      <c r="F47" s="357"/>
      <c r="G47" s="355"/>
      <c r="H47" s="355"/>
      <c r="I47" s="355"/>
      <c r="J47" s="355"/>
      <c r="K47" s="355"/>
      <c r="L47" s="355"/>
      <c r="M47" s="356">
        <f>M45+M46</f>
        <v>0</v>
      </c>
    </row>
    <row r="48" spans="1:14" s="215" customFormat="1">
      <c r="A48" s="178"/>
      <c r="B48" s="187"/>
      <c r="C48" s="52" t="s">
        <v>63</v>
      </c>
      <c r="D48" s="187"/>
      <c r="E48" s="189"/>
      <c r="F48" s="1370"/>
      <c r="G48" s="190"/>
      <c r="H48" s="190"/>
      <c r="I48" s="190"/>
      <c r="J48" s="190"/>
      <c r="K48" s="190"/>
      <c r="L48" s="190"/>
      <c r="M48" s="190">
        <f>M47*F48</f>
        <v>0</v>
      </c>
    </row>
    <row r="49" spans="1:13" s="215" customFormat="1">
      <c r="A49" s="178"/>
      <c r="B49" s="187"/>
      <c r="C49" s="335" t="s">
        <v>54</v>
      </c>
      <c r="D49" s="187"/>
      <c r="E49" s="189"/>
      <c r="F49" s="357"/>
      <c r="G49" s="190"/>
      <c r="H49" s="190"/>
      <c r="I49" s="190"/>
      <c r="J49" s="190"/>
      <c r="K49" s="190"/>
      <c r="L49" s="190"/>
      <c r="M49" s="190">
        <f>M47+M48</f>
        <v>0</v>
      </c>
    </row>
    <row r="50" spans="1:13">
      <c r="A50" s="1142"/>
      <c r="B50" s="1142"/>
      <c r="C50" s="964" t="s">
        <v>46</v>
      </c>
      <c r="D50" s="1142"/>
      <c r="E50" s="1233"/>
      <c r="F50" s="1370"/>
      <c r="G50" s="448"/>
      <c r="H50" s="448"/>
      <c r="I50" s="448"/>
      <c r="J50" s="448"/>
      <c r="K50" s="448"/>
      <c r="L50" s="448"/>
      <c r="M50" s="448">
        <f>M49*F50</f>
        <v>0</v>
      </c>
    </row>
    <row r="51" spans="1:13">
      <c r="A51" s="1329"/>
      <c r="B51" s="1329"/>
      <c r="C51" s="219" t="s">
        <v>507</v>
      </c>
      <c r="D51" s="1329"/>
      <c r="E51" s="989"/>
      <c r="F51" s="1330"/>
      <c r="G51" s="1331"/>
      <c r="H51" s="1331"/>
      <c r="I51" s="1331"/>
      <c r="J51" s="1331"/>
      <c r="K51" s="1331"/>
      <c r="L51" s="1331"/>
      <c r="M51" s="482">
        <f>M49+M50</f>
        <v>0</v>
      </c>
    </row>
    <row r="52" spans="1:13" s="215" customFormat="1">
      <c r="A52" s="181"/>
      <c r="B52" s="181"/>
      <c r="C52" s="177" t="s">
        <v>508</v>
      </c>
      <c r="D52" s="181"/>
      <c r="E52" s="182"/>
      <c r="F52" s="91"/>
      <c r="G52" s="180"/>
      <c r="H52" s="180"/>
      <c r="I52" s="180"/>
      <c r="J52" s="180"/>
      <c r="K52" s="180"/>
      <c r="L52" s="180"/>
      <c r="M52" s="180"/>
    </row>
    <row r="53" spans="1:13" ht="30" customHeight="1">
      <c r="A53" s="1172" t="s">
        <v>429</v>
      </c>
      <c r="B53" s="943" t="s">
        <v>315</v>
      </c>
      <c r="C53" s="878" t="s">
        <v>487</v>
      </c>
      <c r="D53" s="943" t="s">
        <v>12</v>
      </c>
      <c r="E53" s="57"/>
      <c r="F53" s="20">
        <f>F55+F72+F84+F95</f>
        <v>4</v>
      </c>
      <c r="G53" s="80"/>
      <c r="H53" s="80"/>
      <c r="I53" s="80"/>
      <c r="J53" s="80"/>
      <c r="K53" s="80"/>
      <c r="L53" s="80"/>
      <c r="M53" s="80"/>
    </row>
    <row r="54" spans="1:13">
      <c r="A54" s="1173"/>
      <c r="B54" s="942"/>
      <c r="C54" s="153" t="s">
        <v>28</v>
      </c>
      <c r="D54" s="942" t="s">
        <v>179</v>
      </c>
      <c r="E54" s="26">
        <v>7.05</v>
      </c>
      <c r="F54" s="282">
        <f>F53*E54</f>
        <v>28.2</v>
      </c>
      <c r="G54" s="80"/>
      <c r="H54" s="80"/>
      <c r="I54" s="80"/>
      <c r="J54" s="80">
        <f>F54*I54</f>
        <v>0</v>
      </c>
      <c r="K54" s="80"/>
      <c r="L54" s="80"/>
      <c r="M54" s="80">
        <f t="shared" ref="M54:M71" si="1">H54+J54+L54</f>
        <v>0</v>
      </c>
    </row>
    <row r="55" spans="1:13" ht="19.5" customHeight="1">
      <c r="A55" s="1173"/>
      <c r="B55" s="942"/>
      <c r="C55" s="973" t="s">
        <v>1298</v>
      </c>
      <c r="D55" s="536" t="s">
        <v>65</v>
      </c>
      <c r="E55" s="879"/>
      <c r="F55" s="97">
        <v>1</v>
      </c>
      <c r="G55" s="80"/>
      <c r="H55" s="80"/>
      <c r="I55" s="80"/>
      <c r="J55" s="80"/>
      <c r="K55" s="80"/>
      <c r="L55" s="80"/>
      <c r="M55" s="80"/>
    </row>
    <row r="56" spans="1:13" ht="45">
      <c r="A56" s="1173"/>
      <c r="B56" s="447"/>
      <c r="C56" s="974" t="s">
        <v>1281</v>
      </c>
      <c r="D56" s="447" t="s">
        <v>65</v>
      </c>
      <c r="E56" s="948"/>
      <c r="F56" s="58">
        <v>1</v>
      </c>
      <c r="G56" s="77"/>
      <c r="H56" s="77">
        <f t="shared" ref="H56:H71" si="2">F56*G56</f>
        <v>0</v>
      </c>
      <c r="I56" s="77"/>
      <c r="J56" s="77"/>
      <c r="K56" s="77"/>
      <c r="L56" s="77"/>
      <c r="M56" s="77">
        <f t="shared" si="1"/>
        <v>0</v>
      </c>
    </row>
    <row r="57" spans="1:13">
      <c r="A57" s="1173"/>
      <c r="B57" s="447"/>
      <c r="C57" s="975" t="s">
        <v>1282</v>
      </c>
      <c r="D57" s="447" t="s">
        <v>65</v>
      </c>
      <c r="E57" s="948"/>
      <c r="F57" s="58">
        <v>1</v>
      </c>
      <c r="G57" s="77"/>
      <c r="H57" s="77">
        <f t="shared" si="2"/>
        <v>0</v>
      </c>
      <c r="I57" s="77"/>
      <c r="J57" s="77"/>
      <c r="K57" s="77"/>
      <c r="L57" s="77"/>
      <c r="M57" s="77">
        <f t="shared" si="1"/>
        <v>0</v>
      </c>
    </row>
    <row r="58" spans="1:13">
      <c r="A58" s="1173"/>
      <c r="B58" s="447"/>
      <c r="C58" s="975" t="s">
        <v>1283</v>
      </c>
      <c r="D58" s="967" t="s">
        <v>1296</v>
      </c>
      <c r="E58" s="948"/>
      <c r="F58" s="999">
        <v>1</v>
      </c>
      <c r="G58" s="77"/>
      <c r="H58" s="77">
        <f t="shared" si="2"/>
        <v>0</v>
      </c>
      <c r="I58" s="77"/>
      <c r="J58" s="77"/>
      <c r="K58" s="77"/>
      <c r="L58" s="77"/>
      <c r="M58" s="77">
        <f t="shared" si="1"/>
        <v>0</v>
      </c>
    </row>
    <row r="59" spans="1:13">
      <c r="A59" s="1173"/>
      <c r="B59" s="447"/>
      <c r="C59" s="975" t="s">
        <v>1284</v>
      </c>
      <c r="D59" s="967" t="s">
        <v>1296</v>
      </c>
      <c r="E59" s="948"/>
      <c r="F59" s="999">
        <v>2</v>
      </c>
      <c r="G59" s="77"/>
      <c r="H59" s="77">
        <f t="shared" si="2"/>
        <v>0</v>
      </c>
      <c r="I59" s="77"/>
      <c r="J59" s="77"/>
      <c r="K59" s="77"/>
      <c r="L59" s="77"/>
      <c r="M59" s="77">
        <f t="shared" si="1"/>
        <v>0</v>
      </c>
    </row>
    <row r="60" spans="1:13">
      <c r="A60" s="1173"/>
      <c r="B60" s="447"/>
      <c r="C60" s="975" t="s">
        <v>1285</v>
      </c>
      <c r="D60" s="967" t="s">
        <v>1296</v>
      </c>
      <c r="E60" s="948"/>
      <c r="F60" s="999">
        <v>1</v>
      </c>
      <c r="G60" s="77"/>
      <c r="H60" s="77">
        <f t="shared" si="2"/>
        <v>0</v>
      </c>
      <c r="I60" s="77"/>
      <c r="J60" s="77"/>
      <c r="K60" s="77"/>
      <c r="L60" s="77"/>
      <c r="M60" s="77">
        <f t="shared" si="1"/>
        <v>0</v>
      </c>
    </row>
    <row r="61" spans="1:13">
      <c r="A61" s="1173"/>
      <c r="B61" s="447"/>
      <c r="C61" s="975" t="s">
        <v>1286</v>
      </c>
      <c r="D61" s="967" t="s">
        <v>1296</v>
      </c>
      <c r="E61" s="948"/>
      <c r="F61" s="999">
        <v>6</v>
      </c>
      <c r="G61" s="77"/>
      <c r="H61" s="77">
        <f t="shared" si="2"/>
        <v>0</v>
      </c>
      <c r="I61" s="77"/>
      <c r="J61" s="77"/>
      <c r="K61" s="77"/>
      <c r="L61" s="77"/>
      <c r="M61" s="77">
        <f t="shared" si="1"/>
        <v>0</v>
      </c>
    </row>
    <row r="62" spans="1:13">
      <c r="A62" s="1173"/>
      <c r="B62" s="447"/>
      <c r="C62" s="975" t="s">
        <v>1287</v>
      </c>
      <c r="D62" s="967" t="s">
        <v>1296</v>
      </c>
      <c r="E62" s="948"/>
      <c r="F62" s="999">
        <v>2</v>
      </c>
      <c r="G62" s="77"/>
      <c r="H62" s="77">
        <f t="shared" si="2"/>
        <v>0</v>
      </c>
      <c r="I62" s="77"/>
      <c r="J62" s="77"/>
      <c r="K62" s="77"/>
      <c r="L62" s="77"/>
      <c r="M62" s="77">
        <f t="shared" si="1"/>
        <v>0</v>
      </c>
    </row>
    <row r="63" spans="1:13">
      <c r="A63" s="1173"/>
      <c r="B63" s="447"/>
      <c r="C63" s="974" t="s">
        <v>1288</v>
      </c>
      <c r="D63" s="967" t="s">
        <v>1296</v>
      </c>
      <c r="E63" s="948"/>
      <c r="F63" s="999">
        <v>1</v>
      </c>
      <c r="G63" s="77"/>
      <c r="H63" s="77">
        <f t="shared" si="2"/>
        <v>0</v>
      </c>
      <c r="I63" s="77"/>
      <c r="J63" s="77"/>
      <c r="K63" s="77"/>
      <c r="L63" s="77"/>
      <c r="M63" s="77">
        <f t="shared" si="1"/>
        <v>0</v>
      </c>
    </row>
    <row r="64" spans="1:13">
      <c r="A64" s="1173"/>
      <c r="B64" s="447"/>
      <c r="C64" s="974" t="s">
        <v>1289</v>
      </c>
      <c r="D64" s="967" t="s">
        <v>1296</v>
      </c>
      <c r="E64" s="948"/>
      <c r="F64" s="999">
        <v>13</v>
      </c>
      <c r="G64" s="77"/>
      <c r="H64" s="77">
        <f t="shared" si="2"/>
        <v>0</v>
      </c>
      <c r="I64" s="77"/>
      <c r="J64" s="77"/>
      <c r="K64" s="77"/>
      <c r="L64" s="77"/>
      <c r="M64" s="77">
        <f t="shared" si="1"/>
        <v>0</v>
      </c>
    </row>
    <row r="65" spans="1:13">
      <c r="A65" s="1173"/>
      <c r="B65" s="447"/>
      <c r="C65" s="974" t="s">
        <v>1290</v>
      </c>
      <c r="D65" s="967" t="s">
        <v>1296</v>
      </c>
      <c r="E65" s="948"/>
      <c r="F65" s="999">
        <v>1</v>
      </c>
      <c r="G65" s="77"/>
      <c r="H65" s="77">
        <f t="shared" si="2"/>
        <v>0</v>
      </c>
      <c r="I65" s="77"/>
      <c r="J65" s="77"/>
      <c r="K65" s="77"/>
      <c r="L65" s="77"/>
      <c r="M65" s="77">
        <f t="shared" si="1"/>
        <v>0</v>
      </c>
    </row>
    <row r="66" spans="1:13">
      <c r="A66" s="1173"/>
      <c r="B66" s="447"/>
      <c r="C66" s="974" t="s">
        <v>1291</v>
      </c>
      <c r="D66" s="967" t="s">
        <v>1296</v>
      </c>
      <c r="E66" s="948"/>
      <c r="F66" s="999">
        <v>2</v>
      </c>
      <c r="G66" s="77"/>
      <c r="H66" s="77">
        <f t="shared" si="2"/>
        <v>0</v>
      </c>
      <c r="I66" s="77"/>
      <c r="J66" s="77"/>
      <c r="K66" s="77"/>
      <c r="L66" s="77"/>
      <c r="M66" s="77">
        <f t="shared" si="1"/>
        <v>0</v>
      </c>
    </row>
    <row r="67" spans="1:13">
      <c r="A67" s="1173"/>
      <c r="B67" s="447"/>
      <c r="C67" s="974" t="s">
        <v>1292</v>
      </c>
      <c r="D67" s="967" t="s">
        <v>1296</v>
      </c>
      <c r="E67" s="948"/>
      <c r="F67" s="999">
        <v>2</v>
      </c>
      <c r="G67" s="77"/>
      <c r="H67" s="77">
        <f t="shared" si="2"/>
        <v>0</v>
      </c>
      <c r="I67" s="77"/>
      <c r="J67" s="77"/>
      <c r="K67" s="77"/>
      <c r="L67" s="77"/>
      <c r="M67" s="77">
        <f t="shared" si="1"/>
        <v>0</v>
      </c>
    </row>
    <row r="68" spans="1:13">
      <c r="A68" s="1173"/>
      <c r="B68" s="447"/>
      <c r="C68" s="974" t="s">
        <v>1293</v>
      </c>
      <c r="D68" s="967" t="s">
        <v>1296</v>
      </c>
      <c r="E68" s="948"/>
      <c r="F68" s="999">
        <v>1</v>
      </c>
      <c r="G68" s="77"/>
      <c r="H68" s="77">
        <f t="shared" si="2"/>
        <v>0</v>
      </c>
      <c r="I68" s="77"/>
      <c r="J68" s="77"/>
      <c r="K68" s="77"/>
      <c r="L68" s="77"/>
      <c r="M68" s="77">
        <f t="shared" si="1"/>
        <v>0</v>
      </c>
    </row>
    <row r="69" spans="1:13" ht="30">
      <c r="A69" s="1173"/>
      <c r="B69" s="447"/>
      <c r="C69" s="974" t="s">
        <v>1294</v>
      </c>
      <c r="D69" s="967" t="s">
        <v>180</v>
      </c>
      <c r="E69" s="948"/>
      <c r="F69" s="999">
        <v>1</v>
      </c>
      <c r="G69" s="77"/>
      <c r="H69" s="77">
        <f t="shared" si="2"/>
        <v>0</v>
      </c>
      <c r="I69" s="77"/>
      <c r="J69" s="77"/>
      <c r="K69" s="77"/>
      <c r="L69" s="77"/>
      <c r="M69" s="77">
        <f t="shared" si="1"/>
        <v>0</v>
      </c>
    </row>
    <row r="70" spans="1:13">
      <c r="A70" s="1173"/>
      <c r="B70" s="447"/>
      <c r="C70" s="976" t="s">
        <v>1422</v>
      </c>
      <c r="D70" s="986" t="s">
        <v>1297</v>
      </c>
      <c r="E70" s="948"/>
      <c r="F70" s="999">
        <v>33</v>
      </c>
      <c r="G70" s="77"/>
      <c r="H70" s="77">
        <f t="shared" si="2"/>
        <v>0</v>
      </c>
      <c r="I70" s="77"/>
      <c r="J70" s="77"/>
      <c r="K70" s="77"/>
      <c r="L70" s="77"/>
      <c r="M70" s="77">
        <f t="shared" si="1"/>
        <v>0</v>
      </c>
    </row>
    <row r="71" spans="1:13" ht="30">
      <c r="A71" s="1173"/>
      <c r="B71" s="447"/>
      <c r="C71" s="976" t="s">
        <v>1295</v>
      </c>
      <c r="D71" s="967" t="s">
        <v>180</v>
      </c>
      <c r="E71" s="948"/>
      <c r="F71" s="999">
        <v>1</v>
      </c>
      <c r="G71" s="77"/>
      <c r="H71" s="77">
        <f t="shared" si="2"/>
        <v>0</v>
      </c>
      <c r="I71" s="77"/>
      <c r="J71" s="77"/>
      <c r="K71" s="77"/>
      <c r="L71" s="77"/>
      <c r="M71" s="77">
        <f t="shared" si="1"/>
        <v>0</v>
      </c>
    </row>
    <row r="72" spans="1:13">
      <c r="A72" s="1173"/>
      <c r="B72" s="447"/>
      <c r="C72" s="973" t="s">
        <v>1299</v>
      </c>
      <c r="D72" s="536" t="s">
        <v>65</v>
      </c>
      <c r="E72" s="879"/>
      <c r="F72" s="97">
        <v>1</v>
      </c>
      <c r="G72" s="77"/>
      <c r="H72" s="77"/>
      <c r="I72" s="77"/>
      <c r="J72" s="77"/>
      <c r="K72" s="77"/>
      <c r="L72" s="77"/>
      <c r="M72" s="77"/>
    </row>
    <row r="73" spans="1:13" ht="45">
      <c r="A73" s="1173"/>
      <c r="B73" s="447"/>
      <c r="C73" s="974" t="s">
        <v>1301</v>
      </c>
      <c r="D73" s="967" t="s">
        <v>180</v>
      </c>
      <c r="E73" s="948"/>
      <c r="F73" s="999">
        <v>1</v>
      </c>
      <c r="G73" s="77"/>
      <c r="H73" s="77">
        <f>F73*G73</f>
        <v>0</v>
      </c>
      <c r="I73" s="77"/>
      <c r="J73" s="77"/>
      <c r="K73" s="77"/>
      <c r="L73" s="77"/>
      <c r="M73" s="77">
        <f>H73+J73+L73</f>
        <v>0</v>
      </c>
    </row>
    <row r="74" spans="1:13">
      <c r="A74" s="1173"/>
      <c r="B74" s="447"/>
      <c r="C74" s="975" t="s">
        <v>1300</v>
      </c>
      <c r="D74" s="967" t="s">
        <v>180</v>
      </c>
      <c r="E74" s="948"/>
      <c r="F74" s="999">
        <v>1</v>
      </c>
      <c r="G74" s="77"/>
      <c r="H74" s="77">
        <f t="shared" ref="H74:H105" si="3">F74*G74</f>
        <v>0</v>
      </c>
      <c r="I74" s="77"/>
      <c r="J74" s="77"/>
      <c r="K74" s="77"/>
      <c r="L74" s="77"/>
      <c r="M74" s="77">
        <f t="shared" ref="M74:M105" si="4">H74+J74+L74</f>
        <v>0</v>
      </c>
    </row>
    <row r="75" spans="1:13">
      <c r="A75" s="1173"/>
      <c r="B75" s="447"/>
      <c r="C75" s="975" t="s">
        <v>1302</v>
      </c>
      <c r="D75" s="967" t="s">
        <v>180</v>
      </c>
      <c r="E75" s="948"/>
      <c r="F75" s="999">
        <v>2</v>
      </c>
      <c r="G75" s="77"/>
      <c r="H75" s="77">
        <f t="shared" si="3"/>
        <v>0</v>
      </c>
      <c r="I75" s="77"/>
      <c r="J75" s="77"/>
      <c r="K75" s="77"/>
      <c r="L75" s="77"/>
      <c r="M75" s="77">
        <f t="shared" si="4"/>
        <v>0</v>
      </c>
    </row>
    <row r="76" spans="1:13">
      <c r="A76" s="1173"/>
      <c r="B76" s="447"/>
      <c r="C76" s="975" t="s">
        <v>1303</v>
      </c>
      <c r="D76" s="967" t="s">
        <v>180</v>
      </c>
      <c r="E76" s="948"/>
      <c r="F76" s="999">
        <v>2</v>
      </c>
      <c r="G76" s="77"/>
      <c r="H76" s="77">
        <f t="shared" si="3"/>
        <v>0</v>
      </c>
      <c r="I76" s="77"/>
      <c r="J76" s="77"/>
      <c r="K76" s="77"/>
      <c r="L76" s="77"/>
      <c r="M76" s="77">
        <f t="shared" si="4"/>
        <v>0</v>
      </c>
    </row>
    <row r="77" spans="1:13">
      <c r="A77" s="1173"/>
      <c r="B77" s="447"/>
      <c r="C77" s="974" t="s">
        <v>1289</v>
      </c>
      <c r="D77" s="967" t="s">
        <v>1296</v>
      </c>
      <c r="E77" s="948"/>
      <c r="F77" s="999">
        <v>3</v>
      </c>
      <c r="G77" s="77"/>
      <c r="H77" s="77">
        <f t="shared" si="3"/>
        <v>0</v>
      </c>
      <c r="I77" s="77"/>
      <c r="J77" s="77"/>
      <c r="K77" s="77"/>
      <c r="L77" s="77"/>
      <c r="M77" s="77">
        <f t="shared" si="4"/>
        <v>0</v>
      </c>
    </row>
    <row r="78" spans="1:13">
      <c r="A78" s="1173"/>
      <c r="B78" s="447"/>
      <c r="C78" s="974" t="s">
        <v>1304</v>
      </c>
      <c r="D78" s="967" t="s">
        <v>1296</v>
      </c>
      <c r="E78" s="948"/>
      <c r="F78" s="999">
        <v>2</v>
      </c>
      <c r="G78" s="77"/>
      <c r="H78" s="77">
        <f t="shared" si="3"/>
        <v>0</v>
      </c>
      <c r="I78" s="77"/>
      <c r="J78" s="77"/>
      <c r="K78" s="77"/>
      <c r="L78" s="77"/>
      <c r="M78" s="77">
        <f t="shared" si="4"/>
        <v>0</v>
      </c>
    </row>
    <row r="79" spans="1:13">
      <c r="A79" s="1173"/>
      <c r="B79" s="447"/>
      <c r="C79" s="974" t="s">
        <v>1290</v>
      </c>
      <c r="D79" s="967" t="s">
        <v>180</v>
      </c>
      <c r="E79" s="948"/>
      <c r="F79" s="999">
        <v>1</v>
      </c>
      <c r="G79" s="77"/>
      <c r="H79" s="77">
        <f t="shared" si="3"/>
        <v>0</v>
      </c>
      <c r="I79" s="77"/>
      <c r="J79" s="77"/>
      <c r="K79" s="77"/>
      <c r="L79" s="77"/>
      <c r="M79" s="77">
        <f t="shared" si="4"/>
        <v>0</v>
      </c>
    </row>
    <row r="80" spans="1:13" ht="30">
      <c r="A80" s="1173"/>
      <c r="B80" s="447"/>
      <c r="C80" s="974" t="s">
        <v>1294</v>
      </c>
      <c r="D80" s="967" t="s">
        <v>180</v>
      </c>
      <c r="E80" s="948"/>
      <c r="F80" s="999">
        <v>1</v>
      </c>
      <c r="G80" s="77"/>
      <c r="H80" s="77">
        <f t="shared" si="3"/>
        <v>0</v>
      </c>
      <c r="I80" s="77"/>
      <c r="J80" s="77"/>
      <c r="K80" s="77"/>
      <c r="L80" s="77"/>
      <c r="M80" s="77">
        <f t="shared" si="4"/>
        <v>0</v>
      </c>
    </row>
    <row r="81" spans="1:13">
      <c r="A81" s="1173"/>
      <c r="B81" s="447"/>
      <c r="C81" s="976" t="s">
        <v>1422</v>
      </c>
      <c r="D81" s="986" t="s">
        <v>1297</v>
      </c>
      <c r="E81" s="948"/>
      <c r="F81" s="999">
        <v>33</v>
      </c>
      <c r="G81" s="77"/>
      <c r="H81" s="77">
        <f t="shared" si="3"/>
        <v>0</v>
      </c>
      <c r="I81" s="77"/>
      <c r="J81" s="77"/>
      <c r="K81" s="77"/>
      <c r="L81" s="77"/>
      <c r="M81" s="77">
        <f t="shared" si="4"/>
        <v>0</v>
      </c>
    </row>
    <row r="82" spans="1:13" ht="30">
      <c r="A82" s="1173"/>
      <c r="B82" s="447"/>
      <c r="C82" s="976" t="s">
        <v>1305</v>
      </c>
      <c r="D82" s="967" t="s">
        <v>180</v>
      </c>
      <c r="E82" s="948"/>
      <c r="F82" s="999">
        <v>1</v>
      </c>
      <c r="G82" s="77"/>
      <c r="H82" s="77">
        <f t="shared" si="3"/>
        <v>0</v>
      </c>
      <c r="I82" s="77"/>
      <c r="J82" s="77"/>
      <c r="K82" s="77"/>
      <c r="L82" s="77"/>
      <c r="M82" s="77">
        <f t="shared" si="4"/>
        <v>0</v>
      </c>
    </row>
    <row r="83" spans="1:13">
      <c r="A83" s="1173"/>
      <c r="B83" s="447"/>
      <c r="C83" s="976" t="s">
        <v>1306</v>
      </c>
      <c r="D83" s="967" t="s">
        <v>180</v>
      </c>
      <c r="E83" s="948"/>
      <c r="F83" s="999">
        <v>1</v>
      </c>
      <c r="G83" s="77"/>
      <c r="H83" s="77">
        <f t="shared" si="3"/>
        <v>0</v>
      </c>
      <c r="I83" s="77"/>
      <c r="J83" s="77"/>
      <c r="K83" s="77"/>
      <c r="L83" s="77"/>
      <c r="M83" s="77">
        <f t="shared" si="4"/>
        <v>0</v>
      </c>
    </row>
    <row r="84" spans="1:13">
      <c r="A84" s="1173"/>
      <c r="B84" s="447"/>
      <c r="C84" s="973" t="s">
        <v>1307</v>
      </c>
      <c r="D84" s="536" t="s">
        <v>65</v>
      </c>
      <c r="E84" s="879"/>
      <c r="F84" s="97">
        <v>1</v>
      </c>
      <c r="G84" s="77"/>
      <c r="H84" s="77"/>
      <c r="I84" s="77"/>
      <c r="J84" s="77"/>
      <c r="K84" s="77"/>
      <c r="L84" s="77"/>
      <c r="M84" s="77"/>
    </row>
    <row r="85" spans="1:13" ht="45">
      <c r="A85" s="1173"/>
      <c r="B85" s="447"/>
      <c r="C85" s="974" t="s">
        <v>1311</v>
      </c>
      <c r="D85" s="967" t="s">
        <v>180</v>
      </c>
      <c r="E85" s="948"/>
      <c r="F85" s="999">
        <v>1</v>
      </c>
      <c r="G85" s="77"/>
      <c r="H85" s="77">
        <f>F85*G85</f>
        <v>0</v>
      </c>
      <c r="I85" s="77"/>
      <c r="J85" s="77"/>
      <c r="K85" s="77"/>
      <c r="L85" s="77"/>
      <c r="M85" s="77">
        <f>H85+J85+L85</f>
        <v>0</v>
      </c>
    </row>
    <row r="86" spans="1:13">
      <c r="A86" s="1173"/>
      <c r="B86" s="447"/>
      <c r="C86" s="974" t="s">
        <v>1308</v>
      </c>
      <c r="D86" s="967" t="s">
        <v>1296</v>
      </c>
      <c r="E86" s="948"/>
      <c r="F86" s="999">
        <v>1</v>
      </c>
      <c r="G86" s="77"/>
      <c r="H86" s="77">
        <f t="shared" si="3"/>
        <v>0</v>
      </c>
      <c r="I86" s="77"/>
      <c r="J86" s="77"/>
      <c r="K86" s="77"/>
      <c r="L86" s="77"/>
      <c r="M86" s="77">
        <f t="shared" si="4"/>
        <v>0</v>
      </c>
    </row>
    <row r="87" spans="1:13">
      <c r="A87" s="1173"/>
      <c r="B87" s="447"/>
      <c r="C87" s="974" t="s">
        <v>1304</v>
      </c>
      <c r="D87" s="967" t="s">
        <v>1296</v>
      </c>
      <c r="E87" s="948"/>
      <c r="F87" s="999">
        <v>10</v>
      </c>
      <c r="G87" s="77"/>
      <c r="H87" s="77">
        <f t="shared" si="3"/>
        <v>0</v>
      </c>
      <c r="I87" s="77"/>
      <c r="J87" s="77"/>
      <c r="K87" s="77"/>
      <c r="L87" s="77"/>
      <c r="M87" s="77">
        <f t="shared" si="4"/>
        <v>0</v>
      </c>
    </row>
    <row r="88" spans="1:13">
      <c r="A88" s="1173"/>
      <c r="B88" s="447"/>
      <c r="C88" s="974" t="s">
        <v>1289</v>
      </c>
      <c r="D88" s="967" t="s">
        <v>1296</v>
      </c>
      <c r="E88" s="948"/>
      <c r="F88" s="999">
        <v>21</v>
      </c>
      <c r="G88" s="77"/>
      <c r="H88" s="77">
        <f t="shared" si="3"/>
        <v>0</v>
      </c>
      <c r="I88" s="77"/>
      <c r="J88" s="77"/>
      <c r="K88" s="77"/>
      <c r="L88" s="77"/>
      <c r="M88" s="77">
        <f t="shared" si="4"/>
        <v>0</v>
      </c>
    </row>
    <row r="89" spans="1:13">
      <c r="A89" s="1173"/>
      <c r="B89" s="447"/>
      <c r="C89" s="974" t="s">
        <v>1290</v>
      </c>
      <c r="D89" s="967" t="s">
        <v>180</v>
      </c>
      <c r="E89" s="948"/>
      <c r="F89" s="999">
        <v>1</v>
      </c>
      <c r="G89" s="77"/>
      <c r="H89" s="77">
        <f t="shared" si="3"/>
        <v>0</v>
      </c>
      <c r="I89" s="77"/>
      <c r="J89" s="77"/>
      <c r="K89" s="77"/>
      <c r="L89" s="77"/>
      <c r="M89" s="77">
        <f t="shared" si="4"/>
        <v>0</v>
      </c>
    </row>
    <row r="90" spans="1:13">
      <c r="A90" s="1173"/>
      <c r="B90" s="447"/>
      <c r="C90" s="974" t="s">
        <v>1309</v>
      </c>
      <c r="D90" s="967" t="s">
        <v>1296</v>
      </c>
      <c r="E90" s="948"/>
      <c r="F90" s="999">
        <v>3</v>
      </c>
      <c r="G90" s="77"/>
      <c r="H90" s="77">
        <f t="shared" si="3"/>
        <v>0</v>
      </c>
      <c r="I90" s="77"/>
      <c r="J90" s="77"/>
      <c r="K90" s="77"/>
      <c r="L90" s="77"/>
      <c r="M90" s="77">
        <f t="shared" si="4"/>
        <v>0</v>
      </c>
    </row>
    <row r="91" spans="1:13" ht="30">
      <c r="A91" s="1173"/>
      <c r="B91" s="447"/>
      <c r="C91" s="974" t="s">
        <v>1294</v>
      </c>
      <c r="D91" s="967" t="s">
        <v>180</v>
      </c>
      <c r="E91" s="948"/>
      <c r="F91" s="999">
        <v>1</v>
      </c>
      <c r="G91" s="77"/>
      <c r="H91" s="77">
        <f t="shared" si="3"/>
        <v>0</v>
      </c>
      <c r="I91" s="77"/>
      <c r="J91" s="77"/>
      <c r="K91" s="77"/>
      <c r="L91" s="77"/>
      <c r="M91" s="77">
        <f t="shared" si="4"/>
        <v>0</v>
      </c>
    </row>
    <row r="92" spans="1:13">
      <c r="A92" s="1173"/>
      <c r="B92" s="447"/>
      <c r="C92" s="974" t="s">
        <v>1310</v>
      </c>
      <c r="D92" s="986" t="s">
        <v>1297</v>
      </c>
      <c r="E92" s="948"/>
      <c r="F92" s="999">
        <v>33</v>
      </c>
      <c r="G92" s="77"/>
      <c r="H92" s="77">
        <f t="shared" si="3"/>
        <v>0</v>
      </c>
      <c r="I92" s="77"/>
      <c r="J92" s="77"/>
      <c r="K92" s="77"/>
      <c r="L92" s="77"/>
      <c r="M92" s="77">
        <f t="shared" si="4"/>
        <v>0</v>
      </c>
    </row>
    <row r="93" spans="1:13" ht="30">
      <c r="A93" s="1173"/>
      <c r="B93" s="447"/>
      <c r="C93" s="976" t="s">
        <v>1305</v>
      </c>
      <c r="D93" s="967" t="s">
        <v>180</v>
      </c>
      <c r="E93" s="948"/>
      <c r="F93" s="999">
        <v>1</v>
      </c>
      <c r="G93" s="77"/>
      <c r="H93" s="77">
        <f t="shared" si="3"/>
        <v>0</v>
      </c>
      <c r="I93" s="77"/>
      <c r="J93" s="77"/>
      <c r="K93" s="77"/>
      <c r="L93" s="77"/>
      <c r="M93" s="77">
        <f t="shared" si="4"/>
        <v>0</v>
      </c>
    </row>
    <row r="94" spans="1:13">
      <c r="A94" s="1173"/>
      <c r="B94" s="447"/>
      <c r="C94" s="976" t="s">
        <v>1306</v>
      </c>
      <c r="D94" s="967" t="s">
        <v>180</v>
      </c>
      <c r="E94" s="948"/>
      <c r="F94" s="999">
        <v>1</v>
      </c>
      <c r="G94" s="77"/>
      <c r="H94" s="77">
        <f t="shared" si="3"/>
        <v>0</v>
      </c>
      <c r="I94" s="77"/>
      <c r="J94" s="77"/>
      <c r="K94" s="77"/>
      <c r="L94" s="77"/>
      <c r="M94" s="77">
        <f t="shared" si="4"/>
        <v>0</v>
      </c>
    </row>
    <row r="95" spans="1:13">
      <c r="A95" s="1173"/>
      <c r="B95" s="447"/>
      <c r="C95" s="973" t="s">
        <v>1312</v>
      </c>
      <c r="D95" s="536" t="s">
        <v>65</v>
      </c>
      <c r="E95" s="879"/>
      <c r="F95" s="97">
        <v>1</v>
      </c>
      <c r="G95" s="77"/>
      <c r="H95" s="77"/>
      <c r="I95" s="77"/>
      <c r="J95" s="77"/>
      <c r="K95" s="77"/>
      <c r="L95" s="77"/>
      <c r="M95" s="77"/>
    </row>
    <row r="96" spans="1:13" ht="45">
      <c r="A96" s="1173"/>
      <c r="B96" s="447"/>
      <c r="C96" s="974" t="s">
        <v>1311</v>
      </c>
      <c r="D96" s="967" t="s">
        <v>180</v>
      </c>
      <c r="E96" s="948"/>
      <c r="F96" s="999">
        <v>1</v>
      </c>
      <c r="G96" s="77"/>
      <c r="H96" s="77">
        <f>F96*G96</f>
        <v>0</v>
      </c>
      <c r="I96" s="77"/>
      <c r="J96" s="77"/>
      <c r="K96" s="77"/>
      <c r="L96" s="77"/>
      <c r="M96" s="77">
        <f>H96+J96+L96</f>
        <v>0</v>
      </c>
    </row>
    <row r="97" spans="1:13">
      <c r="A97" s="1173"/>
      <c r="B97" s="447"/>
      <c r="C97" s="974" t="s">
        <v>1308</v>
      </c>
      <c r="D97" s="967" t="s">
        <v>1296</v>
      </c>
      <c r="E97" s="948"/>
      <c r="F97" s="999">
        <v>1</v>
      </c>
      <c r="G97" s="77"/>
      <c r="H97" s="77">
        <f t="shared" si="3"/>
        <v>0</v>
      </c>
      <c r="I97" s="77"/>
      <c r="J97" s="77"/>
      <c r="K97" s="77"/>
      <c r="L97" s="77"/>
      <c r="M97" s="77">
        <f t="shared" si="4"/>
        <v>0</v>
      </c>
    </row>
    <row r="98" spans="1:13">
      <c r="A98" s="1173"/>
      <c r="B98" s="447"/>
      <c r="C98" s="974" t="s">
        <v>1304</v>
      </c>
      <c r="D98" s="967" t="s">
        <v>1296</v>
      </c>
      <c r="E98" s="948"/>
      <c r="F98" s="999">
        <v>17</v>
      </c>
      <c r="G98" s="77"/>
      <c r="H98" s="77">
        <f t="shared" si="3"/>
        <v>0</v>
      </c>
      <c r="I98" s="77"/>
      <c r="J98" s="77"/>
      <c r="K98" s="77"/>
      <c r="L98" s="77"/>
      <c r="M98" s="77">
        <f t="shared" si="4"/>
        <v>0</v>
      </c>
    </row>
    <row r="99" spans="1:13">
      <c r="A99" s="1173"/>
      <c r="B99" s="447"/>
      <c r="C99" s="974" t="s">
        <v>1289</v>
      </c>
      <c r="D99" s="967" t="s">
        <v>1296</v>
      </c>
      <c r="E99" s="948"/>
      <c r="F99" s="999">
        <v>12</v>
      </c>
      <c r="G99" s="77"/>
      <c r="H99" s="77">
        <f t="shared" si="3"/>
        <v>0</v>
      </c>
      <c r="I99" s="77"/>
      <c r="J99" s="77"/>
      <c r="K99" s="77"/>
      <c r="L99" s="77"/>
      <c r="M99" s="77">
        <f t="shared" si="4"/>
        <v>0</v>
      </c>
    </row>
    <row r="100" spans="1:13">
      <c r="A100" s="1173"/>
      <c r="B100" s="447"/>
      <c r="C100" s="974" t="s">
        <v>1290</v>
      </c>
      <c r="D100" s="967" t="s">
        <v>180</v>
      </c>
      <c r="E100" s="948"/>
      <c r="F100" s="999">
        <v>1</v>
      </c>
      <c r="G100" s="77"/>
      <c r="H100" s="77">
        <f t="shared" si="3"/>
        <v>0</v>
      </c>
      <c r="I100" s="77"/>
      <c r="J100" s="77"/>
      <c r="K100" s="77"/>
      <c r="L100" s="77"/>
      <c r="M100" s="77">
        <f t="shared" si="4"/>
        <v>0</v>
      </c>
    </row>
    <row r="101" spans="1:13">
      <c r="A101" s="1173"/>
      <c r="B101" s="447"/>
      <c r="C101" s="974" t="s">
        <v>1309</v>
      </c>
      <c r="D101" s="967" t="s">
        <v>1296</v>
      </c>
      <c r="E101" s="948"/>
      <c r="F101" s="999">
        <v>3</v>
      </c>
      <c r="G101" s="77"/>
      <c r="H101" s="77">
        <f t="shared" si="3"/>
        <v>0</v>
      </c>
      <c r="I101" s="77"/>
      <c r="J101" s="77"/>
      <c r="K101" s="77"/>
      <c r="L101" s="77"/>
      <c r="M101" s="77">
        <f t="shared" si="4"/>
        <v>0</v>
      </c>
    </row>
    <row r="102" spans="1:13" ht="30">
      <c r="A102" s="1173"/>
      <c r="B102" s="447"/>
      <c r="C102" s="974" t="s">
        <v>1294</v>
      </c>
      <c r="D102" s="967" t="s">
        <v>180</v>
      </c>
      <c r="E102" s="948"/>
      <c r="F102" s="999">
        <v>1</v>
      </c>
      <c r="G102" s="77"/>
      <c r="H102" s="77">
        <f t="shared" si="3"/>
        <v>0</v>
      </c>
      <c r="I102" s="77"/>
      <c r="J102" s="77"/>
      <c r="K102" s="77"/>
      <c r="L102" s="77"/>
      <c r="M102" s="77">
        <f t="shared" si="4"/>
        <v>0</v>
      </c>
    </row>
    <row r="103" spans="1:13">
      <c r="A103" s="1173"/>
      <c r="B103" s="447"/>
      <c r="C103" s="974" t="s">
        <v>1310</v>
      </c>
      <c r="D103" s="986" t="s">
        <v>1297</v>
      </c>
      <c r="E103" s="948"/>
      <c r="F103" s="999">
        <v>33</v>
      </c>
      <c r="G103" s="77"/>
      <c r="H103" s="77">
        <f t="shared" si="3"/>
        <v>0</v>
      </c>
      <c r="I103" s="77"/>
      <c r="J103" s="77"/>
      <c r="K103" s="77"/>
      <c r="L103" s="77"/>
      <c r="M103" s="77">
        <f t="shared" si="4"/>
        <v>0</v>
      </c>
    </row>
    <row r="104" spans="1:13" ht="30">
      <c r="A104" s="1173"/>
      <c r="B104" s="447"/>
      <c r="C104" s="976" t="s">
        <v>1305</v>
      </c>
      <c r="D104" s="967" t="s">
        <v>180</v>
      </c>
      <c r="E104" s="948"/>
      <c r="F104" s="999">
        <v>1</v>
      </c>
      <c r="G104" s="77"/>
      <c r="H104" s="77">
        <f t="shared" si="3"/>
        <v>0</v>
      </c>
      <c r="I104" s="77"/>
      <c r="J104" s="77"/>
      <c r="K104" s="77"/>
      <c r="L104" s="77"/>
      <c r="M104" s="77">
        <f t="shared" si="4"/>
        <v>0</v>
      </c>
    </row>
    <row r="105" spans="1:13">
      <c r="A105" s="1174"/>
      <c r="B105" s="447"/>
      <c r="C105" s="976" t="s">
        <v>1306</v>
      </c>
      <c r="D105" s="967" t="s">
        <v>180</v>
      </c>
      <c r="E105" s="948"/>
      <c r="F105" s="999">
        <v>1</v>
      </c>
      <c r="G105" s="77"/>
      <c r="H105" s="77">
        <f t="shared" si="3"/>
        <v>0</v>
      </c>
      <c r="I105" s="77"/>
      <c r="J105" s="77"/>
      <c r="K105" s="77"/>
      <c r="L105" s="77"/>
      <c r="M105" s="77">
        <f t="shared" si="4"/>
        <v>0</v>
      </c>
    </row>
    <row r="106" spans="1:13">
      <c r="A106" s="970"/>
      <c r="B106" s="447"/>
      <c r="C106" s="148"/>
      <c r="D106" s="447"/>
      <c r="E106" s="948"/>
      <c r="F106" s="282"/>
      <c r="G106" s="77"/>
      <c r="H106" s="77"/>
      <c r="I106" s="77"/>
      <c r="J106" s="77"/>
      <c r="K106" s="77"/>
      <c r="L106" s="77"/>
      <c r="M106" s="77"/>
    </row>
    <row r="107" spans="1:13">
      <c r="A107" s="1176" t="s">
        <v>430</v>
      </c>
      <c r="B107" s="942" t="s">
        <v>185</v>
      </c>
      <c r="C107" s="816" t="s">
        <v>491</v>
      </c>
      <c r="D107" s="942" t="s">
        <v>186</v>
      </c>
      <c r="E107" s="26"/>
      <c r="F107" s="20">
        <f>SUM(F110:F120)</f>
        <v>5415</v>
      </c>
      <c r="G107" s="79"/>
      <c r="H107" s="77"/>
      <c r="I107" s="79"/>
      <c r="J107" s="77"/>
      <c r="K107" s="79"/>
      <c r="L107" s="77"/>
      <c r="M107" s="77"/>
    </row>
    <row r="108" spans="1:13">
      <c r="A108" s="1177"/>
      <c r="B108" s="942"/>
      <c r="C108" s="127" t="s">
        <v>28</v>
      </c>
      <c r="D108" s="942" t="s">
        <v>179</v>
      </c>
      <c r="E108" s="26">
        <v>0.13900000000000001</v>
      </c>
      <c r="F108" s="282">
        <f>F107*E108</f>
        <v>752.68500000000006</v>
      </c>
      <c r="G108" s="80"/>
      <c r="H108" s="77"/>
      <c r="I108" s="80"/>
      <c r="J108" s="77">
        <f>F108*I108</f>
        <v>0</v>
      </c>
      <c r="K108" s="80"/>
      <c r="L108" s="77"/>
      <c r="M108" s="77">
        <f t="shared" ref="M108" si="5">H108+J108+L108</f>
        <v>0</v>
      </c>
    </row>
    <row r="109" spans="1:13">
      <c r="A109" s="1177"/>
      <c r="B109" s="447"/>
      <c r="C109" s="153" t="s">
        <v>122</v>
      </c>
      <c r="D109" s="942" t="s">
        <v>121</v>
      </c>
      <c r="E109" s="26">
        <v>9.7000000000000003E-2</v>
      </c>
      <c r="F109" s="282">
        <f>F107*E109</f>
        <v>525.255</v>
      </c>
      <c r="G109" s="80"/>
      <c r="H109" s="77">
        <f>F109*G109</f>
        <v>0</v>
      </c>
      <c r="I109" s="80"/>
      <c r="J109" s="77"/>
      <c r="K109" s="80"/>
      <c r="L109" s="77"/>
      <c r="M109" s="77">
        <f>H109+J109+L109</f>
        <v>0</v>
      </c>
    </row>
    <row r="110" spans="1:13" ht="30">
      <c r="A110" s="1177"/>
      <c r="B110" s="447"/>
      <c r="C110" s="977" t="s">
        <v>1313</v>
      </c>
      <c r="D110" s="942" t="s">
        <v>1</v>
      </c>
      <c r="E110" s="26"/>
      <c r="F110" s="999">
        <v>1800</v>
      </c>
      <c r="G110" s="80"/>
      <c r="H110" s="77">
        <f t="shared" ref="H110:H133" si="6">F110*G110</f>
        <v>0</v>
      </c>
      <c r="I110" s="80"/>
      <c r="J110" s="77"/>
      <c r="K110" s="80"/>
      <c r="L110" s="77"/>
      <c r="M110" s="77">
        <f t="shared" ref="M110:M133" si="7">H110+J110+L110</f>
        <v>0</v>
      </c>
    </row>
    <row r="111" spans="1:13" ht="30">
      <c r="A111" s="1177"/>
      <c r="B111" s="447"/>
      <c r="C111" s="977" t="s">
        <v>1314</v>
      </c>
      <c r="D111" s="942" t="s">
        <v>1</v>
      </c>
      <c r="E111" s="26"/>
      <c r="F111" s="999">
        <v>2450</v>
      </c>
      <c r="G111" s="80"/>
      <c r="H111" s="77">
        <f t="shared" si="6"/>
        <v>0</v>
      </c>
      <c r="I111" s="80"/>
      <c r="J111" s="77"/>
      <c r="K111" s="80"/>
      <c r="L111" s="77"/>
      <c r="M111" s="77">
        <f t="shared" si="7"/>
        <v>0</v>
      </c>
    </row>
    <row r="112" spans="1:13" ht="30">
      <c r="A112" s="1177"/>
      <c r="B112" s="447"/>
      <c r="C112" s="977" t="s">
        <v>1315</v>
      </c>
      <c r="D112" s="942" t="s">
        <v>1</v>
      </c>
      <c r="E112" s="26"/>
      <c r="F112" s="999">
        <v>240</v>
      </c>
      <c r="G112" s="80"/>
      <c r="H112" s="77">
        <f t="shared" si="6"/>
        <v>0</v>
      </c>
      <c r="I112" s="80"/>
      <c r="J112" s="77"/>
      <c r="K112" s="80"/>
      <c r="L112" s="77"/>
      <c r="M112" s="77">
        <f t="shared" si="7"/>
        <v>0</v>
      </c>
    </row>
    <row r="113" spans="1:13" ht="30">
      <c r="A113" s="1177"/>
      <c r="B113" s="447"/>
      <c r="C113" s="977" t="s">
        <v>1316</v>
      </c>
      <c r="D113" s="942" t="s">
        <v>1</v>
      </c>
      <c r="E113" s="26"/>
      <c r="F113" s="999">
        <v>210</v>
      </c>
      <c r="G113" s="80"/>
      <c r="H113" s="77">
        <f t="shared" si="6"/>
        <v>0</v>
      </c>
      <c r="I113" s="80"/>
      <c r="J113" s="77"/>
      <c r="K113" s="80"/>
      <c r="L113" s="77"/>
      <c r="M113" s="77">
        <f t="shared" si="7"/>
        <v>0</v>
      </c>
    </row>
    <row r="114" spans="1:13" ht="30">
      <c r="A114" s="1177"/>
      <c r="B114" s="942"/>
      <c r="C114" s="977" t="s">
        <v>1317</v>
      </c>
      <c r="D114" s="942" t="s">
        <v>1</v>
      </c>
      <c r="E114" s="26"/>
      <c r="F114" s="999">
        <v>145</v>
      </c>
      <c r="G114" s="80"/>
      <c r="H114" s="77">
        <f t="shared" si="6"/>
        <v>0</v>
      </c>
      <c r="I114" s="80"/>
      <c r="J114" s="77"/>
      <c r="K114" s="80"/>
      <c r="L114" s="77"/>
      <c r="M114" s="77">
        <f t="shared" si="7"/>
        <v>0</v>
      </c>
    </row>
    <row r="115" spans="1:13" ht="30">
      <c r="A115" s="1177"/>
      <c r="B115" s="942"/>
      <c r="C115" s="977" t="s">
        <v>1318</v>
      </c>
      <c r="D115" s="942" t="s">
        <v>1</v>
      </c>
      <c r="E115" s="26"/>
      <c r="F115" s="999">
        <v>280</v>
      </c>
      <c r="G115" s="80"/>
      <c r="H115" s="77">
        <f t="shared" si="6"/>
        <v>0</v>
      </c>
      <c r="I115" s="80"/>
      <c r="J115" s="77"/>
      <c r="K115" s="80"/>
      <c r="L115" s="77"/>
      <c r="M115" s="77">
        <f t="shared" si="7"/>
        <v>0</v>
      </c>
    </row>
    <row r="116" spans="1:13" ht="30">
      <c r="A116" s="1177"/>
      <c r="B116" s="942"/>
      <c r="C116" s="977" t="s">
        <v>1319</v>
      </c>
      <c r="D116" s="942" t="s">
        <v>1</v>
      </c>
      <c r="E116" s="26"/>
      <c r="F116" s="999">
        <v>30</v>
      </c>
      <c r="G116" s="80"/>
      <c r="H116" s="77">
        <f t="shared" si="6"/>
        <v>0</v>
      </c>
      <c r="I116" s="80"/>
      <c r="J116" s="77"/>
      <c r="K116" s="80"/>
      <c r="L116" s="77"/>
      <c r="M116" s="77">
        <f t="shared" si="7"/>
        <v>0</v>
      </c>
    </row>
    <row r="117" spans="1:13" ht="30">
      <c r="A117" s="1177"/>
      <c r="B117" s="942"/>
      <c r="C117" s="977" t="s">
        <v>1320</v>
      </c>
      <c r="D117" s="942" t="s">
        <v>1</v>
      </c>
      <c r="E117" s="26"/>
      <c r="F117" s="999">
        <v>60</v>
      </c>
      <c r="G117" s="80"/>
      <c r="H117" s="77">
        <f t="shared" si="6"/>
        <v>0</v>
      </c>
      <c r="I117" s="80"/>
      <c r="J117" s="77"/>
      <c r="K117" s="80"/>
      <c r="L117" s="77"/>
      <c r="M117" s="77">
        <f t="shared" si="7"/>
        <v>0</v>
      </c>
    </row>
    <row r="118" spans="1:13" ht="30">
      <c r="A118" s="1177"/>
      <c r="B118" s="942"/>
      <c r="C118" s="977" t="s">
        <v>1321</v>
      </c>
      <c r="D118" s="942" t="s">
        <v>1</v>
      </c>
      <c r="E118" s="26"/>
      <c r="F118" s="999">
        <v>80</v>
      </c>
      <c r="G118" s="80"/>
      <c r="H118" s="77">
        <f t="shared" si="6"/>
        <v>0</v>
      </c>
      <c r="I118" s="80"/>
      <c r="J118" s="77"/>
      <c r="K118" s="80"/>
      <c r="L118" s="77"/>
      <c r="M118" s="77">
        <f t="shared" si="7"/>
        <v>0</v>
      </c>
    </row>
    <row r="119" spans="1:13" ht="30">
      <c r="A119" s="1177"/>
      <c r="B119" s="942"/>
      <c r="C119" s="977" t="s">
        <v>1322</v>
      </c>
      <c r="D119" s="942" t="s">
        <v>1</v>
      </c>
      <c r="E119" s="26"/>
      <c r="F119" s="999">
        <v>20</v>
      </c>
      <c r="G119" s="80"/>
      <c r="H119" s="77">
        <f t="shared" si="6"/>
        <v>0</v>
      </c>
      <c r="I119" s="80"/>
      <c r="J119" s="77"/>
      <c r="K119" s="80"/>
      <c r="L119" s="77"/>
      <c r="M119" s="77">
        <f t="shared" si="7"/>
        <v>0</v>
      </c>
    </row>
    <row r="120" spans="1:13" ht="30">
      <c r="A120" s="1177"/>
      <c r="B120" s="942"/>
      <c r="C120" s="977" t="s">
        <v>1323</v>
      </c>
      <c r="D120" s="942" t="s">
        <v>1</v>
      </c>
      <c r="E120" s="26"/>
      <c r="F120" s="999">
        <v>100</v>
      </c>
      <c r="G120" s="80"/>
      <c r="H120" s="77">
        <f t="shared" si="6"/>
        <v>0</v>
      </c>
      <c r="I120" s="80"/>
      <c r="J120" s="77"/>
      <c r="K120" s="80"/>
      <c r="L120" s="77"/>
      <c r="M120" s="77">
        <f t="shared" si="7"/>
        <v>0</v>
      </c>
    </row>
    <row r="121" spans="1:13" ht="30">
      <c r="A121" s="1177"/>
      <c r="B121" s="942"/>
      <c r="C121" s="977" t="s">
        <v>1324</v>
      </c>
      <c r="D121" s="942" t="s">
        <v>1</v>
      </c>
      <c r="E121" s="26"/>
      <c r="F121" s="999">
        <v>800</v>
      </c>
      <c r="G121" s="80"/>
      <c r="H121" s="77">
        <f t="shared" si="6"/>
        <v>0</v>
      </c>
      <c r="I121" s="80"/>
      <c r="J121" s="77"/>
      <c r="K121" s="80"/>
      <c r="L121" s="77"/>
      <c r="M121" s="77">
        <f t="shared" si="7"/>
        <v>0</v>
      </c>
    </row>
    <row r="122" spans="1:13" ht="30">
      <c r="A122" s="1177"/>
      <c r="B122" s="942"/>
      <c r="C122" s="977" t="s">
        <v>1325</v>
      </c>
      <c r="D122" s="942" t="s">
        <v>1</v>
      </c>
      <c r="E122" s="26"/>
      <c r="F122" s="999">
        <v>1200</v>
      </c>
      <c r="G122" s="80"/>
      <c r="H122" s="77">
        <f t="shared" si="6"/>
        <v>0</v>
      </c>
      <c r="I122" s="80"/>
      <c r="J122" s="77"/>
      <c r="K122" s="80"/>
      <c r="L122" s="77"/>
      <c r="M122" s="77">
        <f t="shared" si="7"/>
        <v>0</v>
      </c>
    </row>
    <row r="123" spans="1:13" ht="30">
      <c r="A123" s="1177"/>
      <c r="B123" s="942"/>
      <c r="C123" s="977" t="s">
        <v>1326</v>
      </c>
      <c r="D123" s="942" t="s">
        <v>1</v>
      </c>
      <c r="E123" s="26"/>
      <c r="F123" s="999">
        <v>240</v>
      </c>
      <c r="G123" s="80"/>
      <c r="H123" s="77">
        <f t="shared" si="6"/>
        <v>0</v>
      </c>
      <c r="I123" s="80"/>
      <c r="J123" s="77"/>
      <c r="K123" s="80"/>
      <c r="L123" s="77"/>
      <c r="M123" s="77">
        <f t="shared" si="7"/>
        <v>0</v>
      </c>
    </row>
    <row r="124" spans="1:13" ht="30">
      <c r="A124" s="1177"/>
      <c r="B124" s="942"/>
      <c r="C124" s="977" t="s">
        <v>1327</v>
      </c>
      <c r="D124" s="942" t="s">
        <v>1</v>
      </c>
      <c r="E124" s="26"/>
      <c r="F124" s="999">
        <v>320</v>
      </c>
      <c r="G124" s="80"/>
      <c r="H124" s="77">
        <f t="shared" si="6"/>
        <v>0</v>
      </c>
      <c r="I124" s="80"/>
      <c r="J124" s="77"/>
      <c r="K124" s="80"/>
      <c r="L124" s="77"/>
      <c r="M124" s="77">
        <f t="shared" si="7"/>
        <v>0</v>
      </c>
    </row>
    <row r="125" spans="1:13" ht="30">
      <c r="A125" s="1177"/>
      <c r="B125" s="942"/>
      <c r="C125" s="977" t="s">
        <v>1328</v>
      </c>
      <c r="D125" s="942" t="s">
        <v>1</v>
      </c>
      <c r="E125" s="26"/>
      <c r="F125" s="999">
        <v>80</v>
      </c>
      <c r="G125" s="80"/>
      <c r="H125" s="77">
        <f t="shared" si="6"/>
        <v>0</v>
      </c>
      <c r="I125" s="80"/>
      <c r="J125" s="77"/>
      <c r="K125" s="80"/>
      <c r="L125" s="77"/>
      <c r="M125" s="77">
        <f t="shared" si="7"/>
        <v>0</v>
      </c>
    </row>
    <row r="126" spans="1:13" ht="30">
      <c r="A126" s="1177"/>
      <c r="B126" s="942"/>
      <c r="C126" s="977" t="s">
        <v>1329</v>
      </c>
      <c r="D126" s="942" t="s">
        <v>1</v>
      </c>
      <c r="E126" s="26"/>
      <c r="F126" s="999">
        <v>20</v>
      </c>
      <c r="G126" s="80"/>
      <c r="H126" s="77">
        <f t="shared" si="6"/>
        <v>0</v>
      </c>
      <c r="I126" s="80"/>
      <c r="J126" s="77"/>
      <c r="K126" s="80"/>
      <c r="L126" s="77"/>
      <c r="M126" s="77">
        <f t="shared" si="7"/>
        <v>0</v>
      </c>
    </row>
    <row r="127" spans="1:13">
      <c r="A127" s="1177"/>
      <c r="B127" s="942"/>
      <c r="C127" s="977" t="s">
        <v>1330</v>
      </c>
      <c r="D127" s="942" t="s">
        <v>1</v>
      </c>
      <c r="E127" s="26"/>
      <c r="F127" s="999">
        <v>100</v>
      </c>
      <c r="G127" s="80"/>
      <c r="H127" s="77">
        <f t="shared" si="6"/>
        <v>0</v>
      </c>
      <c r="I127" s="80"/>
      <c r="J127" s="77"/>
      <c r="K127" s="80"/>
      <c r="L127" s="77"/>
      <c r="M127" s="77">
        <f t="shared" si="7"/>
        <v>0</v>
      </c>
    </row>
    <row r="128" spans="1:13" ht="27" customHeight="1">
      <c r="A128" s="1177"/>
      <c r="B128" s="942"/>
      <c r="C128" s="977" t="s">
        <v>1339</v>
      </c>
      <c r="D128" s="942" t="s">
        <v>1</v>
      </c>
      <c r="E128" s="26"/>
      <c r="F128" s="282">
        <v>60</v>
      </c>
      <c r="G128" s="80"/>
      <c r="H128" s="77">
        <f t="shared" si="6"/>
        <v>0</v>
      </c>
      <c r="I128" s="80"/>
      <c r="J128" s="77"/>
      <c r="K128" s="80"/>
      <c r="L128" s="77"/>
      <c r="M128" s="77">
        <f t="shared" si="7"/>
        <v>0</v>
      </c>
    </row>
    <row r="129" spans="1:13" ht="29.25" customHeight="1">
      <c r="A129" s="1177"/>
      <c r="B129" s="942"/>
      <c r="C129" s="977" t="s">
        <v>1340</v>
      </c>
      <c r="D129" s="942" t="s">
        <v>65</v>
      </c>
      <c r="E129" s="26"/>
      <c r="F129" s="282">
        <v>30</v>
      </c>
      <c r="G129" s="80"/>
      <c r="H129" s="77">
        <f t="shared" si="6"/>
        <v>0</v>
      </c>
      <c r="I129" s="80"/>
      <c r="J129" s="77"/>
      <c r="K129" s="80"/>
      <c r="L129" s="77"/>
      <c r="M129" s="77">
        <f t="shared" si="7"/>
        <v>0</v>
      </c>
    </row>
    <row r="130" spans="1:13" ht="27.75" customHeight="1">
      <c r="A130" s="1177"/>
      <c r="B130" s="942"/>
      <c r="C130" s="977" t="s">
        <v>1341</v>
      </c>
      <c r="D130" s="942" t="s">
        <v>1</v>
      </c>
      <c r="E130" s="26"/>
      <c r="F130" s="282">
        <v>75</v>
      </c>
      <c r="G130" s="80"/>
      <c r="H130" s="77">
        <f t="shared" si="6"/>
        <v>0</v>
      </c>
      <c r="I130" s="80"/>
      <c r="J130" s="77"/>
      <c r="K130" s="80"/>
      <c r="L130" s="77"/>
      <c r="M130" s="77">
        <f t="shared" si="7"/>
        <v>0</v>
      </c>
    </row>
    <row r="131" spans="1:13">
      <c r="A131" s="1177"/>
      <c r="B131" s="942"/>
      <c r="C131" s="977" t="s">
        <v>1340</v>
      </c>
      <c r="D131" s="942" t="s">
        <v>65</v>
      </c>
      <c r="E131" s="26"/>
      <c r="F131" s="282">
        <v>32</v>
      </c>
      <c r="G131" s="80"/>
      <c r="H131" s="77">
        <f t="shared" si="6"/>
        <v>0</v>
      </c>
      <c r="I131" s="80"/>
      <c r="J131" s="77"/>
      <c r="K131" s="80"/>
      <c r="L131" s="77"/>
      <c r="M131" s="77">
        <f t="shared" si="7"/>
        <v>0</v>
      </c>
    </row>
    <row r="132" spans="1:13" ht="30">
      <c r="A132" s="1177"/>
      <c r="B132" s="942"/>
      <c r="C132" s="977" t="s">
        <v>1351</v>
      </c>
      <c r="D132" s="942" t="s">
        <v>2</v>
      </c>
      <c r="E132" s="26"/>
      <c r="F132" s="282">
        <v>350</v>
      </c>
      <c r="G132" s="80"/>
      <c r="H132" s="77">
        <f>F132*G132</f>
        <v>0</v>
      </c>
      <c r="I132" s="80"/>
      <c r="J132" s="77"/>
      <c r="K132" s="80"/>
      <c r="L132" s="77"/>
      <c r="M132" s="77">
        <f>H132+J132+L132</f>
        <v>0</v>
      </c>
    </row>
    <row r="133" spans="1:13">
      <c r="A133" s="1177"/>
      <c r="B133" s="942"/>
      <c r="C133" s="977" t="s">
        <v>1306</v>
      </c>
      <c r="D133" s="942" t="s">
        <v>65</v>
      </c>
      <c r="E133" s="26"/>
      <c r="F133" s="282">
        <v>1</v>
      </c>
      <c r="G133" s="80"/>
      <c r="H133" s="77">
        <f t="shared" si="6"/>
        <v>0</v>
      </c>
      <c r="I133" s="80"/>
      <c r="J133" s="77"/>
      <c r="K133" s="80"/>
      <c r="L133" s="77"/>
      <c r="M133" s="77">
        <f t="shared" si="7"/>
        <v>0</v>
      </c>
    </row>
    <row r="134" spans="1:13">
      <c r="A134" s="971"/>
      <c r="B134" s="447"/>
      <c r="C134" s="945"/>
      <c r="D134" s="447"/>
      <c r="E134" s="280"/>
      <c r="F134" s="949"/>
      <c r="G134" s="77"/>
      <c r="H134" s="448"/>
      <c r="I134" s="448"/>
      <c r="J134" s="448"/>
      <c r="K134" s="448"/>
      <c r="L134" s="448"/>
      <c r="M134" s="448"/>
    </row>
    <row r="135" spans="1:13" s="215" customFormat="1">
      <c r="A135" s="928"/>
      <c r="B135" s="940"/>
      <c r="C135" s="882" t="s">
        <v>488</v>
      </c>
      <c r="D135" s="941"/>
      <c r="E135" s="233"/>
      <c r="F135" s="205"/>
      <c r="G135" s="341"/>
      <c r="H135" s="340"/>
      <c r="I135" s="341"/>
      <c r="J135" s="340"/>
      <c r="K135" s="340"/>
      <c r="L135" s="340"/>
      <c r="M135" s="340"/>
    </row>
    <row r="136" spans="1:13" s="215" customFormat="1">
      <c r="A136" s="1460" t="s">
        <v>83</v>
      </c>
      <c r="B136" s="942" t="s">
        <v>184</v>
      </c>
      <c r="C136" s="152" t="s">
        <v>191</v>
      </c>
      <c r="D136" s="833" t="s">
        <v>90</v>
      </c>
      <c r="E136" s="427"/>
      <c r="F136" s="299">
        <f>F138+F139</f>
        <v>130</v>
      </c>
      <c r="G136" s="79"/>
      <c r="H136" s="77"/>
      <c r="I136" s="174"/>
      <c r="J136" s="77"/>
      <c r="K136" s="79"/>
      <c r="L136" s="77"/>
      <c r="M136" s="77"/>
    </row>
    <row r="137" spans="1:13" s="215" customFormat="1">
      <c r="A137" s="1460"/>
      <c r="B137" s="942"/>
      <c r="C137" s="127" t="s">
        <v>13</v>
      </c>
      <c r="D137" s="426" t="s">
        <v>15</v>
      </c>
      <c r="E137" s="428">
        <v>0.39200000000000002</v>
      </c>
      <c r="F137" s="317">
        <f>F136*E137</f>
        <v>50.96</v>
      </c>
      <c r="G137" s="429"/>
      <c r="H137" s="77"/>
      <c r="I137" s="80"/>
      <c r="J137" s="77">
        <f>F137*I137</f>
        <v>0</v>
      </c>
      <c r="K137" s="80"/>
      <c r="L137" s="77"/>
      <c r="M137" s="77">
        <f t="shared" ref="M137:M142" si="8">H137+J137+L137</f>
        <v>0</v>
      </c>
    </row>
    <row r="138" spans="1:13" s="215" customFormat="1">
      <c r="A138" s="1460"/>
      <c r="B138" s="942"/>
      <c r="C138" s="977" t="s">
        <v>1335</v>
      </c>
      <c r="D138" s="426" t="s">
        <v>65</v>
      </c>
      <c r="E138" s="428"/>
      <c r="F138" s="317">
        <v>100</v>
      </c>
      <c r="G138" s="429"/>
      <c r="H138" s="77">
        <f>F138*G138</f>
        <v>0</v>
      </c>
      <c r="I138" s="77"/>
      <c r="J138" s="77"/>
      <c r="K138" s="80"/>
      <c r="L138" s="77"/>
      <c r="M138" s="77">
        <f t="shared" si="8"/>
        <v>0</v>
      </c>
    </row>
    <row r="139" spans="1:13" s="215" customFormat="1" ht="30">
      <c r="A139" s="1460"/>
      <c r="B139" s="942"/>
      <c r="C139" s="977" t="s">
        <v>1336</v>
      </c>
      <c r="D139" s="426" t="s">
        <v>65</v>
      </c>
      <c r="E139" s="428"/>
      <c r="F139" s="317">
        <v>30</v>
      </c>
      <c r="G139" s="429"/>
      <c r="H139" s="77">
        <f>F139*G139</f>
        <v>0</v>
      </c>
      <c r="I139" s="77"/>
      <c r="J139" s="77"/>
      <c r="K139" s="80"/>
      <c r="L139" s="77"/>
      <c r="M139" s="77">
        <f t="shared" si="8"/>
        <v>0</v>
      </c>
    </row>
    <row r="140" spans="1:13" s="215" customFormat="1" ht="30">
      <c r="A140" s="1460"/>
      <c r="B140" s="942"/>
      <c r="C140" s="978" t="s">
        <v>1337</v>
      </c>
      <c r="D140" s="426" t="s">
        <v>2</v>
      </c>
      <c r="E140" s="428"/>
      <c r="F140" s="317">
        <v>3</v>
      </c>
      <c r="G140" s="429"/>
      <c r="H140" s="77">
        <f>F140*G140</f>
        <v>0</v>
      </c>
      <c r="I140" s="77"/>
      <c r="J140" s="77"/>
      <c r="K140" s="80"/>
      <c r="L140" s="77"/>
      <c r="M140" s="77">
        <f t="shared" si="8"/>
        <v>0</v>
      </c>
    </row>
    <row r="141" spans="1:13" s="215" customFormat="1" ht="30.75">
      <c r="A141" s="1460"/>
      <c r="B141" s="942"/>
      <c r="C141" s="127" t="s">
        <v>964</v>
      </c>
      <c r="D141" s="426" t="s">
        <v>2</v>
      </c>
      <c r="E141" s="428"/>
      <c r="F141" s="317">
        <f>F136</f>
        <v>130</v>
      </c>
      <c r="G141" s="429"/>
      <c r="H141" s="77">
        <f>F141*G141</f>
        <v>0</v>
      </c>
      <c r="I141" s="77"/>
      <c r="J141" s="77"/>
      <c r="K141" s="80"/>
      <c r="L141" s="77"/>
      <c r="M141" s="77">
        <f t="shared" si="8"/>
        <v>0</v>
      </c>
    </row>
    <row r="142" spans="1:13" s="215" customFormat="1">
      <c r="A142" s="1460"/>
      <c r="B142" s="942"/>
      <c r="C142" s="127" t="s">
        <v>26</v>
      </c>
      <c r="D142" s="426" t="s">
        <v>11</v>
      </c>
      <c r="E142" s="430">
        <f>9.4/100</f>
        <v>9.4E-2</v>
      </c>
      <c r="F142" s="205">
        <f>F136*E142</f>
        <v>12.22</v>
      </c>
      <c r="G142" s="80"/>
      <c r="H142" s="77">
        <f>F142*G142</f>
        <v>0</v>
      </c>
      <c r="I142" s="80"/>
      <c r="J142" s="77"/>
      <c r="K142" s="80"/>
      <c r="L142" s="77"/>
      <c r="M142" s="77">
        <f t="shared" si="8"/>
        <v>0</v>
      </c>
    </row>
    <row r="143" spans="1:13" s="215" customFormat="1">
      <c r="A143" s="1461" t="s">
        <v>431</v>
      </c>
      <c r="B143" s="941" t="s">
        <v>183</v>
      </c>
      <c r="C143" s="946" t="s">
        <v>190</v>
      </c>
      <c r="D143" s="833" t="s">
        <v>90</v>
      </c>
      <c r="E143" s="427"/>
      <c r="F143" s="299">
        <f>SUM(F145:F148)</f>
        <v>41</v>
      </c>
      <c r="G143" s="79"/>
      <c r="H143" s="77"/>
      <c r="I143" s="174"/>
      <c r="J143" s="77"/>
      <c r="K143" s="79"/>
      <c r="L143" s="77"/>
      <c r="M143" s="77"/>
    </row>
    <row r="144" spans="1:13" s="215" customFormat="1">
      <c r="A144" s="1462"/>
      <c r="B144" s="941"/>
      <c r="C144" s="127" t="s">
        <v>13</v>
      </c>
      <c r="D144" s="426" t="s">
        <v>15</v>
      </c>
      <c r="E144" s="428">
        <v>0.372</v>
      </c>
      <c r="F144" s="317">
        <f>F143*E144</f>
        <v>15.252000000000001</v>
      </c>
      <c r="G144" s="429"/>
      <c r="H144" s="77"/>
      <c r="I144" s="80"/>
      <c r="J144" s="77">
        <f>F144*I144</f>
        <v>0</v>
      </c>
      <c r="K144" s="80"/>
      <c r="L144" s="77"/>
      <c r="M144" s="77">
        <f t="shared" ref="M144:M150" si="9">H144+J144+L144</f>
        <v>0</v>
      </c>
    </row>
    <row r="145" spans="1:13" s="215" customFormat="1">
      <c r="A145" s="1462"/>
      <c r="B145" s="941"/>
      <c r="C145" s="977" t="s">
        <v>1331</v>
      </c>
      <c r="D145" s="426" t="s">
        <v>2</v>
      </c>
      <c r="E145" s="428"/>
      <c r="F145" s="317">
        <v>7</v>
      </c>
      <c r="G145" s="429"/>
      <c r="H145" s="77">
        <f t="shared" ref="H145:H150" si="10">F145*G145</f>
        <v>0</v>
      </c>
      <c r="I145" s="77"/>
      <c r="J145" s="77"/>
      <c r="K145" s="80"/>
      <c r="L145" s="77"/>
      <c r="M145" s="77">
        <f t="shared" si="9"/>
        <v>0</v>
      </c>
    </row>
    <row r="146" spans="1:13" s="215" customFormat="1">
      <c r="A146" s="1462"/>
      <c r="B146" s="941"/>
      <c r="C146" s="978" t="s">
        <v>1332</v>
      </c>
      <c r="D146" s="426" t="s">
        <v>2</v>
      </c>
      <c r="E146" s="428"/>
      <c r="F146" s="317">
        <v>30</v>
      </c>
      <c r="G146" s="429"/>
      <c r="H146" s="77">
        <f t="shared" si="10"/>
        <v>0</v>
      </c>
      <c r="I146" s="77"/>
      <c r="J146" s="77"/>
      <c r="K146" s="80"/>
      <c r="L146" s="77"/>
      <c r="M146" s="77">
        <f t="shared" si="9"/>
        <v>0</v>
      </c>
    </row>
    <row r="147" spans="1:13" s="215" customFormat="1">
      <c r="A147" s="1462"/>
      <c r="B147" s="941"/>
      <c r="C147" s="978" t="s">
        <v>1334</v>
      </c>
      <c r="D147" s="426" t="s">
        <v>2</v>
      </c>
      <c r="E147" s="428"/>
      <c r="F147" s="317">
        <v>0</v>
      </c>
      <c r="G147" s="429"/>
      <c r="H147" s="77">
        <f t="shared" si="10"/>
        <v>0</v>
      </c>
      <c r="I147" s="77"/>
      <c r="J147" s="77"/>
      <c r="K147" s="80"/>
      <c r="L147" s="77"/>
      <c r="M147" s="77">
        <f t="shared" si="9"/>
        <v>0</v>
      </c>
    </row>
    <row r="148" spans="1:13" s="215" customFormat="1">
      <c r="A148" s="1462"/>
      <c r="B148" s="941"/>
      <c r="C148" s="978" t="s">
        <v>1333</v>
      </c>
      <c r="D148" s="426" t="s">
        <v>2</v>
      </c>
      <c r="E148" s="428"/>
      <c r="F148" s="317">
        <v>4</v>
      </c>
      <c r="G148" s="429"/>
      <c r="H148" s="77">
        <f t="shared" si="10"/>
        <v>0</v>
      </c>
      <c r="I148" s="77"/>
      <c r="J148" s="77"/>
      <c r="K148" s="80"/>
      <c r="L148" s="77"/>
      <c r="M148" s="77">
        <f t="shared" si="9"/>
        <v>0</v>
      </c>
    </row>
    <row r="149" spans="1:13" s="215" customFormat="1" ht="30.75">
      <c r="A149" s="1462"/>
      <c r="B149" s="941"/>
      <c r="C149" s="127" t="s">
        <v>964</v>
      </c>
      <c r="D149" s="426" t="s">
        <v>2</v>
      </c>
      <c r="E149" s="428"/>
      <c r="F149" s="317">
        <f>F143</f>
        <v>41</v>
      </c>
      <c r="G149" s="429"/>
      <c r="H149" s="77">
        <f t="shared" si="10"/>
        <v>0</v>
      </c>
      <c r="I149" s="77"/>
      <c r="J149" s="77"/>
      <c r="K149" s="80"/>
      <c r="L149" s="77"/>
      <c r="M149" s="77">
        <f t="shared" si="9"/>
        <v>0</v>
      </c>
    </row>
    <row r="150" spans="1:13" s="215" customFormat="1">
      <c r="A150" s="1463"/>
      <c r="B150" s="941"/>
      <c r="C150" s="127" t="s">
        <v>26</v>
      </c>
      <c r="D150" s="426" t="s">
        <v>11</v>
      </c>
      <c r="E150" s="430">
        <f>12.84/100</f>
        <v>0.12839999999999999</v>
      </c>
      <c r="F150" s="205">
        <f>F143*E150</f>
        <v>5.2643999999999993</v>
      </c>
      <c r="G150" s="80"/>
      <c r="H150" s="77">
        <f t="shared" si="10"/>
        <v>0</v>
      </c>
      <c r="I150" s="80"/>
      <c r="J150" s="77"/>
      <c r="K150" s="80"/>
      <c r="L150" s="77"/>
      <c r="M150" s="77">
        <f t="shared" si="9"/>
        <v>0</v>
      </c>
    </row>
    <row r="151" spans="1:13" s="215" customFormat="1">
      <c r="A151" s="1461" t="s">
        <v>38</v>
      </c>
      <c r="B151" s="432" t="s">
        <v>188</v>
      </c>
      <c r="C151" s="834" t="s">
        <v>489</v>
      </c>
      <c r="D151" s="432" t="s">
        <v>90</v>
      </c>
      <c r="E151" s="110"/>
      <c r="F151" s="111">
        <f>F154</f>
        <v>171</v>
      </c>
      <c r="G151" s="176"/>
      <c r="H151" s="77"/>
      <c r="I151" s="176"/>
      <c r="J151" s="77"/>
      <c r="K151" s="176"/>
      <c r="L151" s="77"/>
      <c r="M151" s="77"/>
    </row>
    <row r="152" spans="1:13" s="215" customFormat="1">
      <c r="A152" s="1462"/>
      <c r="B152" s="432"/>
      <c r="C152" s="835" t="s">
        <v>189</v>
      </c>
      <c r="D152" s="432" t="s">
        <v>15</v>
      </c>
      <c r="E152" s="110">
        <v>1.35</v>
      </c>
      <c r="F152" s="434">
        <f>F151*E152</f>
        <v>230.85000000000002</v>
      </c>
      <c r="G152" s="176"/>
      <c r="H152" s="77"/>
      <c r="I152" s="80"/>
      <c r="J152" s="77">
        <f>F152*I152</f>
        <v>0</v>
      </c>
      <c r="K152" s="176"/>
      <c r="L152" s="77"/>
      <c r="M152" s="77">
        <f>H152+J152+L152</f>
        <v>0</v>
      </c>
    </row>
    <row r="153" spans="1:13" s="215" customFormat="1">
      <c r="A153" s="1462"/>
      <c r="B153" s="432"/>
      <c r="C153" s="433" t="s">
        <v>25</v>
      </c>
      <c r="D153" s="432" t="s">
        <v>11</v>
      </c>
      <c r="E153" s="110">
        <v>3.1E-2</v>
      </c>
      <c r="F153" s="434">
        <f>F151*E153</f>
        <v>5.3010000000000002</v>
      </c>
      <c r="G153" s="176"/>
      <c r="H153" s="77"/>
      <c r="I153" s="176"/>
      <c r="J153" s="77"/>
      <c r="K153" s="176"/>
      <c r="L153" s="77">
        <f t="shared" ref="L153:L159" si="11">F153*K153</f>
        <v>0</v>
      </c>
      <c r="M153" s="77">
        <f>H153+J153+L153</f>
        <v>0</v>
      </c>
    </row>
    <row r="154" spans="1:13" s="215" customFormat="1" ht="31.5">
      <c r="A154" s="1462"/>
      <c r="B154" s="432"/>
      <c r="C154" s="433" t="s">
        <v>490</v>
      </c>
      <c r="D154" s="836" t="s">
        <v>90</v>
      </c>
      <c r="E154" s="112">
        <v>1</v>
      </c>
      <c r="F154" s="113">
        <v>171</v>
      </c>
      <c r="G154" s="837"/>
      <c r="H154" s="77">
        <f>F154*G154</f>
        <v>0</v>
      </c>
      <c r="I154" s="838"/>
      <c r="J154" s="77"/>
      <c r="K154" s="330"/>
      <c r="L154" s="77"/>
      <c r="M154" s="77">
        <f>H154+J154+L154</f>
        <v>0</v>
      </c>
    </row>
    <row r="155" spans="1:13" s="215" customFormat="1">
      <c r="A155" s="1462"/>
      <c r="B155" s="432"/>
      <c r="C155" s="153" t="s">
        <v>26</v>
      </c>
      <c r="D155" s="426" t="s">
        <v>11</v>
      </c>
      <c r="E155" s="110">
        <v>0.29099999999999998</v>
      </c>
      <c r="F155" s="434">
        <f>F151*E155</f>
        <v>49.760999999999996</v>
      </c>
      <c r="G155" s="176"/>
      <c r="H155" s="77">
        <f>F155*G155</f>
        <v>0</v>
      </c>
      <c r="I155" s="176"/>
      <c r="J155" s="77"/>
      <c r="K155" s="336"/>
      <c r="L155" s="77"/>
      <c r="M155" s="77">
        <f>H155+J155+L155</f>
        <v>0</v>
      </c>
    </row>
    <row r="156" spans="1:13" s="215" customFormat="1" ht="27">
      <c r="A156" s="1461" t="s">
        <v>409</v>
      </c>
      <c r="B156" s="928" t="s">
        <v>192</v>
      </c>
      <c r="C156" s="124" t="s">
        <v>193</v>
      </c>
      <c r="D156" s="43" t="s">
        <v>12</v>
      </c>
      <c r="E156" s="26"/>
      <c r="F156" s="20">
        <f>SUM(F160:F167)</f>
        <v>281</v>
      </c>
      <c r="G156" s="80"/>
      <c r="H156" s="77"/>
      <c r="I156" s="77"/>
      <c r="J156" s="77"/>
      <c r="K156" s="77"/>
      <c r="L156" s="77"/>
      <c r="M156" s="77"/>
    </row>
    <row r="157" spans="1:13" s="215" customFormat="1">
      <c r="A157" s="1462"/>
      <c r="B157" s="941"/>
      <c r="C157" s="127" t="s">
        <v>13</v>
      </c>
      <c r="D157" s="426" t="s">
        <v>15</v>
      </c>
      <c r="E157" s="430">
        <f>182/100</f>
        <v>1.82</v>
      </c>
      <c r="F157" s="205">
        <f>F156*E157</f>
        <v>511.42</v>
      </c>
      <c r="G157" s="80"/>
      <c r="H157" s="77"/>
      <c r="I157" s="80"/>
      <c r="J157" s="77">
        <f>F157*I157</f>
        <v>0</v>
      </c>
      <c r="K157" s="80"/>
      <c r="L157" s="77"/>
      <c r="M157" s="77">
        <f t="shared" ref="M157:M162" si="12">H157+J157+L157</f>
        <v>0</v>
      </c>
    </row>
    <row r="158" spans="1:13" s="215" customFormat="1">
      <c r="A158" s="1462"/>
      <c r="B158" s="941" t="s">
        <v>194</v>
      </c>
      <c r="C158" s="127" t="s">
        <v>197</v>
      </c>
      <c r="D158" s="426" t="s">
        <v>187</v>
      </c>
      <c r="E158" s="430">
        <f>6.5*0.01</f>
        <v>6.5000000000000002E-2</v>
      </c>
      <c r="F158" s="205">
        <f>F156*E158</f>
        <v>18.265000000000001</v>
      </c>
      <c r="G158" s="80"/>
      <c r="H158" s="77"/>
      <c r="I158" s="80"/>
      <c r="J158" s="77"/>
      <c r="K158" s="80"/>
      <c r="L158" s="77">
        <f t="shared" si="11"/>
        <v>0</v>
      </c>
      <c r="M158" s="77">
        <f t="shared" si="12"/>
        <v>0</v>
      </c>
    </row>
    <row r="159" spans="1:13" s="215" customFormat="1">
      <c r="A159" s="1462"/>
      <c r="B159" s="941" t="s">
        <v>195</v>
      </c>
      <c r="C159" s="127" t="s">
        <v>196</v>
      </c>
      <c r="D159" s="426" t="s">
        <v>187</v>
      </c>
      <c r="E159" s="430">
        <f>17.8*0.01</f>
        <v>0.17800000000000002</v>
      </c>
      <c r="F159" s="205">
        <f>F156*E159</f>
        <v>50.018000000000008</v>
      </c>
      <c r="G159" s="80"/>
      <c r="H159" s="77"/>
      <c r="I159" s="80"/>
      <c r="J159" s="77"/>
      <c r="K159" s="80"/>
      <c r="L159" s="77">
        <f t="shared" si="11"/>
        <v>0</v>
      </c>
      <c r="M159" s="77">
        <f t="shared" si="12"/>
        <v>0</v>
      </c>
    </row>
    <row r="160" spans="1:13" s="215" customFormat="1">
      <c r="A160" s="1462"/>
      <c r="B160" s="928"/>
      <c r="C160" s="978" t="s">
        <v>1342</v>
      </c>
      <c r="D160" s="942" t="s">
        <v>65</v>
      </c>
      <c r="E160" s="26"/>
      <c r="F160" s="282">
        <v>78</v>
      </c>
      <c r="G160" s="80"/>
      <c r="H160" s="77">
        <f>F160*G160</f>
        <v>0</v>
      </c>
      <c r="I160" s="77"/>
      <c r="J160" s="77"/>
      <c r="K160" s="77"/>
      <c r="L160" s="77"/>
      <c r="M160" s="77">
        <f t="shared" si="12"/>
        <v>0</v>
      </c>
    </row>
    <row r="161" spans="1:13" s="215" customFormat="1">
      <c r="A161" s="1462"/>
      <c r="B161" s="928"/>
      <c r="C161" s="978" t="s">
        <v>1343</v>
      </c>
      <c r="D161" s="942" t="s">
        <v>65</v>
      </c>
      <c r="E161" s="26"/>
      <c r="F161" s="282">
        <v>27</v>
      </c>
      <c r="G161" s="80"/>
      <c r="H161" s="77">
        <f>F161*G161</f>
        <v>0</v>
      </c>
      <c r="I161" s="77"/>
      <c r="J161" s="77"/>
      <c r="K161" s="77"/>
      <c r="L161" s="77"/>
      <c r="M161" s="77">
        <f t="shared" si="12"/>
        <v>0</v>
      </c>
    </row>
    <row r="162" spans="1:13" s="215" customFormat="1">
      <c r="A162" s="1462"/>
      <c r="B162" s="928"/>
      <c r="C162" s="978" t="s">
        <v>1344</v>
      </c>
      <c r="D162" s="942" t="s">
        <v>65</v>
      </c>
      <c r="E162" s="26"/>
      <c r="F162" s="282">
        <v>11</v>
      </c>
      <c r="G162" s="80"/>
      <c r="H162" s="77">
        <f>F162*G162</f>
        <v>0</v>
      </c>
      <c r="I162" s="77"/>
      <c r="J162" s="77"/>
      <c r="K162" s="77"/>
      <c r="L162" s="77"/>
      <c r="M162" s="77">
        <f t="shared" si="12"/>
        <v>0</v>
      </c>
    </row>
    <row r="163" spans="1:13" s="215" customFormat="1">
      <c r="A163" s="1462"/>
      <c r="B163" s="928"/>
      <c r="C163" s="978" t="s">
        <v>1345</v>
      </c>
      <c r="D163" s="942" t="s">
        <v>65</v>
      </c>
      <c r="E163" s="26"/>
      <c r="F163" s="282">
        <v>26</v>
      </c>
      <c r="G163" s="80"/>
      <c r="H163" s="77">
        <f t="shared" ref="H163:H170" si="13">F163*G163</f>
        <v>0</v>
      </c>
      <c r="I163" s="77"/>
      <c r="J163" s="77"/>
      <c r="K163" s="77"/>
      <c r="L163" s="77"/>
      <c r="M163" s="77">
        <f t="shared" ref="M163:M170" si="14">H163+J163+L163</f>
        <v>0</v>
      </c>
    </row>
    <row r="164" spans="1:13" s="215" customFormat="1">
      <c r="A164" s="1462"/>
      <c r="B164" s="928"/>
      <c r="C164" s="977" t="s">
        <v>1346</v>
      </c>
      <c r="D164" s="942" t="s">
        <v>65</v>
      </c>
      <c r="E164" s="26"/>
      <c r="F164" s="282">
        <v>95</v>
      </c>
      <c r="G164" s="80"/>
      <c r="H164" s="77">
        <f>F164*G164</f>
        <v>0</v>
      </c>
      <c r="I164" s="77"/>
      <c r="J164" s="77"/>
      <c r="K164" s="77"/>
      <c r="L164" s="77"/>
      <c r="M164" s="77">
        <f>H164+J164+L164</f>
        <v>0</v>
      </c>
    </row>
    <row r="165" spans="1:13" s="215" customFormat="1">
      <c r="A165" s="1462"/>
      <c r="B165" s="928"/>
      <c r="C165" s="978" t="s">
        <v>1347</v>
      </c>
      <c r="D165" s="942" t="s">
        <v>65</v>
      </c>
      <c r="E165" s="26"/>
      <c r="F165" s="282">
        <v>14</v>
      </c>
      <c r="G165" s="80"/>
      <c r="H165" s="77">
        <f t="shared" si="13"/>
        <v>0</v>
      </c>
      <c r="I165" s="77"/>
      <c r="J165" s="77"/>
      <c r="K165" s="77"/>
      <c r="L165" s="77"/>
      <c r="M165" s="77">
        <f t="shared" si="14"/>
        <v>0</v>
      </c>
    </row>
    <row r="166" spans="1:13" s="215" customFormat="1">
      <c r="A166" s="1462"/>
      <c r="B166" s="928"/>
      <c r="C166" s="978" t="s">
        <v>1348</v>
      </c>
      <c r="D166" s="942" t="s">
        <v>65</v>
      </c>
      <c r="E166" s="26"/>
      <c r="F166" s="282">
        <v>6</v>
      </c>
      <c r="G166" s="80"/>
      <c r="H166" s="77">
        <f>F166*G166</f>
        <v>0</v>
      </c>
      <c r="I166" s="77"/>
      <c r="J166" s="77"/>
      <c r="K166" s="77"/>
      <c r="L166" s="77"/>
      <c r="M166" s="77">
        <f>H166+J166+L166</f>
        <v>0</v>
      </c>
    </row>
    <row r="167" spans="1:13" s="215" customFormat="1">
      <c r="A167" s="1462"/>
      <c r="B167" s="928"/>
      <c r="C167" s="978" t="s">
        <v>1349</v>
      </c>
      <c r="D167" s="942" t="s">
        <v>65</v>
      </c>
      <c r="E167" s="26"/>
      <c r="F167" s="282">
        <v>24</v>
      </c>
      <c r="G167" s="80"/>
      <c r="H167" s="77">
        <f>F167*G167</f>
        <v>0</v>
      </c>
      <c r="I167" s="77"/>
      <c r="J167" s="77"/>
      <c r="K167" s="77"/>
      <c r="L167" s="77"/>
      <c r="M167" s="77">
        <f>H167+J167+L167</f>
        <v>0</v>
      </c>
    </row>
    <row r="168" spans="1:13" s="215" customFormat="1">
      <c r="A168" s="1462"/>
      <c r="B168" s="928"/>
      <c r="C168" s="977" t="s">
        <v>1350</v>
      </c>
      <c r="D168" s="942" t="s">
        <v>65</v>
      </c>
      <c r="E168" s="233"/>
      <c r="F168" s="205">
        <v>3</v>
      </c>
      <c r="G168" s="80"/>
      <c r="H168" s="77">
        <f>F168*G168</f>
        <v>0</v>
      </c>
      <c r="I168" s="77"/>
      <c r="J168" s="77"/>
      <c r="K168" s="77"/>
      <c r="L168" s="77"/>
      <c r="M168" s="77">
        <f>H168+J168+L168</f>
        <v>0</v>
      </c>
    </row>
    <row r="169" spans="1:13" s="215" customFormat="1" ht="30">
      <c r="A169" s="1462"/>
      <c r="B169" s="928"/>
      <c r="C169" s="978" t="s">
        <v>1356</v>
      </c>
      <c r="D169" s="942" t="s">
        <v>2</v>
      </c>
      <c r="E169" s="233"/>
      <c r="F169" s="205">
        <v>32</v>
      </c>
      <c r="G169" s="80"/>
      <c r="H169" s="77">
        <f>F169*G169</f>
        <v>0</v>
      </c>
      <c r="I169" s="77"/>
      <c r="J169" s="77"/>
      <c r="K169" s="77"/>
      <c r="L169" s="77"/>
      <c r="M169" s="77">
        <f>H169+J169+L169</f>
        <v>0</v>
      </c>
    </row>
    <row r="170" spans="1:13" s="215" customFormat="1">
      <c r="A170" s="1463"/>
      <c r="B170" s="928"/>
      <c r="C170" s="127" t="s">
        <v>26</v>
      </c>
      <c r="D170" s="942" t="s">
        <v>11</v>
      </c>
      <c r="E170" s="233">
        <v>0.13200000000000001</v>
      </c>
      <c r="F170" s="205">
        <f>F156*E170</f>
        <v>37.091999999999999</v>
      </c>
      <c r="G170" s="80"/>
      <c r="H170" s="77">
        <f t="shared" si="13"/>
        <v>0</v>
      </c>
      <c r="I170" s="77"/>
      <c r="J170" s="77"/>
      <c r="K170" s="77"/>
      <c r="L170" s="77"/>
      <c r="M170" s="77">
        <f t="shared" si="14"/>
        <v>0</v>
      </c>
    </row>
    <row r="171" spans="1:13" s="215" customFormat="1" hidden="1">
      <c r="A171" s="1418" t="s">
        <v>409</v>
      </c>
      <c r="B171" s="942" t="s">
        <v>34</v>
      </c>
      <c r="C171" s="152" t="s">
        <v>1184</v>
      </c>
      <c r="D171" s="943" t="s">
        <v>1</v>
      </c>
      <c r="E171" s="57"/>
      <c r="F171" s="20">
        <f>F173</f>
        <v>0</v>
      </c>
      <c r="G171" s="80"/>
      <c r="H171" s="80"/>
      <c r="I171" s="556"/>
      <c r="J171" s="80"/>
      <c r="K171" s="80"/>
      <c r="L171" s="80"/>
      <c r="M171" s="80"/>
    </row>
    <row r="172" spans="1:13" s="215" customFormat="1" hidden="1">
      <c r="A172" s="1419"/>
      <c r="B172" s="943"/>
      <c r="C172" s="839" t="s">
        <v>946</v>
      </c>
      <c r="D172" s="840" t="s">
        <v>120</v>
      </c>
      <c r="E172" s="987">
        <v>1</v>
      </c>
      <c r="F172" s="595">
        <f>F173*E172</f>
        <v>0</v>
      </c>
      <c r="G172" s="556"/>
      <c r="H172" s="80"/>
      <c r="I172" s="556">
        <v>6</v>
      </c>
      <c r="J172" s="80">
        <f>F172*I172</f>
        <v>0</v>
      </c>
      <c r="K172" s="557"/>
      <c r="L172" s="80"/>
      <c r="M172" s="80">
        <f>H172+J172+L172</f>
        <v>0</v>
      </c>
    </row>
    <row r="173" spans="1:13" s="215" customFormat="1" hidden="1">
      <c r="A173" s="1419"/>
      <c r="B173" s="942"/>
      <c r="C173" s="153" t="s">
        <v>1185</v>
      </c>
      <c r="D173" s="942" t="s">
        <v>1</v>
      </c>
      <c r="E173" s="26"/>
      <c r="F173" s="282">
        <v>0</v>
      </c>
      <c r="G173" s="80">
        <v>10</v>
      </c>
      <c r="H173" s="80">
        <f>F173*G173</f>
        <v>0</v>
      </c>
      <c r="I173" s="556"/>
      <c r="J173" s="80"/>
      <c r="K173" s="80"/>
      <c r="L173" s="80"/>
      <c r="M173" s="80">
        <f>H173+J173+L173</f>
        <v>0</v>
      </c>
    </row>
    <row r="174" spans="1:13" s="215" customFormat="1" ht="30.75" hidden="1">
      <c r="A174" s="1419"/>
      <c r="B174" s="942"/>
      <c r="C174" s="153" t="s">
        <v>1186</v>
      </c>
      <c r="D174" s="942" t="s">
        <v>2</v>
      </c>
      <c r="E174" s="26"/>
      <c r="F174" s="282">
        <v>0</v>
      </c>
      <c r="G174" s="80">
        <v>100</v>
      </c>
      <c r="H174" s="80">
        <f>F174*G174</f>
        <v>0</v>
      </c>
      <c r="I174" s="556"/>
      <c r="J174" s="80"/>
      <c r="K174" s="80"/>
      <c r="L174" s="80"/>
      <c r="M174" s="80">
        <f>H174+J174+L174</f>
        <v>0</v>
      </c>
    </row>
    <row r="175" spans="1:13" s="215" customFormat="1">
      <c r="A175" s="1438" t="s">
        <v>432</v>
      </c>
      <c r="B175" s="941" t="s">
        <v>1353</v>
      </c>
      <c r="C175" s="139" t="s">
        <v>1354</v>
      </c>
      <c r="D175" s="889" t="s">
        <v>90</v>
      </c>
      <c r="E175" s="890"/>
      <c r="F175" s="299">
        <f>SUM(F178:F179)</f>
        <v>27</v>
      </c>
      <c r="G175" s="556"/>
      <c r="H175" s="77"/>
      <c r="I175" s="556"/>
      <c r="J175" s="77"/>
      <c r="K175" s="557"/>
      <c r="L175" s="77"/>
      <c r="M175" s="77"/>
    </row>
    <row r="176" spans="1:13" s="215" customFormat="1">
      <c r="A176" s="1469"/>
      <c r="B176" s="24"/>
      <c r="C176" s="160" t="s">
        <v>13</v>
      </c>
      <c r="D176" s="66" t="s">
        <v>15</v>
      </c>
      <c r="E176" s="891">
        <f>225/100</f>
        <v>2.25</v>
      </c>
      <c r="F176" s="205">
        <f>E176*F175</f>
        <v>60.75</v>
      </c>
      <c r="G176" s="556"/>
      <c r="H176" s="77"/>
      <c r="I176" s="556"/>
      <c r="J176" s="77">
        <f t="shared" ref="J176" si="15">F176*I176</f>
        <v>0</v>
      </c>
      <c r="K176" s="557"/>
      <c r="L176" s="77"/>
      <c r="M176" s="77">
        <f t="shared" ref="M176:M180" si="16">H176+J176+L176</f>
        <v>0</v>
      </c>
    </row>
    <row r="177" spans="1:13" s="215" customFormat="1">
      <c r="A177" s="1469"/>
      <c r="B177" s="24"/>
      <c r="C177" s="160" t="s">
        <v>14</v>
      </c>
      <c r="D177" s="66" t="s">
        <v>11</v>
      </c>
      <c r="E177" s="891">
        <f>86/100</f>
        <v>0.86</v>
      </c>
      <c r="F177" s="205">
        <f>E177*F175</f>
        <v>23.22</v>
      </c>
      <c r="G177" s="556"/>
      <c r="H177" s="77"/>
      <c r="I177" s="556"/>
      <c r="J177" s="77"/>
      <c r="K177" s="557"/>
      <c r="L177" s="77">
        <f t="shared" ref="L177" si="17">F177*K177</f>
        <v>0</v>
      </c>
      <c r="M177" s="77">
        <f t="shared" si="16"/>
        <v>0</v>
      </c>
    </row>
    <row r="178" spans="1:13" s="215" customFormat="1">
      <c r="A178" s="1469"/>
      <c r="B178" s="941"/>
      <c r="C178" s="978" t="s">
        <v>1357</v>
      </c>
      <c r="D178" s="892" t="s">
        <v>1355</v>
      </c>
      <c r="E178" s="968"/>
      <c r="F178" s="893">
        <v>12</v>
      </c>
      <c r="G178" s="556"/>
      <c r="H178" s="77">
        <f t="shared" ref="H178:H180" si="18">F178*G178</f>
        <v>0</v>
      </c>
      <c r="I178" s="556"/>
      <c r="J178" s="77"/>
      <c r="K178" s="557"/>
      <c r="L178" s="77"/>
      <c r="M178" s="77">
        <f t="shared" si="16"/>
        <v>0</v>
      </c>
    </row>
    <row r="179" spans="1:13" s="215" customFormat="1">
      <c r="A179" s="1469"/>
      <c r="B179" s="941"/>
      <c r="C179" s="978" t="s">
        <v>1358</v>
      </c>
      <c r="D179" s="892" t="s">
        <v>1355</v>
      </c>
      <c r="E179" s="969"/>
      <c r="F179" s="896">
        <v>15</v>
      </c>
      <c r="G179" s="556"/>
      <c r="H179" s="77">
        <f t="shared" ref="H179" si="19">F179*G179</f>
        <v>0</v>
      </c>
      <c r="I179" s="556"/>
      <c r="J179" s="77"/>
      <c r="K179" s="557"/>
      <c r="L179" s="77"/>
      <c r="M179" s="77">
        <f t="shared" ref="M179" si="20">H179+J179+L179</f>
        <v>0</v>
      </c>
    </row>
    <row r="180" spans="1:13" s="215" customFormat="1">
      <c r="A180" s="1439"/>
      <c r="B180" s="941"/>
      <c r="C180" s="166" t="s">
        <v>26</v>
      </c>
      <c r="D180" s="894" t="s">
        <v>11</v>
      </c>
      <c r="E180" s="895">
        <f>210/100</f>
        <v>2.1</v>
      </c>
      <c r="F180" s="205">
        <f>E180*F175</f>
        <v>56.7</v>
      </c>
      <c r="G180" s="556"/>
      <c r="H180" s="77">
        <f t="shared" si="18"/>
        <v>0</v>
      </c>
      <c r="I180" s="556"/>
      <c r="J180" s="77"/>
      <c r="K180" s="557"/>
      <c r="L180" s="77"/>
      <c r="M180" s="77">
        <f t="shared" si="16"/>
        <v>0</v>
      </c>
    </row>
    <row r="181" spans="1:13" s="215" customFormat="1" hidden="1">
      <c r="A181" s="1438">
        <v>10</v>
      </c>
      <c r="B181" s="175" t="s">
        <v>822</v>
      </c>
      <c r="C181" s="225" t="s">
        <v>823</v>
      </c>
      <c r="D181" s="175" t="s">
        <v>65</v>
      </c>
      <c r="E181" s="25"/>
      <c r="F181" s="20">
        <v>0</v>
      </c>
      <c r="G181" s="176"/>
      <c r="H181" s="77"/>
      <c r="I181" s="176"/>
      <c r="J181" s="77"/>
      <c r="K181" s="176"/>
      <c r="L181" s="77"/>
      <c r="M181" s="77"/>
    </row>
    <row r="182" spans="1:13" s="215" customFormat="1" hidden="1">
      <c r="A182" s="1469"/>
      <c r="B182" s="175"/>
      <c r="C182" s="886" t="s">
        <v>189</v>
      </c>
      <c r="D182" s="175" t="s">
        <v>15</v>
      </c>
      <c r="E182" s="25">
        <v>16</v>
      </c>
      <c r="F182" s="434">
        <f>F181*E182</f>
        <v>0</v>
      </c>
      <c r="G182" s="176"/>
      <c r="H182" s="77"/>
      <c r="I182" s="176">
        <v>6</v>
      </c>
      <c r="J182" s="77">
        <f>F182*I182</f>
        <v>0</v>
      </c>
      <c r="K182" s="176"/>
      <c r="L182" s="77"/>
      <c r="M182" s="77">
        <f>H182+J182+L182</f>
        <v>0</v>
      </c>
    </row>
    <row r="183" spans="1:13" s="215" customFormat="1" hidden="1">
      <c r="A183" s="1469"/>
      <c r="B183" s="175"/>
      <c r="C183" s="435" t="s">
        <v>1352</v>
      </c>
      <c r="D183" s="887" t="s">
        <v>65</v>
      </c>
      <c r="E183" s="888"/>
      <c r="F183" s="114">
        <f>F181</f>
        <v>0</v>
      </c>
      <c r="G183" s="176">
        <v>500</v>
      </c>
      <c r="H183" s="77">
        <f>F183*G183</f>
        <v>0</v>
      </c>
      <c r="I183" s="176"/>
      <c r="J183" s="77"/>
      <c r="K183" s="176"/>
      <c r="L183" s="77"/>
      <c r="M183" s="77">
        <f>H183+J183+L183</f>
        <v>0</v>
      </c>
    </row>
    <row r="184" spans="1:13" s="215" customFormat="1" hidden="1">
      <c r="A184" s="1439"/>
      <c r="B184" s="175"/>
      <c r="C184" s="166" t="s">
        <v>26</v>
      </c>
      <c r="D184" s="175" t="s">
        <v>11</v>
      </c>
      <c r="E184" s="25">
        <v>2.97</v>
      </c>
      <c r="F184" s="434">
        <f>F181*E184</f>
        <v>0</v>
      </c>
      <c r="G184" s="176">
        <v>4</v>
      </c>
      <c r="H184" s="77">
        <f>F184*G184</f>
        <v>0</v>
      </c>
      <c r="I184" s="176"/>
      <c r="J184" s="77"/>
      <c r="K184" s="330"/>
      <c r="L184" s="77"/>
      <c r="M184" s="77">
        <f>H184+J184+L184</f>
        <v>0</v>
      </c>
    </row>
    <row r="185" spans="1:13" s="215" customFormat="1" hidden="1">
      <c r="A185" s="917"/>
      <c r="B185" s="942"/>
      <c r="C185" s="153"/>
      <c r="D185" s="942"/>
      <c r="E185" s="26"/>
      <c r="F185" s="282"/>
      <c r="G185" s="80"/>
      <c r="H185" s="80"/>
      <c r="I185" s="556"/>
      <c r="J185" s="80"/>
      <c r="K185" s="80"/>
      <c r="L185" s="80"/>
      <c r="M185" s="80"/>
    </row>
    <row r="186" spans="1:13" s="215" customFormat="1" hidden="1">
      <c r="A186" s="1460" t="s">
        <v>38</v>
      </c>
      <c r="B186" s="184" t="s">
        <v>1187</v>
      </c>
      <c r="C186" s="152" t="s">
        <v>1188</v>
      </c>
      <c r="D186" s="942" t="s">
        <v>2</v>
      </c>
      <c r="E186" s="26"/>
      <c r="F186" s="20">
        <f>F189</f>
        <v>0</v>
      </c>
      <c r="G186" s="307"/>
      <c r="H186" s="77"/>
      <c r="I186" s="307"/>
      <c r="J186" s="77"/>
      <c r="K186" s="307"/>
      <c r="L186" s="77"/>
      <c r="M186" s="77"/>
    </row>
    <row r="187" spans="1:13" hidden="1">
      <c r="A187" s="1460"/>
      <c r="B187" s="841"/>
      <c r="C187" s="842" t="s">
        <v>189</v>
      </c>
      <c r="D187" s="841" t="s">
        <v>15</v>
      </c>
      <c r="E187" s="843">
        <v>10.199999999999999</v>
      </c>
      <c r="F187" s="844">
        <f>F186*E187</f>
        <v>0</v>
      </c>
      <c r="G187" s="845"/>
      <c r="H187" s="77"/>
      <c r="I187" s="176">
        <v>6</v>
      </c>
      <c r="J187" s="77">
        <f>F187*I187</f>
        <v>0</v>
      </c>
      <c r="K187" s="845"/>
      <c r="L187" s="77"/>
      <c r="M187" s="77">
        <f>H187+J187+L187</f>
        <v>0</v>
      </c>
    </row>
    <row r="188" spans="1:13" hidden="1">
      <c r="A188" s="1460"/>
      <c r="B188" s="846"/>
      <c r="C188" s="160" t="s">
        <v>14</v>
      </c>
      <c r="D188" s="846" t="s">
        <v>11</v>
      </c>
      <c r="E188" s="847">
        <v>0.25</v>
      </c>
      <c r="F188" s="848">
        <f>F186*E188</f>
        <v>0</v>
      </c>
      <c r="G188" s="849"/>
      <c r="H188" s="77"/>
      <c r="I188" s="849"/>
      <c r="J188" s="77"/>
      <c r="K188" s="849">
        <v>4</v>
      </c>
      <c r="L188" s="77">
        <f>F188*K188</f>
        <v>0</v>
      </c>
      <c r="M188" s="77">
        <f>H188+J188+L188</f>
        <v>0</v>
      </c>
    </row>
    <row r="189" spans="1:13" ht="31.5" hidden="1">
      <c r="A189" s="1460"/>
      <c r="B189" s="846"/>
      <c r="C189" s="220" t="s">
        <v>1189</v>
      </c>
      <c r="D189" s="846" t="s">
        <v>90</v>
      </c>
      <c r="E189" s="847">
        <v>1</v>
      </c>
      <c r="F189" s="595">
        <v>0</v>
      </c>
      <c r="G189" s="307">
        <v>60</v>
      </c>
      <c r="H189" s="77">
        <f>F189*G189</f>
        <v>0</v>
      </c>
      <c r="I189" s="849"/>
      <c r="J189" s="77"/>
      <c r="K189" s="307"/>
      <c r="L189" s="77"/>
      <c r="M189" s="77">
        <f>H189+J189+L189</f>
        <v>0</v>
      </c>
    </row>
    <row r="190" spans="1:13" hidden="1">
      <c r="A190" s="1460"/>
      <c r="B190" s="841"/>
      <c r="C190" s="153" t="s">
        <v>122</v>
      </c>
      <c r="D190" s="942" t="s">
        <v>121</v>
      </c>
      <c r="E190" s="843">
        <v>1.1399999999999999</v>
      </c>
      <c r="F190" s="844">
        <f>F186*E190</f>
        <v>0</v>
      </c>
      <c r="G190" s="845">
        <v>4</v>
      </c>
      <c r="H190" s="77">
        <f>F190*G190</f>
        <v>0</v>
      </c>
      <c r="I190" s="845"/>
      <c r="J190" s="77"/>
      <c r="K190" s="845"/>
      <c r="L190" s="77"/>
      <c r="M190" s="77">
        <f>H190+J190+L190</f>
        <v>0</v>
      </c>
    </row>
    <row r="191" spans="1:13" hidden="1">
      <c r="A191" s="939"/>
      <c r="B191" s="899"/>
      <c r="C191" s="155" t="s">
        <v>1361</v>
      </c>
      <c r="D191" s="942"/>
      <c r="E191" s="843"/>
      <c r="F191" s="900"/>
      <c r="G191" s="845"/>
      <c r="H191" s="77"/>
      <c r="I191" s="845"/>
      <c r="J191" s="77"/>
      <c r="K191" s="845"/>
      <c r="L191" s="77"/>
      <c r="M191" s="77"/>
    </row>
    <row r="192" spans="1:13">
      <c r="A192" s="939"/>
      <c r="B192" s="899"/>
      <c r="C192" s="979" t="s">
        <v>1912</v>
      </c>
      <c r="D192" s="942"/>
      <c r="E192" s="843"/>
      <c r="F192" s="900"/>
      <c r="G192" s="845"/>
      <c r="H192" s="77"/>
      <c r="I192" s="845"/>
      <c r="J192" s="77"/>
      <c r="K192" s="845"/>
      <c r="L192" s="77"/>
      <c r="M192" s="77"/>
    </row>
    <row r="193" spans="1:13" ht="40.5" hidden="1">
      <c r="A193" s="1457" t="s">
        <v>429</v>
      </c>
      <c r="B193" s="191" t="s">
        <v>509</v>
      </c>
      <c r="C193" s="289" t="s">
        <v>787</v>
      </c>
      <c r="D193" s="192" t="s">
        <v>2</v>
      </c>
      <c r="E193" s="193"/>
      <c r="F193" s="381">
        <f>SUM(F196:F196)</f>
        <v>0</v>
      </c>
      <c r="G193" s="180"/>
      <c r="H193" s="194"/>
      <c r="I193" s="194"/>
      <c r="J193" s="194"/>
      <c r="K193" s="194"/>
      <c r="L193" s="194"/>
      <c r="M193" s="194"/>
    </row>
    <row r="194" spans="1:13" hidden="1">
      <c r="A194" s="1458"/>
      <c r="B194" s="927"/>
      <c r="C194" s="195" t="s">
        <v>13</v>
      </c>
      <c r="D194" s="196" t="s">
        <v>15</v>
      </c>
      <c r="E194" s="197">
        <v>0.9</v>
      </c>
      <c r="F194" s="90">
        <f>E194*F193</f>
        <v>0</v>
      </c>
      <c r="G194" s="180"/>
      <c r="H194" s="194"/>
      <c r="I194" s="194">
        <v>6</v>
      </c>
      <c r="J194" s="194">
        <f>F194*I194</f>
        <v>0</v>
      </c>
      <c r="K194" s="194"/>
      <c r="L194" s="194"/>
      <c r="M194" s="194">
        <f t="shared" ref="M194:M234" si="21">H194+J194+L194</f>
        <v>0</v>
      </c>
    </row>
    <row r="195" spans="1:13" hidden="1">
      <c r="A195" s="1458"/>
      <c r="B195" s="181"/>
      <c r="C195" s="195" t="s">
        <v>14</v>
      </c>
      <c r="D195" s="196" t="s">
        <v>11</v>
      </c>
      <c r="E195" s="199">
        <v>7.0000000000000007E-2</v>
      </c>
      <c r="F195" s="200">
        <f>E195*F193</f>
        <v>0</v>
      </c>
      <c r="G195" s="180"/>
      <c r="H195" s="194"/>
      <c r="I195" s="194"/>
      <c r="J195" s="194"/>
      <c r="K195" s="194">
        <v>4</v>
      </c>
      <c r="L195" s="194">
        <f>F195*K195</f>
        <v>0</v>
      </c>
      <c r="M195" s="194">
        <f t="shared" si="21"/>
        <v>0</v>
      </c>
    </row>
    <row r="196" spans="1:13" hidden="1">
      <c r="A196" s="1458"/>
      <c r="B196" s="832"/>
      <c r="C196" s="195" t="s">
        <v>1182</v>
      </c>
      <c r="D196" s="202" t="s">
        <v>2</v>
      </c>
      <c r="E196" s="884"/>
      <c r="F196" s="381"/>
      <c r="G196" s="180">
        <v>50</v>
      </c>
      <c r="H196" s="194">
        <f>F196*G196</f>
        <v>0</v>
      </c>
      <c r="I196" s="194"/>
      <c r="J196" s="194"/>
      <c r="K196" s="194"/>
      <c r="L196" s="194"/>
      <c r="M196" s="194">
        <f>H196+J196+L196</f>
        <v>0</v>
      </c>
    </row>
    <row r="197" spans="1:13" hidden="1">
      <c r="A197" s="1459"/>
      <c r="B197" s="927"/>
      <c r="C197" s="195" t="s">
        <v>26</v>
      </c>
      <c r="D197" s="196" t="s">
        <v>11</v>
      </c>
      <c r="E197" s="197">
        <v>1.4</v>
      </c>
      <c r="F197" s="90">
        <f>E197*F193</f>
        <v>0</v>
      </c>
      <c r="G197" s="180">
        <v>4</v>
      </c>
      <c r="H197" s="194">
        <f t="shared" ref="H197:H234" si="22">F197*G197</f>
        <v>0</v>
      </c>
      <c r="I197" s="180"/>
      <c r="J197" s="194"/>
      <c r="K197" s="180"/>
      <c r="L197" s="194"/>
      <c r="M197" s="194">
        <f t="shared" si="21"/>
        <v>0</v>
      </c>
    </row>
    <row r="198" spans="1:13" ht="40.5" hidden="1">
      <c r="A198" s="1457" t="s">
        <v>430</v>
      </c>
      <c r="B198" s="191" t="s">
        <v>1372</v>
      </c>
      <c r="C198" s="289" t="s">
        <v>787</v>
      </c>
      <c r="D198" s="192" t="s">
        <v>2</v>
      </c>
      <c r="E198" s="193"/>
      <c r="F198" s="381">
        <f>SUM(F201:F201)</f>
        <v>0</v>
      </c>
      <c r="G198" s="180"/>
      <c r="H198" s="194"/>
      <c r="I198" s="194"/>
      <c r="J198" s="194"/>
      <c r="K198" s="194"/>
      <c r="L198" s="194"/>
      <c r="M198" s="194"/>
    </row>
    <row r="199" spans="1:13" hidden="1">
      <c r="A199" s="1458"/>
      <c r="B199" s="927"/>
      <c r="C199" s="195" t="s">
        <v>13</v>
      </c>
      <c r="D199" s="196" t="s">
        <v>15</v>
      </c>
      <c r="E199" s="197">
        <v>0.9</v>
      </c>
      <c r="F199" s="90">
        <f>E199*F198</f>
        <v>0</v>
      </c>
      <c r="G199" s="180"/>
      <c r="H199" s="194"/>
      <c r="I199" s="194">
        <v>6</v>
      </c>
      <c r="J199" s="194">
        <f>F199*I199</f>
        <v>0</v>
      </c>
      <c r="K199" s="194"/>
      <c r="L199" s="194"/>
      <c r="M199" s="194">
        <f t="shared" ref="M199:M200" si="23">H199+J199+L199</f>
        <v>0</v>
      </c>
    </row>
    <row r="200" spans="1:13" hidden="1">
      <c r="A200" s="1458"/>
      <c r="B200" s="181"/>
      <c r="C200" s="195" t="s">
        <v>14</v>
      </c>
      <c r="D200" s="196" t="s">
        <v>11</v>
      </c>
      <c r="E200" s="199">
        <v>0.08</v>
      </c>
      <c r="F200" s="200">
        <f>E200*F198</f>
        <v>0</v>
      </c>
      <c r="G200" s="180"/>
      <c r="H200" s="194"/>
      <c r="I200" s="194"/>
      <c r="J200" s="194"/>
      <c r="K200" s="194">
        <v>4</v>
      </c>
      <c r="L200" s="194">
        <f>F200*K200</f>
        <v>0</v>
      </c>
      <c r="M200" s="194">
        <f t="shared" si="23"/>
        <v>0</v>
      </c>
    </row>
    <row r="201" spans="1:13" hidden="1">
      <c r="A201" s="1458"/>
      <c r="B201" s="832"/>
      <c r="C201" s="195" t="s">
        <v>1371</v>
      </c>
      <c r="D201" s="202" t="s">
        <v>2</v>
      </c>
      <c r="E201" s="884"/>
      <c r="F201" s="381"/>
      <c r="G201" s="180">
        <v>60</v>
      </c>
      <c r="H201" s="194">
        <f>F201*G201</f>
        <v>0</v>
      </c>
      <c r="I201" s="194"/>
      <c r="J201" s="194"/>
      <c r="K201" s="194"/>
      <c r="L201" s="194"/>
      <c r="M201" s="194">
        <f>H201+J201+L201</f>
        <v>0</v>
      </c>
    </row>
    <row r="202" spans="1:13" hidden="1">
      <c r="A202" s="1459"/>
      <c r="B202" s="927"/>
      <c r="C202" s="195" t="s">
        <v>26</v>
      </c>
      <c r="D202" s="196" t="s">
        <v>11</v>
      </c>
      <c r="E202" s="197">
        <v>2.12</v>
      </c>
      <c r="F202" s="90">
        <f>E202*F198</f>
        <v>0</v>
      </c>
      <c r="G202" s="180">
        <v>4</v>
      </c>
      <c r="H202" s="194">
        <f t="shared" ref="H202" si="24">F202*G202</f>
        <v>0</v>
      </c>
      <c r="I202" s="180"/>
      <c r="J202" s="194"/>
      <c r="K202" s="180"/>
      <c r="L202" s="194"/>
      <c r="M202" s="194">
        <f t="shared" ref="M202" si="25">H202+J202+L202</f>
        <v>0</v>
      </c>
    </row>
    <row r="203" spans="1:13" ht="40.5">
      <c r="A203" s="1457" t="s">
        <v>83</v>
      </c>
      <c r="B203" s="191" t="s">
        <v>1369</v>
      </c>
      <c r="C203" s="289" t="s">
        <v>787</v>
      </c>
      <c r="D203" s="192" t="s">
        <v>2</v>
      </c>
      <c r="E203" s="193"/>
      <c r="F203" s="381">
        <f>SUM(F206:F206)</f>
        <v>32</v>
      </c>
      <c r="G203" s="180"/>
      <c r="H203" s="194"/>
      <c r="I203" s="194"/>
      <c r="J203" s="194"/>
      <c r="K203" s="194"/>
      <c r="L203" s="194"/>
      <c r="M203" s="194"/>
    </row>
    <row r="204" spans="1:13">
      <c r="A204" s="1458"/>
      <c r="B204" s="927"/>
      <c r="C204" s="195" t="s">
        <v>13</v>
      </c>
      <c r="D204" s="196" t="s">
        <v>15</v>
      </c>
      <c r="E204" s="197">
        <v>0.6</v>
      </c>
      <c r="F204" s="90">
        <f>E204*F203</f>
        <v>19.2</v>
      </c>
      <c r="G204" s="180"/>
      <c r="H204" s="194"/>
      <c r="I204" s="194"/>
      <c r="J204" s="194">
        <f>F204*I204</f>
        <v>0</v>
      </c>
      <c r="K204" s="194"/>
      <c r="L204" s="194"/>
      <c r="M204" s="194">
        <f t="shared" ref="M204:M205" si="26">H204+J204+L204</f>
        <v>0</v>
      </c>
    </row>
    <row r="205" spans="1:13">
      <c r="A205" s="1458"/>
      <c r="B205" s="181"/>
      <c r="C205" s="195" t="s">
        <v>14</v>
      </c>
      <c r="D205" s="196" t="s">
        <v>11</v>
      </c>
      <c r="E205" s="199">
        <v>0.04</v>
      </c>
      <c r="F205" s="200">
        <f>E205*F203</f>
        <v>1.28</v>
      </c>
      <c r="G205" s="180"/>
      <c r="H205" s="194"/>
      <c r="I205" s="194"/>
      <c r="J205" s="194"/>
      <c r="K205" s="194"/>
      <c r="L205" s="194">
        <f>F205*K205</f>
        <v>0</v>
      </c>
      <c r="M205" s="194">
        <f t="shared" si="26"/>
        <v>0</v>
      </c>
    </row>
    <row r="206" spans="1:13">
      <c r="A206" s="1458"/>
      <c r="B206" s="201"/>
      <c r="C206" s="977" t="s">
        <v>1376</v>
      </c>
      <c r="D206" s="202" t="s">
        <v>1378</v>
      </c>
      <c r="E206" s="883"/>
      <c r="F206" s="90">
        <v>32</v>
      </c>
      <c r="G206" s="180"/>
      <c r="H206" s="194">
        <f t="shared" ref="H206:H207" si="27">F206*G206</f>
        <v>0</v>
      </c>
      <c r="I206" s="194"/>
      <c r="J206" s="194"/>
      <c r="K206" s="194"/>
      <c r="L206" s="194"/>
      <c r="M206" s="194">
        <f t="shared" ref="M206:M207" si="28">H206+J206+L206</f>
        <v>0</v>
      </c>
    </row>
    <row r="207" spans="1:13">
      <c r="A207" s="1458"/>
      <c r="B207" s="832"/>
      <c r="C207" s="977" t="s">
        <v>1377</v>
      </c>
      <c r="D207" s="202" t="s">
        <v>2</v>
      </c>
      <c r="E207" s="884"/>
      <c r="F207" s="90">
        <v>26</v>
      </c>
      <c r="G207" s="180"/>
      <c r="H207" s="194">
        <f t="shared" si="27"/>
        <v>0</v>
      </c>
      <c r="I207" s="194"/>
      <c r="J207" s="194"/>
      <c r="K207" s="194"/>
      <c r="L207" s="194"/>
      <c r="M207" s="194">
        <f t="shared" si="28"/>
        <v>0</v>
      </c>
    </row>
    <row r="208" spans="1:13">
      <c r="A208" s="1459"/>
      <c r="B208" s="927"/>
      <c r="C208" s="195" t="s">
        <v>26</v>
      </c>
      <c r="D208" s="196" t="s">
        <v>11</v>
      </c>
      <c r="E208" s="197">
        <v>0.65</v>
      </c>
      <c r="F208" s="90">
        <f>E208*F203</f>
        <v>20.8</v>
      </c>
      <c r="G208" s="180"/>
      <c r="H208" s="194">
        <f t="shared" ref="H208" si="29">F208*G208</f>
        <v>0</v>
      </c>
      <c r="I208" s="180"/>
      <c r="J208" s="194"/>
      <c r="K208" s="180"/>
      <c r="L208" s="194"/>
      <c r="M208" s="194">
        <f t="shared" ref="M208" si="30">H208+J208+L208</f>
        <v>0</v>
      </c>
    </row>
    <row r="209" spans="1:13" ht="40.5" hidden="1">
      <c r="A209" s="1457" t="s">
        <v>431</v>
      </c>
      <c r="B209" s="191" t="s">
        <v>1149</v>
      </c>
      <c r="C209" s="289" t="s">
        <v>787</v>
      </c>
      <c r="D209" s="192" t="s">
        <v>2</v>
      </c>
      <c r="E209" s="193"/>
      <c r="F209" s="381">
        <f>SUM(F212:F212)</f>
        <v>0</v>
      </c>
      <c r="G209" s="180"/>
      <c r="H209" s="194"/>
      <c r="I209" s="194"/>
      <c r="J209" s="194"/>
      <c r="K209" s="194"/>
      <c r="L209" s="194"/>
      <c r="M209" s="194"/>
    </row>
    <row r="210" spans="1:13" hidden="1">
      <c r="A210" s="1458"/>
      <c r="B210" s="927"/>
      <c r="C210" s="195" t="s">
        <v>13</v>
      </c>
      <c r="D210" s="196" t="s">
        <v>15</v>
      </c>
      <c r="E210" s="197">
        <v>0.6</v>
      </c>
      <c r="F210" s="90">
        <f>E210*F209</f>
        <v>0</v>
      </c>
      <c r="G210" s="180"/>
      <c r="H210" s="194"/>
      <c r="I210" s="194">
        <v>6</v>
      </c>
      <c r="J210" s="194">
        <f>F210*I210</f>
        <v>0</v>
      </c>
      <c r="K210" s="194"/>
      <c r="L210" s="194"/>
      <c r="M210" s="194">
        <f t="shared" ref="M210:M211" si="31">H210+J210+L210</f>
        <v>0</v>
      </c>
    </row>
    <row r="211" spans="1:13" hidden="1">
      <c r="A211" s="1458"/>
      <c r="B211" s="181"/>
      <c r="C211" s="195" t="s">
        <v>14</v>
      </c>
      <c r="D211" s="196" t="s">
        <v>11</v>
      </c>
      <c r="E211" s="199">
        <v>0.05</v>
      </c>
      <c r="F211" s="200">
        <f>E211*F209</f>
        <v>0</v>
      </c>
      <c r="G211" s="180"/>
      <c r="H211" s="194"/>
      <c r="I211" s="194"/>
      <c r="J211" s="194"/>
      <c r="K211" s="194">
        <v>4</v>
      </c>
      <c r="L211" s="194">
        <f>F211*K211</f>
        <v>0</v>
      </c>
      <c r="M211" s="194">
        <f t="shared" si="31"/>
        <v>0</v>
      </c>
    </row>
    <row r="212" spans="1:13" hidden="1">
      <c r="A212" s="1458"/>
      <c r="B212" s="201"/>
      <c r="C212" s="195" t="s">
        <v>1370</v>
      </c>
      <c r="D212" s="202" t="s">
        <v>2</v>
      </c>
      <c r="E212" s="883"/>
      <c r="F212" s="381"/>
      <c r="G212" s="180">
        <v>15</v>
      </c>
      <c r="H212" s="194">
        <f t="shared" ref="H212" si="32">F212*G212</f>
        <v>0</v>
      </c>
      <c r="I212" s="194"/>
      <c r="J212" s="194"/>
      <c r="K212" s="194"/>
      <c r="L212" s="194"/>
      <c r="M212" s="194">
        <f t="shared" ref="M212" si="33">H212+J212+L212</f>
        <v>0</v>
      </c>
    </row>
    <row r="213" spans="1:13" hidden="1">
      <c r="A213" s="1459"/>
      <c r="B213" s="927"/>
      <c r="C213" s="195" t="s">
        <v>26</v>
      </c>
      <c r="D213" s="196" t="s">
        <v>11</v>
      </c>
      <c r="E213" s="197">
        <v>1.08</v>
      </c>
      <c r="F213" s="90">
        <f>E213*F209</f>
        <v>0</v>
      </c>
      <c r="G213" s="180">
        <v>4</v>
      </c>
      <c r="H213" s="194">
        <f t="shared" ref="H213" si="34">F213*G213</f>
        <v>0</v>
      </c>
      <c r="I213" s="180"/>
      <c r="J213" s="194"/>
      <c r="K213" s="180"/>
      <c r="L213" s="194"/>
      <c r="M213" s="194">
        <f t="shared" ref="M213" si="35">H213+J213+L213</f>
        <v>0</v>
      </c>
    </row>
    <row r="214" spans="1:13" ht="40.5">
      <c r="A214" s="1457" t="s">
        <v>38</v>
      </c>
      <c r="B214" s="178" t="s">
        <v>1374</v>
      </c>
      <c r="C214" s="289" t="s">
        <v>1363</v>
      </c>
      <c r="D214" s="202" t="s">
        <v>1</v>
      </c>
      <c r="E214" s="193"/>
      <c r="F214" s="380">
        <f>F217</f>
        <v>100</v>
      </c>
      <c r="G214" s="180"/>
      <c r="H214" s="194"/>
      <c r="I214" s="194"/>
      <c r="J214" s="194"/>
      <c r="K214" s="194"/>
      <c r="L214" s="194"/>
      <c r="M214" s="194"/>
    </row>
    <row r="215" spans="1:13">
      <c r="A215" s="1458"/>
      <c r="B215" s="181"/>
      <c r="C215" s="195" t="s">
        <v>13</v>
      </c>
      <c r="D215" s="196" t="s">
        <v>15</v>
      </c>
      <c r="E215" s="199">
        <v>0.31</v>
      </c>
      <c r="F215" s="91">
        <f>E215*F214</f>
        <v>31</v>
      </c>
      <c r="G215" s="180"/>
      <c r="H215" s="194"/>
      <c r="I215" s="194"/>
      <c r="J215" s="194">
        <f>F215*I215</f>
        <v>0</v>
      </c>
      <c r="K215" s="194"/>
      <c r="L215" s="194"/>
      <c r="M215" s="194">
        <f>J215</f>
        <v>0</v>
      </c>
    </row>
    <row r="216" spans="1:13">
      <c r="A216" s="1458"/>
      <c r="B216" s="181"/>
      <c r="C216" s="198" t="s">
        <v>14</v>
      </c>
      <c r="D216" s="196" t="s">
        <v>11</v>
      </c>
      <c r="E216" s="199">
        <v>1E-3</v>
      </c>
      <c r="F216" s="200">
        <f>E216*F214</f>
        <v>0.1</v>
      </c>
      <c r="G216" s="180"/>
      <c r="H216" s="194"/>
      <c r="I216" s="194"/>
      <c r="J216" s="194"/>
      <c r="K216" s="194"/>
      <c r="L216" s="194">
        <f>F216*K216</f>
        <v>0</v>
      </c>
      <c r="M216" s="194">
        <f>L216</f>
        <v>0</v>
      </c>
    </row>
    <row r="217" spans="1:13">
      <c r="A217" s="1458"/>
      <c r="B217" s="201"/>
      <c r="C217" s="198" t="s">
        <v>1364</v>
      </c>
      <c r="D217" s="202" t="s">
        <v>1</v>
      </c>
      <c r="E217" s="883"/>
      <c r="F217" s="91">
        <v>100</v>
      </c>
      <c r="G217" s="180"/>
      <c r="H217" s="194">
        <f>F217*G217</f>
        <v>0</v>
      </c>
      <c r="I217" s="194"/>
      <c r="J217" s="194"/>
      <c r="K217" s="194"/>
      <c r="L217" s="194"/>
      <c r="M217" s="194">
        <f>H217</f>
        <v>0</v>
      </c>
    </row>
    <row r="218" spans="1:13" ht="30">
      <c r="A218" s="1458"/>
      <c r="B218" s="201"/>
      <c r="C218" s="977" t="s">
        <v>1365</v>
      </c>
      <c r="D218" s="202" t="s">
        <v>65</v>
      </c>
      <c r="E218" s="883"/>
      <c r="F218" s="91">
        <v>20</v>
      </c>
      <c r="G218" s="180"/>
      <c r="H218" s="194">
        <f t="shared" ref="H218:H220" si="36">F218*G218</f>
        <v>0</v>
      </c>
      <c r="I218" s="194"/>
      <c r="J218" s="194"/>
      <c r="K218" s="194"/>
      <c r="L218" s="194"/>
      <c r="M218" s="194">
        <f t="shared" ref="M218:M219" si="37">H218</f>
        <v>0</v>
      </c>
    </row>
    <row r="219" spans="1:13">
      <c r="A219" s="1458"/>
      <c r="B219" s="201"/>
      <c r="C219" s="977" t="s">
        <v>1366</v>
      </c>
      <c r="D219" s="202" t="s">
        <v>65</v>
      </c>
      <c r="E219" s="883"/>
      <c r="F219" s="91">
        <v>5</v>
      </c>
      <c r="G219" s="180"/>
      <c r="H219" s="194">
        <f t="shared" si="36"/>
        <v>0</v>
      </c>
      <c r="I219" s="194"/>
      <c r="J219" s="194"/>
      <c r="K219" s="194"/>
      <c r="L219" s="194"/>
      <c r="M219" s="194">
        <f t="shared" si="37"/>
        <v>0</v>
      </c>
    </row>
    <row r="220" spans="1:13">
      <c r="A220" s="1459"/>
      <c r="B220" s="181"/>
      <c r="C220" s="195" t="s">
        <v>26</v>
      </c>
      <c r="D220" s="196" t="s">
        <v>11</v>
      </c>
      <c r="E220" s="199">
        <v>0.21</v>
      </c>
      <c r="F220" s="91">
        <f>E220*F214</f>
        <v>21</v>
      </c>
      <c r="G220" s="180"/>
      <c r="H220" s="194">
        <f t="shared" si="36"/>
        <v>0</v>
      </c>
      <c r="I220" s="180"/>
      <c r="J220" s="194"/>
      <c r="K220" s="180"/>
      <c r="L220" s="194"/>
      <c r="M220" s="194">
        <f>H220</f>
        <v>0</v>
      </c>
    </row>
    <row r="221" spans="1:13" ht="40.5" hidden="1">
      <c r="A221" s="1457" t="s">
        <v>409</v>
      </c>
      <c r="B221" s="178" t="s">
        <v>1362</v>
      </c>
      <c r="C221" s="289" t="s">
        <v>1363</v>
      </c>
      <c r="D221" s="202" t="s">
        <v>1</v>
      </c>
      <c r="E221" s="193"/>
      <c r="F221" s="380">
        <f>F224</f>
        <v>0</v>
      </c>
      <c r="G221" s="180"/>
      <c r="H221" s="194"/>
      <c r="I221" s="194"/>
      <c r="J221" s="194"/>
      <c r="K221" s="194"/>
      <c r="L221" s="194"/>
      <c r="M221" s="194"/>
    </row>
    <row r="222" spans="1:13" hidden="1">
      <c r="A222" s="1458"/>
      <c r="B222" s="181"/>
      <c r="C222" s="195" t="s">
        <v>13</v>
      </c>
      <c r="D222" s="196" t="s">
        <v>15</v>
      </c>
      <c r="E222" s="199">
        <v>0.41</v>
      </c>
      <c r="F222" s="91">
        <f>E222*F221</f>
        <v>0</v>
      </c>
      <c r="G222" s="180"/>
      <c r="H222" s="194"/>
      <c r="I222" s="194">
        <v>4.5999999999999996</v>
      </c>
      <c r="J222" s="194">
        <f>F222*I222</f>
        <v>0</v>
      </c>
      <c r="K222" s="194"/>
      <c r="L222" s="194"/>
      <c r="M222" s="194">
        <f>J222</f>
        <v>0</v>
      </c>
    </row>
    <row r="223" spans="1:13" hidden="1">
      <c r="A223" s="1458"/>
      <c r="B223" s="181"/>
      <c r="C223" s="198" t="s">
        <v>14</v>
      </c>
      <c r="D223" s="196" t="s">
        <v>11</v>
      </c>
      <c r="E223" s="199">
        <v>2.1000000000000001E-2</v>
      </c>
      <c r="F223" s="200">
        <f>E223*F221</f>
        <v>0</v>
      </c>
      <c r="G223" s="180"/>
      <c r="H223" s="194"/>
      <c r="I223" s="194"/>
      <c r="J223" s="194"/>
      <c r="K223" s="194">
        <v>4</v>
      </c>
      <c r="L223" s="194">
        <f>F223*K223</f>
        <v>0</v>
      </c>
      <c r="M223" s="194">
        <f>L223</f>
        <v>0</v>
      </c>
    </row>
    <row r="224" spans="1:13" hidden="1">
      <c r="A224" s="1458"/>
      <c r="B224" s="201"/>
      <c r="C224" s="198" t="s">
        <v>1373</v>
      </c>
      <c r="D224" s="202" t="s">
        <v>1</v>
      </c>
      <c r="E224" s="883"/>
      <c r="F224" s="91"/>
      <c r="G224" s="180">
        <v>3.5</v>
      </c>
      <c r="H224" s="194">
        <f>F224*G224</f>
        <v>0</v>
      </c>
      <c r="I224" s="194"/>
      <c r="J224" s="194"/>
      <c r="K224" s="194"/>
      <c r="L224" s="194"/>
      <c r="M224" s="194">
        <f>H224</f>
        <v>0</v>
      </c>
    </row>
    <row r="225" spans="1:13" hidden="1">
      <c r="A225" s="1458"/>
      <c r="B225" s="201"/>
      <c r="C225" s="977"/>
      <c r="D225" s="202"/>
      <c r="E225" s="883"/>
      <c r="F225" s="91"/>
      <c r="G225" s="180"/>
      <c r="H225" s="194">
        <f t="shared" ref="H225:H226" si="38">F225*G225</f>
        <v>0</v>
      </c>
      <c r="I225" s="194"/>
      <c r="J225" s="194"/>
      <c r="K225" s="194"/>
      <c r="L225" s="194"/>
      <c r="M225" s="194">
        <f t="shared" ref="M225:M226" si="39">H225</f>
        <v>0</v>
      </c>
    </row>
    <row r="226" spans="1:13" hidden="1">
      <c r="A226" s="1458"/>
      <c r="B226" s="201"/>
      <c r="C226" s="977"/>
      <c r="D226" s="202"/>
      <c r="E226" s="883"/>
      <c r="F226" s="91"/>
      <c r="G226" s="180"/>
      <c r="H226" s="194">
        <f t="shared" si="38"/>
        <v>0</v>
      </c>
      <c r="I226" s="194"/>
      <c r="J226" s="194"/>
      <c r="K226" s="194"/>
      <c r="L226" s="194"/>
      <c r="M226" s="194">
        <f t="shared" si="39"/>
        <v>0</v>
      </c>
    </row>
    <row r="227" spans="1:13" hidden="1">
      <c r="A227" s="1459"/>
      <c r="B227" s="181"/>
      <c r="C227" s="195" t="s">
        <v>26</v>
      </c>
      <c r="D227" s="196" t="s">
        <v>11</v>
      </c>
      <c r="E227" s="199">
        <v>0.09</v>
      </c>
      <c r="F227" s="91">
        <f>E227*F221</f>
        <v>0</v>
      </c>
      <c r="G227" s="180">
        <v>4</v>
      </c>
      <c r="H227" s="194">
        <f t="shared" ref="H227" si="40">F227*G227</f>
        <v>0</v>
      </c>
      <c r="I227" s="180"/>
      <c r="J227" s="194"/>
      <c r="K227" s="180"/>
      <c r="L227" s="194"/>
      <c r="M227" s="194">
        <f>H227</f>
        <v>0</v>
      </c>
    </row>
    <row r="228" spans="1:13" ht="40.5">
      <c r="A228" s="1457" t="s">
        <v>432</v>
      </c>
      <c r="B228" s="191" t="s">
        <v>1375</v>
      </c>
      <c r="C228" s="289" t="s">
        <v>510</v>
      </c>
      <c r="D228" s="192" t="s">
        <v>1</v>
      </c>
      <c r="E228" s="193"/>
      <c r="F228" s="381">
        <f>F231</f>
        <v>150</v>
      </c>
      <c r="G228" s="180"/>
      <c r="H228" s="194"/>
      <c r="I228" s="194"/>
      <c r="J228" s="194"/>
      <c r="K228" s="194"/>
      <c r="L228" s="194"/>
      <c r="M228" s="194"/>
    </row>
    <row r="229" spans="1:13">
      <c r="A229" s="1458"/>
      <c r="B229" s="927"/>
      <c r="C229" s="195" t="s">
        <v>13</v>
      </c>
      <c r="D229" s="196" t="s">
        <v>15</v>
      </c>
      <c r="E229" s="197">
        <v>0.39</v>
      </c>
      <c r="F229" s="90">
        <f>E229*F228</f>
        <v>58.5</v>
      </c>
      <c r="G229" s="180"/>
      <c r="H229" s="194"/>
      <c r="I229" s="194"/>
      <c r="J229" s="194">
        <f>F229*I229</f>
        <v>0</v>
      </c>
      <c r="K229" s="194"/>
      <c r="L229" s="194"/>
      <c r="M229" s="194">
        <f t="shared" si="21"/>
        <v>0</v>
      </c>
    </row>
    <row r="230" spans="1:13">
      <c r="A230" s="1458"/>
      <c r="B230" s="181"/>
      <c r="C230" s="195" t="s">
        <v>14</v>
      </c>
      <c r="D230" s="196" t="s">
        <v>11</v>
      </c>
      <c r="E230" s="199">
        <v>2.1999999999999999E-2</v>
      </c>
      <c r="F230" s="200">
        <f>E230*F228</f>
        <v>3.3</v>
      </c>
      <c r="G230" s="180"/>
      <c r="H230" s="194"/>
      <c r="I230" s="194"/>
      <c r="J230" s="194"/>
      <c r="K230" s="194"/>
      <c r="L230" s="194">
        <f>F230*K230</f>
        <v>0</v>
      </c>
      <c r="M230" s="194">
        <f t="shared" si="21"/>
        <v>0</v>
      </c>
    </row>
    <row r="231" spans="1:13">
      <c r="A231" s="1458"/>
      <c r="B231" s="201"/>
      <c r="C231" s="198" t="s">
        <v>512</v>
      </c>
      <c r="D231" s="202" t="s">
        <v>1</v>
      </c>
      <c r="E231" s="883"/>
      <c r="F231" s="90">
        <v>150</v>
      </c>
      <c r="G231" s="180"/>
      <c r="H231" s="194">
        <f t="shared" si="22"/>
        <v>0</v>
      </c>
      <c r="I231" s="194"/>
      <c r="J231" s="194"/>
      <c r="K231" s="194"/>
      <c r="L231" s="194"/>
      <c r="M231" s="194">
        <f t="shared" si="21"/>
        <v>0</v>
      </c>
    </row>
    <row r="232" spans="1:13">
      <c r="A232" s="1458"/>
      <c r="B232" s="201"/>
      <c r="C232" s="977" t="s">
        <v>1367</v>
      </c>
      <c r="D232" s="202" t="s">
        <v>65</v>
      </c>
      <c r="E232" s="883"/>
      <c r="F232" s="90">
        <v>26</v>
      </c>
      <c r="G232" s="180"/>
      <c r="H232" s="194">
        <f t="shared" si="22"/>
        <v>0</v>
      </c>
      <c r="I232" s="194"/>
      <c r="J232" s="194"/>
      <c r="K232" s="194"/>
      <c r="L232" s="194"/>
      <c r="M232" s="194">
        <f t="shared" si="21"/>
        <v>0</v>
      </c>
    </row>
    <row r="233" spans="1:13">
      <c r="A233" s="1458"/>
      <c r="B233" s="201"/>
      <c r="C233" s="977" t="s">
        <v>1368</v>
      </c>
      <c r="D233" s="202" t="s">
        <v>65</v>
      </c>
      <c r="E233" s="883"/>
      <c r="F233" s="90">
        <v>30</v>
      </c>
      <c r="G233" s="180"/>
      <c r="H233" s="194">
        <f t="shared" si="22"/>
        <v>0</v>
      </c>
      <c r="I233" s="194"/>
      <c r="J233" s="194"/>
      <c r="K233" s="194"/>
      <c r="L233" s="194"/>
      <c r="M233" s="194">
        <f t="shared" si="21"/>
        <v>0</v>
      </c>
    </row>
    <row r="234" spans="1:13">
      <c r="A234" s="1459"/>
      <c r="B234" s="927"/>
      <c r="C234" s="195" t="s">
        <v>26</v>
      </c>
      <c r="D234" s="196" t="s">
        <v>11</v>
      </c>
      <c r="E234" s="197">
        <v>0.159</v>
      </c>
      <c r="F234" s="90">
        <f>E234*F228</f>
        <v>23.85</v>
      </c>
      <c r="G234" s="180"/>
      <c r="H234" s="194">
        <f t="shared" si="22"/>
        <v>0</v>
      </c>
      <c r="I234" s="180"/>
      <c r="J234" s="194"/>
      <c r="K234" s="180"/>
      <c r="L234" s="194"/>
      <c r="M234" s="194">
        <f t="shared" si="21"/>
        <v>0</v>
      </c>
    </row>
    <row r="235" spans="1:13">
      <c r="A235" s="1213" t="s">
        <v>39</v>
      </c>
      <c r="B235" s="904"/>
      <c r="C235" s="901" t="s">
        <v>1140</v>
      </c>
      <c r="D235" s="902" t="s">
        <v>2</v>
      </c>
      <c r="E235" s="903"/>
      <c r="F235" s="380">
        <v>1</v>
      </c>
      <c r="G235" s="180"/>
      <c r="H235" s="194">
        <f>F235*G235</f>
        <v>0</v>
      </c>
      <c r="I235" s="194"/>
      <c r="J235" s="194"/>
      <c r="K235" s="194"/>
      <c r="L235" s="194"/>
      <c r="M235" s="80">
        <f>H235+J235+L235</f>
        <v>0</v>
      </c>
    </row>
    <row r="236" spans="1:13">
      <c r="A236" s="1213" t="s">
        <v>433</v>
      </c>
      <c r="B236" s="899"/>
      <c r="C236" s="1219" t="s">
        <v>1387</v>
      </c>
      <c r="D236" s="942" t="s">
        <v>65</v>
      </c>
      <c r="E236" s="843"/>
      <c r="F236" s="900">
        <v>1</v>
      </c>
      <c r="G236" s="845"/>
      <c r="H236" s="194">
        <f>F236*G236</f>
        <v>0</v>
      </c>
      <c r="I236" s="194"/>
      <c r="J236" s="194"/>
      <c r="K236" s="194"/>
      <c r="L236" s="194"/>
      <c r="M236" s="80">
        <f>H236+J236+L236</f>
        <v>0</v>
      </c>
    </row>
    <row r="237" spans="1:13">
      <c r="A237" s="1213" t="s">
        <v>434</v>
      </c>
      <c r="B237" s="899"/>
      <c r="C237" s="1219" t="s">
        <v>1388</v>
      </c>
      <c r="D237" s="942" t="s">
        <v>65</v>
      </c>
      <c r="E237" s="843"/>
      <c r="F237" s="900">
        <v>1</v>
      </c>
      <c r="G237" s="845"/>
      <c r="H237" s="194">
        <f>F237*G237</f>
        <v>0</v>
      </c>
      <c r="I237" s="194"/>
      <c r="J237" s="194"/>
      <c r="K237" s="194"/>
      <c r="L237" s="194"/>
      <c r="M237" s="80">
        <f>H237+J237+L237</f>
        <v>0</v>
      </c>
    </row>
    <row r="238" spans="1:13">
      <c r="A238" s="1213" t="s">
        <v>69</v>
      </c>
      <c r="B238" s="899"/>
      <c r="C238" s="1219" t="s">
        <v>1385</v>
      </c>
      <c r="D238" s="942" t="s">
        <v>11</v>
      </c>
      <c r="E238" s="843"/>
      <c r="F238" s="900">
        <v>1</v>
      </c>
      <c r="G238" s="845"/>
      <c r="H238" s="194">
        <f>F238*G238</f>
        <v>0</v>
      </c>
      <c r="I238" s="194"/>
      <c r="J238" s="194"/>
      <c r="K238" s="194"/>
      <c r="L238" s="194"/>
      <c r="M238" s="80">
        <f>H238+J238+L238</f>
        <v>0</v>
      </c>
    </row>
    <row r="239" spans="1:13">
      <c r="A239" s="1454" t="s">
        <v>118</v>
      </c>
      <c r="B239" s="907"/>
      <c r="C239" s="152" t="s">
        <v>1383</v>
      </c>
      <c r="D239" s="943" t="s">
        <v>65</v>
      </c>
      <c r="E239" s="905"/>
      <c r="F239" s="906">
        <v>1</v>
      </c>
      <c r="G239" s="845"/>
      <c r="H239" s="77"/>
      <c r="I239" s="845"/>
      <c r="J239" s="77"/>
      <c r="K239" s="845"/>
      <c r="L239" s="77"/>
      <c r="M239" s="77"/>
    </row>
    <row r="240" spans="1:13">
      <c r="A240" s="1454"/>
      <c r="B240" s="181"/>
      <c r="C240" s="195" t="s">
        <v>13</v>
      </c>
      <c r="D240" s="196" t="s">
        <v>15</v>
      </c>
      <c r="E240" s="199">
        <v>1</v>
      </c>
      <c r="F240" s="91">
        <f>E240*F239</f>
        <v>1</v>
      </c>
      <c r="G240" s="180"/>
      <c r="H240" s="194"/>
      <c r="I240" s="194"/>
      <c r="J240" s="194">
        <f>F240*I240</f>
        <v>0</v>
      </c>
      <c r="K240" s="194"/>
      <c r="L240" s="194"/>
      <c r="M240" s="194">
        <f>J240</f>
        <v>0</v>
      </c>
    </row>
    <row r="241" spans="1:14">
      <c r="A241" s="1454"/>
      <c r="B241" s="899"/>
      <c r="C241" s="977" t="s">
        <v>1379</v>
      </c>
      <c r="D241" s="942" t="s">
        <v>65</v>
      </c>
      <c r="E241" s="843"/>
      <c r="F241" s="900">
        <v>1</v>
      </c>
      <c r="G241" s="845"/>
      <c r="H241" s="194">
        <f>F241*G241</f>
        <v>0</v>
      </c>
      <c r="I241" s="194"/>
      <c r="J241" s="194"/>
      <c r="K241" s="194"/>
      <c r="L241" s="194"/>
      <c r="M241" s="80">
        <f>H241+J241+L241</f>
        <v>0</v>
      </c>
    </row>
    <row r="242" spans="1:14" ht="29.25" customHeight="1">
      <c r="A242" s="1454"/>
      <c r="B242" s="899"/>
      <c r="C242" s="977" t="s">
        <v>1380</v>
      </c>
      <c r="D242" s="942" t="s">
        <v>65</v>
      </c>
      <c r="E242" s="843"/>
      <c r="F242" s="900">
        <v>1</v>
      </c>
      <c r="G242" s="845"/>
      <c r="H242" s="194">
        <f t="shared" ref="H242:H245" si="41">F242*G242</f>
        <v>0</v>
      </c>
      <c r="I242" s="194"/>
      <c r="J242" s="194"/>
      <c r="K242" s="194"/>
      <c r="L242" s="194"/>
      <c r="M242" s="80">
        <f t="shared" ref="M242:M246" si="42">H242+J242+L242</f>
        <v>0</v>
      </c>
    </row>
    <row r="243" spans="1:14" ht="30">
      <c r="A243" s="1454"/>
      <c r="B243" s="899"/>
      <c r="C243" s="977" t="s">
        <v>1381</v>
      </c>
      <c r="D243" s="942" t="s">
        <v>65</v>
      </c>
      <c r="E243" s="843"/>
      <c r="F243" s="900">
        <v>1</v>
      </c>
      <c r="G243" s="845"/>
      <c r="H243" s="194">
        <f t="shared" si="41"/>
        <v>0</v>
      </c>
      <c r="I243" s="194"/>
      <c r="J243" s="194"/>
      <c r="K243" s="194"/>
      <c r="L243" s="194"/>
      <c r="M243" s="80">
        <f t="shared" si="42"/>
        <v>0</v>
      </c>
    </row>
    <row r="244" spans="1:14">
      <c r="A244" s="1454"/>
      <c r="B244" s="899"/>
      <c r="C244" s="977" t="s">
        <v>1382</v>
      </c>
      <c r="D244" s="942" t="s">
        <v>65</v>
      </c>
      <c r="E244" s="843"/>
      <c r="F244" s="900">
        <v>1</v>
      </c>
      <c r="G244" s="845"/>
      <c r="H244" s="194">
        <f t="shared" si="41"/>
        <v>0</v>
      </c>
      <c r="I244" s="194"/>
      <c r="J244" s="194"/>
      <c r="K244" s="194"/>
      <c r="L244" s="194"/>
      <c r="M244" s="80">
        <f t="shared" si="42"/>
        <v>0</v>
      </c>
    </row>
    <row r="245" spans="1:14">
      <c r="A245" s="1454"/>
      <c r="B245" s="899"/>
      <c r="C245" s="977" t="s">
        <v>1384</v>
      </c>
      <c r="D245" s="942" t="s">
        <v>65</v>
      </c>
      <c r="E245" s="843"/>
      <c r="F245" s="900">
        <v>1</v>
      </c>
      <c r="G245" s="845"/>
      <c r="H245" s="194">
        <f t="shared" si="41"/>
        <v>0</v>
      </c>
      <c r="I245" s="194"/>
      <c r="J245" s="194"/>
      <c r="K245" s="194"/>
      <c r="L245" s="194"/>
      <c r="M245" s="80">
        <f t="shared" si="42"/>
        <v>0</v>
      </c>
    </row>
    <row r="246" spans="1:14" ht="30">
      <c r="A246" s="928" t="s">
        <v>272</v>
      </c>
      <c r="B246" s="908"/>
      <c r="C246" s="980" t="s">
        <v>1386</v>
      </c>
      <c r="D246" s="943" t="s">
        <v>2</v>
      </c>
      <c r="E246" s="905"/>
      <c r="F246" s="909">
        <v>1</v>
      </c>
      <c r="G246" s="845"/>
      <c r="H246" s="194"/>
      <c r="I246" s="194"/>
      <c r="J246" s="194">
        <f>F246*I246</f>
        <v>0</v>
      </c>
      <c r="K246" s="194"/>
      <c r="L246" s="194"/>
      <c r="M246" s="80">
        <f t="shared" si="42"/>
        <v>0</v>
      </c>
    </row>
    <row r="247" spans="1:14">
      <c r="A247" s="181"/>
      <c r="B247" s="181"/>
      <c r="C247" s="195"/>
      <c r="D247" s="196"/>
      <c r="E247" s="199"/>
      <c r="F247" s="91"/>
      <c r="G247" s="180"/>
      <c r="H247" s="194"/>
      <c r="I247" s="180"/>
      <c r="J247" s="194"/>
      <c r="K247" s="180"/>
      <c r="L247" s="194"/>
      <c r="M247" s="194"/>
    </row>
    <row r="248" spans="1:14">
      <c r="A248" s="322"/>
      <c r="B248" s="105"/>
      <c r="C248" s="104" t="s">
        <v>1896</v>
      </c>
      <c r="D248" s="105"/>
      <c r="E248" s="373"/>
      <c r="F248" s="374"/>
      <c r="G248" s="100"/>
      <c r="H248" s="100">
        <f>SUM(H52:H247)</f>
        <v>0</v>
      </c>
      <c r="I248" s="100"/>
      <c r="J248" s="100">
        <f>SUM(J52:J247)</f>
        <v>0</v>
      </c>
      <c r="K248" s="100"/>
      <c r="L248" s="100">
        <f>SUM(L52:L247)</f>
        <v>0</v>
      </c>
      <c r="M248" s="100">
        <f>SUM(M52:M247)</f>
        <v>0</v>
      </c>
      <c r="N248" s="587">
        <f>H248+J248+L248</f>
        <v>0</v>
      </c>
    </row>
    <row r="249" spans="1:14" ht="31.5">
      <c r="A249" s="920"/>
      <c r="B249" s="338"/>
      <c r="C249" s="787" t="s">
        <v>1134</v>
      </c>
      <c r="D249" s="338"/>
      <c r="E249" s="353"/>
      <c r="F249" s="1370"/>
      <c r="G249" s="355"/>
      <c r="H249" s="355"/>
      <c r="I249" s="355"/>
      <c r="J249" s="355"/>
      <c r="K249" s="355"/>
      <c r="L249" s="355"/>
      <c r="M249" s="356">
        <f>H248*F249</f>
        <v>0</v>
      </c>
    </row>
    <row r="250" spans="1:14">
      <c r="A250" s="920"/>
      <c r="B250" s="338"/>
      <c r="C250" s="335" t="s">
        <v>54</v>
      </c>
      <c r="D250" s="338"/>
      <c r="E250" s="353"/>
      <c r="F250" s="357"/>
      <c r="G250" s="355"/>
      <c r="H250" s="355"/>
      <c r="I250" s="355"/>
      <c r="J250" s="355"/>
      <c r="K250" s="355"/>
      <c r="L250" s="355"/>
      <c r="M250" s="356">
        <f>M248+M249</f>
        <v>0</v>
      </c>
    </row>
    <row r="251" spans="1:14" ht="31.5">
      <c r="A251" s="209"/>
      <c r="B251" s="209"/>
      <c r="C251" s="208" t="s">
        <v>1116</v>
      </c>
      <c r="D251" s="209"/>
      <c r="E251" s="210"/>
      <c r="F251" s="1370"/>
      <c r="G251" s="211"/>
      <c r="H251" s="211"/>
      <c r="I251" s="211"/>
      <c r="J251" s="211"/>
      <c r="K251" s="211"/>
      <c r="L251" s="211"/>
      <c r="M251" s="180">
        <f>J248*F251</f>
        <v>0</v>
      </c>
    </row>
    <row r="252" spans="1:14">
      <c r="A252" s="1222"/>
      <c r="B252" s="43"/>
      <c r="C252" s="335" t="s">
        <v>54</v>
      </c>
      <c r="D252" s="43"/>
      <c r="E252" s="116"/>
      <c r="F252" s="108"/>
      <c r="G252" s="103"/>
      <c r="H252" s="103"/>
      <c r="I252" s="103"/>
      <c r="J252" s="103"/>
      <c r="K252" s="103"/>
      <c r="L252" s="103"/>
      <c r="M252" s="103">
        <f>M250+M251</f>
        <v>0</v>
      </c>
    </row>
    <row r="253" spans="1:14">
      <c r="A253" s="1142"/>
      <c r="B253" s="1142"/>
      <c r="C253" s="964" t="s">
        <v>46</v>
      </c>
      <c r="D253" s="1142"/>
      <c r="E253" s="1233"/>
      <c r="F253" s="1370"/>
      <c r="G253" s="448"/>
      <c r="H253" s="448"/>
      <c r="I253" s="448"/>
      <c r="J253" s="448"/>
      <c r="K253" s="448"/>
      <c r="L253" s="448"/>
      <c r="M253" s="448">
        <f>M252*F253</f>
        <v>0</v>
      </c>
    </row>
    <row r="254" spans="1:14">
      <c r="A254" s="101"/>
      <c r="B254" s="101"/>
      <c r="C254" s="104" t="s">
        <v>511</v>
      </c>
      <c r="D254" s="101"/>
      <c r="E254" s="485"/>
      <c r="F254" s="264"/>
      <c r="G254" s="102"/>
      <c r="H254" s="102"/>
      <c r="I254" s="102"/>
      <c r="J254" s="102"/>
      <c r="K254" s="102"/>
      <c r="L254" s="102"/>
      <c r="M254" s="1365">
        <f>M252+M253</f>
        <v>0</v>
      </c>
    </row>
    <row r="255" spans="1:14">
      <c r="A255" s="101"/>
      <c r="B255" s="101"/>
      <c r="C255" s="481" t="s">
        <v>1901</v>
      </c>
      <c r="D255" s="101"/>
      <c r="E255" s="485"/>
      <c r="F255" s="264"/>
      <c r="G255" s="102"/>
      <c r="H255" s="102"/>
      <c r="I255" s="102"/>
      <c r="J255" s="102"/>
      <c r="K255" s="102"/>
      <c r="L255" s="102"/>
      <c r="M255" s="1365">
        <f>M51+M254</f>
        <v>0</v>
      </c>
    </row>
    <row r="256" spans="1:14">
      <c r="A256" s="1222"/>
      <c r="B256" s="43"/>
      <c r="C256" s="335"/>
      <c r="D256" s="43"/>
      <c r="E256" s="116"/>
      <c r="F256" s="108"/>
      <c r="G256" s="103"/>
      <c r="H256" s="103"/>
      <c r="I256" s="103"/>
      <c r="J256" s="103"/>
      <c r="K256" s="103"/>
      <c r="L256" s="103"/>
      <c r="M256" s="103"/>
    </row>
    <row r="257" spans="1:13" s="493" customFormat="1" hidden="1">
      <c r="A257" s="812" t="s">
        <v>430</v>
      </c>
      <c r="B257" s="812"/>
      <c r="C257" s="813" t="s">
        <v>1120</v>
      </c>
      <c r="D257" s="812"/>
      <c r="E257" s="814"/>
      <c r="F257" s="815"/>
      <c r="G257" s="448"/>
      <c r="H257" s="448"/>
      <c r="I257" s="448"/>
      <c r="J257" s="448"/>
      <c r="K257" s="448"/>
      <c r="L257" s="448"/>
      <c r="M257" s="448"/>
    </row>
    <row r="258" spans="1:13" s="493" customFormat="1" hidden="1">
      <c r="A258" s="806"/>
      <c r="B258" s="806"/>
      <c r="C258" s="752" t="s">
        <v>1141</v>
      </c>
      <c r="D258" s="807"/>
      <c r="E258" s="988"/>
      <c r="F258" s="808"/>
      <c r="G258" s="213"/>
      <c r="H258" s="87"/>
      <c r="I258" s="213"/>
      <c r="J258" s="87"/>
      <c r="K258" s="214"/>
      <c r="L258" s="87"/>
      <c r="M258" s="87"/>
    </row>
    <row r="259" spans="1:13" s="493" customFormat="1" hidden="1">
      <c r="A259" s="1483"/>
      <c r="B259" s="1483"/>
      <c r="C259" s="155" t="s">
        <v>1121</v>
      </c>
      <c r="D259" s="536" t="s">
        <v>12</v>
      </c>
      <c r="E259" s="989"/>
      <c r="F259" s="97">
        <v>0</v>
      </c>
      <c r="G259" s="1464"/>
      <c r="H259" s="1464"/>
      <c r="I259" s="1464"/>
      <c r="J259" s="1464"/>
      <c r="K259" s="1464"/>
      <c r="L259" s="1464"/>
      <c r="M259" s="1464"/>
    </row>
    <row r="260" spans="1:13" s="493" customFormat="1" hidden="1">
      <c r="A260" s="1484"/>
      <c r="B260" s="1484"/>
      <c r="C260" s="805" t="s">
        <v>1143</v>
      </c>
      <c r="D260" s="536" t="s">
        <v>12</v>
      </c>
      <c r="E260" s="989"/>
      <c r="F260" s="97">
        <v>0</v>
      </c>
      <c r="G260" s="1465"/>
      <c r="H260" s="1465"/>
      <c r="I260" s="1465"/>
      <c r="J260" s="1465"/>
      <c r="K260" s="1465"/>
      <c r="L260" s="1465"/>
      <c r="M260" s="1465"/>
    </row>
    <row r="261" spans="1:13" s="493" customFormat="1" hidden="1">
      <c r="A261" s="1455">
        <v>1</v>
      </c>
      <c r="B261" s="753" t="s">
        <v>247</v>
      </c>
      <c r="C261" s="754" t="s">
        <v>1122</v>
      </c>
      <c r="D261" s="753" t="s">
        <v>1123</v>
      </c>
      <c r="E261" s="984"/>
      <c r="F261" s="756">
        <f>0*0.25*0.7</f>
        <v>0</v>
      </c>
      <c r="G261" s="213"/>
      <c r="H261" s="87"/>
      <c r="I261" s="213"/>
      <c r="J261" s="87"/>
      <c r="K261" s="214"/>
      <c r="L261" s="87"/>
      <c r="M261" s="87"/>
    </row>
    <row r="262" spans="1:13" s="493" customFormat="1" hidden="1">
      <c r="A262" s="1456"/>
      <c r="B262" s="757"/>
      <c r="C262" s="758" t="s">
        <v>946</v>
      </c>
      <c r="D262" s="757" t="s">
        <v>120</v>
      </c>
      <c r="E262" s="984">
        <v>2.06</v>
      </c>
      <c r="F262" s="755">
        <f>F261*E262</f>
        <v>0</v>
      </c>
      <c r="G262" s="213"/>
      <c r="H262" s="87"/>
      <c r="I262" s="213">
        <v>6</v>
      </c>
      <c r="J262" s="87">
        <f>F262*I262</f>
        <v>0</v>
      </c>
      <c r="K262" s="214"/>
      <c r="L262" s="87"/>
      <c r="M262" s="87">
        <f>H262+J262+L262</f>
        <v>0</v>
      </c>
    </row>
    <row r="263" spans="1:13" s="493" customFormat="1" hidden="1">
      <c r="A263" s="1486" t="s">
        <v>430</v>
      </c>
      <c r="B263" s="759" t="s">
        <v>498</v>
      </c>
      <c r="C263" s="760" t="s">
        <v>1124</v>
      </c>
      <c r="D263" s="759" t="s">
        <v>945</v>
      </c>
      <c r="E263" s="990"/>
      <c r="F263" s="762">
        <f>0*0.25*0.25</f>
        <v>0</v>
      </c>
      <c r="G263" s="213"/>
      <c r="H263" s="87"/>
      <c r="I263" s="213"/>
      <c r="J263" s="87"/>
      <c r="K263" s="214"/>
      <c r="L263" s="87"/>
      <c r="M263" s="87"/>
    </row>
    <row r="264" spans="1:13" s="493" customFormat="1" hidden="1">
      <c r="A264" s="1487"/>
      <c r="B264" s="763"/>
      <c r="C264" s="764" t="s">
        <v>946</v>
      </c>
      <c r="D264" s="763" t="s">
        <v>120</v>
      </c>
      <c r="E264" s="990">
        <v>1.8</v>
      </c>
      <c r="F264" s="761">
        <f>F263*E264</f>
        <v>0</v>
      </c>
      <c r="G264" s="213"/>
      <c r="H264" s="87"/>
      <c r="I264" s="213">
        <v>6</v>
      </c>
      <c r="J264" s="87">
        <f>F264*I264</f>
        <v>0</v>
      </c>
      <c r="K264" s="214"/>
      <c r="L264" s="87"/>
      <c r="M264" s="87">
        <f>H264+J264+L264</f>
        <v>0</v>
      </c>
    </row>
    <row r="265" spans="1:13" s="493" customFormat="1" hidden="1">
      <c r="A265" s="1488"/>
      <c r="B265" s="763"/>
      <c r="C265" s="764" t="s">
        <v>1125</v>
      </c>
      <c r="D265" s="763" t="s">
        <v>945</v>
      </c>
      <c r="E265" s="990">
        <v>1.1000000000000001</v>
      </c>
      <c r="F265" s="761">
        <f>F263*E265</f>
        <v>0</v>
      </c>
      <c r="G265" s="213">
        <v>28</v>
      </c>
      <c r="H265" s="87">
        <f>F265*G265</f>
        <v>0</v>
      </c>
      <c r="I265" s="213"/>
      <c r="J265" s="87"/>
      <c r="K265" s="214"/>
      <c r="L265" s="87"/>
      <c r="M265" s="87">
        <f>H265+J265+L265</f>
        <v>0</v>
      </c>
    </row>
    <row r="266" spans="1:13" s="493" customFormat="1" hidden="1">
      <c r="A266" s="1455" t="s">
        <v>83</v>
      </c>
      <c r="B266" s="753" t="s">
        <v>1126</v>
      </c>
      <c r="C266" s="765" t="s">
        <v>1127</v>
      </c>
      <c r="D266" s="753" t="s">
        <v>1128</v>
      </c>
      <c r="E266" s="984"/>
      <c r="F266" s="756">
        <f>0</f>
        <v>0</v>
      </c>
      <c r="G266" s="213"/>
      <c r="H266" s="87"/>
      <c r="I266" s="213"/>
      <c r="J266" s="87"/>
      <c r="K266" s="214"/>
      <c r="L266" s="87"/>
      <c r="M266" s="87"/>
    </row>
    <row r="267" spans="1:13" s="493" customFormat="1" hidden="1">
      <c r="A267" s="1456"/>
      <c r="B267" s="757"/>
      <c r="C267" s="758" t="s">
        <v>946</v>
      </c>
      <c r="D267" s="757" t="s">
        <v>120</v>
      </c>
      <c r="E267" s="984">
        <v>0.105</v>
      </c>
      <c r="F267" s="755">
        <f>F266*E267</f>
        <v>0</v>
      </c>
      <c r="G267" s="213"/>
      <c r="H267" s="87"/>
      <c r="I267" s="213">
        <v>4.5999999999999996</v>
      </c>
      <c r="J267" s="87">
        <f>F267*I267</f>
        <v>0</v>
      </c>
      <c r="K267" s="214"/>
      <c r="L267" s="87"/>
      <c r="M267" s="87">
        <f>H267+J267+L267</f>
        <v>0</v>
      </c>
    </row>
    <row r="268" spans="1:13" s="493" customFormat="1" hidden="1">
      <c r="A268" s="1456"/>
      <c r="B268" s="757"/>
      <c r="C268" s="758" t="s">
        <v>947</v>
      </c>
      <c r="D268" s="757" t="s">
        <v>121</v>
      </c>
      <c r="E268" s="984">
        <v>5.3800000000000001E-2</v>
      </c>
      <c r="F268" s="755">
        <f>F266*E268</f>
        <v>0</v>
      </c>
      <c r="G268" s="213"/>
      <c r="H268" s="87"/>
      <c r="I268" s="213"/>
      <c r="J268" s="87"/>
      <c r="K268" s="214">
        <v>4</v>
      </c>
      <c r="L268" s="87">
        <f>F268*K268</f>
        <v>0</v>
      </c>
      <c r="M268" s="87">
        <f>H268+J268+L268</f>
        <v>0</v>
      </c>
    </row>
    <row r="269" spans="1:13" s="493" customFormat="1" hidden="1">
      <c r="A269" s="1456"/>
      <c r="B269" s="757"/>
      <c r="C269" s="766" t="s">
        <v>1129</v>
      </c>
      <c r="D269" s="757" t="s">
        <v>1128</v>
      </c>
      <c r="E269" s="984">
        <v>1.01</v>
      </c>
      <c r="F269" s="755">
        <f>F266*E269</f>
        <v>0</v>
      </c>
      <c r="G269" s="213">
        <v>1.8</v>
      </c>
      <c r="H269" s="87">
        <f>F269*G269</f>
        <v>0</v>
      </c>
      <c r="I269" s="213"/>
      <c r="J269" s="87"/>
      <c r="K269" s="214"/>
      <c r="L269" s="87"/>
      <c r="M269" s="87">
        <f>H269+J269+L269</f>
        <v>0</v>
      </c>
    </row>
    <row r="270" spans="1:13" s="493" customFormat="1" hidden="1">
      <c r="A270" s="1476"/>
      <c r="B270" s="757"/>
      <c r="C270" s="758" t="s">
        <v>154</v>
      </c>
      <c r="D270" s="757" t="s">
        <v>121</v>
      </c>
      <c r="E270" s="984">
        <v>1.1999999999999999E-3</v>
      </c>
      <c r="F270" s="755">
        <f>F266*E270</f>
        <v>0</v>
      </c>
      <c r="G270" s="213">
        <v>4</v>
      </c>
      <c r="H270" s="87">
        <f>F270*G270</f>
        <v>0</v>
      </c>
      <c r="I270" s="213"/>
      <c r="J270" s="87"/>
      <c r="K270" s="214"/>
      <c r="L270" s="87"/>
      <c r="M270" s="87">
        <f>H270+J270+L270</f>
        <v>0</v>
      </c>
    </row>
    <row r="271" spans="1:13" s="493" customFormat="1" hidden="1">
      <c r="A271" s="1477" t="s">
        <v>431</v>
      </c>
      <c r="B271" s="680" t="s">
        <v>1130</v>
      </c>
      <c r="C271" s="767" t="s">
        <v>1131</v>
      </c>
      <c r="D271" s="680" t="s">
        <v>1128</v>
      </c>
      <c r="E271" s="991"/>
      <c r="F271" s="768">
        <f>0</f>
        <v>0</v>
      </c>
      <c r="G271" s="213"/>
      <c r="H271" s="87"/>
      <c r="I271" s="213"/>
      <c r="J271" s="87"/>
      <c r="K271" s="214"/>
      <c r="L271" s="87"/>
      <c r="M271" s="87"/>
    </row>
    <row r="272" spans="1:13" s="493" customFormat="1" hidden="1">
      <c r="A272" s="1478"/>
      <c r="B272" s="682"/>
      <c r="C272" s="681" t="s">
        <v>946</v>
      </c>
      <c r="D272" s="757" t="s">
        <v>120</v>
      </c>
      <c r="E272" s="992">
        <f>11/1000</f>
        <v>1.0999999999999999E-2</v>
      </c>
      <c r="F272" s="719">
        <f>F271*E272</f>
        <v>0</v>
      </c>
      <c r="G272" s="213"/>
      <c r="H272" s="87"/>
      <c r="I272" s="213">
        <v>4.5999999999999996</v>
      </c>
      <c r="J272" s="87">
        <f>F272*I272</f>
        <v>0</v>
      </c>
      <c r="K272" s="214"/>
      <c r="L272" s="87"/>
      <c r="M272" s="87">
        <f>H272+J272+L272</f>
        <v>0</v>
      </c>
    </row>
    <row r="273" spans="1:13" s="493" customFormat="1" hidden="1">
      <c r="A273" s="1479"/>
      <c r="B273" s="769"/>
      <c r="C273" s="770" t="s">
        <v>1132</v>
      </c>
      <c r="D273" s="771" t="s">
        <v>1128</v>
      </c>
      <c r="E273" s="993"/>
      <c r="F273" s="772">
        <f>F271</f>
        <v>0</v>
      </c>
      <c r="G273" s="213">
        <v>0.12</v>
      </c>
      <c r="H273" s="87">
        <f>F273*G273</f>
        <v>0</v>
      </c>
      <c r="I273" s="213"/>
      <c r="J273" s="87"/>
      <c r="K273" s="214"/>
      <c r="L273" s="87"/>
      <c r="M273" s="87">
        <f>H273+J273+L273</f>
        <v>0</v>
      </c>
    </row>
    <row r="274" spans="1:13" s="493" customFormat="1" hidden="1">
      <c r="A274" s="1480" t="s">
        <v>38</v>
      </c>
      <c r="B274" s="773" t="s">
        <v>503</v>
      </c>
      <c r="C274" s="774" t="s">
        <v>1133</v>
      </c>
      <c r="D274" s="773" t="s">
        <v>945</v>
      </c>
      <c r="E274" s="985"/>
      <c r="F274" s="776">
        <f>0*0.25*(0.7-0.25)</f>
        <v>0</v>
      </c>
      <c r="G274" s="213"/>
      <c r="H274" s="87"/>
      <c r="I274" s="213"/>
      <c r="J274" s="87"/>
      <c r="K274" s="214"/>
      <c r="L274" s="87"/>
      <c r="M274" s="87"/>
    </row>
    <row r="275" spans="1:13" s="493" customFormat="1" hidden="1">
      <c r="A275" s="1481"/>
      <c r="B275" s="777"/>
      <c r="C275" s="778" t="s">
        <v>946</v>
      </c>
      <c r="D275" s="777" t="s">
        <v>120</v>
      </c>
      <c r="E275" s="985">
        <v>1.21</v>
      </c>
      <c r="F275" s="775">
        <f>F274*E275</f>
        <v>0</v>
      </c>
      <c r="G275" s="213"/>
      <c r="H275" s="87"/>
      <c r="I275" s="213">
        <v>6</v>
      </c>
      <c r="J275" s="87">
        <f>F275*I275</f>
        <v>0</v>
      </c>
      <c r="K275" s="214"/>
      <c r="L275" s="87"/>
      <c r="M275" s="87">
        <f>H275+J275+L275</f>
        <v>0</v>
      </c>
    </row>
    <row r="276" spans="1:13" s="493" customFormat="1" hidden="1">
      <c r="A276" s="779" t="s">
        <v>432</v>
      </c>
      <c r="B276" s="777"/>
      <c r="C276" s="780" t="s">
        <v>1145</v>
      </c>
      <c r="D276" s="777"/>
      <c r="E276" s="985"/>
      <c r="F276" s="775"/>
      <c r="G276" s="213"/>
      <c r="H276" s="87"/>
      <c r="I276" s="213"/>
      <c r="J276" s="87"/>
      <c r="K276" s="214"/>
      <c r="L276" s="87"/>
      <c r="M276" s="87"/>
    </row>
    <row r="277" spans="1:13" s="493" customFormat="1" hidden="1">
      <c r="A277" s="1390" t="s">
        <v>475</v>
      </c>
      <c r="B277" s="44" t="s">
        <v>335</v>
      </c>
      <c r="C277" s="287" t="s">
        <v>942</v>
      </c>
      <c r="D277" s="42" t="s">
        <v>4</v>
      </c>
      <c r="E277" s="981"/>
      <c r="F277" s="707">
        <f>0.5*0.5*1.3*  F260</f>
        <v>0</v>
      </c>
      <c r="G277" s="448"/>
      <c r="H277" s="448"/>
      <c r="I277" s="448"/>
      <c r="J277" s="448"/>
      <c r="K277" s="448"/>
      <c r="L277" s="448"/>
      <c r="M277" s="448"/>
    </row>
    <row r="278" spans="1:13" s="493" customFormat="1" hidden="1">
      <c r="A278" s="1392"/>
      <c r="B278" s="181"/>
      <c r="C278" s="195" t="s">
        <v>410</v>
      </c>
      <c r="D278" s="551" t="s">
        <v>15</v>
      </c>
      <c r="E278" s="182">
        <v>3.88</v>
      </c>
      <c r="F278" s="91">
        <f>F277*E278</f>
        <v>0</v>
      </c>
      <c r="G278" s="180"/>
      <c r="H278" s="180"/>
      <c r="I278" s="180">
        <v>6</v>
      </c>
      <c r="J278" s="180">
        <f>F278*I278</f>
        <v>0</v>
      </c>
      <c r="K278" s="180"/>
      <c r="L278" s="180"/>
      <c r="M278" s="180">
        <f>H278+J278+L278</f>
        <v>0</v>
      </c>
    </row>
    <row r="279" spans="1:13" s="493" customFormat="1" ht="31.5" hidden="1">
      <c r="A279" s="1390" t="s">
        <v>480</v>
      </c>
      <c r="B279" s="781" t="s">
        <v>864</v>
      </c>
      <c r="C279" s="140" t="s">
        <v>865</v>
      </c>
      <c r="D279" s="44" t="s">
        <v>250</v>
      </c>
      <c r="E279" s="982"/>
      <c r="F279" s="723">
        <f>F277*1.95</f>
        <v>0</v>
      </c>
      <c r="G279" s="87"/>
      <c r="H279" s="87"/>
      <c r="I279" s="87"/>
      <c r="J279" s="87"/>
      <c r="K279" s="87"/>
      <c r="L279" s="87"/>
      <c r="M279" s="87"/>
    </row>
    <row r="280" spans="1:13" s="493" customFormat="1" hidden="1">
      <c r="A280" s="1392"/>
      <c r="B280" s="921"/>
      <c r="C280" s="142" t="s">
        <v>20</v>
      </c>
      <c r="D280" s="921" t="s">
        <v>15</v>
      </c>
      <c r="E280" s="948">
        <v>0.53</v>
      </c>
      <c r="F280" s="709">
        <f>F279*E280</f>
        <v>0</v>
      </c>
      <c r="G280" s="87"/>
      <c r="H280" s="87"/>
      <c r="I280" s="87">
        <v>6</v>
      </c>
      <c r="J280" s="87">
        <f>F280*I280</f>
        <v>0</v>
      </c>
      <c r="K280" s="87"/>
      <c r="L280" s="87"/>
      <c r="M280" s="87">
        <f>H280+J280+L280</f>
        <v>0</v>
      </c>
    </row>
    <row r="281" spans="1:13" s="493" customFormat="1" ht="31.5" hidden="1">
      <c r="A281" s="915" t="s">
        <v>481</v>
      </c>
      <c r="B281" s="44" t="s">
        <v>891</v>
      </c>
      <c r="C281" s="140" t="s">
        <v>251</v>
      </c>
      <c r="D281" s="44" t="s">
        <v>7</v>
      </c>
      <c r="E281" s="983"/>
      <c r="F281" s="723">
        <f>F279</f>
        <v>0</v>
      </c>
      <c r="G281" s="87"/>
      <c r="H281" s="87"/>
      <c r="I281" s="87"/>
      <c r="J281" s="87"/>
      <c r="K281" s="146">
        <v>6.14</v>
      </c>
      <c r="L281" s="87">
        <f>F281*K281</f>
        <v>0</v>
      </c>
      <c r="M281" s="87">
        <f>H281+J281+L281</f>
        <v>0</v>
      </c>
    </row>
    <row r="282" spans="1:13" s="493" customFormat="1" ht="31.5" hidden="1">
      <c r="A282" s="1390" t="s">
        <v>482</v>
      </c>
      <c r="B282" s="44" t="s">
        <v>252</v>
      </c>
      <c r="C282" s="139" t="s">
        <v>900</v>
      </c>
      <c r="D282" s="44" t="s">
        <v>4</v>
      </c>
      <c r="E282" s="948"/>
      <c r="F282" s="380">
        <f>0.5*0.5*0.1*(F260)</f>
        <v>0</v>
      </c>
      <c r="G282" s="87"/>
      <c r="H282" s="87"/>
      <c r="I282" s="87"/>
      <c r="J282" s="87"/>
      <c r="K282" s="87"/>
      <c r="L282" s="87"/>
      <c r="M282" s="87"/>
    </row>
    <row r="283" spans="1:13" s="493" customFormat="1" hidden="1">
      <c r="A283" s="1391"/>
      <c r="B283" s="921"/>
      <c r="C283" s="166" t="s">
        <v>189</v>
      </c>
      <c r="D283" s="921" t="s">
        <v>109</v>
      </c>
      <c r="E283" s="948">
        <v>3.52</v>
      </c>
      <c r="F283" s="91">
        <f>E283*F282</f>
        <v>0</v>
      </c>
      <c r="G283" s="87"/>
      <c r="H283" s="87"/>
      <c r="I283" s="87">
        <v>6</v>
      </c>
      <c r="J283" s="87">
        <f>F283*I283</f>
        <v>0</v>
      </c>
      <c r="K283" s="87"/>
      <c r="L283" s="87"/>
      <c r="M283" s="87">
        <f>H283+J283+L283</f>
        <v>0</v>
      </c>
    </row>
    <row r="284" spans="1:13" s="493" customFormat="1" hidden="1">
      <c r="A284" s="1391"/>
      <c r="B284" s="921"/>
      <c r="C284" s="166" t="s">
        <v>25</v>
      </c>
      <c r="D284" s="921" t="s">
        <v>11</v>
      </c>
      <c r="E284" s="948">
        <v>1.06</v>
      </c>
      <c r="F284" s="91">
        <f>F282*E284</f>
        <v>0</v>
      </c>
      <c r="G284" s="87"/>
      <c r="H284" s="87"/>
      <c r="I284" s="87"/>
      <c r="J284" s="87"/>
      <c r="K284" s="87">
        <v>4</v>
      </c>
      <c r="L284" s="87">
        <f>F284*K284</f>
        <v>0</v>
      </c>
      <c r="M284" s="87">
        <f>H284+J284+L284</f>
        <v>0</v>
      </c>
    </row>
    <row r="285" spans="1:13" s="493" customFormat="1" hidden="1">
      <c r="A285" s="1391"/>
      <c r="B285" s="921"/>
      <c r="C285" s="166" t="s">
        <v>893</v>
      </c>
      <c r="D285" s="921" t="s">
        <v>319</v>
      </c>
      <c r="E285" s="948">
        <f>0.18+0.09+0.97</f>
        <v>1.24</v>
      </c>
      <c r="F285" s="91">
        <f>E285*F282</f>
        <v>0</v>
      </c>
      <c r="G285" s="87">
        <v>18.600000000000001</v>
      </c>
      <c r="H285" s="87">
        <f>F285*G285</f>
        <v>0</v>
      </c>
      <c r="I285" s="87"/>
      <c r="J285" s="87"/>
      <c r="K285" s="87"/>
      <c r="L285" s="87"/>
      <c r="M285" s="87">
        <f>H285+J285+L285</f>
        <v>0</v>
      </c>
    </row>
    <row r="286" spans="1:13" s="493" customFormat="1" hidden="1">
      <c r="A286" s="1392"/>
      <c r="B286" s="921"/>
      <c r="C286" s="545" t="s">
        <v>19</v>
      </c>
      <c r="D286" s="181" t="s">
        <v>11</v>
      </c>
      <c r="E286" s="948">
        <v>0.02</v>
      </c>
      <c r="F286" s="91">
        <f>F282*E286</f>
        <v>0</v>
      </c>
      <c r="G286" s="180">
        <v>4</v>
      </c>
      <c r="H286" s="87">
        <f>F286*G286</f>
        <v>0</v>
      </c>
      <c r="I286" s="213"/>
      <c r="J286" s="87"/>
      <c r="K286" s="214"/>
      <c r="L286" s="87"/>
      <c r="M286" s="87">
        <f>H286+J286+L286</f>
        <v>0</v>
      </c>
    </row>
    <row r="287" spans="1:13" s="493" customFormat="1" hidden="1">
      <c r="A287" s="1455" t="s">
        <v>483</v>
      </c>
      <c r="B287" s="753" t="s">
        <v>943</v>
      </c>
      <c r="C287" s="754" t="s">
        <v>944</v>
      </c>
      <c r="D287" s="753" t="s">
        <v>945</v>
      </c>
      <c r="E287" s="984"/>
      <c r="F287" s="756">
        <f>0.5*0.5*1.2*F260</f>
        <v>0</v>
      </c>
      <c r="G287" s="213"/>
      <c r="H287" s="87"/>
      <c r="I287" s="213"/>
      <c r="J287" s="87"/>
      <c r="K287" s="214"/>
      <c r="L287" s="87"/>
      <c r="M287" s="87"/>
    </row>
    <row r="288" spans="1:13" s="493" customFormat="1" hidden="1">
      <c r="A288" s="1456"/>
      <c r="B288" s="757"/>
      <c r="C288" s="758" t="s">
        <v>946</v>
      </c>
      <c r="D288" s="757" t="s">
        <v>120</v>
      </c>
      <c r="E288" s="984">
        <v>1.37</v>
      </c>
      <c r="F288" s="755">
        <f>F287*E288</f>
        <v>0</v>
      </c>
      <c r="G288" s="213"/>
      <c r="H288" s="87"/>
      <c r="I288" s="213">
        <v>6</v>
      </c>
      <c r="J288" s="87">
        <f>F288*I288</f>
        <v>0</v>
      </c>
      <c r="K288" s="214"/>
      <c r="L288" s="87"/>
      <c r="M288" s="87">
        <f>H288+J288+L288</f>
        <v>0</v>
      </c>
    </row>
    <row r="289" spans="1:13" s="493" customFormat="1" hidden="1">
      <c r="A289" s="1456"/>
      <c r="B289" s="757"/>
      <c r="C289" s="758" t="s">
        <v>947</v>
      </c>
      <c r="D289" s="757" t="s">
        <v>121</v>
      </c>
      <c r="E289" s="984">
        <v>0.28299999999999997</v>
      </c>
      <c r="F289" s="755">
        <f>F287*E289</f>
        <v>0</v>
      </c>
      <c r="G289" s="213"/>
      <c r="H289" s="87"/>
      <c r="I289" s="213"/>
      <c r="J289" s="87"/>
      <c r="K289" s="214">
        <v>4</v>
      </c>
      <c r="L289" s="87">
        <f>F289*K289</f>
        <v>0</v>
      </c>
      <c r="M289" s="87">
        <f>H289+J289+L289</f>
        <v>0</v>
      </c>
    </row>
    <row r="290" spans="1:13" s="493" customFormat="1" hidden="1">
      <c r="A290" s="1456"/>
      <c r="B290" s="757"/>
      <c r="C290" s="758" t="s">
        <v>948</v>
      </c>
      <c r="D290" s="757" t="s">
        <v>945</v>
      </c>
      <c r="E290" s="984">
        <v>1.02</v>
      </c>
      <c r="F290" s="755">
        <f>F287*E290</f>
        <v>0</v>
      </c>
      <c r="G290" s="213">
        <v>131</v>
      </c>
      <c r="H290" s="87">
        <f>F290*G290</f>
        <v>0</v>
      </c>
      <c r="I290" s="213"/>
      <c r="J290" s="87"/>
      <c r="K290" s="214"/>
      <c r="L290" s="87"/>
      <c r="M290" s="87">
        <f>H290+J290+L290</f>
        <v>0</v>
      </c>
    </row>
    <row r="291" spans="1:13" s="493" customFormat="1" hidden="1">
      <c r="A291" s="1456"/>
      <c r="B291" s="921"/>
      <c r="C291" s="166" t="s">
        <v>949</v>
      </c>
      <c r="D291" s="921" t="s">
        <v>950</v>
      </c>
      <c r="E291" s="984">
        <v>1.03</v>
      </c>
      <c r="F291" s="755">
        <v>0</v>
      </c>
      <c r="G291" s="213">
        <v>1597</v>
      </c>
      <c r="H291" s="87">
        <f>F291*G291</f>
        <v>0</v>
      </c>
      <c r="I291" s="213"/>
      <c r="J291" s="87"/>
      <c r="K291" s="214"/>
      <c r="L291" s="87"/>
      <c r="M291" s="87">
        <f>H291+J291+L291</f>
        <v>0</v>
      </c>
    </row>
    <row r="292" spans="1:13" s="493" customFormat="1" hidden="1">
      <c r="A292" s="1456"/>
      <c r="B292" s="924"/>
      <c r="C292" s="778" t="s">
        <v>951</v>
      </c>
      <c r="D292" s="782" t="s">
        <v>121</v>
      </c>
      <c r="E292" s="985">
        <v>0.62</v>
      </c>
      <c r="F292" s="775">
        <f>F287*E292</f>
        <v>0</v>
      </c>
      <c r="G292" s="213">
        <v>4</v>
      </c>
      <c r="H292" s="87">
        <f>F292*G292</f>
        <v>0</v>
      </c>
      <c r="I292" s="87"/>
      <c r="J292" s="87"/>
      <c r="K292" s="214"/>
      <c r="L292" s="87"/>
      <c r="M292" s="87">
        <f>H292+J292+L292</f>
        <v>0</v>
      </c>
    </row>
    <row r="293" spans="1:13" s="493" customFormat="1" hidden="1">
      <c r="A293" s="536"/>
      <c r="B293" s="536"/>
      <c r="C293" s="104" t="s">
        <v>1897</v>
      </c>
      <c r="D293" s="783"/>
      <c r="E293" s="994"/>
      <c r="F293" s="97"/>
      <c r="G293" s="784"/>
      <c r="H293" s="785">
        <f>SUM(H258:H292)</f>
        <v>0</v>
      </c>
      <c r="I293" s="784"/>
      <c r="J293" s="785">
        <f>SUM(J258:J292)</f>
        <v>0</v>
      </c>
      <c r="K293" s="786"/>
      <c r="L293" s="785">
        <f>SUM(L258:L292)</f>
        <v>0</v>
      </c>
      <c r="M293" s="785">
        <f>SUM(M258:M292)</f>
        <v>0</v>
      </c>
    </row>
    <row r="294" spans="1:13" s="493" customFormat="1" ht="31.5" hidden="1">
      <c r="A294" s="921"/>
      <c r="B294" s="284"/>
      <c r="C294" s="787" t="s">
        <v>1134</v>
      </c>
      <c r="D294" s="788"/>
      <c r="E294" s="995"/>
      <c r="F294" s="354">
        <v>0.05</v>
      </c>
      <c r="G294" s="790"/>
      <c r="H294" s="790"/>
      <c r="I294" s="790"/>
      <c r="J294" s="790"/>
      <c r="K294" s="790"/>
      <c r="L294" s="790"/>
      <c r="M294" s="791">
        <f>H293*F294</f>
        <v>0</v>
      </c>
    </row>
    <row r="295" spans="1:13" s="493" customFormat="1" hidden="1">
      <c r="A295" s="921"/>
      <c r="B295" s="284"/>
      <c r="C295" s="792" t="s">
        <v>54</v>
      </c>
      <c r="D295" s="788"/>
      <c r="E295" s="995"/>
      <c r="F295" s="789"/>
      <c r="G295" s="790"/>
      <c r="H295" s="790"/>
      <c r="I295" s="790"/>
      <c r="J295" s="790"/>
      <c r="K295" s="790"/>
      <c r="L295" s="790"/>
      <c r="M295" s="791">
        <f>M293+M294</f>
        <v>0</v>
      </c>
    </row>
    <row r="296" spans="1:13" s="215" customFormat="1" hidden="1">
      <c r="A296" s="178"/>
      <c r="B296" s="187"/>
      <c r="C296" s="52" t="s">
        <v>63</v>
      </c>
      <c r="D296" s="187"/>
      <c r="E296" s="189"/>
      <c r="F296" s="354">
        <v>0.1</v>
      </c>
      <c r="G296" s="190"/>
      <c r="H296" s="190"/>
      <c r="I296" s="190"/>
      <c r="J296" s="190"/>
      <c r="K296" s="190"/>
      <c r="L296" s="190"/>
      <c r="M296" s="190">
        <f>M295*F296</f>
        <v>0</v>
      </c>
    </row>
    <row r="297" spans="1:13" s="215" customFormat="1" hidden="1">
      <c r="A297" s="178"/>
      <c r="B297" s="187"/>
      <c r="C297" s="335" t="s">
        <v>54</v>
      </c>
      <c r="D297" s="187"/>
      <c r="E297" s="189"/>
      <c r="F297" s="357"/>
      <c r="G297" s="190"/>
      <c r="H297" s="190"/>
      <c r="I297" s="190"/>
      <c r="J297" s="190"/>
      <c r="K297" s="190"/>
      <c r="L297" s="190"/>
      <c r="M297" s="190">
        <f>M295+M296</f>
        <v>0</v>
      </c>
    </row>
    <row r="298" spans="1:13" hidden="1">
      <c r="A298" s="1142"/>
      <c r="B298" s="1142"/>
      <c r="C298" s="964" t="s">
        <v>46</v>
      </c>
      <c r="D298" s="1142"/>
      <c r="E298" s="1233"/>
      <c r="F298" s="354">
        <v>0.08</v>
      </c>
      <c r="G298" s="448"/>
      <c r="H298" s="448"/>
      <c r="I298" s="448"/>
      <c r="J298" s="448"/>
      <c r="K298" s="448"/>
      <c r="L298" s="448"/>
      <c r="M298" s="448">
        <f>M297*F298</f>
        <v>0</v>
      </c>
    </row>
    <row r="299" spans="1:13" hidden="1">
      <c r="A299" s="1329"/>
      <c r="B299" s="1329"/>
      <c r="C299" s="219" t="s">
        <v>1898</v>
      </c>
      <c r="D299" s="1329"/>
      <c r="E299" s="989"/>
      <c r="F299" s="1330"/>
      <c r="G299" s="1331"/>
      <c r="H299" s="1331"/>
      <c r="I299" s="1331"/>
      <c r="J299" s="1331"/>
      <c r="K299" s="1331"/>
      <c r="L299" s="1331"/>
      <c r="M299" s="482">
        <f>M297+M298</f>
        <v>0</v>
      </c>
    </row>
    <row r="300" spans="1:13" s="493" customFormat="1" hidden="1">
      <c r="A300" s="809"/>
      <c r="B300" s="809"/>
      <c r="C300" s="793" t="s">
        <v>1142</v>
      </c>
      <c r="D300" s="810"/>
      <c r="E300" s="996"/>
      <c r="F300" s="811"/>
      <c r="G300" s="922"/>
      <c r="H300" s="659"/>
      <c r="I300" s="922"/>
      <c r="J300" s="659"/>
      <c r="K300" s="794"/>
      <c r="L300" s="659"/>
      <c r="M300" s="659"/>
    </row>
    <row r="301" spans="1:13" s="493" customFormat="1" ht="31.5" hidden="1">
      <c r="A301" s="1482" t="s">
        <v>460</v>
      </c>
      <c r="B301" s="795" t="s">
        <v>1135</v>
      </c>
      <c r="C301" s="225" t="s">
        <v>1144</v>
      </c>
      <c r="D301" s="921" t="s">
        <v>12</v>
      </c>
      <c r="E301" s="948"/>
      <c r="F301" s="383">
        <f>SUM(F304:F304)</f>
        <v>0</v>
      </c>
      <c r="G301" s="87"/>
      <c r="H301" s="87"/>
      <c r="I301" s="87"/>
      <c r="J301" s="87"/>
      <c r="K301" s="87"/>
      <c r="L301" s="87"/>
      <c r="M301" s="87"/>
    </row>
    <row r="302" spans="1:13" s="493" customFormat="1" hidden="1">
      <c r="A302" s="1482"/>
      <c r="B302" s="777"/>
      <c r="C302" s="796" t="s">
        <v>946</v>
      </c>
      <c r="D302" s="777" t="s">
        <v>120</v>
      </c>
      <c r="E302" s="985">
        <v>1</v>
      </c>
      <c r="F302" s="775">
        <f>F301*E302</f>
        <v>0</v>
      </c>
      <c r="G302" s="213"/>
      <c r="H302" s="87"/>
      <c r="I302" s="213">
        <v>6</v>
      </c>
      <c r="J302" s="87">
        <f>F302*I302</f>
        <v>0</v>
      </c>
      <c r="K302" s="214"/>
      <c r="L302" s="87"/>
      <c r="M302" s="87">
        <f t="shared" ref="M302:M329" si="43">H302+J302+L302</f>
        <v>0</v>
      </c>
    </row>
    <row r="303" spans="1:13" s="493" customFormat="1" hidden="1">
      <c r="A303" s="1482"/>
      <c r="B303" s="777"/>
      <c r="C303" s="796" t="s">
        <v>14</v>
      </c>
      <c r="D303" s="777" t="s">
        <v>11</v>
      </c>
      <c r="E303" s="985">
        <v>1.1599999999999999</v>
      </c>
      <c r="F303" s="775">
        <f>F301*E303</f>
        <v>0</v>
      </c>
      <c r="G303" s="213"/>
      <c r="H303" s="87"/>
      <c r="I303" s="213"/>
      <c r="J303" s="87"/>
      <c r="K303" s="214">
        <v>4</v>
      </c>
      <c r="L303" s="87">
        <f>F303*K303</f>
        <v>0</v>
      </c>
      <c r="M303" s="87">
        <f t="shared" si="43"/>
        <v>0</v>
      </c>
    </row>
    <row r="304" spans="1:13" s="493" customFormat="1" ht="31.5" hidden="1">
      <c r="A304" s="1482"/>
      <c r="B304" s="921"/>
      <c r="C304" s="797" t="s">
        <v>1183</v>
      </c>
      <c r="D304" s="44" t="s">
        <v>12</v>
      </c>
      <c r="E304" s="948"/>
      <c r="F304" s="950">
        <f>F260</f>
        <v>0</v>
      </c>
      <c r="G304" s="87">
        <v>650</v>
      </c>
      <c r="H304" s="87">
        <f>F304*G304</f>
        <v>0</v>
      </c>
      <c r="I304" s="213"/>
      <c r="J304" s="87"/>
      <c r="K304" s="87"/>
      <c r="L304" s="87"/>
      <c r="M304" s="87">
        <f t="shared" si="43"/>
        <v>0</v>
      </c>
    </row>
    <row r="305" spans="1:13" s="493" customFormat="1" hidden="1">
      <c r="A305" s="1482"/>
      <c r="B305" s="921"/>
      <c r="C305" s="166" t="s">
        <v>19</v>
      </c>
      <c r="D305" s="921" t="s">
        <v>11</v>
      </c>
      <c r="E305" s="948">
        <v>0.05</v>
      </c>
      <c r="F305" s="950">
        <f>F301*E305</f>
        <v>0</v>
      </c>
      <c r="G305" s="87">
        <v>4</v>
      </c>
      <c r="H305" s="87">
        <f>F305*G305</f>
        <v>0</v>
      </c>
      <c r="I305" s="213"/>
      <c r="J305" s="87"/>
      <c r="K305" s="87"/>
      <c r="L305" s="87"/>
      <c r="M305" s="87">
        <f t="shared" si="43"/>
        <v>0</v>
      </c>
    </row>
    <row r="306" spans="1:13" s="493" customFormat="1" hidden="1">
      <c r="A306" s="1483" t="s">
        <v>440</v>
      </c>
      <c r="B306" s="44" t="s">
        <v>185</v>
      </c>
      <c r="C306" s="798" t="s">
        <v>491</v>
      </c>
      <c r="D306" s="921" t="s">
        <v>186</v>
      </c>
      <c r="E306" s="948"/>
      <c r="F306" s="383">
        <f>SUM(F308:F309)</f>
        <v>0</v>
      </c>
      <c r="G306" s="670"/>
      <c r="H306" s="448"/>
      <c r="I306" s="670"/>
      <c r="J306" s="87"/>
      <c r="K306" s="87"/>
      <c r="L306" s="87"/>
      <c r="M306" s="87"/>
    </row>
    <row r="307" spans="1:13" s="493" customFormat="1" hidden="1">
      <c r="A307" s="1484"/>
      <c r="B307" s="921"/>
      <c r="C307" s="166" t="s">
        <v>28</v>
      </c>
      <c r="D307" s="921" t="s">
        <v>179</v>
      </c>
      <c r="E307" s="948">
        <v>0.13900000000000001</v>
      </c>
      <c r="F307" s="950">
        <f>F306*E307</f>
        <v>0</v>
      </c>
      <c r="G307" s="87"/>
      <c r="H307" s="448"/>
      <c r="I307" s="87">
        <v>4.5999999999999996</v>
      </c>
      <c r="J307" s="87">
        <f>F307*I307</f>
        <v>0</v>
      </c>
      <c r="K307" s="87"/>
      <c r="L307" s="87"/>
      <c r="M307" s="87">
        <f t="shared" si="43"/>
        <v>0</v>
      </c>
    </row>
    <row r="308" spans="1:13" s="493" customFormat="1" hidden="1">
      <c r="A308" s="1484"/>
      <c r="B308" s="921"/>
      <c r="C308" s="166" t="s">
        <v>1146</v>
      </c>
      <c r="D308" s="777" t="s">
        <v>1</v>
      </c>
      <c r="E308" s="948"/>
      <c r="F308" s="950"/>
      <c r="G308" s="87">
        <v>4.0199999999999996</v>
      </c>
      <c r="H308" s="87">
        <f>F308*G308</f>
        <v>0</v>
      </c>
      <c r="I308" s="87"/>
      <c r="J308" s="87"/>
      <c r="K308" s="87"/>
      <c r="L308" s="87"/>
      <c r="M308" s="87">
        <f t="shared" si="43"/>
        <v>0</v>
      </c>
    </row>
    <row r="309" spans="1:13" s="493" customFormat="1" hidden="1">
      <c r="A309" s="1484"/>
      <c r="B309" s="921"/>
      <c r="C309" s="166" t="s">
        <v>1147</v>
      </c>
      <c r="D309" s="921" t="s">
        <v>1</v>
      </c>
      <c r="E309" s="948"/>
      <c r="F309" s="950"/>
      <c r="G309" s="87">
        <v>2.86</v>
      </c>
      <c r="H309" s="87">
        <f>F309*G309</f>
        <v>0</v>
      </c>
      <c r="I309" s="213"/>
      <c r="J309" s="87"/>
      <c r="K309" s="87"/>
      <c r="L309" s="87"/>
      <c r="M309" s="87">
        <f t="shared" si="43"/>
        <v>0</v>
      </c>
    </row>
    <row r="310" spans="1:13" s="493" customFormat="1" hidden="1">
      <c r="A310" s="1485"/>
      <c r="B310" s="921"/>
      <c r="C310" s="166" t="s">
        <v>122</v>
      </c>
      <c r="D310" s="921" t="s">
        <v>121</v>
      </c>
      <c r="E310" s="948" t="s">
        <v>1136</v>
      </c>
      <c r="F310" s="775">
        <f>F306*E310</f>
        <v>0</v>
      </c>
      <c r="G310" s="87">
        <v>4</v>
      </c>
      <c r="H310" s="448">
        <f>F310*G310</f>
        <v>0</v>
      </c>
      <c r="I310" s="213"/>
      <c r="J310" s="87"/>
      <c r="K310" s="87"/>
      <c r="L310" s="87"/>
      <c r="M310" s="87">
        <f>H310+J310+L310</f>
        <v>0</v>
      </c>
    </row>
    <row r="311" spans="1:13" s="493" customFormat="1" hidden="1">
      <c r="A311" s="921"/>
      <c r="B311" s="921"/>
      <c r="C311" s="166"/>
      <c r="D311" s="921"/>
      <c r="E311" s="948"/>
      <c r="F311" s="950"/>
      <c r="G311" s="87"/>
      <c r="H311" s="87"/>
      <c r="I311" s="213"/>
      <c r="J311" s="87"/>
      <c r="K311" s="87"/>
      <c r="L311" s="87"/>
      <c r="M311" s="87"/>
    </row>
    <row r="312" spans="1:13" s="493" customFormat="1" hidden="1">
      <c r="A312" s="1390" t="s">
        <v>430</v>
      </c>
      <c r="B312" s="44" t="s">
        <v>315</v>
      </c>
      <c r="C312" s="173" t="s">
        <v>1423</v>
      </c>
      <c r="D312" s="921"/>
      <c r="E312" s="948"/>
      <c r="F312" s="775">
        <v>0</v>
      </c>
      <c r="G312" s="87"/>
      <c r="H312" s="448"/>
      <c r="I312" s="213"/>
      <c r="J312" s="87"/>
      <c r="K312" s="87"/>
      <c r="L312" s="87"/>
      <c r="M312" s="87"/>
    </row>
    <row r="313" spans="1:13" s="493" customFormat="1" hidden="1">
      <c r="A313" s="1391"/>
      <c r="B313" s="921"/>
      <c r="C313" s="166" t="s">
        <v>28</v>
      </c>
      <c r="D313" s="921" t="s">
        <v>179</v>
      </c>
      <c r="E313" s="948">
        <v>7.05</v>
      </c>
      <c r="F313" s="950">
        <f>F312*E313</f>
        <v>0</v>
      </c>
      <c r="G313" s="87"/>
      <c r="H313" s="448"/>
      <c r="I313" s="87">
        <v>6</v>
      </c>
      <c r="J313" s="448">
        <f>F313*I313</f>
        <v>0</v>
      </c>
      <c r="K313" s="87"/>
      <c r="L313" s="448"/>
      <c r="M313" s="87">
        <f t="shared" si="43"/>
        <v>0</v>
      </c>
    </row>
    <row r="314" spans="1:13" s="493" customFormat="1" ht="30.75" hidden="1">
      <c r="A314" s="1391"/>
      <c r="B314" s="921"/>
      <c r="C314" s="166" t="s">
        <v>1424</v>
      </c>
      <c r="D314" s="921" t="s">
        <v>2</v>
      </c>
      <c r="E314" s="948"/>
      <c r="F314" s="950"/>
      <c r="G314" s="87">
        <v>84</v>
      </c>
      <c r="H314" s="87">
        <f t="shared" ref="H314:H319" si="44">F314*G314</f>
        <v>0</v>
      </c>
      <c r="I314" s="213"/>
      <c r="J314" s="87"/>
      <c r="K314" s="87"/>
      <c r="L314" s="87"/>
      <c r="M314" s="87">
        <f t="shared" si="43"/>
        <v>0</v>
      </c>
    </row>
    <row r="315" spans="1:13" s="493" customFormat="1" hidden="1">
      <c r="A315" s="1391"/>
      <c r="B315" s="921"/>
      <c r="C315" s="166" t="s">
        <v>1425</v>
      </c>
      <c r="D315" s="921" t="s">
        <v>2</v>
      </c>
      <c r="E315" s="948"/>
      <c r="F315" s="775"/>
      <c r="G315" s="87">
        <v>7</v>
      </c>
      <c r="H315" s="87">
        <f t="shared" si="44"/>
        <v>0</v>
      </c>
      <c r="I315" s="213"/>
      <c r="J315" s="87"/>
      <c r="K315" s="87"/>
      <c r="L315" s="87"/>
      <c r="M315" s="87">
        <f>H315+J315+L315</f>
        <v>0</v>
      </c>
    </row>
    <row r="316" spans="1:13" s="493" customFormat="1" hidden="1">
      <c r="A316" s="1391"/>
      <c r="B316" s="921"/>
      <c r="C316" s="166" t="s">
        <v>1426</v>
      </c>
      <c r="D316" s="921" t="s">
        <v>2</v>
      </c>
      <c r="E316" s="948"/>
      <c r="F316" s="775"/>
      <c r="G316" s="87">
        <v>7</v>
      </c>
      <c r="H316" s="87">
        <f t="shared" si="44"/>
        <v>0</v>
      </c>
      <c r="I316" s="213"/>
      <c r="J316" s="87"/>
      <c r="K316" s="87"/>
      <c r="L316" s="87"/>
      <c r="M316" s="87">
        <f t="shared" si="43"/>
        <v>0</v>
      </c>
    </row>
    <row r="317" spans="1:13" s="493" customFormat="1" hidden="1">
      <c r="A317" s="1391"/>
      <c r="B317" s="921"/>
      <c r="C317" s="166" t="s">
        <v>1427</v>
      </c>
      <c r="D317" s="921" t="s">
        <v>2</v>
      </c>
      <c r="E317" s="948"/>
      <c r="F317" s="775"/>
      <c r="G317" s="87">
        <v>5</v>
      </c>
      <c r="H317" s="87">
        <f t="shared" si="44"/>
        <v>0</v>
      </c>
      <c r="I317" s="213"/>
      <c r="J317" s="87"/>
      <c r="K317" s="87"/>
      <c r="L317" s="87"/>
      <c r="M317" s="87">
        <f t="shared" si="43"/>
        <v>0</v>
      </c>
    </row>
    <row r="318" spans="1:13" s="493" customFormat="1" ht="31.5" hidden="1">
      <c r="A318" s="1391"/>
      <c r="B318" s="921"/>
      <c r="C318" s="166" t="s">
        <v>1137</v>
      </c>
      <c r="D318" s="921" t="s">
        <v>2</v>
      </c>
      <c r="E318" s="948"/>
      <c r="F318" s="775"/>
      <c r="G318" s="87">
        <v>15</v>
      </c>
      <c r="H318" s="87">
        <f>F318*G318</f>
        <v>0</v>
      </c>
      <c r="I318" s="213"/>
      <c r="J318" s="87"/>
      <c r="K318" s="87"/>
      <c r="L318" s="87"/>
      <c r="M318" s="87">
        <f>H318+J318+L318</f>
        <v>0</v>
      </c>
    </row>
    <row r="319" spans="1:13" s="493" customFormat="1" hidden="1">
      <c r="A319" s="1391"/>
      <c r="B319" s="921"/>
      <c r="C319" s="166" t="s">
        <v>1428</v>
      </c>
      <c r="D319" s="921" t="s">
        <v>2</v>
      </c>
      <c r="E319" s="948"/>
      <c r="F319" s="775"/>
      <c r="G319" s="87">
        <v>54</v>
      </c>
      <c r="H319" s="87">
        <f t="shared" si="44"/>
        <v>0</v>
      </c>
      <c r="I319" s="213"/>
      <c r="J319" s="87"/>
      <c r="K319" s="87"/>
      <c r="L319" s="87"/>
      <c r="M319" s="87">
        <f t="shared" si="43"/>
        <v>0</v>
      </c>
    </row>
    <row r="320" spans="1:13" s="493" customFormat="1" hidden="1">
      <c r="A320" s="1391"/>
      <c r="B320" s="921"/>
      <c r="C320" s="166" t="s">
        <v>1429</v>
      </c>
      <c r="D320" s="921" t="s">
        <v>2</v>
      </c>
      <c r="E320" s="948"/>
      <c r="F320" s="775"/>
      <c r="G320" s="87">
        <v>15</v>
      </c>
      <c r="H320" s="87">
        <f>F320*G320</f>
        <v>0</v>
      </c>
      <c r="I320" s="213"/>
      <c r="J320" s="87"/>
      <c r="K320" s="87"/>
      <c r="L320" s="87"/>
      <c r="M320" s="87">
        <f>H320+J320+L320</f>
        <v>0</v>
      </c>
    </row>
    <row r="321" spans="1:13" s="493" customFormat="1" hidden="1">
      <c r="A321" s="1391"/>
      <c r="B321" s="921"/>
      <c r="C321" s="166" t="s">
        <v>1430</v>
      </c>
      <c r="D321" s="921" t="s">
        <v>2</v>
      </c>
      <c r="E321" s="948"/>
      <c r="F321" s="775"/>
      <c r="G321" s="87">
        <v>20</v>
      </c>
      <c r="H321" s="87">
        <f>F321*G321</f>
        <v>0</v>
      </c>
      <c r="I321" s="213"/>
      <c r="J321" s="87"/>
      <c r="K321" s="87"/>
      <c r="L321" s="87"/>
      <c r="M321" s="87">
        <f>H321+J321+L321</f>
        <v>0</v>
      </c>
    </row>
    <row r="322" spans="1:13" s="493" customFormat="1" hidden="1">
      <c r="A322" s="1392"/>
      <c r="B322" s="921"/>
      <c r="C322" s="166" t="s">
        <v>1138</v>
      </c>
      <c r="D322" s="921" t="s">
        <v>65</v>
      </c>
      <c r="E322" s="948"/>
      <c r="F322" s="950"/>
      <c r="G322" s="87">
        <v>50</v>
      </c>
      <c r="H322" s="87">
        <f>F322*G322</f>
        <v>0</v>
      </c>
      <c r="I322" s="213"/>
      <c r="J322" s="87"/>
      <c r="K322" s="87"/>
      <c r="L322" s="87"/>
      <c r="M322" s="87">
        <f>H322+J322+L322</f>
        <v>0</v>
      </c>
    </row>
    <row r="323" spans="1:13" s="493" customFormat="1" hidden="1">
      <c r="A323" s="921" t="s">
        <v>431</v>
      </c>
      <c r="B323" s="921"/>
      <c r="C323" s="155" t="s">
        <v>1139</v>
      </c>
      <c r="D323" s="921"/>
      <c r="E323" s="997"/>
      <c r="F323" s="799"/>
      <c r="G323" s="800"/>
      <c r="H323" s="800"/>
      <c r="I323" s="801"/>
      <c r="J323" s="800"/>
      <c r="K323" s="800"/>
      <c r="L323" s="800"/>
      <c r="M323" s="87"/>
    </row>
    <row r="324" spans="1:13" s="493" customFormat="1" ht="40.5" hidden="1">
      <c r="A324" s="1457" t="s">
        <v>471</v>
      </c>
      <c r="B324" s="178" t="s">
        <v>1151</v>
      </c>
      <c r="C324" s="289" t="s">
        <v>510</v>
      </c>
      <c r="D324" s="202" t="s">
        <v>1</v>
      </c>
      <c r="E324" s="179"/>
      <c r="F324" s="380">
        <f>F327</f>
        <v>0</v>
      </c>
      <c r="G324" s="180"/>
      <c r="H324" s="194"/>
      <c r="I324" s="194"/>
      <c r="J324" s="194"/>
      <c r="K324" s="194"/>
      <c r="L324" s="194"/>
      <c r="M324" s="87"/>
    </row>
    <row r="325" spans="1:13" s="493" customFormat="1" hidden="1">
      <c r="A325" s="1458"/>
      <c r="B325" s="181"/>
      <c r="C325" s="195" t="s">
        <v>13</v>
      </c>
      <c r="D325" s="181" t="s">
        <v>15</v>
      </c>
      <c r="E325" s="182">
        <v>0.14000000000000001</v>
      </c>
      <c r="F325" s="91">
        <f>E325*F324</f>
        <v>0</v>
      </c>
      <c r="G325" s="180"/>
      <c r="H325" s="194"/>
      <c r="I325" s="194">
        <v>4.5999999999999996</v>
      </c>
      <c r="J325" s="194">
        <f>F325*I325</f>
        <v>0</v>
      </c>
      <c r="K325" s="194"/>
      <c r="L325" s="194"/>
      <c r="M325" s="87">
        <f t="shared" si="43"/>
        <v>0</v>
      </c>
    </row>
    <row r="326" spans="1:13" s="493" customFormat="1" hidden="1">
      <c r="A326" s="1458"/>
      <c r="B326" s="181"/>
      <c r="C326" s="198" t="s">
        <v>14</v>
      </c>
      <c r="D326" s="181" t="s">
        <v>11</v>
      </c>
      <c r="E326" s="182">
        <v>8.9999999999999993E-3</v>
      </c>
      <c r="F326" s="91">
        <f>E326*F324</f>
        <v>0</v>
      </c>
      <c r="G326" s="180"/>
      <c r="H326" s="194"/>
      <c r="I326" s="194"/>
      <c r="J326" s="194"/>
      <c r="K326" s="194">
        <v>4</v>
      </c>
      <c r="L326" s="194">
        <f>F326*K326</f>
        <v>0</v>
      </c>
      <c r="M326" s="87">
        <f t="shared" si="43"/>
        <v>0</v>
      </c>
    </row>
    <row r="327" spans="1:13" s="493" customFormat="1" hidden="1">
      <c r="A327" s="1458"/>
      <c r="B327" s="201"/>
      <c r="C327" s="198" t="s">
        <v>1150</v>
      </c>
      <c r="D327" s="202" t="s">
        <v>1</v>
      </c>
      <c r="E327" s="883"/>
      <c r="F327" s="91"/>
      <c r="G327" s="180">
        <v>3</v>
      </c>
      <c r="H327" s="194">
        <f>F327*G327</f>
        <v>0</v>
      </c>
      <c r="I327" s="194"/>
      <c r="J327" s="194"/>
      <c r="K327" s="194"/>
      <c r="L327" s="194"/>
      <c r="M327" s="87">
        <f t="shared" si="43"/>
        <v>0</v>
      </c>
    </row>
    <row r="328" spans="1:13" s="493" customFormat="1" hidden="1">
      <c r="A328" s="1459"/>
      <c r="B328" s="181"/>
      <c r="C328" s="195" t="s">
        <v>26</v>
      </c>
      <c r="D328" s="181" t="s">
        <v>11</v>
      </c>
      <c r="E328" s="182">
        <v>0.13</v>
      </c>
      <c r="F328" s="91">
        <f>E328*F324</f>
        <v>0</v>
      </c>
      <c r="G328" s="180">
        <v>4</v>
      </c>
      <c r="H328" s="194">
        <f>F328*G328</f>
        <v>0</v>
      </c>
      <c r="I328" s="180"/>
      <c r="J328" s="194"/>
      <c r="K328" s="180"/>
      <c r="L328" s="194"/>
      <c r="M328" s="87">
        <f t="shared" si="43"/>
        <v>0</v>
      </c>
    </row>
    <row r="329" spans="1:13" s="493" customFormat="1" hidden="1">
      <c r="A329" s="926" t="s">
        <v>472</v>
      </c>
      <c r="B329" s="201"/>
      <c r="C329" s="198" t="s">
        <v>1140</v>
      </c>
      <c r="D329" s="202" t="s">
        <v>2</v>
      </c>
      <c r="E329" s="883"/>
      <c r="F329" s="380">
        <v>0</v>
      </c>
      <c r="G329" s="180">
        <v>50</v>
      </c>
      <c r="H329" s="194">
        <f>F329*G329</f>
        <v>0</v>
      </c>
      <c r="I329" s="194"/>
      <c r="J329" s="194"/>
      <c r="K329" s="194"/>
      <c r="L329" s="194"/>
      <c r="M329" s="87">
        <f t="shared" si="43"/>
        <v>0</v>
      </c>
    </row>
    <row r="330" spans="1:13" s="493" customFormat="1" ht="40.5" hidden="1">
      <c r="A330" s="1466" t="s">
        <v>473</v>
      </c>
      <c r="B330" s="178" t="s">
        <v>1149</v>
      </c>
      <c r="C330" s="289" t="s">
        <v>787</v>
      </c>
      <c r="D330" s="181" t="s">
        <v>2</v>
      </c>
      <c r="E330" s="179"/>
      <c r="F330" s="380">
        <f>F333</f>
        <v>0</v>
      </c>
      <c r="G330" s="802"/>
      <c r="H330" s="802"/>
      <c r="I330" s="802"/>
      <c r="J330" s="802"/>
      <c r="K330" s="802"/>
      <c r="L330" s="802"/>
      <c r="M330" s="802"/>
    </row>
    <row r="331" spans="1:13" s="493" customFormat="1" hidden="1">
      <c r="A331" s="1467"/>
      <c r="B331" s="972"/>
      <c r="C331" s="195" t="s">
        <v>13</v>
      </c>
      <c r="D331" s="181" t="s">
        <v>15</v>
      </c>
      <c r="E331" s="182">
        <v>0.6</v>
      </c>
      <c r="F331" s="91">
        <f>E331*F330</f>
        <v>0</v>
      </c>
      <c r="G331" s="180"/>
      <c r="H331" s="194"/>
      <c r="I331" s="194">
        <v>6</v>
      </c>
      <c r="J331" s="194">
        <f>F331*I331</f>
        <v>0</v>
      </c>
      <c r="K331" s="194"/>
      <c r="L331" s="194"/>
      <c r="M331" s="87">
        <f>H331+J331+L331</f>
        <v>0</v>
      </c>
    </row>
    <row r="332" spans="1:13" s="493" customFormat="1" hidden="1">
      <c r="A332" s="1467"/>
      <c r="B332" s="972"/>
      <c r="C332" s="198" t="s">
        <v>14</v>
      </c>
      <c r="D332" s="181" t="s">
        <v>11</v>
      </c>
      <c r="E332" s="182">
        <v>0.05</v>
      </c>
      <c r="F332" s="91">
        <f>E332*F330</f>
        <v>0</v>
      </c>
      <c r="G332" s="180"/>
      <c r="H332" s="194"/>
      <c r="I332" s="194"/>
      <c r="J332" s="194"/>
      <c r="K332" s="194">
        <v>4</v>
      </c>
      <c r="L332" s="194">
        <f>F332*K332</f>
        <v>0</v>
      </c>
      <c r="M332" s="87">
        <f>H332+J332+L332</f>
        <v>0</v>
      </c>
    </row>
    <row r="333" spans="1:13" s="493" customFormat="1" ht="31.5" hidden="1">
      <c r="A333" s="1467"/>
      <c r="B333" s="972"/>
      <c r="C333" s="198" t="s">
        <v>1148</v>
      </c>
      <c r="D333" s="202" t="s">
        <v>2</v>
      </c>
      <c r="E333" s="883"/>
      <c r="F333" s="91"/>
      <c r="G333" s="180">
        <v>15</v>
      </c>
      <c r="H333" s="194">
        <f>F333*G333</f>
        <v>0</v>
      </c>
      <c r="I333" s="802"/>
      <c r="J333" s="802"/>
      <c r="K333" s="802"/>
      <c r="L333" s="802"/>
      <c r="M333" s="802"/>
    </row>
    <row r="334" spans="1:13" s="493" customFormat="1" hidden="1">
      <c r="A334" s="1468"/>
      <c r="B334" s="972"/>
      <c r="C334" s="195" t="s">
        <v>26</v>
      </c>
      <c r="D334" s="181" t="s">
        <v>11</v>
      </c>
      <c r="E334" s="182">
        <v>0.108</v>
      </c>
      <c r="F334" s="91">
        <f>E334*F330</f>
        <v>0</v>
      </c>
      <c r="G334" s="180">
        <v>4</v>
      </c>
      <c r="H334" s="194">
        <f>F334*G334</f>
        <v>0</v>
      </c>
      <c r="I334" s="180"/>
      <c r="J334" s="194"/>
      <c r="K334" s="180"/>
      <c r="L334" s="194"/>
      <c r="M334" s="87">
        <f>H334+J334+L334</f>
        <v>0</v>
      </c>
    </row>
    <row r="335" spans="1:13" s="493" customFormat="1" hidden="1">
      <c r="A335" s="181"/>
      <c r="B335" s="181"/>
      <c r="C335" s="195"/>
      <c r="D335" s="181"/>
      <c r="E335" s="182"/>
      <c r="F335" s="91"/>
      <c r="G335" s="180"/>
      <c r="H335" s="194"/>
      <c r="I335" s="180"/>
      <c r="J335" s="194"/>
      <c r="K335" s="180"/>
      <c r="L335" s="194"/>
      <c r="M335" s="194"/>
    </row>
    <row r="336" spans="1:13" s="493" customFormat="1" hidden="1">
      <c r="A336" s="803"/>
      <c r="B336" s="201"/>
      <c r="C336" s="198"/>
      <c r="D336" s="202"/>
      <c r="E336" s="883"/>
      <c r="F336" s="91"/>
      <c r="G336" s="180"/>
      <c r="H336" s="194"/>
      <c r="I336" s="194"/>
      <c r="J336" s="194"/>
      <c r="K336" s="194"/>
      <c r="L336" s="194"/>
      <c r="M336" s="194"/>
    </row>
    <row r="337" spans="1:14" s="493" customFormat="1" hidden="1">
      <c r="A337" s="536"/>
      <c r="B337" s="536"/>
      <c r="C337" s="104" t="s">
        <v>1899</v>
      </c>
      <c r="D337" s="536"/>
      <c r="E337" s="879"/>
      <c r="F337" s="97"/>
      <c r="G337" s="785"/>
      <c r="H337" s="785">
        <f>SUM(H301:H336)</f>
        <v>0</v>
      </c>
      <c r="I337" s="785"/>
      <c r="J337" s="785">
        <f>SUM(J301:J336)</f>
        <v>0</v>
      </c>
      <c r="K337" s="785"/>
      <c r="L337" s="785">
        <f>SUM(L301:L336)</f>
        <v>0</v>
      </c>
      <c r="M337" s="785">
        <f>SUM(M301:M336)</f>
        <v>0</v>
      </c>
      <c r="N337" s="804">
        <f>H337+J337+L337</f>
        <v>0</v>
      </c>
    </row>
    <row r="338" spans="1:14" ht="31.5" hidden="1">
      <c r="A338" s="1222"/>
      <c r="B338" s="338"/>
      <c r="C338" s="787" t="s">
        <v>1134</v>
      </c>
      <c r="D338" s="338"/>
      <c r="E338" s="353"/>
      <c r="F338" s="354">
        <v>0.05</v>
      </c>
      <c r="G338" s="355"/>
      <c r="H338" s="355"/>
      <c r="I338" s="355"/>
      <c r="J338" s="355"/>
      <c r="K338" s="355"/>
      <c r="L338" s="355"/>
      <c r="M338" s="356">
        <f>H337*F338</f>
        <v>0</v>
      </c>
    </row>
    <row r="339" spans="1:14" hidden="1">
      <c r="A339" s="1222"/>
      <c r="B339" s="338"/>
      <c r="C339" s="335" t="s">
        <v>54</v>
      </c>
      <c r="D339" s="338"/>
      <c r="E339" s="353"/>
      <c r="F339" s="357"/>
      <c r="G339" s="355"/>
      <c r="H339" s="355"/>
      <c r="I339" s="355"/>
      <c r="J339" s="355"/>
      <c r="K339" s="355"/>
      <c r="L339" s="355"/>
      <c r="M339" s="356">
        <f>M337+M338</f>
        <v>0</v>
      </c>
    </row>
    <row r="340" spans="1:14" ht="31.5" hidden="1">
      <c r="A340" s="209"/>
      <c r="B340" s="209"/>
      <c r="C340" s="208" t="s">
        <v>1116</v>
      </c>
      <c r="D340" s="209"/>
      <c r="E340" s="210"/>
      <c r="F340" s="354">
        <v>0.75</v>
      </c>
      <c r="G340" s="211"/>
      <c r="H340" s="211"/>
      <c r="I340" s="211"/>
      <c r="J340" s="211"/>
      <c r="K340" s="211"/>
      <c r="L340" s="211"/>
      <c r="M340" s="180">
        <f>J337*F340</f>
        <v>0</v>
      </c>
    </row>
    <row r="341" spans="1:14" hidden="1">
      <c r="A341" s="1222"/>
      <c r="B341" s="43"/>
      <c r="C341" s="335" t="s">
        <v>54</v>
      </c>
      <c r="D341" s="43"/>
      <c r="E341" s="116"/>
      <c r="F341" s="108"/>
      <c r="G341" s="103"/>
      <c r="H341" s="103"/>
      <c r="I341" s="103"/>
      <c r="J341" s="103"/>
      <c r="K341" s="103"/>
      <c r="L341" s="103"/>
      <c r="M341" s="103">
        <f>M339+M340</f>
        <v>0</v>
      </c>
    </row>
    <row r="342" spans="1:14" hidden="1">
      <c r="A342" s="1142"/>
      <c r="B342" s="1142"/>
      <c r="C342" s="964" t="s">
        <v>46</v>
      </c>
      <c r="D342" s="1142"/>
      <c r="E342" s="1233"/>
      <c r="F342" s="354">
        <v>0.08</v>
      </c>
      <c r="G342" s="448"/>
      <c r="H342" s="448"/>
      <c r="I342" s="448"/>
      <c r="J342" s="448"/>
      <c r="K342" s="448"/>
      <c r="L342" s="448"/>
      <c r="M342" s="448">
        <f>M341*F342</f>
        <v>0</v>
      </c>
    </row>
    <row r="343" spans="1:14" hidden="1">
      <c r="A343" s="1329"/>
      <c r="B343" s="1329"/>
      <c r="C343" s="219" t="s">
        <v>1900</v>
      </c>
      <c r="D343" s="1329"/>
      <c r="E343" s="989"/>
      <c r="F343" s="1330"/>
      <c r="G343" s="1331"/>
      <c r="H343" s="1331"/>
      <c r="I343" s="1331"/>
      <c r="J343" s="1331"/>
      <c r="K343" s="1331"/>
      <c r="L343" s="1331"/>
      <c r="M343" s="482">
        <f>M341+M342</f>
        <v>0</v>
      </c>
    </row>
    <row r="344" spans="1:14" hidden="1">
      <c r="A344" s="1332"/>
      <c r="B344" s="1332"/>
      <c r="C344" s="1333" t="s">
        <v>1902</v>
      </c>
      <c r="D344" s="1332"/>
      <c r="E344" s="1334"/>
      <c r="F344" s="1335"/>
      <c r="G344" s="1336"/>
      <c r="H344" s="1336"/>
      <c r="I344" s="1336"/>
      <c r="J344" s="1336"/>
      <c r="K344" s="1336"/>
      <c r="L344" s="1336"/>
      <c r="M344" s="371">
        <f>M299+M343</f>
        <v>0</v>
      </c>
    </row>
    <row r="345" spans="1:14" s="215" customFormat="1">
      <c r="A345" s="1230"/>
      <c r="B345" s="1230"/>
      <c r="C345" s="1337"/>
      <c r="D345" s="1230"/>
      <c r="E345" s="233"/>
      <c r="F345" s="205"/>
      <c r="G345" s="340"/>
      <c r="H345" s="340"/>
      <c r="I345" s="340"/>
      <c r="J345" s="340"/>
      <c r="K345" s="340"/>
      <c r="L345" s="340"/>
      <c r="M345" s="1282"/>
    </row>
    <row r="346" spans="1:14">
      <c r="A346" s="1361"/>
      <c r="B346" s="1361"/>
      <c r="C346" s="1341" t="s">
        <v>1903</v>
      </c>
      <c r="D346" s="1361"/>
      <c r="E346" s="1362"/>
      <c r="F346" s="1363"/>
      <c r="G346" s="1364"/>
      <c r="H346" s="1364"/>
      <c r="I346" s="1364"/>
      <c r="J346" s="1364"/>
      <c r="K346" s="1364"/>
      <c r="L346" s="1364"/>
      <c r="M346" s="1360">
        <f>M255+M344</f>
        <v>0</v>
      </c>
    </row>
    <row r="348" spans="1:14">
      <c r="A348" s="72"/>
      <c r="C348" s="1328"/>
      <c r="D348" s="18"/>
      <c r="I348" s="228"/>
      <c r="J348" s="228"/>
    </row>
    <row r="349" spans="1:14">
      <c r="C349" s="98"/>
      <c r="D349" s="72"/>
      <c r="E349" s="885"/>
    </row>
    <row r="350" spans="1:14">
      <c r="B350" s="727"/>
      <c r="C350" s="705"/>
      <c r="D350" s="727"/>
      <c r="E350" s="998"/>
    </row>
    <row r="351" spans="1:14">
      <c r="E351" s="285" t="s">
        <v>1117</v>
      </c>
    </row>
    <row r="353" spans="3:3">
      <c r="C353" s="944"/>
    </row>
    <row r="356" spans="3:3">
      <c r="C356" s="944"/>
    </row>
  </sheetData>
  <mergeCells count="61">
    <mergeCell ref="A312:A322"/>
    <mergeCell ref="K259:K260"/>
    <mergeCell ref="A266:A270"/>
    <mergeCell ref="A271:A273"/>
    <mergeCell ref="A274:A275"/>
    <mergeCell ref="A277:A278"/>
    <mergeCell ref="A279:A280"/>
    <mergeCell ref="I259:I260"/>
    <mergeCell ref="J259:J260"/>
    <mergeCell ref="A287:A292"/>
    <mergeCell ref="A301:A305"/>
    <mergeCell ref="A306:A310"/>
    <mergeCell ref="A261:A262"/>
    <mergeCell ref="A263:A265"/>
    <mergeCell ref="A259:A260"/>
    <mergeCell ref="B259:B260"/>
    <mergeCell ref="G259:G260"/>
    <mergeCell ref="H259:H260"/>
    <mergeCell ref="A10:A12"/>
    <mergeCell ref="A1:M1"/>
    <mergeCell ref="A2:M2"/>
    <mergeCell ref="A3:M3"/>
    <mergeCell ref="A4:A5"/>
    <mergeCell ref="B4:B5"/>
    <mergeCell ref="C4:C5"/>
    <mergeCell ref="D4:D5"/>
    <mergeCell ref="G4:H4"/>
    <mergeCell ref="I4:J4"/>
    <mergeCell ref="K4:L4"/>
    <mergeCell ref="M4:M5"/>
    <mergeCell ref="E4:F4"/>
    <mergeCell ref="L259:L260"/>
    <mergeCell ref="M259:M260"/>
    <mergeCell ref="A324:A328"/>
    <mergeCell ref="A330:A334"/>
    <mergeCell ref="A282:A286"/>
    <mergeCell ref="A13:A14"/>
    <mergeCell ref="A15:A17"/>
    <mergeCell ref="A198:A202"/>
    <mergeCell ref="A214:A220"/>
    <mergeCell ref="A228:A234"/>
    <mergeCell ref="A18:A20"/>
    <mergeCell ref="A21:A22"/>
    <mergeCell ref="A23:A25"/>
    <mergeCell ref="A171:A174"/>
    <mergeCell ref="A186:A190"/>
    <mergeCell ref="A181:A184"/>
    <mergeCell ref="A175:A180"/>
    <mergeCell ref="A28:A29"/>
    <mergeCell ref="A30:A31"/>
    <mergeCell ref="A33:A37"/>
    <mergeCell ref="A239:A245"/>
    <mergeCell ref="A38:A43"/>
    <mergeCell ref="A193:A197"/>
    <mergeCell ref="A221:A227"/>
    <mergeCell ref="A203:A208"/>
    <mergeCell ref="A209:A213"/>
    <mergeCell ref="A136:A142"/>
    <mergeCell ref="A143:A150"/>
    <mergeCell ref="A151:A155"/>
    <mergeCell ref="A156:A170"/>
  </mergeCells>
  <conditionalFormatting sqref="G277:M277">
    <cfRule type="cellIs" dxfId="6" priority="4" stopIfTrue="1" operator="equal">
      <formula>8223.307275</formula>
    </cfRule>
  </conditionalFormatting>
  <conditionalFormatting sqref="C286:D286">
    <cfRule type="cellIs" dxfId="5" priority="3" stopIfTrue="1" operator="equal">
      <formula>8223.307275</formula>
    </cfRule>
  </conditionalFormatting>
  <conditionalFormatting sqref="G28:M28">
    <cfRule type="cellIs" dxfId="4" priority="2" stopIfTrue="1" operator="equal">
      <formula>8223.307275</formula>
    </cfRule>
  </conditionalFormatting>
  <conditionalFormatting sqref="C37:D37">
    <cfRule type="cellIs" dxfId="3" priority="1" stopIfTrue="1" operator="equal">
      <formula>8223.307275</formula>
    </cfRule>
  </conditionalFormatting>
  <pageMargins left="0.55118110236220474" right="0.22" top="0.46" bottom="0.39370078740157483" header="0.27559055118110237" footer="0.23622047244094491"/>
  <pageSetup paperSize="9" scale="80" orientation="landscape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O503"/>
  <sheetViews>
    <sheetView zoomScale="110" zoomScaleNormal="110" workbookViewId="0">
      <pane xSplit="3" ySplit="6" topLeftCell="D450" activePane="bottomRight" state="frozen"/>
      <selection pane="topRight" activeCell="D1" sqref="D1"/>
      <selection pane="bottomLeft" activeCell="A7" sqref="A7"/>
      <selection pane="bottomRight" activeCell="J443" sqref="J443"/>
    </sheetView>
  </sheetViews>
  <sheetFormatPr defaultColWidth="8.875" defaultRowHeight="15.75"/>
  <cols>
    <col min="1" max="1" width="6.75" style="326" customWidth="1"/>
    <col min="2" max="2" width="10" style="19" customWidth="1"/>
    <col min="3" max="3" width="54.125" style="54" customWidth="1"/>
    <col min="4" max="4" width="8.125" style="19" customWidth="1"/>
    <col min="5" max="5" width="11.875" style="285" customWidth="1"/>
    <col min="6" max="6" width="11" style="272" customWidth="1"/>
    <col min="7" max="7" width="12.75" style="923" customWidth="1"/>
    <col min="8" max="8" width="11.25" style="923" customWidth="1"/>
    <col min="9" max="9" width="11.75" style="923" customWidth="1"/>
    <col min="10" max="10" width="11.25" style="923" customWidth="1"/>
    <col min="11" max="11" width="12" style="923" customWidth="1"/>
    <col min="12" max="12" width="11.25" style="923" customWidth="1"/>
    <col min="13" max="13" width="14.625" style="923" customWidth="1"/>
    <col min="14" max="14" width="20.375" style="21" hidden="1" customWidth="1"/>
    <col min="15" max="15" width="26.375" style="21" hidden="1" customWidth="1"/>
    <col min="16" max="16384" width="8.875" style="21"/>
  </cols>
  <sheetData>
    <row r="1" spans="1:14" ht="22.5" customHeight="1">
      <c r="A1" s="1437" t="str">
        <f>krebsiti!A3</f>
        <v>q.borjomi fexburTis centraluri stadioni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057" t="s">
        <v>1482</v>
      </c>
    </row>
    <row r="2" spans="1:14">
      <c r="A2" s="1437" t="s">
        <v>47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</row>
    <row r="3" spans="1:14" ht="22.5" customHeight="1">
      <c r="A3" s="1437" t="s">
        <v>203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</row>
    <row r="4" spans="1:14" ht="28.5" customHeight="1">
      <c r="A4" s="1470" t="s">
        <v>0</v>
      </c>
      <c r="B4" s="1472" t="s">
        <v>789</v>
      </c>
      <c r="C4" s="1472" t="s">
        <v>790</v>
      </c>
      <c r="D4" s="1472" t="s">
        <v>791</v>
      </c>
      <c r="E4" s="1444" t="s">
        <v>209</v>
      </c>
      <c r="F4" s="1445"/>
      <c r="G4" s="1440" t="s">
        <v>208</v>
      </c>
      <c r="H4" s="1441"/>
      <c r="I4" s="1440" t="s">
        <v>792</v>
      </c>
      <c r="J4" s="1441"/>
      <c r="K4" s="1440" t="s">
        <v>17</v>
      </c>
      <c r="L4" s="1441"/>
      <c r="M4" s="1474" t="s">
        <v>425</v>
      </c>
    </row>
    <row r="5" spans="1:14" ht="26.25" customHeight="1">
      <c r="A5" s="1471"/>
      <c r="B5" s="1473"/>
      <c r="C5" s="1473"/>
      <c r="D5" s="1473"/>
      <c r="E5" s="949" t="s">
        <v>210</v>
      </c>
      <c r="F5" s="949" t="s">
        <v>9</v>
      </c>
      <c r="G5" s="448" t="s">
        <v>793</v>
      </c>
      <c r="H5" s="448" t="s">
        <v>9</v>
      </c>
      <c r="I5" s="448" t="s">
        <v>793</v>
      </c>
      <c r="J5" s="448" t="s">
        <v>9</v>
      </c>
      <c r="K5" s="448" t="s">
        <v>793</v>
      </c>
      <c r="L5" s="448" t="s">
        <v>9</v>
      </c>
      <c r="M5" s="1475"/>
    </row>
    <row r="6" spans="1:14">
      <c r="A6" s="929">
        <v>1</v>
      </c>
      <c r="B6" s="281">
        <v>2</v>
      </c>
      <c r="C6" s="945">
        <v>3</v>
      </c>
      <c r="D6" s="945">
        <v>4</v>
      </c>
      <c r="E6" s="949">
        <v>5</v>
      </c>
      <c r="F6" s="949">
        <v>6</v>
      </c>
      <c r="G6" s="949">
        <v>7</v>
      </c>
      <c r="H6" s="949">
        <v>8</v>
      </c>
      <c r="I6" s="949">
        <v>9</v>
      </c>
      <c r="J6" s="949">
        <v>10</v>
      </c>
      <c r="K6" s="949">
        <v>11</v>
      </c>
      <c r="L6" s="949">
        <v>12</v>
      </c>
      <c r="M6" s="949">
        <v>13</v>
      </c>
    </row>
    <row r="7" spans="1:14" ht="31.5">
      <c r="A7" s="461" t="s">
        <v>955</v>
      </c>
      <c r="B7" s="617"/>
      <c r="C7" s="375" t="s">
        <v>599</v>
      </c>
      <c r="D7" s="617"/>
      <c r="E7" s="880"/>
      <c r="F7" s="618"/>
      <c r="G7" s="77"/>
      <c r="H7" s="77"/>
      <c r="I7" s="77"/>
      <c r="J7" s="77"/>
      <c r="K7" s="77"/>
      <c r="L7" s="77"/>
      <c r="M7" s="77"/>
    </row>
    <row r="8" spans="1:14">
      <c r="A8" s="320" t="s">
        <v>57</v>
      </c>
      <c r="B8" s="62"/>
      <c r="C8" s="234" t="s">
        <v>81</v>
      </c>
      <c r="D8" s="62"/>
      <c r="E8" s="1004"/>
      <c r="F8" s="95"/>
      <c r="G8" s="77"/>
      <c r="H8" s="77"/>
      <c r="I8" s="77"/>
      <c r="J8" s="77"/>
      <c r="K8" s="77"/>
      <c r="L8" s="77"/>
      <c r="M8" s="77"/>
    </row>
    <row r="9" spans="1:14">
      <c r="A9" s="1495">
        <v>1</v>
      </c>
      <c r="B9" s="22" t="s">
        <v>155</v>
      </c>
      <c r="C9" s="292" t="s">
        <v>159</v>
      </c>
      <c r="D9" s="22" t="s">
        <v>90</v>
      </c>
      <c r="E9" s="243"/>
      <c r="F9" s="122">
        <f>F12</f>
        <v>21</v>
      </c>
      <c r="G9" s="79"/>
      <c r="H9" s="77"/>
      <c r="I9" s="79"/>
      <c r="J9" s="77"/>
      <c r="K9" s="79"/>
      <c r="L9" s="77"/>
      <c r="M9" s="77"/>
    </row>
    <row r="10" spans="1:14">
      <c r="A10" s="1496"/>
      <c r="B10" s="22"/>
      <c r="C10" s="153" t="s">
        <v>13</v>
      </c>
      <c r="D10" s="942" t="s">
        <v>15</v>
      </c>
      <c r="E10" s="26">
        <v>2.44</v>
      </c>
      <c r="F10" s="282">
        <f>F9*E10</f>
        <v>51.24</v>
      </c>
      <c r="G10" s="80"/>
      <c r="H10" s="77"/>
      <c r="I10" s="80"/>
      <c r="J10" s="77">
        <f>F10*I10</f>
        <v>0</v>
      </c>
      <c r="K10" s="80"/>
      <c r="L10" s="77"/>
      <c r="M10" s="77">
        <f t="shared" ref="M10:M82" si="0">H10+J10+L10</f>
        <v>0</v>
      </c>
    </row>
    <row r="11" spans="1:14">
      <c r="A11" s="1496"/>
      <c r="B11" s="22"/>
      <c r="C11" s="153" t="s">
        <v>139</v>
      </c>
      <c r="D11" s="942" t="s">
        <v>11</v>
      </c>
      <c r="E11" s="26">
        <v>0.13</v>
      </c>
      <c r="F11" s="282">
        <f>F9*E11</f>
        <v>2.73</v>
      </c>
      <c r="G11" s="80"/>
      <c r="H11" s="77"/>
      <c r="I11" s="80"/>
      <c r="J11" s="77"/>
      <c r="K11" s="80"/>
      <c r="L11" s="77">
        <f>F11*K11</f>
        <v>0</v>
      </c>
      <c r="M11" s="77">
        <f t="shared" si="0"/>
        <v>0</v>
      </c>
    </row>
    <row r="12" spans="1:14">
      <c r="A12" s="1496"/>
      <c r="B12" s="22"/>
      <c r="C12" s="153" t="s">
        <v>600</v>
      </c>
      <c r="D12" s="942" t="s">
        <v>157</v>
      </c>
      <c r="E12" s="26">
        <v>1</v>
      </c>
      <c r="F12" s="282">
        <v>21</v>
      </c>
      <c r="G12" s="80"/>
      <c r="H12" s="77">
        <f>F12*G12</f>
        <v>0</v>
      </c>
      <c r="I12" s="80"/>
      <c r="J12" s="77"/>
      <c r="K12" s="80"/>
      <c r="L12" s="77"/>
      <c r="M12" s="77">
        <f t="shared" si="0"/>
        <v>0</v>
      </c>
    </row>
    <row r="13" spans="1:14">
      <c r="A13" s="1497"/>
      <c r="B13" s="22"/>
      <c r="C13" s="153" t="s">
        <v>19</v>
      </c>
      <c r="D13" s="942" t="s">
        <v>156</v>
      </c>
      <c r="E13" s="26">
        <v>0.94</v>
      </c>
      <c r="F13" s="282">
        <f>F9*E13</f>
        <v>19.739999999999998</v>
      </c>
      <c r="G13" s="80"/>
      <c r="H13" s="77">
        <f>F13*G13</f>
        <v>0</v>
      </c>
      <c r="I13" s="80"/>
      <c r="J13" s="77"/>
      <c r="K13" s="80"/>
      <c r="L13" s="77"/>
      <c r="M13" s="77">
        <f t="shared" si="0"/>
        <v>0</v>
      </c>
    </row>
    <row r="14" spans="1:14">
      <c r="A14" s="1495">
        <v>2</v>
      </c>
      <c r="B14" s="22" t="s">
        <v>158</v>
      </c>
      <c r="C14" s="292" t="s">
        <v>160</v>
      </c>
      <c r="D14" s="22" t="s">
        <v>11</v>
      </c>
      <c r="E14" s="243"/>
      <c r="F14" s="122">
        <f>F17+F18</f>
        <v>21</v>
      </c>
      <c r="G14" s="79"/>
      <c r="H14" s="77"/>
      <c r="I14" s="79"/>
      <c r="J14" s="77"/>
      <c r="K14" s="79"/>
      <c r="L14" s="77"/>
      <c r="M14" s="77"/>
    </row>
    <row r="15" spans="1:14">
      <c r="A15" s="1496"/>
      <c r="B15" s="22"/>
      <c r="C15" s="153" t="s">
        <v>13</v>
      </c>
      <c r="D15" s="942" t="s">
        <v>15</v>
      </c>
      <c r="E15" s="26">
        <v>2.19</v>
      </c>
      <c r="F15" s="282">
        <f>F14*E15</f>
        <v>45.99</v>
      </c>
      <c r="G15" s="80"/>
      <c r="H15" s="77"/>
      <c r="I15" s="80"/>
      <c r="J15" s="77">
        <f>F15*I15</f>
        <v>0</v>
      </c>
      <c r="K15" s="80"/>
      <c r="L15" s="77"/>
      <c r="M15" s="77">
        <f t="shared" si="0"/>
        <v>0</v>
      </c>
    </row>
    <row r="16" spans="1:14">
      <c r="A16" s="1496"/>
      <c r="B16" s="22"/>
      <c r="C16" s="153" t="s">
        <v>139</v>
      </c>
      <c r="D16" s="942" t="s">
        <v>11</v>
      </c>
      <c r="E16" s="26">
        <v>7.0000000000000007E-2</v>
      </c>
      <c r="F16" s="282">
        <f>F14*E16</f>
        <v>1.4700000000000002</v>
      </c>
      <c r="G16" s="80"/>
      <c r="H16" s="77"/>
      <c r="I16" s="80"/>
      <c r="J16" s="77"/>
      <c r="K16" s="80"/>
      <c r="L16" s="77">
        <f>F16*K16</f>
        <v>0</v>
      </c>
      <c r="M16" s="77">
        <f t="shared" si="0"/>
        <v>0</v>
      </c>
    </row>
    <row r="17" spans="1:13" ht="31.5">
      <c r="A17" s="1496"/>
      <c r="B17" s="22"/>
      <c r="C17" s="153" t="s">
        <v>758</v>
      </c>
      <c r="D17" s="942" t="s">
        <v>157</v>
      </c>
      <c r="E17" s="26">
        <v>1</v>
      </c>
      <c r="F17" s="282">
        <v>21</v>
      </c>
      <c r="G17" s="80"/>
      <c r="H17" s="77">
        <f>F17*G17</f>
        <v>0</v>
      </c>
      <c r="I17" s="80"/>
      <c r="J17" s="77"/>
      <c r="K17" s="80"/>
      <c r="L17" s="77"/>
      <c r="M17" s="77">
        <f t="shared" si="0"/>
        <v>0</v>
      </c>
    </row>
    <row r="18" spans="1:13" ht="31.5" hidden="1">
      <c r="A18" s="1496"/>
      <c r="B18" s="22"/>
      <c r="C18" s="153" t="s">
        <v>1196</v>
      </c>
      <c r="D18" s="942" t="s">
        <v>157</v>
      </c>
      <c r="E18" s="26">
        <v>1</v>
      </c>
      <c r="F18" s="282">
        <v>0</v>
      </c>
      <c r="G18" s="80"/>
      <c r="H18" s="77">
        <f>F18*G18</f>
        <v>0</v>
      </c>
      <c r="I18" s="80"/>
      <c r="J18" s="77"/>
      <c r="K18" s="80"/>
      <c r="L18" s="77"/>
      <c r="M18" s="77">
        <f t="shared" si="0"/>
        <v>0</v>
      </c>
    </row>
    <row r="19" spans="1:13">
      <c r="A19" s="1497"/>
      <c r="B19" s="22"/>
      <c r="C19" s="153" t="s">
        <v>19</v>
      </c>
      <c r="D19" s="942" t="s">
        <v>11</v>
      </c>
      <c r="E19" s="26">
        <v>0.37</v>
      </c>
      <c r="F19" s="282">
        <f>F14*E19</f>
        <v>7.77</v>
      </c>
      <c r="G19" s="80"/>
      <c r="H19" s="77">
        <f>F19*G19</f>
        <v>0</v>
      </c>
      <c r="I19" s="80"/>
      <c r="J19" s="77"/>
      <c r="K19" s="80"/>
      <c r="L19" s="77"/>
      <c r="M19" s="77">
        <f t="shared" si="0"/>
        <v>0</v>
      </c>
    </row>
    <row r="20" spans="1:13" ht="31.5">
      <c r="A20" s="1423" t="s">
        <v>83</v>
      </c>
      <c r="B20" s="42"/>
      <c r="C20" s="425" t="s">
        <v>763</v>
      </c>
      <c r="D20" s="928" t="s">
        <v>65</v>
      </c>
      <c r="E20" s="56"/>
      <c r="F20" s="122">
        <f>F22</f>
        <v>1</v>
      </c>
      <c r="G20" s="77"/>
      <c r="H20" s="77"/>
      <c r="I20" s="77"/>
      <c r="J20" s="77"/>
      <c r="K20" s="77"/>
      <c r="L20" s="77"/>
      <c r="M20" s="448"/>
    </row>
    <row r="21" spans="1:13">
      <c r="A21" s="1424"/>
      <c r="B21" s="447"/>
      <c r="C21" s="153" t="s">
        <v>13</v>
      </c>
      <c r="D21" s="942" t="s">
        <v>15</v>
      </c>
      <c r="E21" s="26">
        <v>1</v>
      </c>
      <c r="F21" s="282">
        <f>F20*E21</f>
        <v>1</v>
      </c>
      <c r="G21" s="80"/>
      <c r="H21" s="77"/>
      <c r="I21" s="80"/>
      <c r="J21" s="77">
        <f>F21*I21</f>
        <v>0</v>
      </c>
      <c r="K21" s="80"/>
      <c r="L21" s="77"/>
      <c r="M21" s="448">
        <f>H21+J21+L21</f>
        <v>0</v>
      </c>
    </row>
    <row r="22" spans="1:13" ht="31.5">
      <c r="A22" s="1425"/>
      <c r="B22" s="22" t="s">
        <v>762</v>
      </c>
      <c r="C22" s="153" t="s">
        <v>763</v>
      </c>
      <c r="D22" s="942" t="s">
        <v>65</v>
      </c>
      <c r="E22" s="26"/>
      <c r="F22" s="282">
        <v>1</v>
      </c>
      <c r="G22" s="80"/>
      <c r="H22" s="77">
        <f>F22*G22</f>
        <v>0</v>
      </c>
      <c r="I22" s="77"/>
      <c r="J22" s="77"/>
      <c r="K22" s="77"/>
      <c r="L22" s="77"/>
      <c r="M22" s="448">
        <f>H22+J22+L22</f>
        <v>0</v>
      </c>
    </row>
    <row r="23" spans="1:13" hidden="1">
      <c r="A23" s="1423" t="s">
        <v>431</v>
      </c>
      <c r="B23" s="447" t="s">
        <v>601</v>
      </c>
      <c r="C23" s="152" t="s">
        <v>602</v>
      </c>
      <c r="D23" s="942" t="s">
        <v>90</v>
      </c>
      <c r="E23" s="26"/>
      <c r="F23" s="20">
        <f>F26</f>
        <v>0</v>
      </c>
      <c r="G23" s="80"/>
      <c r="H23" s="77"/>
      <c r="I23" s="77"/>
      <c r="J23" s="77"/>
      <c r="K23" s="80"/>
      <c r="L23" s="77"/>
      <c r="M23" s="77"/>
    </row>
    <row r="24" spans="1:13" hidden="1">
      <c r="A24" s="1424"/>
      <c r="B24" s="22"/>
      <c r="C24" s="153" t="s">
        <v>13</v>
      </c>
      <c r="D24" s="942" t="s">
        <v>15</v>
      </c>
      <c r="E24" s="26">
        <v>1.19</v>
      </c>
      <c r="F24" s="282">
        <f>F23*E24</f>
        <v>0</v>
      </c>
      <c r="G24" s="80"/>
      <c r="H24" s="77"/>
      <c r="I24" s="80"/>
      <c r="J24" s="77">
        <f>F24*I24</f>
        <v>0</v>
      </c>
      <c r="K24" s="80"/>
      <c r="L24" s="77"/>
      <c r="M24" s="77">
        <f t="shared" si="0"/>
        <v>0</v>
      </c>
    </row>
    <row r="25" spans="1:13" hidden="1">
      <c r="A25" s="1424"/>
      <c r="B25" s="22"/>
      <c r="C25" s="153" t="s">
        <v>139</v>
      </c>
      <c r="D25" s="942" t="s">
        <v>11</v>
      </c>
      <c r="E25" s="26">
        <v>0.05</v>
      </c>
      <c r="F25" s="282">
        <f>F23*E25</f>
        <v>0</v>
      </c>
      <c r="G25" s="80"/>
      <c r="H25" s="77"/>
      <c r="I25" s="80"/>
      <c r="J25" s="77"/>
      <c r="K25" s="80"/>
      <c r="L25" s="77">
        <f>F25*K25</f>
        <v>0</v>
      </c>
      <c r="M25" s="77">
        <f t="shared" si="0"/>
        <v>0</v>
      </c>
    </row>
    <row r="26" spans="1:13" ht="31.5" hidden="1">
      <c r="A26" s="1424"/>
      <c r="B26" s="22"/>
      <c r="C26" s="153" t="s">
        <v>603</v>
      </c>
      <c r="D26" s="942" t="s">
        <v>157</v>
      </c>
      <c r="E26" s="26">
        <v>1</v>
      </c>
      <c r="F26" s="282">
        <v>0</v>
      </c>
      <c r="G26" s="80">
        <v>250</v>
      </c>
      <c r="H26" s="77">
        <f>F26*G26</f>
        <v>0</v>
      </c>
      <c r="I26" s="80"/>
      <c r="J26" s="77"/>
      <c r="K26" s="80"/>
      <c r="L26" s="77"/>
      <c r="M26" s="77">
        <f t="shared" si="0"/>
        <v>0</v>
      </c>
    </row>
    <row r="27" spans="1:13" hidden="1">
      <c r="A27" s="1425"/>
      <c r="B27" s="22"/>
      <c r="C27" s="153" t="s">
        <v>19</v>
      </c>
      <c r="D27" s="942" t="s">
        <v>11</v>
      </c>
      <c r="E27" s="26">
        <v>0.28999999999999998</v>
      </c>
      <c r="F27" s="282">
        <f>F23*E27</f>
        <v>0</v>
      </c>
      <c r="G27" s="80">
        <v>4</v>
      </c>
      <c r="H27" s="77">
        <f>F27*G27</f>
        <v>0</v>
      </c>
      <c r="I27" s="80"/>
      <c r="J27" s="77"/>
      <c r="K27" s="80"/>
      <c r="L27" s="77"/>
      <c r="M27" s="77">
        <f t="shared" si="0"/>
        <v>0</v>
      </c>
    </row>
    <row r="28" spans="1:13">
      <c r="A28" s="1423" t="s">
        <v>38</v>
      </c>
      <c r="B28" s="928" t="s">
        <v>1197</v>
      </c>
      <c r="C28" s="946" t="s">
        <v>1199</v>
      </c>
      <c r="D28" s="942"/>
      <c r="E28" s="26"/>
      <c r="F28" s="20">
        <f>F31</f>
        <v>4</v>
      </c>
      <c r="G28" s="80"/>
      <c r="H28" s="77"/>
      <c r="I28" s="80"/>
      <c r="J28" s="77"/>
      <c r="K28" s="80"/>
      <c r="L28" s="77"/>
      <c r="M28" s="77"/>
    </row>
    <row r="29" spans="1:13">
      <c r="A29" s="1424"/>
      <c r="B29" s="928"/>
      <c r="C29" s="127" t="s">
        <v>13</v>
      </c>
      <c r="D29" s="942" t="s">
        <v>15</v>
      </c>
      <c r="E29" s="233">
        <v>1.6</v>
      </c>
      <c r="F29" s="205">
        <f>E29*F28</f>
        <v>6.4</v>
      </c>
      <c r="G29" s="80"/>
      <c r="H29" s="77"/>
      <c r="I29" s="80"/>
      <c r="J29" s="77">
        <f>F29*I29</f>
        <v>0</v>
      </c>
      <c r="K29" s="80"/>
      <c r="L29" s="77"/>
      <c r="M29" s="77">
        <f>H29+J29+L29</f>
        <v>0</v>
      </c>
    </row>
    <row r="30" spans="1:13">
      <c r="A30" s="1424"/>
      <c r="B30" s="928"/>
      <c r="C30" s="127" t="s">
        <v>14</v>
      </c>
      <c r="D30" s="942" t="s">
        <v>11</v>
      </c>
      <c r="E30" s="233">
        <v>0.15</v>
      </c>
      <c r="F30" s="205">
        <f>E30*F28</f>
        <v>0.6</v>
      </c>
      <c r="G30" s="80"/>
      <c r="H30" s="77"/>
      <c r="I30" s="80"/>
      <c r="J30" s="77"/>
      <c r="K30" s="80"/>
      <c r="L30" s="77">
        <f>F30*K30</f>
        <v>0</v>
      </c>
      <c r="M30" s="77">
        <f>H30+J30+L30</f>
        <v>0</v>
      </c>
    </row>
    <row r="31" spans="1:13">
      <c r="A31" s="1424"/>
      <c r="B31" s="928"/>
      <c r="C31" s="127" t="s">
        <v>1200</v>
      </c>
      <c r="D31" s="942" t="s">
        <v>1198</v>
      </c>
      <c r="E31" s="26">
        <v>1</v>
      </c>
      <c r="F31" s="205">
        <v>4</v>
      </c>
      <c r="G31" s="80"/>
      <c r="H31" s="77">
        <f>F31*G31</f>
        <v>0</v>
      </c>
      <c r="I31" s="80"/>
      <c r="J31" s="77"/>
      <c r="K31" s="80"/>
      <c r="L31" s="77"/>
      <c r="M31" s="77">
        <f>H31+J31+L31</f>
        <v>0</v>
      </c>
    </row>
    <row r="32" spans="1:13">
      <c r="A32" s="1425"/>
      <c r="B32" s="928"/>
      <c r="C32" s="127" t="s">
        <v>26</v>
      </c>
      <c r="D32" s="942" t="s">
        <v>11</v>
      </c>
      <c r="E32" s="233">
        <v>0.4</v>
      </c>
      <c r="F32" s="205">
        <f>E32*F28</f>
        <v>1.6</v>
      </c>
      <c r="G32" s="80"/>
      <c r="H32" s="77">
        <f>F32*G32</f>
        <v>0</v>
      </c>
      <c r="I32" s="80"/>
      <c r="J32" s="77"/>
      <c r="K32" s="80"/>
      <c r="L32" s="77"/>
      <c r="M32" s="77">
        <f>H32+J32+L32</f>
        <v>0</v>
      </c>
    </row>
    <row r="33" spans="1:13">
      <c r="A33" s="1495" t="s">
        <v>409</v>
      </c>
      <c r="B33" s="22" t="s">
        <v>161</v>
      </c>
      <c r="C33" s="292" t="s">
        <v>162</v>
      </c>
      <c r="D33" s="22" t="s">
        <v>90</v>
      </c>
      <c r="E33" s="243"/>
      <c r="F33" s="122">
        <f>F36+F37+F38</f>
        <v>38</v>
      </c>
      <c r="G33" s="79"/>
      <c r="H33" s="77"/>
      <c r="I33" s="79"/>
      <c r="J33" s="77"/>
      <c r="K33" s="79"/>
      <c r="L33" s="77"/>
      <c r="M33" s="77"/>
    </row>
    <row r="34" spans="1:13">
      <c r="A34" s="1496"/>
      <c r="B34" s="22"/>
      <c r="C34" s="153" t="s">
        <v>13</v>
      </c>
      <c r="D34" s="942" t="s">
        <v>15</v>
      </c>
      <c r="E34" s="26">
        <v>0.82</v>
      </c>
      <c r="F34" s="282">
        <f>F33*E34</f>
        <v>31.159999999999997</v>
      </c>
      <c r="G34" s="80"/>
      <c r="H34" s="77"/>
      <c r="I34" s="80"/>
      <c r="J34" s="77">
        <f>F34*I34</f>
        <v>0</v>
      </c>
      <c r="K34" s="80"/>
      <c r="L34" s="77"/>
      <c r="M34" s="77">
        <f t="shared" si="0"/>
        <v>0</v>
      </c>
    </row>
    <row r="35" spans="1:13">
      <c r="A35" s="1496"/>
      <c r="B35" s="22"/>
      <c r="C35" s="153" t="s">
        <v>139</v>
      </c>
      <c r="D35" s="942" t="s">
        <v>156</v>
      </c>
      <c r="E35" s="26">
        <v>0.01</v>
      </c>
      <c r="F35" s="282">
        <f>F33*E35</f>
        <v>0.38</v>
      </c>
      <c r="G35" s="80"/>
      <c r="H35" s="77"/>
      <c r="I35" s="80"/>
      <c r="J35" s="77"/>
      <c r="K35" s="80"/>
      <c r="L35" s="77">
        <f>F35*K35</f>
        <v>0</v>
      </c>
      <c r="M35" s="77">
        <f t="shared" si="0"/>
        <v>0</v>
      </c>
    </row>
    <row r="36" spans="1:13">
      <c r="A36" s="1496"/>
      <c r="B36" s="22"/>
      <c r="C36" s="153" t="s">
        <v>316</v>
      </c>
      <c r="D36" s="942" t="s">
        <v>157</v>
      </c>
      <c r="E36" s="26">
        <v>1</v>
      </c>
      <c r="F36" s="282">
        <f>F17+F18+F22</f>
        <v>22</v>
      </c>
      <c r="G36" s="80"/>
      <c r="H36" s="77">
        <f>F36*G36</f>
        <v>0</v>
      </c>
      <c r="I36" s="80"/>
      <c r="J36" s="77"/>
      <c r="K36" s="80"/>
      <c r="L36" s="77"/>
      <c r="M36" s="77">
        <f t="shared" si="0"/>
        <v>0</v>
      </c>
    </row>
    <row r="37" spans="1:13" ht="15" customHeight="1">
      <c r="A37" s="1496"/>
      <c r="B37" s="22"/>
      <c r="C37" s="153" t="s">
        <v>759</v>
      </c>
      <c r="D37" s="942" t="s">
        <v>157</v>
      </c>
      <c r="E37" s="26">
        <v>1</v>
      </c>
      <c r="F37" s="282">
        <f>F31+12</f>
        <v>16</v>
      </c>
      <c r="G37" s="80"/>
      <c r="H37" s="77">
        <f>F37*G37</f>
        <v>0</v>
      </c>
      <c r="I37" s="80"/>
      <c r="J37" s="77"/>
      <c r="K37" s="80"/>
      <c r="L37" s="77"/>
      <c r="M37" s="77">
        <f t="shared" si="0"/>
        <v>0</v>
      </c>
    </row>
    <row r="38" spans="1:13" hidden="1">
      <c r="A38" s="1496"/>
      <c r="B38" s="22"/>
      <c r="C38" s="153" t="s">
        <v>597</v>
      </c>
      <c r="D38" s="942" t="s">
        <v>65</v>
      </c>
      <c r="E38" s="26"/>
      <c r="F38" s="282">
        <v>0</v>
      </c>
      <c r="G38" s="80"/>
      <c r="H38" s="77">
        <f>F38*G38</f>
        <v>0</v>
      </c>
      <c r="I38" s="80"/>
      <c r="J38" s="77"/>
      <c r="K38" s="80"/>
      <c r="L38" s="77"/>
      <c r="M38" s="77">
        <f t="shared" si="0"/>
        <v>0</v>
      </c>
    </row>
    <row r="39" spans="1:13">
      <c r="A39" s="1497"/>
      <c r="B39" s="22"/>
      <c r="C39" s="153" t="s">
        <v>19</v>
      </c>
      <c r="D39" s="942" t="s">
        <v>156</v>
      </c>
      <c r="E39" s="26">
        <v>7.0000000000000007E-2</v>
      </c>
      <c r="F39" s="282">
        <f>F33*E39</f>
        <v>2.66</v>
      </c>
      <c r="G39" s="80"/>
      <c r="H39" s="77">
        <f>F39*G39</f>
        <v>0</v>
      </c>
      <c r="I39" s="80"/>
      <c r="J39" s="77"/>
      <c r="K39" s="80"/>
      <c r="L39" s="77"/>
      <c r="M39" s="77">
        <f t="shared" si="0"/>
        <v>0</v>
      </c>
    </row>
    <row r="40" spans="1:13" ht="31.5">
      <c r="A40" s="1423" t="s">
        <v>432</v>
      </c>
      <c r="B40" s="447" t="s">
        <v>760</v>
      </c>
      <c r="C40" s="152" t="s">
        <v>761</v>
      </c>
      <c r="D40" s="928" t="s">
        <v>65</v>
      </c>
      <c r="E40" s="26"/>
      <c r="F40" s="20">
        <f>F43</f>
        <v>20</v>
      </c>
      <c r="G40" s="77"/>
      <c r="H40" s="77"/>
      <c r="I40" s="77"/>
      <c r="J40" s="77"/>
      <c r="K40" s="77"/>
      <c r="L40" s="77"/>
      <c r="M40" s="77"/>
    </row>
    <row r="41" spans="1:13">
      <c r="A41" s="1424"/>
      <c r="B41" s="447"/>
      <c r="C41" s="153" t="s">
        <v>13</v>
      </c>
      <c r="D41" s="942" t="s">
        <v>15</v>
      </c>
      <c r="E41" s="26">
        <v>0.34</v>
      </c>
      <c r="F41" s="282">
        <f>F40*E41</f>
        <v>6.8000000000000007</v>
      </c>
      <c r="G41" s="80"/>
      <c r="H41" s="77"/>
      <c r="I41" s="80"/>
      <c r="J41" s="77">
        <f>F41*I41</f>
        <v>0</v>
      </c>
      <c r="K41" s="80"/>
      <c r="L41" s="77"/>
      <c r="M41" s="77">
        <f>H41+J41+L41</f>
        <v>0</v>
      </c>
    </row>
    <row r="42" spans="1:13" hidden="1">
      <c r="A42" s="1424"/>
      <c r="B42" s="447"/>
      <c r="C42" s="153" t="s">
        <v>139</v>
      </c>
      <c r="D42" s="942" t="s">
        <v>156</v>
      </c>
      <c r="E42" s="26">
        <v>0</v>
      </c>
      <c r="F42" s="282">
        <f>F40*E42</f>
        <v>0</v>
      </c>
      <c r="G42" s="80"/>
      <c r="H42" s="77"/>
      <c r="I42" s="80"/>
      <c r="J42" s="77"/>
      <c r="K42" s="80">
        <v>4</v>
      </c>
      <c r="L42" s="77">
        <f>F42*K42</f>
        <v>0</v>
      </c>
      <c r="M42" s="77">
        <f>H42+J42+L42</f>
        <v>0</v>
      </c>
    </row>
    <row r="43" spans="1:13" ht="31.5">
      <c r="A43" s="1424"/>
      <c r="B43" s="447"/>
      <c r="C43" s="153" t="s">
        <v>66</v>
      </c>
      <c r="D43" s="942" t="s">
        <v>65</v>
      </c>
      <c r="E43" s="26">
        <v>1</v>
      </c>
      <c r="F43" s="282">
        <v>20</v>
      </c>
      <c r="G43" s="80"/>
      <c r="H43" s="77">
        <f>F43*G43</f>
        <v>0</v>
      </c>
      <c r="I43" s="77"/>
      <c r="J43" s="77"/>
      <c r="K43" s="77"/>
      <c r="L43" s="77"/>
      <c r="M43" s="77">
        <f>H43+J43+L43</f>
        <v>0</v>
      </c>
    </row>
    <row r="44" spans="1:13">
      <c r="A44" s="1425"/>
      <c r="B44" s="447"/>
      <c r="C44" s="153" t="s">
        <v>19</v>
      </c>
      <c r="D44" s="942" t="s">
        <v>156</v>
      </c>
      <c r="E44" s="26">
        <v>0.02</v>
      </c>
      <c r="F44" s="282">
        <f>F40*E44</f>
        <v>0.4</v>
      </c>
      <c r="G44" s="80"/>
      <c r="H44" s="77">
        <f>F44*G44</f>
        <v>0</v>
      </c>
      <c r="I44" s="80"/>
      <c r="J44" s="77"/>
      <c r="K44" s="80"/>
      <c r="L44" s="77"/>
      <c r="M44" s="77">
        <f>H44+J44+L44</f>
        <v>0</v>
      </c>
    </row>
    <row r="45" spans="1:13">
      <c r="A45" s="920"/>
      <c r="B45" s="447"/>
      <c r="C45" s="148"/>
      <c r="D45" s="928"/>
      <c r="E45" s="26"/>
      <c r="F45" s="282"/>
      <c r="G45" s="77"/>
      <c r="H45" s="77"/>
      <c r="I45" s="77"/>
      <c r="J45" s="77"/>
      <c r="K45" s="77"/>
      <c r="L45" s="77"/>
      <c r="M45" s="77"/>
    </row>
    <row r="46" spans="1:13" ht="31.5">
      <c r="A46" s="320" t="s">
        <v>330</v>
      </c>
      <c r="B46" s="62"/>
      <c r="C46" s="234" t="s">
        <v>664</v>
      </c>
      <c r="D46" s="62"/>
      <c r="E46" s="1004"/>
      <c r="F46" s="619"/>
      <c r="G46" s="77"/>
      <c r="H46" s="77"/>
      <c r="I46" s="77"/>
      <c r="J46" s="77"/>
      <c r="K46" s="77"/>
      <c r="L46" s="77"/>
      <c r="M46" s="77"/>
    </row>
    <row r="47" spans="1:13" ht="40.5">
      <c r="A47" s="1418" t="s">
        <v>429</v>
      </c>
      <c r="B47" s="942" t="s">
        <v>147</v>
      </c>
      <c r="C47" s="946" t="s">
        <v>666</v>
      </c>
      <c r="D47" s="943" t="s">
        <v>1</v>
      </c>
      <c r="E47" s="57"/>
      <c r="F47" s="20">
        <v>170</v>
      </c>
      <c r="G47" s="79"/>
      <c r="H47" s="77"/>
      <c r="I47" s="79"/>
      <c r="J47" s="77"/>
      <c r="K47" s="79"/>
      <c r="L47" s="77"/>
      <c r="M47" s="77"/>
    </row>
    <row r="48" spans="1:13">
      <c r="A48" s="1419"/>
      <c r="B48" s="942"/>
      <c r="C48" s="127" t="s">
        <v>119</v>
      </c>
      <c r="D48" s="942" t="s">
        <v>120</v>
      </c>
      <c r="E48" s="26">
        <f>143*0.01</f>
        <v>1.43</v>
      </c>
      <c r="F48" s="282">
        <f>F47*E48</f>
        <v>243.1</v>
      </c>
      <c r="G48" s="80"/>
      <c r="H48" s="77"/>
      <c r="I48" s="80"/>
      <c r="J48" s="77">
        <f>F48*I48</f>
        <v>0</v>
      </c>
      <c r="K48" s="80"/>
      <c r="L48" s="77"/>
      <c r="M48" s="77">
        <f t="shared" si="0"/>
        <v>0</v>
      </c>
    </row>
    <row r="49" spans="1:13">
      <c r="A49" s="1419"/>
      <c r="B49" s="942"/>
      <c r="C49" s="127" t="s">
        <v>134</v>
      </c>
      <c r="D49" s="942" t="s">
        <v>121</v>
      </c>
      <c r="E49" s="26">
        <f>2.57*0.01</f>
        <v>2.5700000000000001E-2</v>
      </c>
      <c r="F49" s="282">
        <f>F47*E49</f>
        <v>4.3689999999999998</v>
      </c>
      <c r="G49" s="80"/>
      <c r="H49" s="77"/>
      <c r="I49" s="80"/>
      <c r="J49" s="77"/>
      <c r="K49" s="80"/>
      <c r="L49" s="77">
        <f>F49*K49</f>
        <v>0</v>
      </c>
      <c r="M49" s="77">
        <f t="shared" si="0"/>
        <v>0</v>
      </c>
    </row>
    <row r="50" spans="1:13">
      <c r="A50" s="1419"/>
      <c r="B50" s="942"/>
      <c r="C50" s="127" t="s">
        <v>665</v>
      </c>
      <c r="D50" s="942" t="s">
        <v>48</v>
      </c>
      <c r="E50" s="26">
        <v>1</v>
      </c>
      <c r="F50" s="282">
        <f>F47*E50</f>
        <v>170</v>
      </c>
      <c r="G50" s="80"/>
      <c r="H50" s="77">
        <f>F50*G50</f>
        <v>0</v>
      </c>
      <c r="I50" s="80"/>
      <c r="J50" s="77"/>
      <c r="K50" s="80"/>
      <c r="L50" s="77"/>
      <c r="M50" s="77">
        <f t="shared" si="0"/>
        <v>0</v>
      </c>
    </row>
    <row r="51" spans="1:13">
      <c r="A51" s="1419"/>
      <c r="B51" s="942"/>
      <c r="C51" s="127" t="s">
        <v>148</v>
      </c>
      <c r="D51" s="942" t="s">
        <v>12</v>
      </c>
      <c r="E51" s="26">
        <v>0.152</v>
      </c>
      <c r="F51" s="282">
        <f>F47*E51</f>
        <v>25.84</v>
      </c>
      <c r="G51" s="80"/>
      <c r="H51" s="77">
        <f>F51*G51</f>
        <v>0</v>
      </c>
      <c r="I51" s="80"/>
      <c r="J51" s="77"/>
      <c r="K51" s="80"/>
      <c r="L51" s="77"/>
      <c r="M51" s="77">
        <f t="shared" si="0"/>
        <v>0</v>
      </c>
    </row>
    <row r="52" spans="1:13">
      <c r="A52" s="1420"/>
      <c r="B52" s="942"/>
      <c r="C52" s="127" t="s">
        <v>122</v>
      </c>
      <c r="D52" s="942" t="s">
        <v>121</v>
      </c>
      <c r="E52" s="26">
        <f>4.57*0.01</f>
        <v>4.5700000000000005E-2</v>
      </c>
      <c r="F52" s="282">
        <f>F47*E52</f>
        <v>7.769000000000001</v>
      </c>
      <c r="G52" s="80"/>
      <c r="H52" s="77">
        <f>F52*G52</f>
        <v>0</v>
      </c>
      <c r="I52" s="80"/>
      <c r="J52" s="77"/>
      <c r="K52" s="80"/>
      <c r="L52" s="77"/>
      <c r="M52" s="77">
        <f t="shared" si="0"/>
        <v>0</v>
      </c>
    </row>
    <row r="53" spans="1:13" ht="40.5">
      <c r="A53" s="1418" t="s">
        <v>430</v>
      </c>
      <c r="B53" s="942" t="s">
        <v>149</v>
      </c>
      <c r="C53" s="946" t="s">
        <v>667</v>
      </c>
      <c r="D53" s="943" t="s">
        <v>1</v>
      </c>
      <c r="E53" s="57"/>
      <c r="F53" s="20">
        <v>5</v>
      </c>
      <c r="G53" s="79"/>
      <c r="H53" s="77"/>
      <c r="I53" s="79"/>
      <c r="J53" s="77"/>
      <c r="K53" s="79"/>
      <c r="L53" s="77"/>
      <c r="M53" s="77"/>
    </row>
    <row r="54" spans="1:13">
      <c r="A54" s="1419"/>
      <c r="B54" s="942"/>
      <c r="C54" s="127" t="s">
        <v>119</v>
      </c>
      <c r="D54" s="942" t="s">
        <v>120</v>
      </c>
      <c r="E54" s="26">
        <f>117*0.01</f>
        <v>1.17</v>
      </c>
      <c r="F54" s="282">
        <f>F53*E54</f>
        <v>5.85</v>
      </c>
      <c r="G54" s="80"/>
      <c r="H54" s="77"/>
      <c r="I54" s="80"/>
      <c r="J54" s="77">
        <f>F54*I54</f>
        <v>0</v>
      </c>
      <c r="K54" s="80"/>
      <c r="L54" s="77"/>
      <c r="M54" s="77">
        <f t="shared" si="0"/>
        <v>0</v>
      </c>
    </row>
    <row r="55" spans="1:13">
      <c r="A55" s="1419"/>
      <c r="B55" s="942"/>
      <c r="C55" s="127" t="s">
        <v>134</v>
      </c>
      <c r="D55" s="942" t="s">
        <v>121</v>
      </c>
      <c r="E55" s="26">
        <f>1.72*0.01</f>
        <v>1.72E-2</v>
      </c>
      <c r="F55" s="282">
        <f>F53*E55</f>
        <v>8.5999999999999993E-2</v>
      </c>
      <c r="G55" s="80"/>
      <c r="H55" s="77"/>
      <c r="I55" s="80"/>
      <c r="J55" s="77"/>
      <c r="K55" s="80"/>
      <c r="L55" s="77">
        <f>F55*K55</f>
        <v>0</v>
      </c>
      <c r="M55" s="77">
        <f t="shared" si="0"/>
        <v>0</v>
      </c>
    </row>
    <row r="56" spans="1:13">
      <c r="A56" s="1419"/>
      <c r="B56" s="942"/>
      <c r="C56" s="127" t="s">
        <v>668</v>
      </c>
      <c r="D56" s="942" t="s">
        <v>48</v>
      </c>
      <c r="E56" s="26">
        <v>1</v>
      </c>
      <c r="F56" s="282">
        <v>5</v>
      </c>
      <c r="G56" s="80"/>
      <c r="H56" s="77">
        <f>F56*G56</f>
        <v>0</v>
      </c>
      <c r="I56" s="80"/>
      <c r="J56" s="77"/>
      <c r="K56" s="80"/>
      <c r="L56" s="77"/>
      <c r="M56" s="77">
        <f t="shared" si="0"/>
        <v>0</v>
      </c>
    </row>
    <row r="57" spans="1:13">
      <c r="A57" s="1419"/>
      <c r="B57" s="942"/>
      <c r="C57" s="127" t="s">
        <v>148</v>
      </c>
      <c r="D57" s="942" t="s">
        <v>12</v>
      </c>
      <c r="E57" s="26">
        <v>0.152</v>
      </c>
      <c r="F57" s="282">
        <f>F53*E57</f>
        <v>0.76</v>
      </c>
      <c r="G57" s="80"/>
      <c r="H57" s="77">
        <f>F57*G57</f>
        <v>0</v>
      </c>
      <c r="I57" s="80"/>
      <c r="J57" s="77"/>
      <c r="K57" s="80"/>
      <c r="L57" s="77"/>
      <c r="M57" s="77">
        <f t="shared" si="0"/>
        <v>0</v>
      </c>
    </row>
    <row r="58" spans="1:13">
      <c r="A58" s="1420"/>
      <c r="B58" s="942"/>
      <c r="C58" s="127" t="s">
        <v>122</v>
      </c>
      <c r="D58" s="942" t="s">
        <v>121</v>
      </c>
      <c r="E58" s="26">
        <f>3.93*0.01</f>
        <v>3.9300000000000002E-2</v>
      </c>
      <c r="F58" s="282">
        <f>F53*E58</f>
        <v>0.19650000000000001</v>
      </c>
      <c r="G58" s="80"/>
      <c r="H58" s="77">
        <f>F58*G58</f>
        <v>0</v>
      </c>
      <c r="I58" s="80"/>
      <c r="J58" s="77"/>
      <c r="K58" s="80"/>
      <c r="L58" s="77"/>
      <c r="M58" s="77">
        <f t="shared" si="0"/>
        <v>0</v>
      </c>
    </row>
    <row r="59" spans="1:13" ht="40.5">
      <c r="A59" s="1418" t="s">
        <v>83</v>
      </c>
      <c r="B59" s="942" t="s">
        <v>367</v>
      </c>
      <c r="C59" s="946" t="s">
        <v>669</v>
      </c>
      <c r="D59" s="943" t="s">
        <v>1</v>
      </c>
      <c r="E59" s="57"/>
      <c r="F59" s="20">
        <v>7</v>
      </c>
      <c r="G59" s="79"/>
      <c r="H59" s="77"/>
      <c r="I59" s="79"/>
      <c r="J59" s="77"/>
      <c r="K59" s="79"/>
      <c r="L59" s="77"/>
      <c r="M59" s="77"/>
    </row>
    <row r="60" spans="1:13">
      <c r="A60" s="1419"/>
      <c r="B60" s="942"/>
      <c r="C60" s="127" t="s">
        <v>119</v>
      </c>
      <c r="D60" s="942" t="s">
        <v>120</v>
      </c>
      <c r="E60" s="26">
        <v>1.56</v>
      </c>
      <c r="F60" s="282">
        <f>F59*E60</f>
        <v>10.92</v>
      </c>
      <c r="G60" s="80"/>
      <c r="H60" s="77"/>
      <c r="I60" s="80"/>
      <c r="J60" s="77">
        <f>F60*I60</f>
        <v>0</v>
      </c>
      <c r="K60" s="80"/>
      <c r="L60" s="77"/>
      <c r="M60" s="77">
        <f t="shared" si="0"/>
        <v>0</v>
      </c>
    </row>
    <row r="61" spans="1:13">
      <c r="A61" s="1419"/>
      <c r="B61" s="942"/>
      <c r="C61" s="127" t="s">
        <v>134</v>
      </c>
      <c r="D61" s="942" t="s">
        <v>121</v>
      </c>
      <c r="E61" s="26">
        <v>2.1700000000000001E-2</v>
      </c>
      <c r="F61" s="282">
        <f>F59*E61</f>
        <v>0.15190000000000001</v>
      </c>
      <c r="G61" s="80"/>
      <c r="H61" s="77"/>
      <c r="I61" s="80"/>
      <c r="J61" s="77"/>
      <c r="K61" s="80"/>
      <c r="L61" s="77">
        <f>F61*K61</f>
        <v>0</v>
      </c>
      <c r="M61" s="77">
        <f t="shared" si="0"/>
        <v>0</v>
      </c>
    </row>
    <row r="62" spans="1:13">
      <c r="A62" s="1419"/>
      <c r="B62" s="942"/>
      <c r="C62" s="127" t="s">
        <v>670</v>
      </c>
      <c r="D62" s="942" t="s">
        <v>48</v>
      </c>
      <c r="E62" s="26">
        <v>1</v>
      </c>
      <c r="F62" s="282">
        <f>F59*E62</f>
        <v>7</v>
      </c>
      <c r="G62" s="80"/>
      <c r="H62" s="77">
        <f>F62*G62</f>
        <v>0</v>
      </c>
      <c r="I62" s="80"/>
      <c r="J62" s="77"/>
      <c r="K62" s="80"/>
      <c r="L62" s="77"/>
      <c r="M62" s="77">
        <f t="shared" si="0"/>
        <v>0</v>
      </c>
    </row>
    <row r="63" spans="1:13">
      <c r="A63" s="1419"/>
      <c r="B63" s="942"/>
      <c r="C63" s="127" t="s">
        <v>148</v>
      </c>
      <c r="D63" s="942" t="s">
        <v>12</v>
      </c>
      <c r="E63" s="26">
        <v>0.152</v>
      </c>
      <c r="F63" s="282">
        <f>F59*E63</f>
        <v>1.0640000000000001</v>
      </c>
      <c r="G63" s="80"/>
      <c r="H63" s="77">
        <f>F63*G63</f>
        <v>0</v>
      </c>
      <c r="I63" s="80"/>
      <c r="J63" s="77"/>
      <c r="K63" s="80"/>
      <c r="L63" s="77"/>
      <c r="M63" s="77">
        <f t="shared" si="0"/>
        <v>0</v>
      </c>
    </row>
    <row r="64" spans="1:13">
      <c r="A64" s="1420"/>
      <c r="B64" s="942"/>
      <c r="C64" s="127" t="s">
        <v>122</v>
      </c>
      <c r="D64" s="942" t="s">
        <v>121</v>
      </c>
      <c r="E64" s="26">
        <v>7.0800000000000002E-2</v>
      </c>
      <c r="F64" s="282">
        <f>F59*E64</f>
        <v>0.49560000000000004</v>
      </c>
      <c r="G64" s="80"/>
      <c r="H64" s="77">
        <f>F64*G64</f>
        <v>0</v>
      </c>
      <c r="I64" s="80"/>
      <c r="J64" s="77"/>
      <c r="K64" s="80"/>
      <c r="L64" s="77"/>
      <c r="M64" s="77">
        <f t="shared" si="0"/>
        <v>0</v>
      </c>
    </row>
    <row r="65" spans="1:13" ht="40.5">
      <c r="A65" s="1418" t="s">
        <v>431</v>
      </c>
      <c r="B65" s="942" t="s">
        <v>368</v>
      </c>
      <c r="C65" s="946" t="s">
        <v>671</v>
      </c>
      <c r="D65" s="943" t="s">
        <v>1</v>
      </c>
      <c r="E65" s="57"/>
      <c r="F65" s="20">
        <v>55</v>
      </c>
      <c r="G65" s="79"/>
      <c r="H65" s="77"/>
      <c r="I65" s="79"/>
      <c r="J65" s="77"/>
      <c r="K65" s="79"/>
      <c r="L65" s="77"/>
      <c r="M65" s="77"/>
    </row>
    <row r="66" spans="1:13">
      <c r="A66" s="1419"/>
      <c r="B66" s="942"/>
      <c r="C66" s="127" t="s">
        <v>119</v>
      </c>
      <c r="D66" s="942" t="s">
        <v>120</v>
      </c>
      <c r="E66" s="26">
        <v>1.35</v>
      </c>
      <c r="F66" s="282">
        <f>F65*E66</f>
        <v>74.25</v>
      </c>
      <c r="G66" s="80"/>
      <c r="H66" s="77"/>
      <c r="I66" s="80"/>
      <c r="J66" s="77">
        <f>F66*I66</f>
        <v>0</v>
      </c>
      <c r="K66" s="80"/>
      <c r="L66" s="77"/>
      <c r="M66" s="77">
        <f t="shared" si="0"/>
        <v>0</v>
      </c>
    </row>
    <row r="67" spans="1:13">
      <c r="A67" s="1419"/>
      <c r="B67" s="942"/>
      <c r="C67" s="127" t="s">
        <v>134</v>
      </c>
      <c r="D67" s="942" t="s">
        <v>121</v>
      </c>
      <c r="E67" s="26">
        <v>3.1399999999999997E-2</v>
      </c>
      <c r="F67" s="282">
        <f>F65*E67</f>
        <v>1.7269999999999999</v>
      </c>
      <c r="G67" s="80"/>
      <c r="H67" s="77"/>
      <c r="I67" s="80"/>
      <c r="J67" s="77"/>
      <c r="K67" s="80"/>
      <c r="L67" s="77">
        <f>F67*K67</f>
        <v>0</v>
      </c>
      <c r="M67" s="77">
        <f t="shared" si="0"/>
        <v>0</v>
      </c>
    </row>
    <row r="68" spans="1:13">
      <c r="A68" s="1419"/>
      <c r="B68" s="942"/>
      <c r="C68" s="127" t="s">
        <v>672</v>
      </c>
      <c r="D68" s="942" t="s">
        <v>48</v>
      </c>
      <c r="E68" s="26">
        <v>1</v>
      </c>
      <c r="F68" s="282">
        <f>F65*E68</f>
        <v>55</v>
      </c>
      <c r="G68" s="80"/>
      <c r="H68" s="77">
        <f>F68*G68</f>
        <v>0</v>
      </c>
      <c r="I68" s="80"/>
      <c r="J68" s="77"/>
      <c r="K68" s="80"/>
      <c r="L68" s="77"/>
      <c r="M68" s="77">
        <f t="shared" si="0"/>
        <v>0</v>
      </c>
    </row>
    <row r="69" spans="1:13">
      <c r="A69" s="1419"/>
      <c r="B69" s="942"/>
      <c r="C69" s="127" t="s">
        <v>148</v>
      </c>
      <c r="D69" s="942" t="s">
        <v>12</v>
      </c>
      <c r="E69" s="26">
        <v>0.152</v>
      </c>
      <c r="F69" s="282">
        <f>F65*E69</f>
        <v>8.36</v>
      </c>
      <c r="G69" s="80"/>
      <c r="H69" s="77">
        <f>F69*G69</f>
        <v>0</v>
      </c>
      <c r="I69" s="80"/>
      <c r="J69" s="77"/>
      <c r="K69" s="80"/>
      <c r="L69" s="77"/>
      <c r="M69" s="77">
        <f t="shared" si="0"/>
        <v>0</v>
      </c>
    </row>
    <row r="70" spans="1:13">
      <c r="A70" s="1420"/>
      <c r="B70" s="942"/>
      <c r="C70" s="127" t="s">
        <v>122</v>
      </c>
      <c r="D70" s="942" t="s">
        <v>121</v>
      </c>
      <c r="E70" s="26">
        <v>6.5199999999999994E-2</v>
      </c>
      <c r="F70" s="282">
        <f>F65*E70</f>
        <v>3.5859999999999999</v>
      </c>
      <c r="G70" s="80"/>
      <c r="H70" s="77">
        <f>F70*G70</f>
        <v>0</v>
      </c>
      <c r="I70" s="80"/>
      <c r="J70" s="77"/>
      <c r="K70" s="80"/>
      <c r="L70" s="77"/>
      <c r="M70" s="77">
        <f t="shared" si="0"/>
        <v>0</v>
      </c>
    </row>
    <row r="71" spans="1:13" ht="40.5">
      <c r="A71" s="1418" t="s">
        <v>38</v>
      </c>
      <c r="B71" s="942" t="s">
        <v>368</v>
      </c>
      <c r="C71" s="946" t="s">
        <v>673</v>
      </c>
      <c r="D71" s="943" t="s">
        <v>1</v>
      </c>
      <c r="E71" s="57"/>
      <c r="F71" s="20">
        <v>65</v>
      </c>
      <c r="G71" s="79"/>
      <c r="H71" s="77"/>
      <c r="I71" s="79"/>
      <c r="J71" s="77"/>
      <c r="K71" s="79"/>
      <c r="L71" s="77"/>
      <c r="M71" s="77"/>
    </row>
    <row r="72" spans="1:13">
      <c r="A72" s="1419"/>
      <c r="B72" s="942"/>
      <c r="C72" s="127" t="s">
        <v>119</v>
      </c>
      <c r="D72" s="942" t="s">
        <v>120</v>
      </c>
      <c r="E72" s="26">
        <v>1.35</v>
      </c>
      <c r="F72" s="282">
        <f>F71*E72</f>
        <v>87.75</v>
      </c>
      <c r="G72" s="80"/>
      <c r="H72" s="77"/>
      <c r="I72" s="80"/>
      <c r="J72" s="77">
        <f>F72*I72</f>
        <v>0</v>
      </c>
      <c r="K72" s="80"/>
      <c r="L72" s="77"/>
      <c r="M72" s="77">
        <f t="shared" si="0"/>
        <v>0</v>
      </c>
    </row>
    <row r="73" spans="1:13">
      <c r="A73" s="1419"/>
      <c r="B73" s="942"/>
      <c r="C73" s="127" t="s">
        <v>134</v>
      </c>
      <c r="D73" s="942" t="s">
        <v>121</v>
      </c>
      <c r="E73" s="26">
        <v>3.1399999999999997E-2</v>
      </c>
      <c r="F73" s="282">
        <f>F71*E73</f>
        <v>2.0409999999999999</v>
      </c>
      <c r="G73" s="80"/>
      <c r="H73" s="77"/>
      <c r="I73" s="80"/>
      <c r="J73" s="77"/>
      <c r="K73" s="80"/>
      <c r="L73" s="77">
        <f>F73*K73</f>
        <v>0</v>
      </c>
      <c r="M73" s="77">
        <f t="shared" si="0"/>
        <v>0</v>
      </c>
    </row>
    <row r="74" spans="1:13">
      <c r="A74" s="1419"/>
      <c r="B74" s="942"/>
      <c r="C74" s="127" t="s">
        <v>674</v>
      </c>
      <c r="D74" s="942" t="s">
        <v>48</v>
      </c>
      <c r="E74" s="26">
        <v>1</v>
      </c>
      <c r="F74" s="282">
        <f>F71*E74</f>
        <v>65</v>
      </c>
      <c r="G74" s="80"/>
      <c r="H74" s="77">
        <f>F74*G74</f>
        <v>0</v>
      </c>
      <c r="I74" s="80"/>
      <c r="J74" s="77"/>
      <c r="K74" s="80"/>
      <c r="L74" s="77"/>
      <c r="M74" s="77">
        <f t="shared" si="0"/>
        <v>0</v>
      </c>
    </row>
    <row r="75" spans="1:13">
      <c r="A75" s="1419"/>
      <c r="B75" s="942"/>
      <c r="C75" s="127" t="s">
        <v>148</v>
      </c>
      <c r="D75" s="942" t="s">
        <v>12</v>
      </c>
      <c r="E75" s="26">
        <v>0.152</v>
      </c>
      <c r="F75" s="282">
        <f>F71*E75</f>
        <v>9.879999999999999</v>
      </c>
      <c r="G75" s="80"/>
      <c r="H75" s="77">
        <f>F75*G75</f>
        <v>0</v>
      </c>
      <c r="I75" s="80"/>
      <c r="J75" s="77"/>
      <c r="K75" s="80"/>
      <c r="L75" s="77"/>
      <c r="M75" s="77">
        <f t="shared" si="0"/>
        <v>0</v>
      </c>
    </row>
    <row r="76" spans="1:13">
      <c r="A76" s="1420"/>
      <c r="B76" s="942"/>
      <c r="C76" s="127" t="s">
        <v>122</v>
      </c>
      <c r="D76" s="942" t="s">
        <v>121</v>
      </c>
      <c r="E76" s="26">
        <v>6.5199999999999994E-2</v>
      </c>
      <c r="F76" s="282">
        <f>F71*E76</f>
        <v>4.2379999999999995</v>
      </c>
      <c r="G76" s="80"/>
      <c r="H76" s="77">
        <f>F76*G76</f>
        <v>0</v>
      </c>
      <c r="I76" s="80"/>
      <c r="J76" s="77"/>
      <c r="K76" s="80"/>
      <c r="L76" s="77"/>
      <c r="M76" s="77">
        <f t="shared" si="0"/>
        <v>0</v>
      </c>
    </row>
    <row r="77" spans="1:13" ht="40.5">
      <c r="A77" s="1418" t="s">
        <v>409</v>
      </c>
      <c r="B77" s="942" t="s">
        <v>147</v>
      </c>
      <c r="C77" s="946" t="s">
        <v>604</v>
      </c>
      <c r="D77" s="943" t="s">
        <v>1</v>
      </c>
      <c r="E77" s="57"/>
      <c r="F77" s="20">
        <v>155</v>
      </c>
      <c r="G77" s="79"/>
      <c r="H77" s="77"/>
      <c r="I77" s="79"/>
      <c r="J77" s="77"/>
      <c r="K77" s="79"/>
      <c r="L77" s="77"/>
      <c r="M77" s="77"/>
    </row>
    <row r="78" spans="1:13">
      <c r="A78" s="1419"/>
      <c r="B78" s="942"/>
      <c r="C78" s="127" t="s">
        <v>119</v>
      </c>
      <c r="D78" s="942" t="s">
        <v>120</v>
      </c>
      <c r="E78" s="26">
        <f>143*0.01</f>
        <v>1.43</v>
      </c>
      <c r="F78" s="282">
        <f>F77*E78</f>
        <v>221.64999999999998</v>
      </c>
      <c r="G78" s="80"/>
      <c r="H78" s="77"/>
      <c r="I78" s="80"/>
      <c r="J78" s="77">
        <f>F78*I78</f>
        <v>0</v>
      </c>
      <c r="K78" s="80"/>
      <c r="L78" s="77"/>
      <c r="M78" s="77">
        <f t="shared" si="0"/>
        <v>0</v>
      </c>
    </row>
    <row r="79" spans="1:13">
      <c r="A79" s="1419"/>
      <c r="B79" s="942"/>
      <c r="C79" s="127" t="s">
        <v>134</v>
      </c>
      <c r="D79" s="942" t="s">
        <v>121</v>
      </c>
      <c r="E79" s="26">
        <f>2.57*0.01</f>
        <v>2.5700000000000001E-2</v>
      </c>
      <c r="F79" s="282">
        <f>F77*E79</f>
        <v>3.9835000000000003</v>
      </c>
      <c r="G79" s="80"/>
      <c r="H79" s="77"/>
      <c r="I79" s="80"/>
      <c r="J79" s="77"/>
      <c r="K79" s="80"/>
      <c r="L79" s="77">
        <f>F79*K79</f>
        <v>0</v>
      </c>
      <c r="M79" s="77">
        <f t="shared" si="0"/>
        <v>0</v>
      </c>
    </row>
    <row r="80" spans="1:13">
      <c r="A80" s="1419"/>
      <c r="B80" s="942"/>
      <c r="C80" s="127" t="s">
        <v>605</v>
      </c>
      <c r="D80" s="942" t="s">
        <v>48</v>
      </c>
      <c r="E80" s="26">
        <v>1</v>
      </c>
      <c r="F80" s="282">
        <f>F77*E80</f>
        <v>155</v>
      </c>
      <c r="G80" s="80"/>
      <c r="H80" s="77">
        <f>F80*G80</f>
        <v>0</v>
      </c>
      <c r="I80" s="80"/>
      <c r="J80" s="77"/>
      <c r="K80" s="80"/>
      <c r="L80" s="77"/>
      <c r="M80" s="77">
        <f t="shared" si="0"/>
        <v>0</v>
      </c>
    </row>
    <row r="81" spans="1:13">
      <c r="A81" s="1419"/>
      <c r="B81" s="942"/>
      <c r="C81" s="127" t="s">
        <v>148</v>
      </c>
      <c r="D81" s="942" t="s">
        <v>12</v>
      </c>
      <c r="E81" s="26">
        <v>0.152</v>
      </c>
      <c r="F81" s="282">
        <f>F77*E81</f>
        <v>23.56</v>
      </c>
      <c r="G81" s="80"/>
      <c r="H81" s="77">
        <f>F81*G81</f>
        <v>0</v>
      </c>
      <c r="I81" s="80"/>
      <c r="J81" s="77"/>
      <c r="K81" s="80"/>
      <c r="L81" s="77"/>
      <c r="M81" s="77">
        <f t="shared" si="0"/>
        <v>0</v>
      </c>
    </row>
    <row r="82" spans="1:13">
      <c r="A82" s="1420"/>
      <c r="B82" s="942"/>
      <c r="C82" s="127" t="s">
        <v>122</v>
      </c>
      <c r="D82" s="942" t="s">
        <v>121</v>
      </c>
      <c r="E82" s="26">
        <f>4.57*0.01</f>
        <v>4.5700000000000005E-2</v>
      </c>
      <c r="F82" s="282">
        <f>F77*E82</f>
        <v>7.0835000000000008</v>
      </c>
      <c r="G82" s="80"/>
      <c r="H82" s="77">
        <f>F82*G82</f>
        <v>0</v>
      </c>
      <c r="I82" s="80"/>
      <c r="J82" s="77"/>
      <c r="K82" s="80"/>
      <c r="L82" s="77"/>
      <c r="M82" s="77">
        <f t="shared" si="0"/>
        <v>0</v>
      </c>
    </row>
    <row r="83" spans="1:13" ht="40.5">
      <c r="A83" s="1418" t="s">
        <v>432</v>
      </c>
      <c r="B83" s="942" t="s">
        <v>149</v>
      </c>
      <c r="C83" s="946" t="s">
        <v>606</v>
      </c>
      <c r="D83" s="943" t="s">
        <v>1</v>
      </c>
      <c r="E83" s="57"/>
      <c r="F83" s="20">
        <v>5</v>
      </c>
      <c r="G83" s="79"/>
      <c r="H83" s="77"/>
      <c r="I83" s="79"/>
      <c r="J83" s="77"/>
      <c r="K83" s="79"/>
      <c r="L83" s="77"/>
      <c r="M83" s="77"/>
    </row>
    <row r="84" spans="1:13">
      <c r="A84" s="1419"/>
      <c r="B84" s="942"/>
      <c r="C84" s="127" t="s">
        <v>119</v>
      </c>
      <c r="D84" s="942" t="s">
        <v>120</v>
      </c>
      <c r="E84" s="26">
        <f>117*0.01</f>
        <v>1.17</v>
      </c>
      <c r="F84" s="282">
        <f>F83*E84</f>
        <v>5.85</v>
      </c>
      <c r="G84" s="80"/>
      <c r="H84" s="77"/>
      <c r="I84" s="80"/>
      <c r="J84" s="77">
        <f>F84*I84</f>
        <v>0</v>
      </c>
      <c r="K84" s="80"/>
      <c r="L84" s="77"/>
      <c r="M84" s="77">
        <f t="shared" ref="M84:M150" si="1">H84+J84+L84</f>
        <v>0</v>
      </c>
    </row>
    <row r="85" spans="1:13">
      <c r="A85" s="1419"/>
      <c r="B85" s="942"/>
      <c r="C85" s="127" t="s">
        <v>125</v>
      </c>
      <c r="D85" s="942" t="s">
        <v>121</v>
      </c>
      <c r="E85" s="26">
        <f>1.72*0.01</f>
        <v>1.72E-2</v>
      </c>
      <c r="F85" s="282">
        <f>F83*E85</f>
        <v>8.5999999999999993E-2</v>
      </c>
      <c r="G85" s="80"/>
      <c r="H85" s="77"/>
      <c r="I85" s="80"/>
      <c r="J85" s="77"/>
      <c r="K85" s="80"/>
      <c r="L85" s="77">
        <f>F85*K85</f>
        <v>0</v>
      </c>
      <c r="M85" s="77">
        <f t="shared" si="1"/>
        <v>0</v>
      </c>
    </row>
    <row r="86" spans="1:13">
      <c r="A86" s="1419"/>
      <c r="B86" s="942"/>
      <c r="C86" s="127" t="s">
        <v>607</v>
      </c>
      <c r="D86" s="942" t="s">
        <v>48</v>
      </c>
      <c r="E86" s="26">
        <v>1</v>
      </c>
      <c r="F86" s="282">
        <f>F83*E86</f>
        <v>5</v>
      </c>
      <c r="G86" s="80"/>
      <c r="H86" s="77">
        <f t="shared" ref="H86:H150" si="2">F86*G86</f>
        <v>0</v>
      </c>
      <c r="I86" s="80"/>
      <c r="J86" s="77"/>
      <c r="K86" s="80"/>
      <c r="L86" s="77"/>
      <c r="M86" s="77">
        <f t="shared" si="1"/>
        <v>0</v>
      </c>
    </row>
    <row r="87" spans="1:13">
      <c r="A87" s="1419"/>
      <c r="B87" s="942"/>
      <c r="C87" s="127" t="s">
        <v>148</v>
      </c>
      <c r="D87" s="942" t="s">
        <v>12</v>
      </c>
      <c r="E87" s="26">
        <v>0.152</v>
      </c>
      <c r="F87" s="282">
        <f>F83*E87</f>
        <v>0.76</v>
      </c>
      <c r="G87" s="80"/>
      <c r="H87" s="77">
        <f t="shared" si="2"/>
        <v>0</v>
      </c>
      <c r="I87" s="80"/>
      <c r="J87" s="77"/>
      <c r="K87" s="80"/>
      <c r="L87" s="77"/>
      <c r="M87" s="77">
        <f t="shared" si="1"/>
        <v>0</v>
      </c>
    </row>
    <row r="88" spans="1:13">
      <c r="A88" s="1420"/>
      <c r="B88" s="942"/>
      <c r="C88" s="127" t="s">
        <v>122</v>
      </c>
      <c r="D88" s="942" t="s">
        <v>121</v>
      </c>
      <c r="E88" s="26">
        <f>3.93*0.01</f>
        <v>3.9300000000000002E-2</v>
      </c>
      <c r="F88" s="282">
        <f>F83*E88</f>
        <v>0.19650000000000001</v>
      </c>
      <c r="G88" s="80"/>
      <c r="H88" s="77">
        <f t="shared" si="2"/>
        <v>0</v>
      </c>
      <c r="I88" s="80"/>
      <c r="J88" s="77"/>
      <c r="K88" s="80"/>
      <c r="L88" s="77"/>
      <c r="M88" s="77">
        <f t="shared" si="1"/>
        <v>0</v>
      </c>
    </row>
    <row r="89" spans="1:13" ht="40.5">
      <c r="A89" s="1418" t="s">
        <v>39</v>
      </c>
      <c r="B89" s="942" t="s">
        <v>367</v>
      </c>
      <c r="C89" s="946" t="s">
        <v>608</v>
      </c>
      <c r="D89" s="943" t="s">
        <v>1</v>
      </c>
      <c r="E89" s="57"/>
      <c r="F89" s="20">
        <v>95</v>
      </c>
      <c r="G89" s="79"/>
      <c r="H89" s="77"/>
      <c r="I89" s="79"/>
      <c r="J89" s="77"/>
      <c r="K89" s="79"/>
      <c r="L89" s="77"/>
      <c r="M89" s="77"/>
    </row>
    <row r="90" spans="1:13">
      <c r="A90" s="1419"/>
      <c r="B90" s="942"/>
      <c r="C90" s="127" t="s">
        <v>119</v>
      </c>
      <c r="D90" s="942" t="s">
        <v>120</v>
      </c>
      <c r="E90" s="26">
        <v>1.56</v>
      </c>
      <c r="F90" s="282">
        <f>F89*E90</f>
        <v>148.20000000000002</v>
      </c>
      <c r="G90" s="80"/>
      <c r="H90" s="77"/>
      <c r="I90" s="80"/>
      <c r="J90" s="77">
        <f>F90*I90</f>
        <v>0</v>
      </c>
      <c r="K90" s="80"/>
      <c r="L90" s="77"/>
      <c r="M90" s="77">
        <f t="shared" si="1"/>
        <v>0</v>
      </c>
    </row>
    <row r="91" spans="1:13">
      <c r="A91" s="1419"/>
      <c r="B91" s="942"/>
      <c r="C91" s="127" t="s">
        <v>134</v>
      </c>
      <c r="D91" s="942" t="s">
        <v>121</v>
      </c>
      <c r="E91" s="26">
        <v>2.1700000000000001E-2</v>
      </c>
      <c r="F91" s="282">
        <f>F89*E91</f>
        <v>2.0615000000000001</v>
      </c>
      <c r="G91" s="80"/>
      <c r="H91" s="77"/>
      <c r="I91" s="80"/>
      <c r="J91" s="77"/>
      <c r="K91" s="80"/>
      <c r="L91" s="77">
        <f>F91*K91</f>
        <v>0</v>
      </c>
      <c r="M91" s="77">
        <f t="shared" si="1"/>
        <v>0</v>
      </c>
    </row>
    <row r="92" spans="1:13">
      <c r="A92" s="1419"/>
      <c r="B92" s="942"/>
      <c r="C92" s="127" t="s">
        <v>609</v>
      </c>
      <c r="D92" s="942" t="s">
        <v>48</v>
      </c>
      <c r="E92" s="26">
        <v>1</v>
      </c>
      <c r="F92" s="282">
        <f>F89*E92</f>
        <v>95</v>
      </c>
      <c r="G92" s="80"/>
      <c r="H92" s="77">
        <f t="shared" si="2"/>
        <v>0</v>
      </c>
      <c r="I92" s="80"/>
      <c r="J92" s="77"/>
      <c r="K92" s="80"/>
      <c r="L92" s="77"/>
      <c r="M92" s="77">
        <f t="shared" si="1"/>
        <v>0</v>
      </c>
    </row>
    <row r="93" spans="1:13">
      <c r="A93" s="1419"/>
      <c r="B93" s="942"/>
      <c r="C93" s="127" t="s">
        <v>148</v>
      </c>
      <c r="D93" s="942" t="s">
        <v>12</v>
      </c>
      <c r="E93" s="26">
        <v>0.152</v>
      </c>
      <c r="F93" s="282">
        <f>F89*E93</f>
        <v>14.44</v>
      </c>
      <c r="G93" s="80"/>
      <c r="H93" s="77">
        <f t="shared" si="2"/>
        <v>0</v>
      </c>
      <c r="I93" s="80"/>
      <c r="J93" s="77"/>
      <c r="K93" s="80"/>
      <c r="L93" s="77"/>
      <c r="M93" s="77">
        <f t="shared" si="1"/>
        <v>0</v>
      </c>
    </row>
    <row r="94" spans="1:13">
      <c r="A94" s="1420"/>
      <c r="B94" s="942"/>
      <c r="C94" s="127" t="s">
        <v>122</v>
      </c>
      <c r="D94" s="942" t="s">
        <v>121</v>
      </c>
      <c r="E94" s="26">
        <v>7.0800000000000002E-2</v>
      </c>
      <c r="F94" s="282">
        <f>F89*E94</f>
        <v>6.726</v>
      </c>
      <c r="G94" s="80"/>
      <c r="H94" s="77">
        <f t="shared" si="2"/>
        <v>0</v>
      </c>
      <c r="I94" s="80"/>
      <c r="J94" s="77"/>
      <c r="K94" s="80"/>
      <c r="L94" s="77"/>
      <c r="M94" s="77">
        <f t="shared" si="1"/>
        <v>0</v>
      </c>
    </row>
    <row r="95" spans="1:13" ht="40.5">
      <c r="A95" s="1418" t="s">
        <v>64</v>
      </c>
      <c r="B95" s="942" t="s">
        <v>368</v>
      </c>
      <c r="C95" s="946" t="s">
        <v>675</v>
      </c>
      <c r="D95" s="943" t="s">
        <v>1</v>
      </c>
      <c r="E95" s="57"/>
      <c r="F95" s="20">
        <v>55</v>
      </c>
      <c r="G95" s="79"/>
      <c r="H95" s="77"/>
      <c r="I95" s="79"/>
      <c r="J95" s="77"/>
      <c r="K95" s="79"/>
      <c r="L95" s="77"/>
      <c r="M95" s="77"/>
    </row>
    <row r="96" spans="1:13">
      <c r="A96" s="1419"/>
      <c r="B96" s="942"/>
      <c r="C96" s="127" t="s">
        <v>119</v>
      </c>
      <c r="D96" s="942" t="s">
        <v>120</v>
      </c>
      <c r="E96" s="26">
        <v>1.35</v>
      </c>
      <c r="F96" s="282">
        <f>F95*E96</f>
        <v>74.25</v>
      </c>
      <c r="G96" s="80"/>
      <c r="H96" s="77"/>
      <c r="I96" s="80"/>
      <c r="J96" s="77">
        <f>F96*I96</f>
        <v>0</v>
      </c>
      <c r="K96" s="80"/>
      <c r="L96" s="77"/>
      <c r="M96" s="77">
        <f t="shared" si="1"/>
        <v>0</v>
      </c>
    </row>
    <row r="97" spans="1:13">
      <c r="A97" s="1419"/>
      <c r="B97" s="942"/>
      <c r="C97" s="127" t="s">
        <v>134</v>
      </c>
      <c r="D97" s="942" t="s">
        <v>121</v>
      </c>
      <c r="E97" s="26">
        <v>3.1399999999999997E-2</v>
      </c>
      <c r="F97" s="282">
        <f>F95*E97</f>
        <v>1.7269999999999999</v>
      </c>
      <c r="G97" s="80"/>
      <c r="H97" s="77"/>
      <c r="I97" s="80"/>
      <c r="J97" s="77"/>
      <c r="K97" s="80"/>
      <c r="L97" s="77">
        <f>F97*K97</f>
        <v>0</v>
      </c>
      <c r="M97" s="77">
        <f t="shared" si="1"/>
        <v>0</v>
      </c>
    </row>
    <row r="98" spans="1:13">
      <c r="A98" s="1419"/>
      <c r="B98" s="942"/>
      <c r="C98" s="127" t="s">
        <v>709</v>
      </c>
      <c r="D98" s="942" t="s">
        <v>48</v>
      </c>
      <c r="E98" s="26">
        <v>1</v>
      </c>
      <c r="F98" s="282">
        <f>F95*E98</f>
        <v>55</v>
      </c>
      <c r="G98" s="80"/>
      <c r="H98" s="77">
        <f t="shared" si="2"/>
        <v>0</v>
      </c>
      <c r="I98" s="80"/>
      <c r="J98" s="77"/>
      <c r="K98" s="80"/>
      <c r="L98" s="77"/>
      <c r="M98" s="77">
        <f t="shared" si="1"/>
        <v>0</v>
      </c>
    </row>
    <row r="99" spans="1:13">
      <c r="A99" s="1419"/>
      <c r="B99" s="942"/>
      <c r="C99" s="127" t="s">
        <v>148</v>
      </c>
      <c r="D99" s="942" t="s">
        <v>12</v>
      </c>
      <c r="E99" s="26">
        <v>0.152</v>
      </c>
      <c r="F99" s="282">
        <f>F95*E99</f>
        <v>8.36</v>
      </c>
      <c r="G99" s="80"/>
      <c r="H99" s="77">
        <f t="shared" si="2"/>
        <v>0</v>
      </c>
      <c r="I99" s="80"/>
      <c r="J99" s="77"/>
      <c r="K99" s="80"/>
      <c r="L99" s="77"/>
      <c r="M99" s="77">
        <f t="shared" si="1"/>
        <v>0</v>
      </c>
    </row>
    <row r="100" spans="1:13">
      <c r="A100" s="1420"/>
      <c r="B100" s="942"/>
      <c r="C100" s="127" t="s">
        <v>122</v>
      </c>
      <c r="D100" s="942" t="s">
        <v>121</v>
      </c>
      <c r="E100" s="26">
        <v>6.5199999999999994E-2</v>
      </c>
      <c r="F100" s="282">
        <f>F95*E100</f>
        <v>3.5859999999999999</v>
      </c>
      <c r="G100" s="80"/>
      <c r="H100" s="77">
        <f t="shared" si="2"/>
        <v>0</v>
      </c>
      <c r="I100" s="80"/>
      <c r="J100" s="77"/>
      <c r="K100" s="80"/>
      <c r="L100" s="77"/>
      <c r="M100" s="77">
        <f t="shared" si="1"/>
        <v>0</v>
      </c>
    </row>
    <row r="101" spans="1:13" ht="40.5">
      <c r="A101" s="1418" t="s">
        <v>433</v>
      </c>
      <c r="B101" s="942" t="s">
        <v>368</v>
      </c>
      <c r="C101" s="946" t="s">
        <v>710</v>
      </c>
      <c r="D101" s="943" t="s">
        <v>1</v>
      </c>
      <c r="E101" s="57"/>
      <c r="F101" s="20">
        <v>65</v>
      </c>
      <c r="G101" s="79"/>
      <c r="H101" s="77"/>
      <c r="I101" s="79"/>
      <c r="J101" s="77"/>
      <c r="K101" s="79"/>
      <c r="L101" s="77"/>
      <c r="M101" s="77"/>
    </row>
    <row r="102" spans="1:13">
      <c r="A102" s="1419"/>
      <c r="B102" s="942"/>
      <c r="C102" s="127" t="s">
        <v>119</v>
      </c>
      <c r="D102" s="942" t="s">
        <v>120</v>
      </c>
      <c r="E102" s="26">
        <v>1.35</v>
      </c>
      <c r="F102" s="282">
        <f>F101*E102</f>
        <v>87.75</v>
      </c>
      <c r="G102" s="80"/>
      <c r="H102" s="77"/>
      <c r="I102" s="80"/>
      <c r="J102" s="77">
        <f>F102*I102</f>
        <v>0</v>
      </c>
      <c r="K102" s="80"/>
      <c r="L102" s="77"/>
      <c r="M102" s="77">
        <f t="shared" si="1"/>
        <v>0</v>
      </c>
    </row>
    <row r="103" spans="1:13">
      <c r="A103" s="1419"/>
      <c r="B103" s="942"/>
      <c r="C103" s="127" t="s">
        <v>134</v>
      </c>
      <c r="D103" s="942" t="s">
        <v>121</v>
      </c>
      <c r="E103" s="26">
        <v>3.1399999999999997E-2</v>
      </c>
      <c r="F103" s="282">
        <f>F101*E103</f>
        <v>2.0409999999999999</v>
      </c>
      <c r="G103" s="80"/>
      <c r="H103" s="77"/>
      <c r="I103" s="80"/>
      <c r="J103" s="77"/>
      <c r="K103" s="80"/>
      <c r="L103" s="77">
        <f>F103*K103</f>
        <v>0</v>
      </c>
      <c r="M103" s="77">
        <f t="shared" si="1"/>
        <v>0</v>
      </c>
    </row>
    <row r="104" spans="1:13">
      <c r="A104" s="1419"/>
      <c r="B104" s="942"/>
      <c r="C104" s="127" t="s">
        <v>711</v>
      </c>
      <c r="D104" s="942" t="s">
        <v>48</v>
      </c>
      <c r="E104" s="26">
        <v>1</v>
      </c>
      <c r="F104" s="282">
        <f>F101*E104</f>
        <v>65</v>
      </c>
      <c r="G104" s="80"/>
      <c r="H104" s="77">
        <f t="shared" si="2"/>
        <v>0</v>
      </c>
      <c r="I104" s="80"/>
      <c r="J104" s="77"/>
      <c r="K104" s="80"/>
      <c r="L104" s="77"/>
      <c r="M104" s="77">
        <f t="shared" si="1"/>
        <v>0</v>
      </c>
    </row>
    <row r="105" spans="1:13">
      <c r="A105" s="1419"/>
      <c r="B105" s="942"/>
      <c r="C105" s="127" t="s">
        <v>148</v>
      </c>
      <c r="D105" s="942" t="s">
        <v>12</v>
      </c>
      <c r="E105" s="26">
        <v>0.152</v>
      </c>
      <c r="F105" s="282">
        <f>F101*E105</f>
        <v>9.879999999999999</v>
      </c>
      <c r="G105" s="80"/>
      <c r="H105" s="77">
        <f t="shared" si="2"/>
        <v>0</v>
      </c>
      <c r="I105" s="80"/>
      <c r="J105" s="77"/>
      <c r="K105" s="80"/>
      <c r="L105" s="77"/>
      <c r="M105" s="77">
        <f t="shared" si="1"/>
        <v>0</v>
      </c>
    </row>
    <row r="106" spans="1:13">
      <c r="A106" s="1420"/>
      <c r="B106" s="942"/>
      <c r="C106" s="127" t="s">
        <v>122</v>
      </c>
      <c r="D106" s="942" t="s">
        <v>121</v>
      </c>
      <c r="E106" s="26">
        <v>6.5199999999999994E-2</v>
      </c>
      <c r="F106" s="282">
        <f>F101*E106</f>
        <v>4.2379999999999995</v>
      </c>
      <c r="G106" s="80"/>
      <c r="H106" s="77">
        <f t="shared" si="2"/>
        <v>0</v>
      </c>
      <c r="I106" s="80"/>
      <c r="J106" s="77"/>
      <c r="K106" s="80"/>
      <c r="L106" s="77"/>
      <c r="M106" s="77">
        <f t="shared" si="1"/>
        <v>0</v>
      </c>
    </row>
    <row r="107" spans="1:13" ht="31.5">
      <c r="A107" s="1418" t="s">
        <v>434</v>
      </c>
      <c r="B107" s="942" t="s">
        <v>332</v>
      </c>
      <c r="C107" s="946" t="s">
        <v>766</v>
      </c>
      <c r="D107" s="942" t="s">
        <v>4</v>
      </c>
      <c r="E107" s="26"/>
      <c r="F107" s="20">
        <f>(F110+F111+F112+F113+F114)*0.34*0.1</f>
        <v>14.858000000000002</v>
      </c>
      <c r="G107" s="80"/>
      <c r="H107" s="77"/>
      <c r="I107" s="80"/>
      <c r="J107" s="77"/>
      <c r="K107" s="80"/>
      <c r="L107" s="77"/>
      <c r="M107" s="77"/>
    </row>
    <row r="108" spans="1:13">
      <c r="A108" s="1419"/>
      <c r="B108" s="942"/>
      <c r="C108" s="131" t="s">
        <v>13</v>
      </c>
      <c r="D108" s="66" t="s">
        <v>15</v>
      </c>
      <c r="E108" s="61">
        <f>18.8</f>
        <v>18.8</v>
      </c>
      <c r="F108" s="282">
        <f>E108*F107</f>
        <v>279.33040000000005</v>
      </c>
      <c r="G108" s="80"/>
      <c r="H108" s="77"/>
      <c r="I108" s="80"/>
      <c r="J108" s="77">
        <f>F108*I108</f>
        <v>0</v>
      </c>
      <c r="K108" s="80"/>
      <c r="L108" s="77"/>
      <c r="M108" s="77">
        <f t="shared" si="1"/>
        <v>0</v>
      </c>
    </row>
    <row r="109" spans="1:13">
      <c r="A109" s="1419"/>
      <c r="B109" s="942"/>
      <c r="C109" s="131" t="s">
        <v>14</v>
      </c>
      <c r="D109" s="46" t="s">
        <v>11</v>
      </c>
      <c r="E109" s="1005">
        <f>0.24</f>
        <v>0.24</v>
      </c>
      <c r="F109" s="317">
        <f>F107*E109</f>
        <v>3.5659200000000006</v>
      </c>
      <c r="G109" s="80"/>
      <c r="H109" s="77"/>
      <c r="I109" s="80"/>
      <c r="J109" s="77"/>
      <c r="K109" s="80"/>
      <c r="L109" s="77">
        <f>F109*K109</f>
        <v>0</v>
      </c>
      <c r="M109" s="77">
        <f t="shared" si="1"/>
        <v>0</v>
      </c>
    </row>
    <row r="110" spans="1:13">
      <c r="A110" s="1419"/>
      <c r="B110" s="942"/>
      <c r="C110" s="138" t="s">
        <v>746</v>
      </c>
      <c r="D110" s="447" t="s">
        <v>1</v>
      </c>
      <c r="E110" s="948"/>
      <c r="F110" s="282">
        <v>85</v>
      </c>
      <c r="G110" s="80"/>
      <c r="H110" s="77">
        <f t="shared" si="2"/>
        <v>0</v>
      </c>
      <c r="I110" s="80"/>
      <c r="J110" s="77"/>
      <c r="K110" s="77"/>
      <c r="L110" s="77"/>
      <c r="M110" s="77">
        <f t="shared" si="1"/>
        <v>0</v>
      </c>
    </row>
    <row r="111" spans="1:13">
      <c r="A111" s="1419"/>
      <c r="B111" s="942"/>
      <c r="C111" s="138" t="s">
        <v>676</v>
      </c>
      <c r="D111" s="447" t="s">
        <v>1</v>
      </c>
      <c r="E111" s="948"/>
      <c r="F111" s="282">
        <v>10</v>
      </c>
      <c r="G111" s="80"/>
      <c r="H111" s="77">
        <f t="shared" si="2"/>
        <v>0</v>
      </c>
      <c r="I111" s="80"/>
      <c r="J111" s="77"/>
      <c r="K111" s="77"/>
      <c r="L111" s="77"/>
      <c r="M111" s="77">
        <f t="shared" si="1"/>
        <v>0</v>
      </c>
    </row>
    <row r="112" spans="1:13">
      <c r="A112" s="1419"/>
      <c r="B112" s="942"/>
      <c r="C112" s="138" t="s">
        <v>1153</v>
      </c>
      <c r="D112" s="447" t="s">
        <v>1</v>
      </c>
      <c r="E112" s="948"/>
      <c r="F112" s="282">
        <v>102</v>
      </c>
      <c r="G112" s="80"/>
      <c r="H112" s="77">
        <f t="shared" si="2"/>
        <v>0</v>
      </c>
      <c r="I112" s="80"/>
      <c r="J112" s="77"/>
      <c r="K112" s="77"/>
      <c r="L112" s="77"/>
      <c r="M112" s="77">
        <f t="shared" si="1"/>
        <v>0</v>
      </c>
    </row>
    <row r="113" spans="1:13">
      <c r="A113" s="1419"/>
      <c r="B113" s="942"/>
      <c r="C113" s="138" t="s">
        <v>1154</v>
      </c>
      <c r="D113" s="447" t="s">
        <v>1</v>
      </c>
      <c r="E113" s="948"/>
      <c r="F113" s="282">
        <v>110</v>
      </c>
      <c r="G113" s="80"/>
      <c r="H113" s="77">
        <f t="shared" si="2"/>
        <v>0</v>
      </c>
      <c r="I113" s="80"/>
      <c r="J113" s="77"/>
      <c r="K113" s="77"/>
      <c r="L113" s="77"/>
      <c r="M113" s="77">
        <f t="shared" si="1"/>
        <v>0</v>
      </c>
    </row>
    <row r="114" spans="1:13">
      <c r="A114" s="1419"/>
      <c r="B114" s="942"/>
      <c r="C114" s="138" t="s">
        <v>1098</v>
      </c>
      <c r="D114" s="447" t="s">
        <v>1</v>
      </c>
      <c r="E114" s="948"/>
      <c r="F114" s="282">
        <v>130</v>
      </c>
      <c r="G114" s="80"/>
      <c r="H114" s="77">
        <f t="shared" si="2"/>
        <v>0</v>
      </c>
      <c r="I114" s="80"/>
      <c r="J114" s="77"/>
      <c r="K114" s="77"/>
      <c r="L114" s="77"/>
      <c r="M114" s="77">
        <f t="shared" si="1"/>
        <v>0</v>
      </c>
    </row>
    <row r="115" spans="1:13">
      <c r="A115" s="1420"/>
      <c r="B115" s="942"/>
      <c r="C115" s="131" t="s">
        <v>26</v>
      </c>
      <c r="D115" s="46" t="s">
        <v>11</v>
      </c>
      <c r="E115" s="1005">
        <v>1.7</v>
      </c>
      <c r="F115" s="317">
        <f>E115*F107</f>
        <v>25.258600000000005</v>
      </c>
      <c r="G115" s="80"/>
      <c r="H115" s="77">
        <f t="shared" si="2"/>
        <v>0</v>
      </c>
      <c r="I115" s="80"/>
      <c r="J115" s="77"/>
      <c r="K115" s="80"/>
      <c r="L115" s="77"/>
      <c r="M115" s="77">
        <f t="shared" si="1"/>
        <v>0</v>
      </c>
    </row>
    <row r="116" spans="1:13">
      <c r="A116" s="1422" t="s">
        <v>69</v>
      </c>
      <c r="B116" s="942" t="s">
        <v>150</v>
      </c>
      <c r="C116" s="946" t="s">
        <v>151</v>
      </c>
      <c r="D116" s="943" t="s">
        <v>12</v>
      </c>
      <c r="E116" s="57"/>
      <c r="F116" s="20">
        <f>SUM(F119:F125)</f>
        <v>96</v>
      </c>
      <c r="G116" s="79"/>
      <c r="H116" s="77"/>
      <c r="I116" s="79"/>
      <c r="J116" s="77"/>
      <c r="K116" s="79"/>
      <c r="L116" s="77"/>
      <c r="M116" s="77"/>
    </row>
    <row r="117" spans="1:13">
      <c r="A117" s="1422"/>
      <c r="B117" s="942"/>
      <c r="C117" s="127" t="s">
        <v>119</v>
      </c>
      <c r="D117" s="942" t="s">
        <v>120</v>
      </c>
      <c r="E117" s="26">
        <v>1.51</v>
      </c>
      <c r="F117" s="282">
        <f>F116*E117</f>
        <v>144.96</v>
      </c>
      <c r="G117" s="80"/>
      <c r="H117" s="77"/>
      <c r="I117" s="80"/>
      <c r="J117" s="77">
        <f>F117*I117</f>
        <v>0</v>
      </c>
      <c r="K117" s="80"/>
      <c r="L117" s="77"/>
      <c r="M117" s="77">
        <f t="shared" si="1"/>
        <v>0</v>
      </c>
    </row>
    <row r="118" spans="1:13">
      <c r="A118" s="1422"/>
      <c r="B118" s="942"/>
      <c r="C118" s="127" t="s">
        <v>134</v>
      </c>
      <c r="D118" s="942" t="s">
        <v>121</v>
      </c>
      <c r="E118" s="26">
        <v>0.13</v>
      </c>
      <c r="F118" s="282">
        <f>F116*E118</f>
        <v>12.48</v>
      </c>
      <c r="G118" s="80"/>
      <c r="H118" s="77"/>
      <c r="I118" s="80"/>
      <c r="J118" s="77"/>
      <c r="K118" s="80"/>
      <c r="L118" s="77">
        <f>F118*K118</f>
        <v>0</v>
      </c>
      <c r="M118" s="77">
        <f t="shared" si="1"/>
        <v>0</v>
      </c>
    </row>
    <row r="119" spans="1:13">
      <c r="A119" s="1422"/>
      <c r="B119" s="942"/>
      <c r="C119" s="127" t="s">
        <v>677</v>
      </c>
      <c r="D119" s="942" t="s">
        <v>12</v>
      </c>
      <c r="E119" s="26">
        <v>1</v>
      </c>
      <c r="F119" s="282">
        <v>11</v>
      </c>
      <c r="G119" s="80"/>
      <c r="H119" s="77">
        <f t="shared" si="2"/>
        <v>0</v>
      </c>
      <c r="I119" s="80"/>
      <c r="J119" s="77"/>
      <c r="K119" s="80"/>
      <c r="L119" s="77"/>
      <c r="M119" s="77">
        <f t="shared" si="1"/>
        <v>0</v>
      </c>
    </row>
    <row r="120" spans="1:13" hidden="1">
      <c r="A120" s="1422"/>
      <c r="B120" s="942"/>
      <c r="C120" s="127" t="s">
        <v>678</v>
      </c>
      <c r="D120" s="942" t="s">
        <v>12</v>
      </c>
      <c r="E120" s="26">
        <v>1</v>
      </c>
      <c r="F120" s="282"/>
      <c r="G120" s="80"/>
      <c r="H120" s="77">
        <f t="shared" si="2"/>
        <v>0</v>
      </c>
      <c r="I120" s="80"/>
      <c r="J120" s="77"/>
      <c r="K120" s="80"/>
      <c r="L120" s="77"/>
      <c r="M120" s="77">
        <f t="shared" si="1"/>
        <v>0</v>
      </c>
    </row>
    <row r="121" spans="1:13">
      <c r="A121" s="1422"/>
      <c r="B121" s="942"/>
      <c r="C121" s="127" t="s">
        <v>679</v>
      </c>
      <c r="D121" s="942" t="s">
        <v>12</v>
      </c>
      <c r="E121" s="26">
        <v>1</v>
      </c>
      <c r="F121" s="282">
        <v>3</v>
      </c>
      <c r="G121" s="80"/>
      <c r="H121" s="77">
        <f t="shared" si="2"/>
        <v>0</v>
      </c>
      <c r="I121" s="80"/>
      <c r="J121" s="77"/>
      <c r="K121" s="80"/>
      <c r="L121" s="77"/>
      <c r="M121" s="77">
        <f t="shared" si="1"/>
        <v>0</v>
      </c>
    </row>
    <row r="122" spans="1:13">
      <c r="A122" s="1422"/>
      <c r="B122" s="942"/>
      <c r="C122" s="127" t="s">
        <v>680</v>
      </c>
      <c r="D122" s="942" t="s">
        <v>12</v>
      </c>
      <c r="E122" s="26">
        <v>1</v>
      </c>
      <c r="F122" s="282">
        <v>8</v>
      </c>
      <c r="G122" s="80"/>
      <c r="H122" s="77">
        <f t="shared" si="2"/>
        <v>0</v>
      </c>
      <c r="I122" s="80"/>
      <c r="J122" s="77"/>
      <c r="K122" s="80"/>
      <c r="L122" s="77"/>
      <c r="M122" s="77">
        <f t="shared" si="1"/>
        <v>0</v>
      </c>
    </row>
    <row r="123" spans="1:13">
      <c r="A123" s="1422"/>
      <c r="B123" s="942"/>
      <c r="C123" s="127" t="s">
        <v>681</v>
      </c>
      <c r="D123" s="942" t="s">
        <v>12</v>
      </c>
      <c r="E123" s="26">
        <v>1</v>
      </c>
      <c r="F123" s="282">
        <v>2</v>
      </c>
      <c r="G123" s="80"/>
      <c r="H123" s="77">
        <f t="shared" si="2"/>
        <v>0</v>
      </c>
      <c r="I123" s="80"/>
      <c r="J123" s="77"/>
      <c r="K123" s="80"/>
      <c r="L123" s="77"/>
      <c r="M123" s="77">
        <f t="shared" si="1"/>
        <v>0</v>
      </c>
    </row>
    <row r="124" spans="1:13">
      <c r="A124" s="1422"/>
      <c r="B124" s="942"/>
      <c r="C124" s="127" t="s">
        <v>765</v>
      </c>
      <c r="D124" s="942" t="s">
        <v>2</v>
      </c>
      <c r="E124" s="26"/>
      <c r="F124" s="282">
        <v>68</v>
      </c>
      <c r="G124" s="80"/>
      <c r="H124" s="77">
        <f>F124*G124</f>
        <v>0</v>
      </c>
      <c r="I124" s="80"/>
      <c r="J124" s="77"/>
      <c r="K124" s="80"/>
      <c r="L124" s="77"/>
      <c r="M124" s="77">
        <f>H124+J124+L124</f>
        <v>0</v>
      </c>
    </row>
    <row r="125" spans="1:13">
      <c r="A125" s="1422"/>
      <c r="B125" s="942"/>
      <c r="C125" s="127" t="s">
        <v>1099</v>
      </c>
      <c r="D125" s="942" t="s">
        <v>2</v>
      </c>
      <c r="E125" s="26"/>
      <c r="F125" s="282">
        <v>4</v>
      </c>
      <c r="G125" s="80"/>
      <c r="H125" s="77">
        <f t="shared" si="2"/>
        <v>0</v>
      </c>
      <c r="I125" s="80"/>
      <c r="J125" s="77"/>
      <c r="K125" s="80"/>
      <c r="L125" s="77"/>
      <c r="M125" s="77">
        <f t="shared" si="1"/>
        <v>0</v>
      </c>
    </row>
    <row r="126" spans="1:13">
      <c r="A126" s="1422"/>
      <c r="B126" s="942"/>
      <c r="C126" s="127" t="s">
        <v>122</v>
      </c>
      <c r="D126" s="942" t="s">
        <v>121</v>
      </c>
      <c r="E126" s="26">
        <v>7.0000000000000007E-2</v>
      </c>
      <c r="F126" s="282">
        <f>F116*E126</f>
        <v>6.7200000000000006</v>
      </c>
      <c r="G126" s="80"/>
      <c r="H126" s="77">
        <f t="shared" si="2"/>
        <v>0</v>
      </c>
      <c r="I126" s="80"/>
      <c r="J126" s="77"/>
      <c r="K126" s="80"/>
      <c r="L126" s="77"/>
      <c r="M126" s="77">
        <f t="shared" si="1"/>
        <v>0</v>
      </c>
    </row>
    <row r="127" spans="1:13">
      <c r="A127" s="1418" t="s">
        <v>118</v>
      </c>
      <c r="B127" s="942" t="s">
        <v>152</v>
      </c>
      <c r="C127" s="946" t="s">
        <v>153</v>
      </c>
      <c r="D127" s="943" t="s">
        <v>12</v>
      </c>
      <c r="E127" s="57"/>
      <c r="F127" s="20">
        <f>SUM(F130:F167)</f>
        <v>636</v>
      </c>
      <c r="G127" s="79"/>
      <c r="H127" s="77"/>
      <c r="I127" s="79"/>
      <c r="J127" s="77"/>
      <c r="K127" s="79"/>
      <c r="L127" s="77"/>
      <c r="M127" s="77"/>
    </row>
    <row r="128" spans="1:13">
      <c r="A128" s="1419"/>
      <c r="B128" s="942"/>
      <c r="C128" s="127" t="s">
        <v>119</v>
      </c>
      <c r="D128" s="942" t="s">
        <v>120</v>
      </c>
      <c r="E128" s="26">
        <v>0.64600000000000002</v>
      </c>
      <c r="F128" s="282">
        <f>F127*E128</f>
        <v>410.85599999999999</v>
      </c>
      <c r="G128" s="80"/>
      <c r="H128" s="77"/>
      <c r="I128" s="80"/>
      <c r="J128" s="77">
        <f>F128*I128</f>
        <v>0</v>
      </c>
      <c r="K128" s="80"/>
      <c r="L128" s="77"/>
      <c r="M128" s="77">
        <f t="shared" si="1"/>
        <v>0</v>
      </c>
    </row>
    <row r="129" spans="1:13">
      <c r="A129" s="1419"/>
      <c r="B129" s="942"/>
      <c r="C129" s="127" t="s">
        <v>134</v>
      </c>
      <c r="D129" s="942" t="s">
        <v>121</v>
      </c>
      <c r="E129" s="26">
        <v>2.5999999999999999E-3</v>
      </c>
      <c r="F129" s="282">
        <f>F127*E129</f>
        <v>1.6536</v>
      </c>
      <c r="G129" s="80"/>
      <c r="H129" s="77"/>
      <c r="I129" s="80"/>
      <c r="J129" s="77"/>
      <c r="K129" s="80"/>
      <c r="L129" s="77">
        <f>F129*K129</f>
        <v>0</v>
      </c>
      <c r="M129" s="77">
        <f t="shared" si="1"/>
        <v>0</v>
      </c>
    </row>
    <row r="130" spans="1:13">
      <c r="A130" s="1419"/>
      <c r="B130" s="942"/>
      <c r="C130" s="138" t="s">
        <v>610</v>
      </c>
      <c r="D130" s="447" t="s">
        <v>2</v>
      </c>
      <c r="E130" s="26"/>
      <c r="F130" s="282">
        <v>115</v>
      </c>
      <c r="G130" s="80"/>
      <c r="H130" s="77">
        <f t="shared" si="2"/>
        <v>0</v>
      </c>
      <c r="I130" s="80"/>
      <c r="J130" s="77"/>
      <c r="K130" s="80"/>
      <c r="L130" s="77"/>
      <c r="M130" s="77">
        <f t="shared" si="1"/>
        <v>0</v>
      </c>
    </row>
    <row r="131" spans="1:13">
      <c r="A131" s="1419"/>
      <c r="B131" s="942"/>
      <c r="C131" s="138" t="s">
        <v>611</v>
      </c>
      <c r="D131" s="447" t="s">
        <v>2</v>
      </c>
      <c r="E131" s="26"/>
      <c r="F131" s="282">
        <v>185</v>
      </c>
      <c r="G131" s="80"/>
      <c r="H131" s="77">
        <f t="shared" si="2"/>
        <v>0</v>
      </c>
      <c r="I131" s="80"/>
      <c r="J131" s="77"/>
      <c r="K131" s="80"/>
      <c r="L131" s="77"/>
      <c r="M131" s="77">
        <f t="shared" si="1"/>
        <v>0</v>
      </c>
    </row>
    <row r="132" spans="1:13" hidden="1">
      <c r="A132" s="1419"/>
      <c r="B132" s="942"/>
      <c r="C132" s="138" t="s">
        <v>612</v>
      </c>
      <c r="D132" s="447" t="s">
        <v>2</v>
      </c>
      <c r="E132" s="26"/>
      <c r="F132" s="282"/>
      <c r="G132" s="80"/>
      <c r="H132" s="77">
        <f t="shared" si="2"/>
        <v>0</v>
      </c>
      <c r="I132" s="80"/>
      <c r="J132" s="77"/>
      <c r="K132" s="80"/>
      <c r="L132" s="77"/>
      <c r="M132" s="77">
        <f t="shared" si="1"/>
        <v>0</v>
      </c>
    </row>
    <row r="133" spans="1:13">
      <c r="A133" s="1419"/>
      <c r="B133" s="942"/>
      <c r="C133" s="138" t="s">
        <v>613</v>
      </c>
      <c r="D133" s="447" t="s">
        <v>2</v>
      </c>
      <c r="E133" s="26"/>
      <c r="F133" s="282">
        <v>13</v>
      </c>
      <c r="G133" s="80"/>
      <c r="H133" s="77">
        <f t="shared" si="2"/>
        <v>0</v>
      </c>
      <c r="I133" s="80"/>
      <c r="J133" s="77"/>
      <c r="K133" s="80"/>
      <c r="L133" s="77"/>
      <c r="M133" s="77">
        <f t="shared" si="1"/>
        <v>0</v>
      </c>
    </row>
    <row r="134" spans="1:13">
      <c r="A134" s="1419"/>
      <c r="B134" s="942"/>
      <c r="C134" s="138" t="s">
        <v>682</v>
      </c>
      <c r="D134" s="447" t="s">
        <v>2</v>
      </c>
      <c r="E134" s="26"/>
      <c r="F134" s="282">
        <v>20</v>
      </c>
      <c r="G134" s="80"/>
      <c r="H134" s="77">
        <f t="shared" si="2"/>
        <v>0</v>
      </c>
      <c r="I134" s="80"/>
      <c r="J134" s="77"/>
      <c r="K134" s="80"/>
      <c r="L134" s="77"/>
      <c r="M134" s="77">
        <f t="shared" si="1"/>
        <v>0</v>
      </c>
    </row>
    <row r="135" spans="1:13">
      <c r="A135" s="1419"/>
      <c r="B135" s="942"/>
      <c r="C135" s="138" t="s">
        <v>683</v>
      </c>
      <c r="D135" s="447" t="s">
        <v>2</v>
      </c>
      <c r="E135" s="26"/>
      <c r="F135" s="282">
        <v>15</v>
      </c>
      <c r="G135" s="80"/>
      <c r="H135" s="77">
        <f t="shared" si="2"/>
        <v>0</v>
      </c>
      <c r="I135" s="80"/>
      <c r="J135" s="77"/>
      <c r="K135" s="80"/>
      <c r="L135" s="77"/>
      <c r="M135" s="77">
        <f t="shared" si="1"/>
        <v>0</v>
      </c>
    </row>
    <row r="136" spans="1:13" hidden="1">
      <c r="A136" s="1419"/>
      <c r="B136" s="942"/>
      <c r="C136" s="138" t="s">
        <v>1201</v>
      </c>
      <c r="D136" s="447" t="s">
        <v>2</v>
      </c>
      <c r="E136" s="26"/>
      <c r="F136" s="282"/>
      <c r="G136" s="80"/>
      <c r="H136" s="77">
        <f t="shared" si="2"/>
        <v>0</v>
      </c>
      <c r="I136" s="80"/>
      <c r="J136" s="77"/>
      <c r="K136" s="80"/>
      <c r="L136" s="77"/>
      <c r="M136" s="77">
        <f>H136+J136+L136</f>
        <v>0</v>
      </c>
    </row>
    <row r="137" spans="1:13">
      <c r="A137" s="1419"/>
      <c r="B137" s="942"/>
      <c r="C137" s="138" t="s">
        <v>614</v>
      </c>
      <c r="D137" s="447" t="s">
        <v>2</v>
      </c>
      <c r="E137" s="26"/>
      <c r="F137" s="282">
        <v>81</v>
      </c>
      <c r="G137" s="80"/>
      <c r="H137" s="77">
        <f t="shared" si="2"/>
        <v>0</v>
      </c>
      <c r="I137" s="80"/>
      <c r="J137" s="77"/>
      <c r="K137" s="80"/>
      <c r="L137" s="77"/>
      <c r="M137" s="77">
        <f t="shared" si="1"/>
        <v>0</v>
      </c>
    </row>
    <row r="138" spans="1:13">
      <c r="A138" s="1419"/>
      <c r="B138" s="942"/>
      <c r="C138" s="138" t="s">
        <v>615</v>
      </c>
      <c r="D138" s="447" t="s">
        <v>2</v>
      </c>
      <c r="E138" s="26"/>
      <c r="F138" s="282">
        <v>2</v>
      </c>
      <c r="G138" s="80"/>
      <c r="H138" s="77">
        <f t="shared" si="2"/>
        <v>0</v>
      </c>
      <c r="I138" s="80"/>
      <c r="J138" s="77"/>
      <c r="K138" s="80"/>
      <c r="L138" s="77"/>
      <c r="M138" s="77">
        <f t="shared" si="1"/>
        <v>0</v>
      </c>
    </row>
    <row r="139" spans="1:13">
      <c r="A139" s="1419"/>
      <c r="B139" s="942"/>
      <c r="C139" s="138" t="s">
        <v>616</v>
      </c>
      <c r="D139" s="447" t="s">
        <v>2</v>
      </c>
      <c r="E139" s="26"/>
      <c r="F139" s="282">
        <v>25</v>
      </c>
      <c r="G139" s="80"/>
      <c r="H139" s="77">
        <f t="shared" si="2"/>
        <v>0</v>
      </c>
      <c r="I139" s="80"/>
      <c r="J139" s="77"/>
      <c r="K139" s="80"/>
      <c r="L139" s="77"/>
      <c r="M139" s="77">
        <f t="shared" si="1"/>
        <v>0</v>
      </c>
    </row>
    <row r="140" spans="1:13">
      <c r="A140" s="1419"/>
      <c r="B140" s="942"/>
      <c r="C140" s="138" t="s">
        <v>617</v>
      </c>
      <c r="D140" s="447" t="s">
        <v>2</v>
      </c>
      <c r="E140" s="26"/>
      <c r="F140" s="282">
        <v>27</v>
      </c>
      <c r="G140" s="80"/>
      <c r="H140" s="77">
        <f t="shared" si="2"/>
        <v>0</v>
      </c>
      <c r="I140" s="80"/>
      <c r="J140" s="77"/>
      <c r="K140" s="80"/>
      <c r="L140" s="77"/>
      <c r="M140" s="77">
        <f t="shared" si="1"/>
        <v>0</v>
      </c>
    </row>
    <row r="141" spans="1:13">
      <c r="A141" s="1419"/>
      <c r="B141" s="942"/>
      <c r="C141" s="138" t="s">
        <v>636</v>
      </c>
      <c r="D141" s="447" t="s">
        <v>2</v>
      </c>
      <c r="E141" s="26"/>
      <c r="F141" s="282">
        <v>32</v>
      </c>
      <c r="G141" s="80"/>
      <c r="H141" s="77">
        <f t="shared" si="2"/>
        <v>0</v>
      </c>
      <c r="I141" s="80"/>
      <c r="J141" s="77"/>
      <c r="K141" s="80"/>
      <c r="L141" s="77"/>
      <c r="M141" s="77">
        <f t="shared" si="1"/>
        <v>0</v>
      </c>
    </row>
    <row r="142" spans="1:13" hidden="1">
      <c r="A142" s="1419"/>
      <c r="B142" s="942"/>
      <c r="C142" s="138" t="s">
        <v>1202</v>
      </c>
      <c r="D142" s="447" t="s">
        <v>2</v>
      </c>
      <c r="E142" s="26"/>
      <c r="F142" s="282"/>
      <c r="G142" s="80"/>
      <c r="H142" s="77">
        <f>F142*G142</f>
        <v>0</v>
      </c>
      <c r="I142" s="80"/>
      <c r="J142" s="77"/>
      <c r="K142" s="80"/>
      <c r="L142" s="77"/>
      <c r="M142" s="77">
        <f>H142+J142+L142</f>
        <v>0</v>
      </c>
    </row>
    <row r="143" spans="1:13">
      <c r="A143" s="1419"/>
      <c r="B143" s="942"/>
      <c r="C143" s="138" t="s">
        <v>618</v>
      </c>
      <c r="D143" s="447" t="s">
        <v>2</v>
      </c>
      <c r="E143" s="26"/>
      <c r="F143" s="282">
        <v>2</v>
      </c>
      <c r="G143" s="80"/>
      <c r="H143" s="77">
        <f>F143*G143</f>
        <v>0</v>
      </c>
      <c r="I143" s="80"/>
      <c r="J143" s="77"/>
      <c r="K143" s="80"/>
      <c r="L143" s="77"/>
      <c r="M143" s="77">
        <f>H143+J143+L143</f>
        <v>0</v>
      </c>
    </row>
    <row r="144" spans="1:13">
      <c r="A144" s="1419"/>
      <c r="B144" s="942"/>
      <c r="C144" s="138" t="s">
        <v>619</v>
      </c>
      <c r="D144" s="447" t="s">
        <v>2</v>
      </c>
      <c r="E144" s="26"/>
      <c r="F144" s="282">
        <v>2</v>
      </c>
      <c r="G144" s="80"/>
      <c r="H144" s="77">
        <f t="shared" si="2"/>
        <v>0</v>
      </c>
      <c r="I144" s="80"/>
      <c r="J144" s="77"/>
      <c r="K144" s="80"/>
      <c r="L144" s="77"/>
      <c r="M144" s="77">
        <f t="shared" si="1"/>
        <v>0</v>
      </c>
    </row>
    <row r="145" spans="1:13" hidden="1">
      <c r="A145" s="1419"/>
      <c r="B145" s="942"/>
      <c r="C145" s="138" t="s">
        <v>620</v>
      </c>
      <c r="D145" s="447" t="s">
        <v>2</v>
      </c>
      <c r="E145" s="26"/>
      <c r="F145" s="282"/>
      <c r="G145" s="80"/>
      <c r="H145" s="77">
        <f t="shared" si="2"/>
        <v>0</v>
      </c>
      <c r="I145" s="80"/>
      <c r="J145" s="77"/>
      <c r="K145" s="80"/>
      <c r="L145" s="77"/>
      <c r="M145" s="77">
        <f t="shared" si="1"/>
        <v>0</v>
      </c>
    </row>
    <row r="146" spans="1:13">
      <c r="A146" s="1419"/>
      <c r="B146" s="942"/>
      <c r="C146" s="138" t="s">
        <v>684</v>
      </c>
      <c r="D146" s="447" t="s">
        <v>2</v>
      </c>
      <c r="E146" s="26"/>
      <c r="F146" s="282">
        <v>4</v>
      </c>
      <c r="G146" s="80"/>
      <c r="H146" s="77">
        <f t="shared" si="2"/>
        <v>0</v>
      </c>
      <c r="I146" s="80"/>
      <c r="J146" s="77"/>
      <c r="K146" s="80"/>
      <c r="L146" s="77"/>
      <c r="M146" s="77">
        <f t="shared" si="1"/>
        <v>0</v>
      </c>
    </row>
    <row r="147" spans="1:13" hidden="1">
      <c r="A147" s="1419"/>
      <c r="B147" s="942"/>
      <c r="C147" s="138" t="s">
        <v>685</v>
      </c>
      <c r="D147" s="447" t="s">
        <v>2</v>
      </c>
      <c r="E147" s="26"/>
      <c r="F147" s="282"/>
      <c r="G147" s="80"/>
      <c r="H147" s="77">
        <f t="shared" si="2"/>
        <v>0</v>
      </c>
      <c r="I147" s="80"/>
      <c r="J147" s="77"/>
      <c r="K147" s="80"/>
      <c r="L147" s="77"/>
      <c r="M147" s="77">
        <f t="shared" si="1"/>
        <v>0</v>
      </c>
    </row>
    <row r="148" spans="1:13" hidden="1">
      <c r="A148" s="1419"/>
      <c r="B148" s="942"/>
      <c r="C148" s="138" t="s">
        <v>621</v>
      </c>
      <c r="D148" s="447" t="s">
        <v>2</v>
      </c>
      <c r="E148" s="26"/>
      <c r="F148" s="282"/>
      <c r="G148" s="80"/>
      <c r="H148" s="77">
        <f t="shared" si="2"/>
        <v>0</v>
      </c>
      <c r="I148" s="80"/>
      <c r="J148" s="77"/>
      <c r="K148" s="80"/>
      <c r="L148" s="77"/>
      <c r="M148" s="77">
        <f t="shared" si="1"/>
        <v>0</v>
      </c>
    </row>
    <row r="149" spans="1:13" hidden="1">
      <c r="A149" s="1419"/>
      <c r="B149" s="942"/>
      <c r="C149" s="138" t="s">
        <v>686</v>
      </c>
      <c r="D149" s="447" t="s">
        <v>2</v>
      </c>
      <c r="E149" s="26"/>
      <c r="F149" s="282"/>
      <c r="G149" s="80"/>
      <c r="H149" s="77">
        <f t="shared" si="2"/>
        <v>0</v>
      </c>
      <c r="I149" s="80"/>
      <c r="J149" s="77"/>
      <c r="K149" s="80"/>
      <c r="L149" s="77"/>
      <c r="M149" s="77">
        <f t="shared" si="1"/>
        <v>0</v>
      </c>
    </row>
    <row r="150" spans="1:13" hidden="1">
      <c r="A150" s="1419"/>
      <c r="B150" s="942"/>
      <c r="C150" s="138" t="s">
        <v>687</v>
      </c>
      <c r="D150" s="447" t="s">
        <v>2</v>
      </c>
      <c r="E150" s="26"/>
      <c r="F150" s="282"/>
      <c r="G150" s="80"/>
      <c r="H150" s="77">
        <f t="shared" si="2"/>
        <v>0</v>
      </c>
      <c r="I150" s="80"/>
      <c r="J150" s="77"/>
      <c r="K150" s="80"/>
      <c r="L150" s="77"/>
      <c r="M150" s="77">
        <f t="shared" si="1"/>
        <v>0</v>
      </c>
    </row>
    <row r="151" spans="1:13">
      <c r="A151" s="1419"/>
      <c r="B151" s="942"/>
      <c r="C151" s="138" t="s">
        <v>688</v>
      </c>
      <c r="D151" s="447" t="s">
        <v>2</v>
      </c>
      <c r="E151" s="26"/>
      <c r="F151" s="282">
        <v>4</v>
      </c>
      <c r="G151" s="80"/>
      <c r="H151" s="77">
        <f t="shared" ref="H151:H216" si="3">F151*G151</f>
        <v>0</v>
      </c>
      <c r="I151" s="80"/>
      <c r="J151" s="77"/>
      <c r="K151" s="80"/>
      <c r="L151" s="77"/>
      <c r="M151" s="77">
        <f t="shared" ref="M151:M216" si="4">H151+J151+L151</f>
        <v>0</v>
      </c>
    </row>
    <row r="152" spans="1:13">
      <c r="A152" s="1419"/>
      <c r="B152" s="942"/>
      <c r="C152" s="138" t="s">
        <v>689</v>
      </c>
      <c r="D152" s="447" t="s">
        <v>2</v>
      </c>
      <c r="E152" s="26"/>
      <c r="F152" s="282">
        <v>2</v>
      </c>
      <c r="G152" s="80"/>
      <c r="H152" s="77">
        <f t="shared" si="3"/>
        <v>0</v>
      </c>
      <c r="I152" s="80"/>
      <c r="J152" s="77"/>
      <c r="K152" s="80"/>
      <c r="L152" s="77"/>
      <c r="M152" s="77">
        <f t="shared" si="4"/>
        <v>0</v>
      </c>
    </row>
    <row r="153" spans="1:13">
      <c r="A153" s="1419"/>
      <c r="B153" s="942"/>
      <c r="C153" s="138" t="s">
        <v>622</v>
      </c>
      <c r="D153" s="447" t="s">
        <v>2</v>
      </c>
      <c r="E153" s="26"/>
      <c r="F153" s="282">
        <v>24</v>
      </c>
      <c r="G153" s="80"/>
      <c r="H153" s="77">
        <f t="shared" si="3"/>
        <v>0</v>
      </c>
      <c r="I153" s="80"/>
      <c r="J153" s="77"/>
      <c r="K153" s="80"/>
      <c r="L153" s="77"/>
      <c r="M153" s="77">
        <f t="shared" si="4"/>
        <v>0</v>
      </c>
    </row>
    <row r="154" spans="1:13">
      <c r="A154" s="1419"/>
      <c r="B154" s="942"/>
      <c r="C154" s="138" t="s">
        <v>623</v>
      </c>
      <c r="D154" s="447" t="s">
        <v>2</v>
      </c>
      <c r="E154" s="26"/>
      <c r="F154" s="282">
        <v>4</v>
      </c>
      <c r="G154" s="80"/>
      <c r="H154" s="77">
        <f t="shared" si="3"/>
        <v>0</v>
      </c>
      <c r="I154" s="80"/>
      <c r="J154" s="77"/>
      <c r="K154" s="80"/>
      <c r="L154" s="77"/>
      <c r="M154" s="77">
        <f t="shared" si="4"/>
        <v>0</v>
      </c>
    </row>
    <row r="155" spans="1:13" hidden="1">
      <c r="A155" s="1419"/>
      <c r="B155" s="942"/>
      <c r="C155" s="138" t="s">
        <v>690</v>
      </c>
      <c r="D155" s="447" t="s">
        <v>2</v>
      </c>
      <c r="E155" s="26"/>
      <c r="F155" s="282"/>
      <c r="G155" s="80"/>
      <c r="H155" s="77">
        <f t="shared" si="3"/>
        <v>0</v>
      </c>
      <c r="I155" s="80"/>
      <c r="J155" s="77"/>
      <c r="K155" s="80"/>
      <c r="L155" s="77"/>
      <c r="M155" s="77">
        <f t="shared" si="4"/>
        <v>0</v>
      </c>
    </row>
    <row r="156" spans="1:13">
      <c r="A156" s="1419"/>
      <c r="B156" s="942"/>
      <c r="C156" s="138" t="s">
        <v>624</v>
      </c>
      <c r="D156" s="447" t="s">
        <v>2</v>
      </c>
      <c r="E156" s="26"/>
      <c r="F156" s="282">
        <v>3</v>
      </c>
      <c r="G156" s="80"/>
      <c r="H156" s="77">
        <f t="shared" si="3"/>
        <v>0</v>
      </c>
      <c r="I156" s="80"/>
      <c r="J156" s="77"/>
      <c r="K156" s="80"/>
      <c r="L156" s="77"/>
      <c r="M156" s="77">
        <f t="shared" si="4"/>
        <v>0</v>
      </c>
    </row>
    <row r="157" spans="1:13" hidden="1">
      <c r="A157" s="1419"/>
      <c r="B157" s="942"/>
      <c r="C157" s="138" t="s">
        <v>625</v>
      </c>
      <c r="D157" s="447" t="s">
        <v>2</v>
      </c>
      <c r="E157" s="26"/>
      <c r="F157" s="282"/>
      <c r="G157" s="80"/>
      <c r="H157" s="77">
        <f t="shared" si="3"/>
        <v>0</v>
      </c>
      <c r="I157" s="80"/>
      <c r="J157" s="77"/>
      <c r="K157" s="80"/>
      <c r="L157" s="77"/>
      <c r="M157" s="77">
        <f t="shared" si="4"/>
        <v>0</v>
      </c>
    </row>
    <row r="158" spans="1:13">
      <c r="A158" s="1419"/>
      <c r="B158" s="942"/>
      <c r="C158" s="138" t="s">
        <v>626</v>
      </c>
      <c r="D158" s="447" t="s">
        <v>2</v>
      </c>
      <c r="E158" s="26"/>
      <c r="F158" s="282">
        <v>2</v>
      </c>
      <c r="G158" s="80"/>
      <c r="H158" s="77">
        <f t="shared" si="3"/>
        <v>0</v>
      </c>
      <c r="I158" s="80"/>
      <c r="J158" s="77"/>
      <c r="K158" s="80"/>
      <c r="L158" s="77"/>
      <c r="M158" s="77">
        <f t="shared" si="4"/>
        <v>0</v>
      </c>
    </row>
    <row r="159" spans="1:13">
      <c r="A159" s="1419"/>
      <c r="B159" s="942"/>
      <c r="C159" s="138" t="s">
        <v>627</v>
      </c>
      <c r="D159" s="447" t="s">
        <v>2</v>
      </c>
      <c r="E159" s="26"/>
      <c r="F159" s="282">
        <v>50</v>
      </c>
      <c r="G159" s="80"/>
      <c r="H159" s="77">
        <f t="shared" si="3"/>
        <v>0</v>
      </c>
      <c r="I159" s="80"/>
      <c r="J159" s="77"/>
      <c r="K159" s="80"/>
      <c r="L159" s="77"/>
      <c r="M159" s="77">
        <f t="shared" si="4"/>
        <v>0</v>
      </c>
    </row>
    <row r="160" spans="1:13" hidden="1">
      <c r="A160" s="1419"/>
      <c r="B160" s="942"/>
      <c r="C160" s="138" t="s">
        <v>691</v>
      </c>
      <c r="D160" s="447" t="s">
        <v>2</v>
      </c>
      <c r="E160" s="26"/>
      <c r="F160" s="282"/>
      <c r="G160" s="80"/>
      <c r="H160" s="77">
        <f t="shared" si="3"/>
        <v>0</v>
      </c>
      <c r="I160" s="80"/>
      <c r="J160" s="77"/>
      <c r="K160" s="80"/>
      <c r="L160" s="77"/>
      <c r="M160" s="77">
        <f t="shared" si="4"/>
        <v>0</v>
      </c>
    </row>
    <row r="161" spans="1:13" hidden="1">
      <c r="A161" s="1419"/>
      <c r="B161" s="942"/>
      <c r="C161" s="138" t="s">
        <v>628</v>
      </c>
      <c r="D161" s="447" t="s">
        <v>2</v>
      </c>
      <c r="E161" s="26"/>
      <c r="F161" s="282"/>
      <c r="G161" s="80"/>
      <c r="H161" s="77">
        <f t="shared" si="3"/>
        <v>0</v>
      </c>
      <c r="I161" s="80"/>
      <c r="J161" s="77"/>
      <c r="K161" s="80"/>
      <c r="L161" s="77"/>
      <c r="M161" s="77">
        <f t="shared" si="4"/>
        <v>0</v>
      </c>
    </row>
    <row r="162" spans="1:13">
      <c r="A162" s="1419"/>
      <c r="B162" s="942"/>
      <c r="C162" s="138" t="s">
        <v>692</v>
      </c>
      <c r="D162" s="447" t="s">
        <v>2</v>
      </c>
      <c r="E162" s="26"/>
      <c r="F162" s="282">
        <v>8</v>
      </c>
      <c r="G162" s="80"/>
      <c r="H162" s="77">
        <f t="shared" si="3"/>
        <v>0</v>
      </c>
      <c r="I162" s="80"/>
      <c r="J162" s="77"/>
      <c r="K162" s="80"/>
      <c r="L162" s="77"/>
      <c r="M162" s="77">
        <f t="shared" si="4"/>
        <v>0</v>
      </c>
    </row>
    <row r="163" spans="1:13">
      <c r="A163" s="1419"/>
      <c r="B163" s="942"/>
      <c r="C163" s="138" t="s">
        <v>693</v>
      </c>
      <c r="D163" s="447" t="s">
        <v>2</v>
      </c>
      <c r="E163" s="26"/>
      <c r="F163" s="282">
        <v>4</v>
      </c>
      <c r="G163" s="80"/>
      <c r="H163" s="77">
        <f t="shared" si="3"/>
        <v>0</v>
      </c>
      <c r="I163" s="80"/>
      <c r="J163" s="77"/>
      <c r="K163" s="80"/>
      <c r="L163" s="77"/>
      <c r="M163" s="77">
        <f t="shared" si="4"/>
        <v>0</v>
      </c>
    </row>
    <row r="164" spans="1:13">
      <c r="A164" s="1419"/>
      <c r="B164" s="942"/>
      <c r="C164" s="138" t="s">
        <v>694</v>
      </c>
      <c r="D164" s="447" t="s">
        <v>2</v>
      </c>
      <c r="E164" s="26"/>
      <c r="F164" s="282">
        <v>2</v>
      </c>
      <c r="G164" s="80"/>
      <c r="H164" s="77">
        <f t="shared" si="3"/>
        <v>0</v>
      </c>
      <c r="I164" s="80"/>
      <c r="J164" s="77"/>
      <c r="K164" s="80"/>
      <c r="L164" s="77"/>
      <c r="M164" s="77">
        <f t="shared" si="4"/>
        <v>0</v>
      </c>
    </row>
    <row r="165" spans="1:13" hidden="1">
      <c r="A165" s="1419"/>
      <c r="B165" s="942"/>
      <c r="C165" s="138" t="s">
        <v>695</v>
      </c>
      <c r="D165" s="447" t="s">
        <v>2</v>
      </c>
      <c r="E165" s="26"/>
      <c r="F165" s="282"/>
      <c r="G165" s="80"/>
      <c r="H165" s="77">
        <f t="shared" si="3"/>
        <v>0</v>
      </c>
      <c r="I165" s="80"/>
      <c r="J165" s="77"/>
      <c r="K165" s="80"/>
      <c r="L165" s="77"/>
      <c r="M165" s="77">
        <f t="shared" si="4"/>
        <v>0</v>
      </c>
    </row>
    <row r="166" spans="1:13">
      <c r="A166" s="1419"/>
      <c r="B166" s="942"/>
      <c r="C166" s="138" t="s">
        <v>696</v>
      </c>
      <c r="D166" s="447" t="s">
        <v>2</v>
      </c>
      <c r="E166" s="26"/>
      <c r="F166" s="282">
        <v>4</v>
      </c>
      <c r="G166" s="80"/>
      <c r="H166" s="77">
        <f t="shared" si="3"/>
        <v>0</v>
      </c>
      <c r="I166" s="80"/>
      <c r="J166" s="77"/>
      <c r="K166" s="80"/>
      <c r="L166" s="77"/>
      <c r="M166" s="77">
        <f t="shared" si="4"/>
        <v>0</v>
      </c>
    </row>
    <row r="167" spans="1:13">
      <c r="A167" s="1419"/>
      <c r="B167" s="942"/>
      <c r="C167" s="138" t="s">
        <v>697</v>
      </c>
      <c r="D167" s="447" t="s">
        <v>2</v>
      </c>
      <c r="E167" s="26"/>
      <c r="F167" s="282">
        <v>6</v>
      </c>
      <c r="G167" s="80"/>
      <c r="H167" s="77">
        <f t="shared" si="3"/>
        <v>0</v>
      </c>
      <c r="I167" s="80"/>
      <c r="J167" s="77"/>
      <c r="K167" s="80"/>
      <c r="L167" s="77"/>
      <c r="M167" s="77">
        <f t="shared" si="4"/>
        <v>0</v>
      </c>
    </row>
    <row r="168" spans="1:13">
      <c r="A168" s="1419"/>
      <c r="B168" s="942"/>
      <c r="C168" s="138" t="s">
        <v>698</v>
      </c>
      <c r="D168" s="447" t="s">
        <v>2</v>
      </c>
      <c r="E168" s="26"/>
      <c r="F168" s="282">
        <v>108</v>
      </c>
      <c r="G168" s="80"/>
      <c r="H168" s="77">
        <f t="shared" si="3"/>
        <v>0</v>
      </c>
      <c r="I168" s="80"/>
      <c r="J168" s="77"/>
      <c r="K168" s="80"/>
      <c r="L168" s="77"/>
      <c r="M168" s="77">
        <f t="shared" si="4"/>
        <v>0</v>
      </c>
    </row>
    <row r="169" spans="1:13">
      <c r="A169" s="1419"/>
      <c r="B169" s="942"/>
      <c r="C169" s="138" t="s">
        <v>699</v>
      </c>
      <c r="D169" s="447" t="s">
        <v>2</v>
      </c>
      <c r="E169" s="26"/>
      <c r="F169" s="282">
        <v>3</v>
      </c>
      <c r="G169" s="80"/>
      <c r="H169" s="77">
        <f t="shared" si="3"/>
        <v>0</v>
      </c>
      <c r="I169" s="80"/>
      <c r="J169" s="77"/>
      <c r="K169" s="80"/>
      <c r="L169" s="77"/>
      <c r="M169" s="77">
        <f t="shared" si="4"/>
        <v>0</v>
      </c>
    </row>
    <row r="170" spans="1:13">
      <c r="A170" s="1419"/>
      <c r="B170" s="942"/>
      <c r="C170" s="138" t="s">
        <v>700</v>
      </c>
      <c r="D170" s="447" t="s">
        <v>2</v>
      </c>
      <c r="E170" s="26"/>
      <c r="F170" s="282">
        <v>34</v>
      </c>
      <c r="G170" s="80"/>
      <c r="H170" s="77">
        <f t="shared" si="3"/>
        <v>0</v>
      </c>
      <c r="I170" s="80"/>
      <c r="J170" s="77"/>
      <c r="K170" s="80"/>
      <c r="L170" s="77"/>
      <c r="M170" s="77">
        <f t="shared" si="4"/>
        <v>0</v>
      </c>
    </row>
    <row r="171" spans="1:13">
      <c r="A171" s="1419"/>
      <c r="B171" s="942"/>
      <c r="C171" s="138" t="s">
        <v>701</v>
      </c>
      <c r="D171" s="447" t="s">
        <v>2</v>
      </c>
      <c r="E171" s="26"/>
      <c r="F171" s="282">
        <v>36</v>
      </c>
      <c r="G171" s="80"/>
      <c r="H171" s="77">
        <f t="shared" si="3"/>
        <v>0</v>
      </c>
      <c r="I171" s="80"/>
      <c r="J171" s="77"/>
      <c r="K171" s="80"/>
      <c r="L171" s="77"/>
      <c r="M171" s="77">
        <f t="shared" si="4"/>
        <v>0</v>
      </c>
    </row>
    <row r="172" spans="1:13">
      <c r="A172" s="1419"/>
      <c r="B172" s="942"/>
      <c r="C172" s="138" t="s">
        <v>764</v>
      </c>
      <c r="D172" s="447" t="s">
        <v>2</v>
      </c>
      <c r="E172" s="26"/>
      <c r="F172" s="282">
        <v>43</v>
      </c>
      <c r="G172" s="80"/>
      <c r="H172" s="77">
        <f t="shared" si="3"/>
        <v>0</v>
      </c>
      <c r="I172" s="80"/>
      <c r="J172" s="77"/>
      <c r="K172" s="80"/>
      <c r="L172" s="77"/>
      <c r="M172" s="77">
        <f t="shared" si="4"/>
        <v>0</v>
      </c>
    </row>
    <row r="173" spans="1:13" hidden="1">
      <c r="A173" s="1419"/>
      <c r="B173" s="942"/>
      <c r="C173" s="138" t="s">
        <v>1203</v>
      </c>
      <c r="D173" s="447" t="s">
        <v>2</v>
      </c>
      <c r="E173" s="26"/>
      <c r="F173" s="282"/>
      <c r="G173" s="80"/>
      <c r="H173" s="77">
        <f t="shared" si="3"/>
        <v>0</v>
      </c>
      <c r="I173" s="80"/>
      <c r="J173" s="77"/>
      <c r="K173" s="80"/>
      <c r="L173" s="77"/>
      <c r="M173" s="77">
        <f t="shared" si="4"/>
        <v>0</v>
      </c>
    </row>
    <row r="174" spans="1:13">
      <c r="A174" s="1419"/>
      <c r="B174" s="942"/>
      <c r="C174" s="138" t="s">
        <v>702</v>
      </c>
      <c r="D174" s="447" t="s">
        <v>2</v>
      </c>
      <c r="E174" s="26"/>
      <c r="F174" s="282">
        <v>300</v>
      </c>
      <c r="G174" s="80"/>
      <c r="H174" s="77">
        <f t="shared" si="3"/>
        <v>0</v>
      </c>
      <c r="I174" s="80"/>
      <c r="J174" s="77"/>
      <c r="K174" s="80"/>
      <c r="L174" s="77"/>
      <c r="M174" s="77">
        <f t="shared" si="4"/>
        <v>0</v>
      </c>
    </row>
    <row r="175" spans="1:13">
      <c r="A175" s="1419"/>
      <c r="B175" s="942"/>
      <c r="C175" s="138" t="s">
        <v>638</v>
      </c>
      <c r="D175" s="447" t="s">
        <v>6</v>
      </c>
      <c r="E175" s="26"/>
      <c r="F175" s="282">
        <v>3</v>
      </c>
      <c r="G175" s="80"/>
      <c r="H175" s="77">
        <f t="shared" si="3"/>
        <v>0</v>
      </c>
      <c r="I175" s="80"/>
      <c r="J175" s="77"/>
      <c r="K175" s="80"/>
      <c r="L175" s="77"/>
      <c r="M175" s="77">
        <f t="shared" si="4"/>
        <v>0</v>
      </c>
    </row>
    <row r="176" spans="1:13">
      <c r="A176" s="1420"/>
      <c r="B176" s="942"/>
      <c r="C176" s="127" t="s">
        <v>154</v>
      </c>
      <c r="D176" s="942" t="s">
        <v>121</v>
      </c>
      <c r="E176" s="26">
        <v>0.12</v>
      </c>
      <c r="F176" s="282">
        <f>F127*E176</f>
        <v>76.319999999999993</v>
      </c>
      <c r="G176" s="80"/>
      <c r="H176" s="77">
        <f t="shared" si="3"/>
        <v>0</v>
      </c>
      <c r="I176" s="80"/>
      <c r="J176" s="77"/>
      <c r="K176" s="80"/>
      <c r="L176" s="77"/>
      <c r="M176" s="77">
        <f t="shared" si="4"/>
        <v>0</v>
      </c>
    </row>
    <row r="177" spans="1:13">
      <c r="A177" s="1418" t="s">
        <v>272</v>
      </c>
      <c r="B177" s="22" t="s">
        <v>136</v>
      </c>
      <c r="C177" s="404" t="s">
        <v>137</v>
      </c>
      <c r="D177" s="22" t="s">
        <v>138</v>
      </c>
      <c r="E177" s="243"/>
      <c r="F177" s="122">
        <v>50</v>
      </c>
      <c r="G177" s="80"/>
      <c r="H177" s="77"/>
      <c r="I177" s="77"/>
      <c r="J177" s="77"/>
      <c r="K177" s="77"/>
      <c r="L177" s="77"/>
      <c r="M177" s="77"/>
    </row>
    <row r="178" spans="1:13">
      <c r="A178" s="1419"/>
      <c r="B178" s="22"/>
      <c r="C178" s="407" t="s">
        <v>13</v>
      </c>
      <c r="D178" s="253" t="s">
        <v>109</v>
      </c>
      <c r="E178" s="256">
        <v>1.002</v>
      </c>
      <c r="F178" s="257">
        <f>F177*E178</f>
        <v>50.1</v>
      </c>
      <c r="G178" s="80"/>
      <c r="H178" s="77"/>
      <c r="I178" s="77"/>
      <c r="J178" s="77">
        <f>F178*I178</f>
        <v>0</v>
      </c>
      <c r="K178" s="77"/>
      <c r="L178" s="77"/>
      <c r="M178" s="77">
        <f t="shared" si="4"/>
        <v>0</v>
      </c>
    </row>
    <row r="179" spans="1:13">
      <c r="A179" s="1420"/>
      <c r="B179" s="22"/>
      <c r="C179" s="407" t="s">
        <v>139</v>
      </c>
      <c r="D179" s="253" t="s">
        <v>11</v>
      </c>
      <c r="E179" s="256">
        <v>0.49340000000000001</v>
      </c>
      <c r="F179" s="257">
        <f>F177*E179</f>
        <v>24.67</v>
      </c>
      <c r="G179" s="80"/>
      <c r="H179" s="77"/>
      <c r="I179" s="77"/>
      <c r="J179" s="77"/>
      <c r="K179" s="77"/>
      <c r="L179" s="77">
        <f>F179*K179</f>
        <v>0</v>
      </c>
      <c r="M179" s="77">
        <f t="shared" si="4"/>
        <v>0</v>
      </c>
    </row>
    <row r="180" spans="1:13">
      <c r="A180" s="1418" t="s">
        <v>435</v>
      </c>
      <c r="B180" s="22" t="s">
        <v>143</v>
      </c>
      <c r="C180" s="404" t="s">
        <v>140</v>
      </c>
      <c r="D180" s="942" t="s">
        <v>5</v>
      </c>
      <c r="E180" s="243">
        <f>0.15*0.15</f>
        <v>2.2499999999999999E-2</v>
      </c>
      <c r="F180" s="122">
        <f>F177*E180</f>
        <v>1.125</v>
      </c>
      <c r="G180" s="80"/>
      <c r="H180" s="77"/>
      <c r="I180" s="77"/>
      <c r="J180" s="77"/>
      <c r="K180" s="77"/>
      <c r="L180" s="77"/>
      <c r="M180" s="77"/>
    </row>
    <row r="181" spans="1:13">
      <c r="A181" s="1419"/>
      <c r="B181" s="22"/>
      <c r="C181" s="408" t="s">
        <v>20</v>
      </c>
      <c r="D181" s="255" t="s">
        <v>15</v>
      </c>
      <c r="E181" s="73">
        <v>74.2</v>
      </c>
      <c r="F181" s="78">
        <f>F180*E181</f>
        <v>83.475000000000009</v>
      </c>
      <c r="G181" s="146"/>
      <c r="H181" s="77"/>
      <c r="I181" s="77"/>
      <c r="J181" s="77">
        <f>F181*I181</f>
        <v>0</v>
      </c>
      <c r="K181" s="77"/>
      <c r="L181" s="77"/>
      <c r="M181" s="77">
        <f t="shared" si="4"/>
        <v>0</v>
      </c>
    </row>
    <row r="182" spans="1:13">
      <c r="A182" s="1419"/>
      <c r="B182" s="22"/>
      <c r="C182" s="408" t="s">
        <v>24</v>
      </c>
      <c r="D182" s="63" t="s">
        <v>11</v>
      </c>
      <c r="E182" s="73">
        <v>1.1000000000000001</v>
      </c>
      <c r="F182" s="78">
        <f>F180*E182</f>
        <v>1.2375</v>
      </c>
      <c r="G182" s="146"/>
      <c r="H182" s="77"/>
      <c r="I182" s="77"/>
      <c r="J182" s="77"/>
      <c r="K182" s="77"/>
      <c r="L182" s="77">
        <f>F182*K182</f>
        <v>0</v>
      </c>
      <c r="M182" s="77">
        <f t="shared" si="4"/>
        <v>0</v>
      </c>
    </row>
    <row r="183" spans="1:13">
      <c r="A183" s="1419"/>
      <c r="B183" s="22"/>
      <c r="C183" s="107" t="s">
        <v>89</v>
      </c>
      <c r="D183" s="255" t="s">
        <v>4</v>
      </c>
      <c r="E183" s="73">
        <v>1.04</v>
      </c>
      <c r="F183" s="78">
        <f>F180*E183</f>
        <v>1.17</v>
      </c>
      <c r="G183" s="146"/>
      <c r="H183" s="77">
        <f t="shared" si="3"/>
        <v>0</v>
      </c>
      <c r="I183" s="77"/>
      <c r="J183" s="77"/>
      <c r="K183" s="77"/>
      <c r="L183" s="77"/>
      <c r="M183" s="77">
        <f t="shared" si="4"/>
        <v>0</v>
      </c>
    </row>
    <row r="184" spans="1:13">
      <c r="A184" s="1419"/>
      <c r="B184" s="22"/>
      <c r="C184" s="408" t="s">
        <v>144</v>
      </c>
      <c r="D184" s="255" t="s">
        <v>6</v>
      </c>
      <c r="E184" s="73">
        <v>5.9</v>
      </c>
      <c r="F184" s="78">
        <f>F180*E184</f>
        <v>6.6375000000000002</v>
      </c>
      <c r="G184" s="146"/>
      <c r="H184" s="77">
        <f t="shared" si="3"/>
        <v>0</v>
      </c>
      <c r="I184" s="77"/>
      <c r="J184" s="77"/>
      <c r="K184" s="77"/>
      <c r="L184" s="77"/>
      <c r="M184" s="77">
        <f t="shared" si="4"/>
        <v>0</v>
      </c>
    </row>
    <row r="185" spans="1:13">
      <c r="A185" s="1419"/>
      <c r="B185" s="22"/>
      <c r="C185" s="142" t="s">
        <v>222</v>
      </c>
      <c r="D185" s="284" t="s">
        <v>4</v>
      </c>
      <c r="E185" s="1006">
        <f>0.21+0.18</f>
        <v>0.39</v>
      </c>
      <c r="F185" s="1000">
        <v>0.11232</v>
      </c>
      <c r="G185" s="304"/>
      <c r="H185" s="77">
        <f t="shared" si="3"/>
        <v>0</v>
      </c>
      <c r="I185" s="77"/>
      <c r="J185" s="77"/>
      <c r="K185" s="77"/>
      <c r="L185" s="77"/>
      <c r="M185" s="77">
        <f t="shared" si="4"/>
        <v>0</v>
      </c>
    </row>
    <row r="186" spans="1:13">
      <c r="A186" s="1418" t="s">
        <v>421</v>
      </c>
      <c r="B186" s="942" t="s">
        <v>181</v>
      </c>
      <c r="C186" s="946" t="s">
        <v>176</v>
      </c>
      <c r="D186" s="942" t="s">
        <v>177</v>
      </c>
      <c r="E186" s="26"/>
      <c r="F186" s="20">
        <f>(F47+F53+F59+F65+F71+F77+F83+F89+F95+F101+F277)/100</f>
        <v>7.25</v>
      </c>
      <c r="G186" s="80"/>
      <c r="H186" s="77"/>
      <c r="I186" s="80"/>
      <c r="J186" s="77"/>
      <c r="K186" s="80"/>
      <c r="L186" s="77"/>
      <c r="M186" s="77"/>
    </row>
    <row r="187" spans="1:13">
      <c r="A187" s="1419"/>
      <c r="B187" s="942"/>
      <c r="C187" s="127" t="s">
        <v>119</v>
      </c>
      <c r="D187" s="942" t="s">
        <v>120</v>
      </c>
      <c r="E187" s="26">
        <v>5.16</v>
      </c>
      <c r="F187" s="282">
        <f>F186*E187</f>
        <v>37.410000000000004</v>
      </c>
      <c r="G187" s="80"/>
      <c r="H187" s="77"/>
      <c r="I187" s="80"/>
      <c r="J187" s="77">
        <f>F187*I187</f>
        <v>0</v>
      </c>
      <c r="K187" s="80"/>
      <c r="L187" s="77"/>
      <c r="M187" s="77">
        <f t="shared" si="4"/>
        <v>0</v>
      </c>
    </row>
    <row r="188" spans="1:13">
      <c r="A188" s="1419"/>
      <c r="B188" s="942"/>
      <c r="C188" s="127" t="s">
        <v>178</v>
      </c>
      <c r="D188" s="942" t="s">
        <v>4</v>
      </c>
      <c r="E188" s="26">
        <v>1</v>
      </c>
      <c r="F188" s="282">
        <f>F186*E188</f>
        <v>7.25</v>
      </c>
      <c r="G188" s="80"/>
      <c r="H188" s="77">
        <f t="shared" si="3"/>
        <v>0</v>
      </c>
      <c r="I188" s="80"/>
      <c r="J188" s="77"/>
      <c r="K188" s="80"/>
      <c r="L188" s="77"/>
      <c r="M188" s="77">
        <f t="shared" si="4"/>
        <v>0</v>
      </c>
    </row>
    <row r="189" spans="1:13">
      <c r="A189" s="1420"/>
      <c r="B189" s="942"/>
      <c r="C189" s="127" t="s">
        <v>19</v>
      </c>
      <c r="D189" s="942" t="s">
        <v>11</v>
      </c>
      <c r="E189" s="26">
        <v>0.11</v>
      </c>
      <c r="F189" s="282">
        <f>F186*E189</f>
        <v>0.79749999999999999</v>
      </c>
      <c r="G189" s="80"/>
      <c r="H189" s="77">
        <f t="shared" si="3"/>
        <v>0</v>
      </c>
      <c r="I189" s="80"/>
      <c r="J189" s="77"/>
      <c r="K189" s="80"/>
      <c r="L189" s="77"/>
      <c r="M189" s="77">
        <f t="shared" si="4"/>
        <v>0</v>
      </c>
    </row>
    <row r="190" spans="1:13" ht="31.5">
      <c r="A190" s="1393" t="s">
        <v>436</v>
      </c>
      <c r="B190" s="447" t="s">
        <v>175</v>
      </c>
      <c r="C190" s="137" t="s">
        <v>174</v>
      </c>
      <c r="D190" s="447" t="s">
        <v>75</v>
      </c>
      <c r="E190" s="26"/>
      <c r="F190" s="20">
        <v>1</v>
      </c>
      <c r="G190" s="77"/>
      <c r="H190" s="77"/>
      <c r="I190" s="77"/>
      <c r="J190" s="77"/>
      <c r="K190" s="77"/>
      <c r="L190" s="77"/>
      <c r="M190" s="77"/>
    </row>
    <row r="191" spans="1:13">
      <c r="A191" s="1394"/>
      <c r="B191" s="447"/>
      <c r="C191" s="127" t="s">
        <v>119</v>
      </c>
      <c r="D191" s="942" t="s">
        <v>120</v>
      </c>
      <c r="E191" s="26">
        <v>4.9800000000000004</v>
      </c>
      <c r="F191" s="282">
        <f>F190*E191</f>
        <v>4.9800000000000004</v>
      </c>
      <c r="G191" s="80"/>
      <c r="H191" s="77"/>
      <c r="I191" s="80"/>
      <c r="J191" s="77">
        <f>F191*I191</f>
        <v>0</v>
      </c>
      <c r="K191" s="80"/>
      <c r="L191" s="77"/>
      <c r="M191" s="77">
        <f t="shared" si="4"/>
        <v>0</v>
      </c>
    </row>
    <row r="192" spans="1:13">
      <c r="A192" s="1394"/>
      <c r="B192" s="447"/>
      <c r="C192" s="127" t="s">
        <v>134</v>
      </c>
      <c r="D192" s="942" t="s">
        <v>121</v>
      </c>
      <c r="E192" s="26">
        <v>0.08</v>
      </c>
      <c r="F192" s="282">
        <f>F190*E192</f>
        <v>0.08</v>
      </c>
      <c r="G192" s="80"/>
      <c r="H192" s="77"/>
      <c r="I192" s="80"/>
      <c r="J192" s="77"/>
      <c r="K192" s="80"/>
      <c r="L192" s="77">
        <f>F192*K192</f>
        <v>0</v>
      </c>
      <c r="M192" s="77">
        <f t="shared" si="4"/>
        <v>0</v>
      </c>
    </row>
    <row r="193" spans="1:13">
      <c r="A193" s="1395"/>
      <c r="B193" s="447"/>
      <c r="C193" s="153" t="s">
        <v>154</v>
      </c>
      <c r="D193" s="942" t="s">
        <v>121</v>
      </c>
      <c r="E193" s="26">
        <v>0.23</v>
      </c>
      <c r="F193" s="282">
        <f>F190*E193</f>
        <v>0.23</v>
      </c>
      <c r="G193" s="80"/>
      <c r="H193" s="77">
        <f t="shared" si="3"/>
        <v>0</v>
      </c>
      <c r="I193" s="80"/>
      <c r="J193" s="77"/>
      <c r="K193" s="80"/>
      <c r="L193" s="77"/>
      <c r="M193" s="77">
        <f t="shared" si="4"/>
        <v>0</v>
      </c>
    </row>
    <row r="194" spans="1:13">
      <c r="A194" s="320" t="s">
        <v>331</v>
      </c>
      <c r="B194" s="62"/>
      <c r="C194" s="234" t="s">
        <v>164</v>
      </c>
      <c r="D194" s="62"/>
      <c r="E194" s="1004"/>
      <c r="F194" s="95"/>
      <c r="G194" s="77"/>
      <c r="H194" s="77"/>
      <c r="I194" s="77"/>
      <c r="J194" s="77"/>
      <c r="K194" s="77"/>
      <c r="L194" s="77"/>
      <c r="M194" s="77"/>
    </row>
    <row r="195" spans="1:13" ht="31.5">
      <c r="A195" s="1418">
        <v>1</v>
      </c>
      <c r="B195" s="22" t="s">
        <v>182</v>
      </c>
      <c r="C195" s="404" t="s">
        <v>165</v>
      </c>
      <c r="D195" s="22" t="s">
        <v>1</v>
      </c>
      <c r="E195" s="243"/>
      <c r="F195" s="122">
        <v>65</v>
      </c>
      <c r="G195" s="79"/>
      <c r="H195" s="77"/>
      <c r="I195" s="79"/>
      <c r="J195" s="77"/>
      <c r="K195" s="79"/>
      <c r="L195" s="77"/>
      <c r="M195" s="77"/>
    </row>
    <row r="196" spans="1:13">
      <c r="A196" s="1419"/>
      <c r="B196" s="22"/>
      <c r="C196" s="127" t="s">
        <v>13</v>
      </c>
      <c r="D196" s="942" t="s">
        <v>109</v>
      </c>
      <c r="E196" s="26">
        <v>0.60899999999999999</v>
      </c>
      <c r="F196" s="282">
        <f>F195*E196</f>
        <v>39.585000000000001</v>
      </c>
      <c r="G196" s="80"/>
      <c r="H196" s="77"/>
      <c r="I196" s="80"/>
      <c r="J196" s="77">
        <f>F196*I196</f>
        <v>0</v>
      </c>
      <c r="K196" s="80"/>
      <c r="L196" s="77"/>
      <c r="M196" s="77">
        <f t="shared" si="4"/>
        <v>0</v>
      </c>
    </row>
    <row r="197" spans="1:13">
      <c r="A197" s="1419"/>
      <c r="B197" s="22"/>
      <c r="C197" s="127" t="s">
        <v>139</v>
      </c>
      <c r="D197" s="942" t="s">
        <v>156</v>
      </c>
      <c r="E197" s="26">
        <v>2.0999999999999999E-3</v>
      </c>
      <c r="F197" s="282">
        <f>F195*E197</f>
        <v>0.13649999999999998</v>
      </c>
      <c r="G197" s="80"/>
      <c r="H197" s="77"/>
      <c r="I197" s="80"/>
      <c r="J197" s="77"/>
      <c r="K197" s="80"/>
      <c r="L197" s="77">
        <f>F197*K197</f>
        <v>0</v>
      </c>
      <c r="M197" s="77">
        <f t="shared" si="4"/>
        <v>0</v>
      </c>
    </row>
    <row r="198" spans="1:13">
      <c r="A198" s="1419"/>
      <c r="B198" s="22"/>
      <c r="C198" s="127" t="s">
        <v>629</v>
      </c>
      <c r="D198" s="942" t="s">
        <v>167</v>
      </c>
      <c r="E198" s="26">
        <v>1</v>
      </c>
      <c r="F198" s="282">
        <f>F195*E198</f>
        <v>65</v>
      </c>
      <c r="G198" s="80"/>
      <c r="H198" s="77">
        <f t="shared" si="3"/>
        <v>0</v>
      </c>
      <c r="I198" s="80"/>
      <c r="J198" s="77"/>
      <c r="K198" s="80"/>
      <c r="L198" s="77"/>
      <c r="M198" s="77">
        <f t="shared" si="4"/>
        <v>0</v>
      </c>
    </row>
    <row r="199" spans="1:13">
      <c r="A199" s="1419"/>
      <c r="B199" s="22"/>
      <c r="C199" s="405" t="s">
        <v>168</v>
      </c>
      <c r="D199" s="235" t="s">
        <v>169</v>
      </c>
      <c r="E199" s="1013">
        <f>14*0.01</f>
        <v>0.14000000000000001</v>
      </c>
      <c r="F199" s="1014">
        <f>E199*F195</f>
        <v>9.1000000000000014</v>
      </c>
      <c r="G199" s="1015"/>
      <c r="H199" s="77">
        <f t="shared" si="3"/>
        <v>0</v>
      </c>
      <c r="I199" s="1015"/>
      <c r="J199" s="77"/>
      <c r="K199" s="1015"/>
      <c r="L199" s="77"/>
      <c r="M199" s="77">
        <f t="shared" si="4"/>
        <v>0</v>
      </c>
    </row>
    <row r="200" spans="1:13">
      <c r="A200" s="1420"/>
      <c r="B200" s="22"/>
      <c r="C200" s="127" t="s">
        <v>19</v>
      </c>
      <c r="D200" s="942" t="s">
        <v>156</v>
      </c>
      <c r="E200" s="26">
        <v>0.156</v>
      </c>
      <c r="F200" s="282">
        <f>F195*E200</f>
        <v>10.14</v>
      </c>
      <c r="G200" s="80"/>
      <c r="H200" s="77">
        <f t="shared" si="3"/>
        <v>0</v>
      </c>
      <c r="I200" s="80"/>
      <c r="J200" s="77"/>
      <c r="K200" s="80"/>
      <c r="L200" s="77"/>
      <c r="M200" s="77">
        <f t="shared" si="4"/>
        <v>0</v>
      </c>
    </row>
    <row r="201" spans="1:13" ht="31.5">
      <c r="A201" s="1418">
        <v>2</v>
      </c>
      <c r="B201" s="22" t="s">
        <v>171</v>
      </c>
      <c r="C201" s="404" t="s">
        <v>170</v>
      </c>
      <c r="D201" s="22" t="s">
        <v>1</v>
      </c>
      <c r="E201" s="243"/>
      <c r="F201" s="122">
        <v>197</v>
      </c>
      <c r="G201" s="79"/>
      <c r="H201" s="77"/>
      <c r="I201" s="79"/>
      <c r="J201" s="77"/>
      <c r="K201" s="79"/>
      <c r="L201" s="77"/>
      <c r="M201" s="77"/>
    </row>
    <row r="202" spans="1:13">
      <c r="A202" s="1419"/>
      <c r="B202" s="22"/>
      <c r="C202" s="127" t="s">
        <v>13</v>
      </c>
      <c r="D202" s="942" t="s">
        <v>109</v>
      </c>
      <c r="E202" s="26">
        <f>58.3*0.01</f>
        <v>0.58299999999999996</v>
      </c>
      <c r="F202" s="282">
        <f>F201*E202</f>
        <v>114.851</v>
      </c>
      <c r="G202" s="80"/>
      <c r="H202" s="77"/>
      <c r="I202" s="80"/>
      <c r="J202" s="77">
        <f>F202*I202</f>
        <v>0</v>
      </c>
      <c r="K202" s="80"/>
      <c r="L202" s="77"/>
      <c r="M202" s="77">
        <f t="shared" si="4"/>
        <v>0</v>
      </c>
    </row>
    <row r="203" spans="1:13">
      <c r="A203" s="1419"/>
      <c r="B203" s="22"/>
      <c r="C203" s="127" t="s">
        <v>139</v>
      </c>
      <c r="D203" s="942" t="s">
        <v>156</v>
      </c>
      <c r="E203" s="26">
        <f>0.46*0.01</f>
        <v>4.5999999999999999E-3</v>
      </c>
      <c r="F203" s="282">
        <f>F201*E203</f>
        <v>0.90620000000000001</v>
      </c>
      <c r="G203" s="80"/>
      <c r="H203" s="77"/>
      <c r="I203" s="80"/>
      <c r="J203" s="77"/>
      <c r="K203" s="80"/>
      <c r="L203" s="77">
        <f>F203*K203</f>
        <v>0</v>
      </c>
      <c r="M203" s="77">
        <f t="shared" si="4"/>
        <v>0</v>
      </c>
    </row>
    <row r="204" spans="1:13">
      <c r="A204" s="1419"/>
      <c r="B204" s="22"/>
      <c r="C204" s="127" t="s">
        <v>166</v>
      </c>
      <c r="D204" s="942" t="s">
        <v>167</v>
      </c>
      <c r="E204" s="26">
        <v>1</v>
      </c>
      <c r="F204" s="282">
        <f>F201*E204</f>
        <v>197</v>
      </c>
      <c r="G204" s="80"/>
      <c r="H204" s="77">
        <f t="shared" si="3"/>
        <v>0</v>
      </c>
      <c r="I204" s="80"/>
      <c r="J204" s="77"/>
      <c r="K204" s="80"/>
      <c r="L204" s="77"/>
      <c r="M204" s="77">
        <f t="shared" si="4"/>
        <v>0</v>
      </c>
    </row>
    <row r="205" spans="1:13">
      <c r="A205" s="1419"/>
      <c r="B205" s="22"/>
      <c r="C205" s="405" t="s">
        <v>168</v>
      </c>
      <c r="D205" s="235" t="s">
        <v>169</v>
      </c>
      <c r="E205" s="1013">
        <f>23*0.01</f>
        <v>0.23</v>
      </c>
      <c r="F205" s="1014">
        <f>E205*F201</f>
        <v>45.31</v>
      </c>
      <c r="G205" s="1015"/>
      <c r="H205" s="77">
        <f t="shared" si="3"/>
        <v>0</v>
      </c>
      <c r="I205" s="1015"/>
      <c r="J205" s="77"/>
      <c r="K205" s="1015"/>
      <c r="L205" s="77"/>
      <c r="M205" s="77">
        <f t="shared" si="4"/>
        <v>0</v>
      </c>
    </row>
    <row r="206" spans="1:13">
      <c r="A206" s="1420"/>
      <c r="B206" s="22"/>
      <c r="C206" s="127" t="s">
        <v>19</v>
      </c>
      <c r="D206" s="942" t="s">
        <v>156</v>
      </c>
      <c r="E206" s="26">
        <f>20.8*0.01</f>
        <v>0.20800000000000002</v>
      </c>
      <c r="F206" s="282">
        <f>F201*E206</f>
        <v>40.976000000000006</v>
      </c>
      <c r="G206" s="80"/>
      <c r="H206" s="77">
        <f t="shared" si="3"/>
        <v>0</v>
      </c>
      <c r="I206" s="80"/>
      <c r="J206" s="77"/>
      <c r="K206" s="80"/>
      <c r="L206" s="77"/>
      <c r="M206" s="77">
        <f t="shared" si="4"/>
        <v>0</v>
      </c>
    </row>
    <row r="207" spans="1:13">
      <c r="A207" s="1495" t="s">
        <v>83</v>
      </c>
      <c r="B207" s="22" t="s">
        <v>630</v>
      </c>
      <c r="C207" s="404" t="s">
        <v>163</v>
      </c>
      <c r="D207" s="22" t="s">
        <v>90</v>
      </c>
      <c r="E207" s="243"/>
      <c r="F207" s="122">
        <f>F210+F211</f>
        <v>5</v>
      </c>
      <c r="G207" s="79"/>
      <c r="H207" s="77"/>
      <c r="I207" s="79"/>
      <c r="J207" s="77"/>
      <c r="K207" s="79"/>
      <c r="L207" s="77"/>
      <c r="M207" s="77"/>
    </row>
    <row r="208" spans="1:13">
      <c r="A208" s="1496"/>
      <c r="B208" s="22"/>
      <c r="C208" s="127" t="s">
        <v>13</v>
      </c>
      <c r="D208" s="942" t="s">
        <v>15</v>
      </c>
      <c r="E208" s="26">
        <v>1.85</v>
      </c>
      <c r="F208" s="282">
        <f>F207*E208</f>
        <v>9.25</v>
      </c>
      <c r="G208" s="80"/>
      <c r="H208" s="77"/>
      <c r="I208" s="80"/>
      <c r="J208" s="77">
        <f>F208*I208</f>
        <v>0</v>
      </c>
      <c r="K208" s="80"/>
      <c r="L208" s="77"/>
      <c r="M208" s="77">
        <f t="shared" si="4"/>
        <v>0</v>
      </c>
    </row>
    <row r="209" spans="1:13">
      <c r="A209" s="1496"/>
      <c r="B209" s="22"/>
      <c r="C209" s="127" t="s">
        <v>139</v>
      </c>
      <c r="D209" s="942" t="s">
        <v>156</v>
      </c>
      <c r="E209" s="26">
        <v>0.03</v>
      </c>
      <c r="F209" s="282">
        <f>F207*E209</f>
        <v>0.15</v>
      </c>
      <c r="G209" s="80"/>
      <c r="H209" s="77"/>
      <c r="I209" s="80"/>
      <c r="J209" s="77"/>
      <c r="K209" s="80"/>
      <c r="L209" s="77">
        <f>F209*K209</f>
        <v>0</v>
      </c>
      <c r="M209" s="77">
        <f t="shared" si="4"/>
        <v>0</v>
      </c>
    </row>
    <row r="210" spans="1:13">
      <c r="A210" s="1496"/>
      <c r="B210" s="22" t="s">
        <v>199</v>
      </c>
      <c r="C210" s="127" t="s">
        <v>598</v>
      </c>
      <c r="D210" s="942" t="s">
        <v>90</v>
      </c>
      <c r="E210" s="26">
        <v>1</v>
      </c>
      <c r="F210" s="282">
        <v>4</v>
      </c>
      <c r="G210" s="80"/>
      <c r="H210" s="77">
        <f t="shared" si="3"/>
        <v>0</v>
      </c>
      <c r="I210" s="80"/>
      <c r="J210" s="77"/>
      <c r="K210" s="80"/>
      <c r="L210" s="77"/>
      <c r="M210" s="77">
        <f t="shared" si="4"/>
        <v>0</v>
      </c>
    </row>
    <row r="211" spans="1:13">
      <c r="A211" s="1496"/>
      <c r="B211" s="22"/>
      <c r="C211" s="127" t="s">
        <v>767</v>
      </c>
      <c r="D211" s="942" t="s">
        <v>90</v>
      </c>
      <c r="E211" s="26">
        <v>1</v>
      </c>
      <c r="F211" s="282">
        <v>1</v>
      </c>
      <c r="G211" s="80"/>
      <c r="H211" s="77">
        <f>F211*G211</f>
        <v>0</v>
      </c>
      <c r="I211" s="80"/>
      <c r="J211" s="77"/>
      <c r="K211" s="80"/>
      <c r="L211" s="77"/>
      <c r="M211" s="77">
        <f>H211+J211+L211</f>
        <v>0</v>
      </c>
    </row>
    <row r="212" spans="1:13">
      <c r="A212" s="1497"/>
      <c r="B212" s="22"/>
      <c r="C212" s="127" t="s">
        <v>19</v>
      </c>
      <c r="D212" s="942" t="s">
        <v>156</v>
      </c>
      <c r="E212" s="26">
        <v>0.18</v>
      </c>
      <c r="F212" s="282">
        <f>F207*E212</f>
        <v>0.89999999999999991</v>
      </c>
      <c r="G212" s="80"/>
      <c r="H212" s="77">
        <f t="shared" si="3"/>
        <v>0</v>
      </c>
      <c r="I212" s="80"/>
      <c r="J212" s="77"/>
      <c r="K212" s="80"/>
      <c r="L212" s="77"/>
      <c r="M212" s="77">
        <f t="shared" si="4"/>
        <v>0</v>
      </c>
    </row>
    <row r="213" spans="1:13">
      <c r="A213" s="1495" t="s">
        <v>431</v>
      </c>
      <c r="B213" s="22" t="s">
        <v>757</v>
      </c>
      <c r="C213" s="404" t="s">
        <v>163</v>
      </c>
      <c r="D213" s="22" t="s">
        <v>90</v>
      </c>
      <c r="E213" s="243"/>
      <c r="F213" s="122">
        <f>F216</f>
        <v>4</v>
      </c>
      <c r="G213" s="79"/>
      <c r="H213" s="77"/>
      <c r="I213" s="79"/>
      <c r="J213" s="77"/>
      <c r="K213" s="79"/>
      <c r="L213" s="77"/>
      <c r="M213" s="77"/>
    </row>
    <row r="214" spans="1:13">
      <c r="A214" s="1496"/>
      <c r="B214" s="22"/>
      <c r="C214" s="127" t="s">
        <v>13</v>
      </c>
      <c r="D214" s="942" t="s">
        <v>15</v>
      </c>
      <c r="E214" s="26">
        <v>0.46</v>
      </c>
      <c r="F214" s="282">
        <f>F213*E214</f>
        <v>1.84</v>
      </c>
      <c r="G214" s="80"/>
      <c r="H214" s="77"/>
      <c r="I214" s="80"/>
      <c r="J214" s="77">
        <f>F214*I214</f>
        <v>0</v>
      </c>
      <c r="K214" s="80"/>
      <c r="L214" s="77"/>
      <c r="M214" s="77">
        <f t="shared" si="4"/>
        <v>0</v>
      </c>
    </row>
    <row r="215" spans="1:13">
      <c r="A215" s="1496"/>
      <c r="B215" s="22"/>
      <c r="C215" s="127" t="s">
        <v>139</v>
      </c>
      <c r="D215" s="942" t="s">
        <v>156</v>
      </c>
      <c r="E215" s="26">
        <v>0.02</v>
      </c>
      <c r="F215" s="282">
        <f>F213*E215</f>
        <v>0.08</v>
      </c>
      <c r="G215" s="80"/>
      <c r="H215" s="77"/>
      <c r="I215" s="80"/>
      <c r="J215" s="77"/>
      <c r="K215" s="80"/>
      <c r="L215" s="77">
        <f>F215*K215</f>
        <v>0</v>
      </c>
      <c r="M215" s="77">
        <f t="shared" si="4"/>
        <v>0</v>
      </c>
    </row>
    <row r="216" spans="1:13">
      <c r="A216" s="1496"/>
      <c r="B216" s="22"/>
      <c r="C216" s="127" t="s">
        <v>198</v>
      </c>
      <c r="D216" s="942" t="s">
        <v>90</v>
      </c>
      <c r="E216" s="26">
        <v>1</v>
      </c>
      <c r="F216" s="282">
        <v>4</v>
      </c>
      <c r="G216" s="80"/>
      <c r="H216" s="77">
        <f t="shared" si="3"/>
        <v>0</v>
      </c>
      <c r="I216" s="80"/>
      <c r="J216" s="77"/>
      <c r="K216" s="80"/>
      <c r="L216" s="77"/>
      <c r="M216" s="77">
        <f t="shared" si="4"/>
        <v>0</v>
      </c>
    </row>
    <row r="217" spans="1:13">
      <c r="A217" s="1497"/>
      <c r="B217" s="22"/>
      <c r="C217" s="127" t="s">
        <v>19</v>
      </c>
      <c r="D217" s="942" t="s">
        <v>156</v>
      </c>
      <c r="E217" s="26">
        <v>0.11</v>
      </c>
      <c r="F217" s="282">
        <f>F213*E217</f>
        <v>0.44</v>
      </c>
      <c r="G217" s="80"/>
      <c r="H217" s="77">
        <f t="shared" ref="H217:H254" si="5">F217*G217</f>
        <v>0</v>
      </c>
      <c r="I217" s="80"/>
      <c r="J217" s="77"/>
      <c r="K217" s="80"/>
      <c r="L217" s="77"/>
      <c r="M217" s="77">
        <f t="shared" ref="M217:M254" si="6">H217+J217+L217</f>
        <v>0</v>
      </c>
    </row>
    <row r="218" spans="1:13" ht="27">
      <c r="A218" s="1495" t="s">
        <v>38</v>
      </c>
      <c r="B218" s="817" t="s">
        <v>1152</v>
      </c>
      <c r="C218" s="404" t="s">
        <v>173</v>
      </c>
      <c r="D218" s="22" t="s">
        <v>90</v>
      </c>
      <c r="E218" s="243"/>
      <c r="F218" s="122">
        <f>SUM(F221:F240)</f>
        <v>313</v>
      </c>
      <c r="G218" s="79"/>
      <c r="H218" s="77"/>
      <c r="I218" s="79"/>
      <c r="J218" s="77"/>
      <c r="K218" s="79"/>
      <c r="L218" s="77"/>
      <c r="M218" s="77"/>
    </row>
    <row r="219" spans="1:13">
      <c r="A219" s="1496"/>
      <c r="B219" s="22"/>
      <c r="C219" s="127" t="s">
        <v>13</v>
      </c>
      <c r="D219" s="942" t="s">
        <v>109</v>
      </c>
      <c r="E219" s="1007">
        <f>(3.89+5.84+7.88)/3/10</f>
        <v>0.58699999999999997</v>
      </c>
      <c r="F219" s="282">
        <f>F218*E219</f>
        <v>183.73099999999999</v>
      </c>
      <c r="G219" s="80"/>
      <c r="H219" s="77"/>
      <c r="I219" s="80"/>
      <c r="J219" s="77">
        <f>F219*I219</f>
        <v>0</v>
      </c>
      <c r="K219" s="80"/>
      <c r="L219" s="77"/>
      <c r="M219" s="77">
        <f t="shared" si="6"/>
        <v>0</v>
      </c>
    </row>
    <row r="220" spans="1:13">
      <c r="A220" s="1496"/>
      <c r="B220" s="22"/>
      <c r="C220" s="127" t="s">
        <v>139</v>
      </c>
      <c r="D220" s="942" t="s">
        <v>156</v>
      </c>
      <c r="E220" s="1007">
        <f>(1.51+2.27+3.02)/3/10</f>
        <v>0.22666666666666671</v>
      </c>
      <c r="F220" s="282">
        <f>F218*E220</f>
        <v>70.946666666666687</v>
      </c>
      <c r="G220" s="80"/>
      <c r="H220" s="77"/>
      <c r="I220" s="80"/>
      <c r="J220" s="77"/>
      <c r="K220" s="80"/>
      <c r="L220" s="77">
        <f>F220*K220</f>
        <v>0</v>
      </c>
      <c r="M220" s="77">
        <f t="shared" si="6"/>
        <v>0</v>
      </c>
    </row>
    <row r="221" spans="1:13" ht="18">
      <c r="A221" s="1496"/>
      <c r="B221" s="22"/>
      <c r="C221" s="138" t="s">
        <v>1431</v>
      </c>
      <c r="D221" s="447" t="s">
        <v>2</v>
      </c>
      <c r="E221" s="948"/>
      <c r="F221" s="282">
        <v>57</v>
      </c>
      <c r="G221" s="80"/>
      <c r="H221" s="77">
        <f t="shared" si="5"/>
        <v>0</v>
      </c>
      <c r="I221" s="80"/>
      <c r="J221" s="77"/>
      <c r="K221" s="77"/>
      <c r="L221" s="77"/>
      <c r="M221" s="77">
        <f t="shared" si="6"/>
        <v>0</v>
      </c>
    </row>
    <row r="222" spans="1:13" ht="18">
      <c r="A222" s="1496"/>
      <c r="B222" s="22"/>
      <c r="C222" s="138" t="s">
        <v>1432</v>
      </c>
      <c r="D222" s="447" t="s">
        <v>2</v>
      </c>
      <c r="E222" s="948"/>
      <c r="F222" s="282">
        <v>20</v>
      </c>
      <c r="G222" s="80"/>
      <c r="H222" s="77">
        <f t="shared" si="5"/>
        <v>0</v>
      </c>
      <c r="I222" s="80"/>
      <c r="J222" s="77"/>
      <c r="K222" s="77"/>
      <c r="L222" s="77"/>
      <c r="M222" s="77">
        <f t="shared" si="6"/>
        <v>0</v>
      </c>
    </row>
    <row r="223" spans="1:13" ht="18">
      <c r="A223" s="1496"/>
      <c r="B223" s="22"/>
      <c r="C223" s="138" t="s">
        <v>1433</v>
      </c>
      <c r="D223" s="447" t="s">
        <v>2</v>
      </c>
      <c r="E223" s="948"/>
      <c r="F223" s="282">
        <v>15</v>
      </c>
      <c r="G223" s="80"/>
      <c r="H223" s="77">
        <f t="shared" si="5"/>
        <v>0</v>
      </c>
      <c r="I223" s="80"/>
      <c r="J223" s="77"/>
      <c r="K223" s="77"/>
      <c r="L223" s="77"/>
      <c r="M223" s="77">
        <f t="shared" si="6"/>
        <v>0</v>
      </c>
    </row>
    <row r="224" spans="1:13" ht="18">
      <c r="A224" s="1496"/>
      <c r="B224" s="22"/>
      <c r="C224" s="138" t="s">
        <v>1434</v>
      </c>
      <c r="D224" s="447" t="s">
        <v>2</v>
      </c>
      <c r="E224" s="948"/>
      <c r="F224" s="282">
        <v>7</v>
      </c>
      <c r="G224" s="80"/>
      <c r="H224" s="77">
        <f t="shared" si="5"/>
        <v>0</v>
      </c>
      <c r="I224" s="80"/>
      <c r="J224" s="77"/>
      <c r="K224" s="77"/>
      <c r="L224" s="77"/>
      <c r="M224" s="77">
        <f t="shared" si="6"/>
        <v>0</v>
      </c>
    </row>
    <row r="225" spans="1:13" ht="18" hidden="1">
      <c r="A225" s="1496"/>
      <c r="B225" s="22"/>
      <c r="C225" s="138" t="s">
        <v>1435</v>
      </c>
      <c r="D225" s="447" t="s">
        <v>2</v>
      </c>
      <c r="E225" s="948"/>
      <c r="F225" s="282"/>
      <c r="G225" s="80"/>
      <c r="H225" s="77">
        <f t="shared" si="5"/>
        <v>0</v>
      </c>
      <c r="I225" s="80"/>
      <c r="J225" s="77"/>
      <c r="K225" s="77"/>
      <c r="L225" s="77"/>
      <c r="M225" s="77">
        <f t="shared" si="6"/>
        <v>0</v>
      </c>
    </row>
    <row r="226" spans="1:13" ht="18">
      <c r="A226" s="1496"/>
      <c r="B226" s="22"/>
      <c r="C226" s="138" t="s">
        <v>1436</v>
      </c>
      <c r="D226" s="447" t="s">
        <v>2</v>
      </c>
      <c r="E226" s="948"/>
      <c r="F226" s="282">
        <v>14</v>
      </c>
      <c r="G226" s="80"/>
      <c r="H226" s="77">
        <f t="shared" si="5"/>
        <v>0</v>
      </c>
      <c r="I226" s="80"/>
      <c r="J226" s="77"/>
      <c r="K226" s="77"/>
      <c r="L226" s="77"/>
      <c r="M226" s="77">
        <f t="shared" si="6"/>
        <v>0</v>
      </c>
    </row>
    <row r="227" spans="1:13" ht="18">
      <c r="A227" s="1496"/>
      <c r="B227" s="22"/>
      <c r="C227" s="138" t="s">
        <v>1437</v>
      </c>
      <c r="D227" s="447" t="s">
        <v>2</v>
      </c>
      <c r="E227" s="948"/>
      <c r="F227" s="282">
        <v>28</v>
      </c>
      <c r="G227" s="80"/>
      <c r="H227" s="77">
        <f t="shared" si="5"/>
        <v>0</v>
      </c>
      <c r="I227" s="80"/>
      <c r="J227" s="77"/>
      <c r="K227" s="77"/>
      <c r="L227" s="77"/>
      <c r="M227" s="77">
        <f t="shared" si="6"/>
        <v>0</v>
      </c>
    </row>
    <row r="228" spans="1:13" ht="18">
      <c r="A228" s="1496"/>
      <c r="B228" s="22"/>
      <c r="C228" s="138" t="s">
        <v>1438</v>
      </c>
      <c r="D228" s="447" t="s">
        <v>2</v>
      </c>
      <c r="E228" s="948"/>
      <c r="F228" s="282">
        <v>12</v>
      </c>
      <c r="G228" s="80"/>
      <c r="H228" s="77">
        <f t="shared" si="5"/>
        <v>0</v>
      </c>
      <c r="I228" s="80"/>
      <c r="J228" s="77"/>
      <c r="K228" s="77"/>
      <c r="L228" s="77"/>
      <c r="M228" s="77">
        <f t="shared" si="6"/>
        <v>0</v>
      </c>
    </row>
    <row r="229" spans="1:13" ht="18">
      <c r="A229" s="1496"/>
      <c r="B229" s="22"/>
      <c r="C229" s="138" t="s">
        <v>1439</v>
      </c>
      <c r="D229" s="447" t="s">
        <v>2</v>
      </c>
      <c r="E229" s="948"/>
      <c r="F229" s="282">
        <v>8</v>
      </c>
      <c r="G229" s="80"/>
      <c r="H229" s="77">
        <f t="shared" si="5"/>
        <v>0</v>
      </c>
      <c r="I229" s="80"/>
      <c r="J229" s="77"/>
      <c r="K229" s="77"/>
      <c r="L229" s="77"/>
      <c r="M229" s="77">
        <f t="shared" si="6"/>
        <v>0</v>
      </c>
    </row>
    <row r="230" spans="1:13" ht="18">
      <c r="A230" s="1496"/>
      <c r="B230" s="22"/>
      <c r="C230" s="138" t="s">
        <v>703</v>
      </c>
      <c r="D230" s="447" t="s">
        <v>2</v>
      </c>
      <c r="E230" s="948"/>
      <c r="F230" s="282">
        <v>11</v>
      </c>
      <c r="G230" s="80"/>
      <c r="H230" s="77">
        <f t="shared" si="5"/>
        <v>0</v>
      </c>
      <c r="I230" s="80"/>
      <c r="J230" s="77"/>
      <c r="K230" s="77"/>
      <c r="L230" s="77"/>
      <c r="M230" s="77">
        <f t="shared" si="6"/>
        <v>0</v>
      </c>
    </row>
    <row r="231" spans="1:13">
      <c r="A231" s="1496"/>
      <c r="B231" s="22"/>
      <c r="C231" s="148" t="s">
        <v>631</v>
      </c>
      <c r="D231" s="447" t="s">
        <v>2</v>
      </c>
      <c r="E231" s="948"/>
      <c r="F231" s="282">
        <v>9</v>
      </c>
      <c r="G231" s="80"/>
      <c r="H231" s="77">
        <f t="shared" si="5"/>
        <v>0</v>
      </c>
      <c r="I231" s="80"/>
      <c r="J231" s="77"/>
      <c r="K231" s="77"/>
      <c r="L231" s="77"/>
      <c r="M231" s="77">
        <f t="shared" si="6"/>
        <v>0</v>
      </c>
    </row>
    <row r="232" spans="1:13">
      <c r="A232" s="1496"/>
      <c r="B232" s="22"/>
      <c r="C232" s="148" t="s">
        <v>632</v>
      </c>
      <c r="D232" s="447" t="s">
        <v>2</v>
      </c>
      <c r="E232" s="948"/>
      <c r="F232" s="282">
        <v>2</v>
      </c>
      <c r="G232" s="80"/>
      <c r="H232" s="77">
        <f t="shared" si="5"/>
        <v>0</v>
      </c>
      <c r="I232" s="80"/>
      <c r="J232" s="77"/>
      <c r="K232" s="77"/>
      <c r="L232" s="77"/>
      <c r="M232" s="77">
        <f t="shared" si="6"/>
        <v>0</v>
      </c>
    </row>
    <row r="233" spans="1:13">
      <c r="A233" s="1496"/>
      <c r="B233" s="22"/>
      <c r="C233" s="148" t="s">
        <v>633</v>
      </c>
      <c r="D233" s="447" t="s">
        <v>2</v>
      </c>
      <c r="E233" s="948"/>
      <c r="F233" s="282">
        <v>14</v>
      </c>
      <c r="G233" s="80"/>
      <c r="H233" s="77">
        <f t="shared" si="5"/>
        <v>0</v>
      </c>
      <c r="I233" s="80"/>
      <c r="J233" s="77"/>
      <c r="K233" s="77"/>
      <c r="L233" s="77"/>
      <c r="M233" s="77">
        <f t="shared" si="6"/>
        <v>0</v>
      </c>
    </row>
    <row r="234" spans="1:13">
      <c r="A234" s="1496"/>
      <c r="B234" s="22"/>
      <c r="C234" s="148" t="s">
        <v>634</v>
      </c>
      <c r="D234" s="447" t="s">
        <v>2</v>
      </c>
      <c r="E234" s="948"/>
      <c r="F234" s="282">
        <v>5</v>
      </c>
      <c r="G234" s="80"/>
      <c r="H234" s="77">
        <f t="shared" si="5"/>
        <v>0</v>
      </c>
      <c r="I234" s="80"/>
      <c r="J234" s="77"/>
      <c r="K234" s="77"/>
      <c r="L234" s="77"/>
      <c r="M234" s="77">
        <f t="shared" si="6"/>
        <v>0</v>
      </c>
    </row>
    <row r="235" spans="1:13">
      <c r="A235" s="1496"/>
      <c r="B235" s="22"/>
      <c r="C235" s="148" t="s">
        <v>704</v>
      </c>
      <c r="D235" s="447" t="s">
        <v>2</v>
      </c>
      <c r="E235" s="948"/>
      <c r="F235" s="282">
        <v>22</v>
      </c>
      <c r="G235" s="80"/>
      <c r="H235" s="77">
        <f t="shared" si="5"/>
        <v>0</v>
      </c>
      <c r="I235" s="80"/>
      <c r="J235" s="77"/>
      <c r="K235" s="77"/>
      <c r="L235" s="77"/>
      <c r="M235" s="77">
        <f t="shared" si="6"/>
        <v>0</v>
      </c>
    </row>
    <row r="236" spans="1:13">
      <c r="A236" s="1496"/>
      <c r="B236" s="22"/>
      <c r="C236" s="148" t="s">
        <v>635</v>
      </c>
      <c r="D236" s="447" t="s">
        <v>2</v>
      </c>
      <c r="E236" s="948"/>
      <c r="F236" s="282">
        <v>22</v>
      </c>
      <c r="G236" s="77"/>
      <c r="H236" s="77">
        <f t="shared" si="5"/>
        <v>0</v>
      </c>
      <c r="I236" s="80"/>
      <c r="J236" s="77"/>
      <c r="K236" s="77"/>
      <c r="L236" s="77"/>
      <c r="M236" s="77">
        <f t="shared" si="6"/>
        <v>0</v>
      </c>
    </row>
    <row r="237" spans="1:13" ht="18">
      <c r="A237" s="1496"/>
      <c r="B237" s="22"/>
      <c r="C237" s="148" t="s">
        <v>768</v>
      </c>
      <c r="D237" s="447" t="s">
        <v>2</v>
      </c>
      <c r="E237" s="948"/>
      <c r="F237" s="282">
        <v>2</v>
      </c>
      <c r="G237" s="77"/>
      <c r="H237" s="77">
        <f>F237*G237</f>
        <v>0</v>
      </c>
      <c r="I237" s="80"/>
      <c r="J237" s="77"/>
      <c r="K237" s="77"/>
      <c r="L237" s="77"/>
      <c r="M237" s="77">
        <f>H237+J237+L237</f>
        <v>0</v>
      </c>
    </row>
    <row r="238" spans="1:13" hidden="1">
      <c r="A238" s="1496"/>
      <c r="B238" s="22"/>
      <c r="C238" s="148" t="s">
        <v>1204</v>
      </c>
      <c r="D238" s="447" t="s">
        <v>2</v>
      </c>
      <c r="E238" s="948"/>
      <c r="F238" s="282"/>
      <c r="G238" s="77"/>
      <c r="H238" s="77">
        <f>F238*G238</f>
        <v>0</v>
      </c>
      <c r="I238" s="80"/>
      <c r="J238" s="77"/>
      <c r="K238" s="77"/>
      <c r="L238" s="77"/>
      <c r="M238" s="77">
        <f>H238+J238+L238</f>
        <v>0</v>
      </c>
    </row>
    <row r="239" spans="1:13">
      <c r="A239" s="1496"/>
      <c r="B239" s="22"/>
      <c r="C239" s="148" t="s">
        <v>636</v>
      </c>
      <c r="D239" s="447" t="s">
        <v>2</v>
      </c>
      <c r="E239" s="948"/>
      <c r="F239" s="282">
        <v>16</v>
      </c>
      <c r="G239" s="77"/>
      <c r="H239" s="77">
        <f t="shared" si="5"/>
        <v>0</v>
      </c>
      <c r="I239" s="80"/>
      <c r="J239" s="77"/>
      <c r="K239" s="77"/>
      <c r="L239" s="77"/>
      <c r="M239" s="77">
        <f t="shared" si="6"/>
        <v>0</v>
      </c>
    </row>
    <row r="240" spans="1:13">
      <c r="A240" s="1496"/>
      <c r="B240" s="22"/>
      <c r="C240" s="148" t="s">
        <v>637</v>
      </c>
      <c r="D240" s="447" t="s">
        <v>2</v>
      </c>
      <c r="E240" s="948"/>
      <c r="F240" s="282">
        <v>49</v>
      </c>
      <c r="G240" s="77"/>
      <c r="H240" s="77">
        <f t="shared" si="5"/>
        <v>0</v>
      </c>
      <c r="I240" s="80"/>
      <c r="J240" s="77"/>
      <c r="K240" s="77"/>
      <c r="L240" s="77"/>
      <c r="M240" s="77">
        <f t="shared" si="6"/>
        <v>0</v>
      </c>
    </row>
    <row r="241" spans="1:14" ht="31.5">
      <c r="A241" s="1496"/>
      <c r="B241" s="22"/>
      <c r="C241" s="148" t="s">
        <v>706</v>
      </c>
      <c r="D241" s="447" t="s">
        <v>2</v>
      </c>
      <c r="E241" s="948"/>
      <c r="F241" s="282">
        <v>21</v>
      </c>
      <c r="G241" s="77"/>
      <c r="H241" s="77">
        <f t="shared" si="5"/>
        <v>0</v>
      </c>
      <c r="I241" s="80"/>
      <c r="J241" s="77"/>
      <c r="K241" s="77"/>
      <c r="L241" s="77"/>
      <c r="M241" s="77">
        <f t="shared" si="6"/>
        <v>0</v>
      </c>
    </row>
    <row r="242" spans="1:14" ht="31.5">
      <c r="A242" s="1496"/>
      <c r="B242" s="22"/>
      <c r="C242" s="148" t="s">
        <v>705</v>
      </c>
      <c r="D242" s="447" t="s">
        <v>2</v>
      </c>
      <c r="E242" s="948"/>
      <c r="F242" s="282">
        <v>65</v>
      </c>
      <c r="G242" s="77"/>
      <c r="H242" s="77">
        <f t="shared" si="5"/>
        <v>0</v>
      </c>
      <c r="I242" s="80"/>
      <c r="J242" s="77"/>
      <c r="K242" s="77"/>
      <c r="L242" s="77"/>
      <c r="M242" s="77">
        <f t="shared" si="6"/>
        <v>0</v>
      </c>
    </row>
    <row r="243" spans="1:14" ht="31.5">
      <c r="A243" s="1496"/>
      <c r="B243" s="22"/>
      <c r="C243" s="148" t="s">
        <v>707</v>
      </c>
      <c r="D243" s="447" t="s">
        <v>2</v>
      </c>
      <c r="E243" s="948"/>
      <c r="F243" s="282">
        <v>125</v>
      </c>
      <c r="G243" s="77"/>
      <c r="H243" s="77">
        <f t="shared" si="5"/>
        <v>0</v>
      </c>
      <c r="I243" s="80"/>
      <c r="J243" s="77"/>
      <c r="K243" s="77"/>
      <c r="L243" s="77"/>
      <c r="M243" s="77">
        <f t="shared" si="6"/>
        <v>0</v>
      </c>
    </row>
    <row r="244" spans="1:14">
      <c r="A244" s="1496"/>
      <c r="B244" s="22"/>
      <c r="C244" s="148" t="s">
        <v>638</v>
      </c>
      <c r="D244" s="447" t="s">
        <v>6</v>
      </c>
      <c r="E244" s="948"/>
      <c r="F244" s="282">
        <v>2</v>
      </c>
      <c r="G244" s="77"/>
      <c r="H244" s="77">
        <f t="shared" si="5"/>
        <v>0</v>
      </c>
      <c r="I244" s="80"/>
      <c r="J244" s="77"/>
      <c r="K244" s="77"/>
      <c r="L244" s="77"/>
      <c r="M244" s="77">
        <f t="shared" si="6"/>
        <v>0</v>
      </c>
    </row>
    <row r="245" spans="1:14">
      <c r="A245" s="1497"/>
      <c r="B245" s="22"/>
      <c r="C245" s="153" t="s">
        <v>19</v>
      </c>
      <c r="D245" s="942" t="s">
        <v>156</v>
      </c>
      <c r="E245" s="26">
        <v>0.2</v>
      </c>
      <c r="F245" s="282">
        <f>F218*E245</f>
        <v>62.6</v>
      </c>
      <c r="G245" s="80"/>
      <c r="H245" s="77">
        <f t="shared" si="5"/>
        <v>0</v>
      </c>
      <c r="I245" s="80"/>
      <c r="J245" s="77"/>
      <c r="K245" s="80"/>
      <c r="L245" s="77"/>
      <c r="M245" s="77">
        <f t="shared" si="6"/>
        <v>0</v>
      </c>
    </row>
    <row r="246" spans="1:14">
      <c r="A246" s="1418" t="s">
        <v>409</v>
      </c>
      <c r="B246" s="22" t="s">
        <v>136</v>
      </c>
      <c r="C246" s="292" t="s">
        <v>137</v>
      </c>
      <c r="D246" s="22" t="s">
        <v>138</v>
      </c>
      <c r="E246" s="243"/>
      <c r="F246" s="122">
        <v>50</v>
      </c>
      <c r="G246" s="80"/>
      <c r="H246" s="77"/>
      <c r="I246" s="77"/>
      <c r="J246" s="77"/>
      <c r="K246" s="77"/>
      <c r="L246" s="77"/>
      <c r="M246" s="77"/>
    </row>
    <row r="247" spans="1:14">
      <c r="A247" s="1419"/>
      <c r="B247" s="22"/>
      <c r="C247" s="252" t="s">
        <v>13</v>
      </c>
      <c r="D247" s="253" t="s">
        <v>109</v>
      </c>
      <c r="E247" s="256">
        <v>1.002</v>
      </c>
      <c r="F247" s="257">
        <f>F246*E247</f>
        <v>50.1</v>
      </c>
      <c r="G247" s="80"/>
      <c r="H247" s="77"/>
      <c r="I247" s="77"/>
      <c r="J247" s="77">
        <f>F247*I247</f>
        <v>0</v>
      </c>
      <c r="K247" s="77"/>
      <c r="L247" s="77"/>
      <c r="M247" s="77">
        <f t="shared" si="6"/>
        <v>0</v>
      </c>
    </row>
    <row r="248" spans="1:14">
      <c r="A248" s="1420"/>
      <c r="B248" s="22"/>
      <c r="C248" s="252" t="s">
        <v>139</v>
      </c>
      <c r="D248" s="253" t="s">
        <v>11</v>
      </c>
      <c r="E248" s="256">
        <v>0.49340000000000001</v>
      </c>
      <c r="F248" s="257">
        <f>F246*E248</f>
        <v>24.67</v>
      </c>
      <c r="G248" s="80"/>
      <c r="H248" s="77"/>
      <c r="I248" s="77"/>
      <c r="J248" s="77"/>
      <c r="K248" s="77"/>
      <c r="L248" s="77">
        <f>F248*K248</f>
        <v>0</v>
      </c>
      <c r="M248" s="77">
        <f t="shared" si="6"/>
        <v>0</v>
      </c>
    </row>
    <row r="249" spans="1:14">
      <c r="A249" s="1422" t="s">
        <v>432</v>
      </c>
      <c r="B249" s="22" t="s">
        <v>143</v>
      </c>
      <c r="C249" s="292" t="s">
        <v>140</v>
      </c>
      <c r="D249" s="942" t="s">
        <v>5</v>
      </c>
      <c r="E249" s="243">
        <f>0.15*0.15</f>
        <v>2.2499999999999999E-2</v>
      </c>
      <c r="F249" s="122">
        <f>F246*E249</f>
        <v>1.125</v>
      </c>
      <c r="G249" s="80"/>
      <c r="H249" s="77"/>
      <c r="I249" s="77"/>
      <c r="J249" s="77"/>
      <c r="K249" s="77"/>
      <c r="L249" s="77"/>
      <c r="M249" s="77"/>
    </row>
    <row r="250" spans="1:14">
      <c r="A250" s="1422"/>
      <c r="B250" s="22"/>
      <c r="C250" s="254" t="s">
        <v>20</v>
      </c>
      <c r="D250" s="255" t="s">
        <v>15</v>
      </c>
      <c r="E250" s="73">
        <v>74.2</v>
      </c>
      <c r="F250" s="78">
        <f>F249*E250</f>
        <v>83.475000000000009</v>
      </c>
      <c r="G250" s="146"/>
      <c r="H250" s="77"/>
      <c r="I250" s="77"/>
      <c r="J250" s="77">
        <f>F250*I250</f>
        <v>0</v>
      </c>
      <c r="K250" s="77"/>
      <c r="L250" s="77"/>
      <c r="M250" s="77">
        <f t="shared" si="6"/>
        <v>0</v>
      </c>
    </row>
    <row r="251" spans="1:14">
      <c r="A251" s="1422"/>
      <c r="B251" s="22"/>
      <c r="C251" s="254" t="s">
        <v>24</v>
      </c>
      <c r="D251" s="63" t="s">
        <v>11</v>
      </c>
      <c r="E251" s="73">
        <v>1.1000000000000001</v>
      </c>
      <c r="F251" s="78">
        <f>F249*E251</f>
        <v>1.2375</v>
      </c>
      <c r="G251" s="146"/>
      <c r="H251" s="77"/>
      <c r="I251" s="77"/>
      <c r="J251" s="77"/>
      <c r="K251" s="77"/>
      <c r="L251" s="77">
        <f>F251*K251</f>
        <v>0</v>
      </c>
      <c r="M251" s="77">
        <f t="shared" si="6"/>
        <v>0</v>
      </c>
    </row>
    <row r="252" spans="1:14">
      <c r="A252" s="1422"/>
      <c r="B252" s="22"/>
      <c r="C252" s="165" t="s">
        <v>89</v>
      </c>
      <c r="D252" s="255" t="s">
        <v>4</v>
      </c>
      <c r="E252" s="73">
        <v>1.04</v>
      </c>
      <c r="F252" s="78">
        <f>F249*E252</f>
        <v>1.17</v>
      </c>
      <c r="G252" s="146"/>
      <c r="H252" s="77">
        <f t="shared" si="5"/>
        <v>0</v>
      </c>
      <c r="I252" s="77"/>
      <c r="J252" s="77"/>
      <c r="K252" s="77"/>
      <c r="L252" s="77"/>
      <c r="M252" s="77">
        <f t="shared" si="6"/>
        <v>0</v>
      </c>
    </row>
    <row r="253" spans="1:14">
      <c r="A253" s="1422"/>
      <c r="B253" s="22"/>
      <c r="C253" s="254" t="s">
        <v>144</v>
      </c>
      <c r="D253" s="255" t="s">
        <v>6</v>
      </c>
      <c r="E253" s="73">
        <v>5.9</v>
      </c>
      <c r="F253" s="78">
        <f>F249*E253</f>
        <v>6.6375000000000002</v>
      </c>
      <c r="G253" s="146"/>
      <c r="H253" s="77">
        <f t="shared" si="5"/>
        <v>0</v>
      </c>
      <c r="I253" s="77"/>
      <c r="J253" s="77"/>
      <c r="K253" s="77"/>
      <c r="L253" s="77"/>
      <c r="M253" s="77">
        <f t="shared" si="6"/>
        <v>0</v>
      </c>
    </row>
    <row r="254" spans="1:14">
      <c r="A254" s="1422"/>
      <c r="B254" s="22"/>
      <c r="C254" s="254" t="s">
        <v>222</v>
      </c>
      <c r="D254" s="255" t="s">
        <v>4</v>
      </c>
      <c r="E254" s="73">
        <f>0.21+0.18</f>
        <v>0.39</v>
      </c>
      <c r="F254" s="78">
        <f>F249*E254</f>
        <v>0.43875000000000003</v>
      </c>
      <c r="G254" s="146"/>
      <c r="H254" s="77">
        <f t="shared" si="5"/>
        <v>0</v>
      </c>
      <c r="I254" s="77"/>
      <c r="J254" s="77"/>
      <c r="K254" s="77"/>
      <c r="L254" s="77"/>
      <c r="M254" s="77">
        <f t="shared" si="6"/>
        <v>0</v>
      </c>
    </row>
    <row r="255" spans="1:14">
      <c r="A255" s="931"/>
      <c r="B255" s="22"/>
      <c r="C255" s="153"/>
      <c r="D255" s="942"/>
      <c r="E255" s="26"/>
      <c r="F255" s="282"/>
      <c r="G255" s="80"/>
      <c r="H255" s="77"/>
      <c r="I255" s="80"/>
      <c r="J255" s="77"/>
      <c r="K255" s="80"/>
      <c r="L255" s="77"/>
      <c r="M255" s="77"/>
    </row>
    <row r="256" spans="1:14" ht="31.5">
      <c r="A256" s="321"/>
      <c r="B256" s="236"/>
      <c r="C256" s="104" t="s">
        <v>1907</v>
      </c>
      <c r="D256" s="238"/>
      <c r="E256" s="421"/>
      <c r="F256" s="244"/>
      <c r="G256" s="99"/>
      <c r="H256" s="100">
        <f>SUM(H7:H255)</f>
        <v>0</v>
      </c>
      <c r="I256" s="100"/>
      <c r="J256" s="100">
        <f>SUM(J7:J255)</f>
        <v>0</v>
      </c>
      <c r="K256" s="100"/>
      <c r="L256" s="100">
        <f>SUM(L7:L255)</f>
        <v>0</v>
      </c>
      <c r="M256" s="100">
        <f>SUM(M7:M255)</f>
        <v>0</v>
      </c>
      <c r="N256" s="1025">
        <f>H256+J256+L256</f>
        <v>0</v>
      </c>
    </row>
    <row r="257" spans="1:14" ht="31.5">
      <c r="A257" s="1215"/>
      <c r="B257" s="338"/>
      <c r="C257" s="787" t="s">
        <v>1134</v>
      </c>
      <c r="D257" s="338"/>
      <c r="E257" s="353"/>
      <c r="F257" s="1370"/>
      <c r="G257" s="355"/>
      <c r="H257" s="355"/>
      <c r="I257" s="355"/>
      <c r="J257" s="355"/>
      <c r="K257" s="355"/>
      <c r="L257" s="355"/>
      <c r="M257" s="356">
        <f>H256*F257</f>
        <v>0</v>
      </c>
      <c r="N257" s="1025"/>
    </row>
    <row r="258" spans="1:14">
      <c r="A258" s="1215"/>
      <c r="B258" s="338"/>
      <c r="C258" s="335" t="s">
        <v>54</v>
      </c>
      <c r="D258" s="338"/>
      <c r="E258" s="353"/>
      <c r="F258" s="357"/>
      <c r="G258" s="355"/>
      <c r="H258" s="355"/>
      <c r="I258" s="355"/>
      <c r="J258" s="355"/>
      <c r="K258" s="355"/>
      <c r="L258" s="355"/>
      <c r="M258" s="356">
        <f>M256+M257</f>
        <v>0</v>
      </c>
      <c r="N258" s="1025"/>
    </row>
    <row r="259" spans="1:14">
      <c r="A259" s="916"/>
      <c r="B259" s="447"/>
      <c r="C259" s="945" t="s">
        <v>63</v>
      </c>
      <c r="D259" s="447"/>
      <c r="E259" s="948"/>
      <c r="F259" s="1373"/>
      <c r="G259" s="77"/>
      <c r="H259" s="77"/>
      <c r="I259" s="77"/>
      <c r="J259" s="77"/>
      <c r="K259" s="77"/>
      <c r="L259" s="77"/>
      <c r="M259" s="77">
        <f>M258*F259</f>
        <v>0</v>
      </c>
    </row>
    <row r="260" spans="1:14">
      <c r="A260" s="916"/>
      <c r="B260" s="447"/>
      <c r="C260" s="335" t="s">
        <v>54</v>
      </c>
      <c r="D260" s="447"/>
      <c r="E260" s="948"/>
      <c r="F260" s="950"/>
      <c r="G260" s="77"/>
      <c r="H260" s="77"/>
      <c r="I260" s="77"/>
      <c r="J260" s="77"/>
      <c r="K260" s="77"/>
      <c r="L260" s="77"/>
      <c r="M260" s="77">
        <f>M258+M259</f>
        <v>0</v>
      </c>
    </row>
    <row r="261" spans="1:14">
      <c r="A261" s="916"/>
      <c r="B261" s="447"/>
      <c r="C261" s="945" t="s">
        <v>46</v>
      </c>
      <c r="D261" s="447"/>
      <c r="E261" s="948"/>
      <c r="F261" s="1373"/>
      <c r="G261" s="77"/>
      <c r="H261" s="77"/>
      <c r="I261" s="77"/>
      <c r="J261" s="77"/>
      <c r="K261" s="77"/>
      <c r="L261" s="77"/>
      <c r="M261" s="77">
        <f>M260*F261</f>
        <v>0</v>
      </c>
    </row>
    <row r="262" spans="1:14" ht="31.5">
      <c r="A262" s="322"/>
      <c r="B262" s="101"/>
      <c r="C262" s="104" t="s">
        <v>954</v>
      </c>
      <c r="D262" s="101"/>
      <c r="E262" s="485"/>
      <c r="F262" s="264"/>
      <c r="G262" s="486"/>
      <c r="H262" s="102"/>
      <c r="I262" s="102"/>
      <c r="J262" s="102"/>
      <c r="K262" s="102"/>
      <c r="L262" s="102"/>
      <c r="M262" s="488">
        <f>M260+M261</f>
        <v>0</v>
      </c>
    </row>
    <row r="263" spans="1:14">
      <c r="A263" s="323"/>
      <c r="B263" s="265"/>
      <c r="C263" s="152"/>
      <c r="D263" s="943"/>
      <c r="E263" s="57"/>
      <c r="F263" s="20"/>
      <c r="G263" s="174"/>
      <c r="H263" s="103"/>
      <c r="I263" s="79"/>
      <c r="J263" s="103"/>
      <c r="K263" s="79"/>
      <c r="L263" s="103"/>
      <c r="M263" s="103"/>
    </row>
    <row r="264" spans="1:14">
      <c r="A264" s="320" t="s">
        <v>58</v>
      </c>
      <c r="B264" s="62"/>
      <c r="C264" s="234" t="s">
        <v>325</v>
      </c>
      <c r="D264" s="239"/>
      <c r="E264" s="1004"/>
      <c r="F264" s="96"/>
      <c r="G264" s="245"/>
      <c r="H264" s="77"/>
      <c r="I264" s="180"/>
      <c r="J264" s="77"/>
      <c r="K264" s="180"/>
      <c r="L264" s="77"/>
      <c r="M264" s="77"/>
    </row>
    <row r="265" spans="1:14" ht="31.5">
      <c r="A265" s="1489" t="s">
        <v>429</v>
      </c>
      <c r="B265" s="266" t="s">
        <v>639</v>
      </c>
      <c r="C265" s="818" t="s">
        <v>708</v>
      </c>
      <c r="D265" s="76" t="s">
        <v>640</v>
      </c>
      <c r="E265" s="221"/>
      <c r="F265" s="20">
        <f>188/1000</f>
        <v>0.188</v>
      </c>
      <c r="G265" s="305"/>
      <c r="H265" s="77"/>
      <c r="I265" s="305"/>
      <c r="J265" s="77"/>
      <c r="K265" s="305"/>
      <c r="L265" s="77"/>
      <c r="M265" s="77"/>
    </row>
    <row r="266" spans="1:14">
      <c r="A266" s="1490"/>
      <c r="B266" s="267"/>
      <c r="C266" s="268" t="s">
        <v>13</v>
      </c>
      <c r="D266" s="184" t="s">
        <v>319</v>
      </c>
      <c r="E266" s="312">
        <v>20</v>
      </c>
      <c r="F266" s="269">
        <f>E266*F265</f>
        <v>3.76</v>
      </c>
      <c r="G266" s="245"/>
      <c r="H266" s="77"/>
      <c r="I266" s="245"/>
      <c r="J266" s="77">
        <f>F266*I266</f>
        <v>0</v>
      </c>
      <c r="K266" s="180"/>
      <c r="L266" s="77"/>
      <c r="M266" s="77">
        <f>H266+J266+L266</f>
        <v>0</v>
      </c>
    </row>
    <row r="267" spans="1:14">
      <c r="A267" s="1490"/>
      <c r="B267" s="267" t="s">
        <v>384</v>
      </c>
      <c r="C267" s="268" t="s">
        <v>641</v>
      </c>
      <c r="D267" s="184" t="s">
        <v>16</v>
      </c>
      <c r="E267" s="312">
        <v>44.8</v>
      </c>
      <c r="F267" s="269">
        <f>F265*E267</f>
        <v>8.4223999999999997</v>
      </c>
      <c r="G267" s="245"/>
      <c r="H267" s="77"/>
      <c r="I267" s="80"/>
      <c r="J267" s="77"/>
      <c r="K267" s="180"/>
      <c r="L267" s="77">
        <f>F267*K267</f>
        <v>0</v>
      </c>
      <c r="M267" s="77">
        <f>H267+J267+L267</f>
        <v>0</v>
      </c>
    </row>
    <row r="268" spans="1:14">
      <c r="A268" s="1490"/>
      <c r="B268" s="267"/>
      <c r="C268" s="268" t="s">
        <v>14</v>
      </c>
      <c r="D268" s="184" t="s">
        <v>11</v>
      </c>
      <c r="E268" s="312">
        <v>2.1</v>
      </c>
      <c r="F268" s="269">
        <f>F265*E268</f>
        <v>0.39480000000000004</v>
      </c>
      <c r="G268" s="245"/>
      <c r="H268" s="77"/>
      <c r="I268" s="80"/>
      <c r="J268" s="77"/>
      <c r="K268" s="180"/>
      <c r="L268" s="77">
        <f>F268*K268</f>
        <v>0</v>
      </c>
      <c r="M268" s="77">
        <f>H268+J268+L268</f>
        <v>0</v>
      </c>
    </row>
    <row r="269" spans="1:14">
      <c r="A269" s="1491"/>
      <c r="B269" s="267"/>
      <c r="C269" s="268" t="s">
        <v>220</v>
      </c>
      <c r="D269" s="184" t="s">
        <v>4</v>
      </c>
      <c r="E269" s="312">
        <v>0.05</v>
      </c>
      <c r="F269" s="269">
        <f>F265*E269</f>
        <v>9.4000000000000004E-3</v>
      </c>
      <c r="G269" s="245"/>
      <c r="H269" s="77">
        <f>F269*G269</f>
        <v>0</v>
      </c>
      <c r="I269" s="80"/>
      <c r="J269" s="77"/>
      <c r="K269" s="180"/>
      <c r="L269" s="77"/>
      <c r="M269" s="77">
        <f>H269+J269+L269</f>
        <v>0</v>
      </c>
    </row>
    <row r="270" spans="1:14">
      <c r="A270" s="1489" t="s">
        <v>430</v>
      </c>
      <c r="B270" s="943" t="s">
        <v>247</v>
      </c>
      <c r="C270" s="137" t="s">
        <v>642</v>
      </c>
      <c r="D270" s="850" t="s">
        <v>4</v>
      </c>
      <c r="E270" s="221"/>
      <c r="F270" s="20">
        <v>20</v>
      </c>
      <c r="G270" s="245"/>
      <c r="H270" s="77"/>
      <c r="I270" s="77"/>
      <c r="J270" s="77"/>
      <c r="K270" s="180"/>
      <c r="L270" s="77"/>
      <c r="M270" s="77"/>
    </row>
    <row r="271" spans="1:14">
      <c r="A271" s="1491"/>
      <c r="B271" s="943"/>
      <c r="C271" s="127" t="s">
        <v>189</v>
      </c>
      <c r="D271" s="942" t="s">
        <v>109</v>
      </c>
      <c r="E271" s="26">
        <v>2.06</v>
      </c>
      <c r="F271" s="282">
        <f>E271*F270</f>
        <v>41.2</v>
      </c>
      <c r="G271" s="80"/>
      <c r="H271" s="77"/>
      <c r="I271" s="180"/>
      <c r="J271" s="77">
        <f>F271*I271</f>
        <v>0</v>
      </c>
      <c r="K271" s="80"/>
      <c r="L271" s="77"/>
      <c r="M271" s="77">
        <f>H271+J271+L271</f>
        <v>0</v>
      </c>
    </row>
    <row r="272" spans="1:14" ht="31.5">
      <c r="A272" s="1492" t="s">
        <v>83</v>
      </c>
      <c r="B272" s="46" t="s">
        <v>328</v>
      </c>
      <c r="C272" s="819" t="s">
        <v>643</v>
      </c>
      <c r="D272" s="40" t="s">
        <v>318</v>
      </c>
      <c r="E272" s="1008"/>
      <c r="F272" s="20">
        <v>7</v>
      </c>
      <c r="G272" s="188"/>
      <c r="H272" s="77"/>
      <c r="I272" s="180"/>
      <c r="J272" s="77"/>
      <c r="K272" s="180"/>
      <c r="L272" s="77"/>
      <c r="M272" s="77"/>
    </row>
    <row r="273" spans="1:13">
      <c r="A273" s="1492"/>
      <c r="B273" s="46"/>
      <c r="C273" s="131" t="s">
        <v>189</v>
      </c>
      <c r="D273" s="46" t="s">
        <v>15</v>
      </c>
      <c r="E273" s="61">
        <f>18/10</f>
        <v>1.8</v>
      </c>
      <c r="F273" s="282">
        <f>E273*F272</f>
        <v>12.6</v>
      </c>
      <c r="G273" s="180"/>
      <c r="H273" s="77"/>
      <c r="I273" s="180"/>
      <c r="J273" s="77">
        <f>F273*I273</f>
        <v>0</v>
      </c>
      <c r="K273" s="180"/>
      <c r="L273" s="77"/>
      <c r="M273" s="77">
        <f>H273+J273+L273</f>
        <v>0</v>
      </c>
    </row>
    <row r="274" spans="1:13">
      <c r="A274" s="1492"/>
      <c r="B274" s="46"/>
      <c r="C274" s="131" t="s">
        <v>329</v>
      </c>
      <c r="D274" s="46" t="s">
        <v>319</v>
      </c>
      <c r="E274" s="61">
        <v>1.1499999999999999</v>
      </c>
      <c r="F274" s="282">
        <f>F272*E274</f>
        <v>8.0499999999999989</v>
      </c>
      <c r="G274" s="180"/>
      <c r="H274" s="77">
        <f>F274*G274</f>
        <v>0</v>
      </c>
      <c r="I274" s="180"/>
      <c r="J274" s="77"/>
      <c r="K274" s="180"/>
      <c r="L274" s="77"/>
      <c r="M274" s="77">
        <f>H274+J274+L274</f>
        <v>0</v>
      </c>
    </row>
    <row r="275" spans="1:13">
      <c r="A275" s="1492" t="s">
        <v>431</v>
      </c>
      <c r="B275" s="240" t="s">
        <v>503</v>
      </c>
      <c r="C275" s="406" t="s">
        <v>644</v>
      </c>
      <c r="D275" s="40" t="s">
        <v>318</v>
      </c>
      <c r="E275" s="1009"/>
      <c r="F275" s="20">
        <v>143</v>
      </c>
      <c r="G275" s="188"/>
      <c r="H275" s="77"/>
      <c r="I275" s="188"/>
      <c r="J275" s="77"/>
      <c r="K275" s="188"/>
      <c r="L275" s="77"/>
      <c r="M275" s="77"/>
    </row>
    <row r="276" spans="1:13">
      <c r="A276" s="1492"/>
      <c r="B276" s="46"/>
      <c r="C276" s="131" t="s">
        <v>189</v>
      </c>
      <c r="D276" s="46" t="s">
        <v>15</v>
      </c>
      <c r="E276" s="61">
        <v>1.21</v>
      </c>
      <c r="F276" s="282">
        <f>E276*F275</f>
        <v>173.03</v>
      </c>
      <c r="G276" s="180"/>
      <c r="H276" s="77"/>
      <c r="I276" s="180"/>
      <c r="J276" s="77">
        <f>F276*I276</f>
        <v>0</v>
      </c>
      <c r="K276" s="180"/>
      <c r="L276" s="77"/>
      <c r="M276" s="77">
        <f>H276+J276+L276</f>
        <v>0</v>
      </c>
    </row>
    <row r="277" spans="1:13" ht="40.5">
      <c r="A277" s="1418" t="s">
        <v>38</v>
      </c>
      <c r="B277" s="942" t="s">
        <v>1208</v>
      </c>
      <c r="C277" s="946" t="s">
        <v>1224</v>
      </c>
      <c r="D277" s="943" t="s">
        <v>1</v>
      </c>
      <c r="E277" s="57"/>
      <c r="F277" s="20">
        <f>SUM(F280:F281)</f>
        <v>48</v>
      </c>
      <c r="G277" s="79"/>
      <c r="H277" s="77"/>
      <c r="I277" s="79"/>
      <c r="J277" s="77"/>
      <c r="K277" s="79"/>
      <c r="L277" s="77"/>
      <c r="M277" s="77"/>
    </row>
    <row r="278" spans="1:13">
      <c r="A278" s="1419"/>
      <c r="B278" s="942"/>
      <c r="C278" s="127" t="s">
        <v>119</v>
      </c>
      <c r="D278" s="942" t="s">
        <v>120</v>
      </c>
      <c r="E278" s="26">
        <v>1.5</v>
      </c>
      <c r="F278" s="282">
        <f>F277*E278</f>
        <v>72</v>
      </c>
      <c r="G278" s="80"/>
      <c r="H278" s="77"/>
      <c r="I278" s="80"/>
      <c r="J278" s="77">
        <f>F278*I278</f>
        <v>0</v>
      </c>
      <c r="K278" s="80"/>
      <c r="L278" s="77"/>
      <c r="M278" s="77">
        <f t="shared" ref="M278:M285" si="7">H278+J278+L278</f>
        <v>0</v>
      </c>
    </row>
    <row r="279" spans="1:13">
      <c r="A279" s="1419"/>
      <c r="B279" s="942"/>
      <c r="C279" s="127" t="s">
        <v>134</v>
      </c>
      <c r="D279" s="942" t="s">
        <v>121</v>
      </c>
      <c r="E279" s="26">
        <v>3.1399999999999997E-2</v>
      </c>
      <c r="F279" s="282">
        <f>F277*E279</f>
        <v>1.5071999999999999</v>
      </c>
      <c r="G279" s="80"/>
      <c r="H279" s="77"/>
      <c r="I279" s="80"/>
      <c r="J279" s="77"/>
      <c r="K279" s="80"/>
      <c r="L279" s="77">
        <f>F279*K279</f>
        <v>0</v>
      </c>
      <c r="M279" s="77">
        <f t="shared" si="7"/>
        <v>0</v>
      </c>
    </row>
    <row r="280" spans="1:13">
      <c r="A280" s="1419"/>
      <c r="B280" s="942"/>
      <c r="C280" s="127" t="s">
        <v>1205</v>
      </c>
      <c r="D280" s="942" t="s">
        <v>1</v>
      </c>
      <c r="E280" s="26">
        <v>1</v>
      </c>
      <c r="F280" s="282">
        <v>41</v>
      </c>
      <c r="G280" s="80"/>
      <c r="H280" s="77">
        <f t="shared" ref="H280:H285" si="8">F280*G280</f>
        <v>0</v>
      </c>
      <c r="I280" s="80"/>
      <c r="J280" s="77"/>
      <c r="K280" s="80"/>
      <c r="L280" s="77"/>
      <c r="M280" s="77">
        <f t="shared" si="7"/>
        <v>0</v>
      </c>
    </row>
    <row r="281" spans="1:13">
      <c r="A281" s="1419"/>
      <c r="B281" s="942"/>
      <c r="C281" s="127" t="s">
        <v>1206</v>
      </c>
      <c r="D281" s="942" t="s">
        <v>1</v>
      </c>
      <c r="E281" s="26">
        <v>1</v>
      </c>
      <c r="F281" s="282">
        <v>7</v>
      </c>
      <c r="G281" s="80"/>
      <c r="H281" s="77">
        <f t="shared" si="8"/>
        <v>0</v>
      </c>
      <c r="I281" s="80"/>
      <c r="J281" s="77"/>
      <c r="K281" s="80"/>
      <c r="L281" s="77"/>
      <c r="M281" s="77">
        <f t="shared" si="7"/>
        <v>0</v>
      </c>
    </row>
    <row r="282" spans="1:13">
      <c r="A282" s="1419"/>
      <c r="B282" s="942"/>
      <c r="C282" s="127" t="s">
        <v>1207</v>
      </c>
      <c r="D282" s="942" t="s">
        <v>1</v>
      </c>
      <c r="E282" s="26">
        <v>1</v>
      </c>
      <c r="F282" s="282">
        <v>120</v>
      </c>
      <c r="G282" s="80"/>
      <c r="H282" s="77">
        <f t="shared" si="8"/>
        <v>0</v>
      </c>
      <c r="I282" s="80"/>
      <c r="J282" s="77"/>
      <c r="K282" s="80"/>
      <c r="L282" s="77"/>
      <c r="M282" s="77">
        <f t="shared" si="7"/>
        <v>0</v>
      </c>
    </row>
    <row r="283" spans="1:13">
      <c r="A283" s="1419"/>
      <c r="B283" s="942"/>
      <c r="C283" s="127" t="s">
        <v>1226</v>
      </c>
      <c r="D283" s="942" t="s">
        <v>1</v>
      </c>
      <c r="E283" s="26"/>
      <c r="F283" s="282">
        <v>23</v>
      </c>
      <c r="G283" s="80"/>
      <c r="H283" s="77">
        <f t="shared" si="8"/>
        <v>0</v>
      </c>
      <c r="I283" s="80"/>
      <c r="J283" s="77"/>
      <c r="K283" s="80"/>
      <c r="L283" s="77"/>
      <c r="M283" s="77">
        <f t="shared" si="7"/>
        <v>0</v>
      </c>
    </row>
    <row r="284" spans="1:13">
      <c r="A284" s="1419"/>
      <c r="B284" s="942"/>
      <c r="C284" s="127" t="s">
        <v>148</v>
      </c>
      <c r="D284" s="942" t="s">
        <v>2</v>
      </c>
      <c r="E284" s="26">
        <v>0.152</v>
      </c>
      <c r="F284" s="282">
        <f>F277*E284</f>
        <v>7.2959999999999994</v>
      </c>
      <c r="G284" s="80"/>
      <c r="H284" s="77">
        <f t="shared" si="8"/>
        <v>0</v>
      </c>
      <c r="I284" s="80"/>
      <c r="J284" s="77"/>
      <c r="K284" s="80"/>
      <c r="L284" s="77"/>
      <c r="M284" s="77">
        <f t="shared" si="7"/>
        <v>0</v>
      </c>
    </row>
    <row r="285" spans="1:13">
      <c r="A285" s="1420"/>
      <c r="B285" s="942"/>
      <c r="C285" s="127" t="s">
        <v>122</v>
      </c>
      <c r="D285" s="942" t="s">
        <v>121</v>
      </c>
      <c r="E285" s="26">
        <v>6.5199999999999994E-2</v>
      </c>
      <c r="F285" s="282">
        <f>F277*E285</f>
        <v>3.1295999999999999</v>
      </c>
      <c r="G285" s="80"/>
      <c r="H285" s="77">
        <f t="shared" si="8"/>
        <v>0</v>
      </c>
      <c r="I285" s="80"/>
      <c r="J285" s="77"/>
      <c r="K285" s="80"/>
      <c r="L285" s="77"/>
      <c r="M285" s="77">
        <f t="shared" si="7"/>
        <v>0</v>
      </c>
    </row>
    <row r="286" spans="1:13">
      <c r="A286" s="1489" t="s">
        <v>409</v>
      </c>
      <c r="B286" s="22" t="s">
        <v>172</v>
      </c>
      <c r="C286" s="404" t="s">
        <v>173</v>
      </c>
      <c r="D286" s="22" t="s">
        <v>90</v>
      </c>
      <c r="E286" s="243"/>
      <c r="F286" s="122">
        <f>SUM(F289:F300)</f>
        <v>77</v>
      </c>
      <c r="G286" s="79"/>
      <c r="H286" s="77"/>
      <c r="I286" s="79"/>
      <c r="J286" s="77"/>
      <c r="K286" s="79"/>
      <c r="L286" s="77"/>
      <c r="M286" s="77"/>
    </row>
    <row r="287" spans="1:13">
      <c r="A287" s="1490"/>
      <c r="B287" s="22"/>
      <c r="C287" s="127" t="s">
        <v>13</v>
      </c>
      <c r="D287" s="942" t="s">
        <v>109</v>
      </c>
      <c r="E287" s="26">
        <v>2.67</v>
      </c>
      <c r="F287" s="282">
        <f>F286*E287</f>
        <v>205.59</v>
      </c>
      <c r="G287" s="80"/>
      <c r="H287" s="77"/>
      <c r="I287" s="80"/>
      <c r="J287" s="77">
        <f>F287*I287</f>
        <v>0</v>
      </c>
      <c r="K287" s="80"/>
      <c r="L287" s="77"/>
      <c r="M287" s="77">
        <f t="shared" ref="M287:M301" si="9">H287+J287+L287</f>
        <v>0</v>
      </c>
    </row>
    <row r="288" spans="1:13">
      <c r="A288" s="1490"/>
      <c r="B288" s="22"/>
      <c r="C288" s="127" t="s">
        <v>139</v>
      </c>
      <c r="D288" s="942" t="s">
        <v>156</v>
      </c>
      <c r="E288" s="26">
        <v>0.28999999999999998</v>
      </c>
      <c r="F288" s="282">
        <f>F286*E288</f>
        <v>22.33</v>
      </c>
      <c r="G288" s="80"/>
      <c r="H288" s="77"/>
      <c r="I288" s="80"/>
      <c r="J288" s="77"/>
      <c r="K288" s="80"/>
      <c r="L288" s="77">
        <f>F288*K288</f>
        <v>0</v>
      </c>
      <c r="M288" s="77">
        <f t="shared" si="9"/>
        <v>0</v>
      </c>
    </row>
    <row r="289" spans="1:13">
      <c r="A289" s="1490"/>
      <c r="B289" s="22"/>
      <c r="C289" s="138" t="s">
        <v>646</v>
      </c>
      <c r="D289" s="447" t="s">
        <v>2</v>
      </c>
      <c r="E289" s="948"/>
      <c r="F289" s="282">
        <v>10</v>
      </c>
      <c r="G289" s="80"/>
      <c r="H289" s="77">
        <f t="shared" ref="H289:H301" si="10">F289*G289</f>
        <v>0</v>
      </c>
      <c r="I289" s="80"/>
      <c r="J289" s="77"/>
      <c r="K289" s="77"/>
      <c r="L289" s="77"/>
      <c r="M289" s="77">
        <f t="shared" si="9"/>
        <v>0</v>
      </c>
    </row>
    <row r="290" spans="1:13">
      <c r="A290" s="1490"/>
      <c r="B290" s="22"/>
      <c r="C290" s="138" t="s">
        <v>714</v>
      </c>
      <c r="D290" s="447" t="s">
        <v>2</v>
      </c>
      <c r="E290" s="948"/>
      <c r="F290" s="282">
        <v>2</v>
      </c>
      <c r="G290" s="80"/>
      <c r="H290" s="77">
        <f t="shared" si="10"/>
        <v>0</v>
      </c>
      <c r="I290" s="80"/>
      <c r="J290" s="77"/>
      <c r="K290" s="77"/>
      <c r="L290" s="77"/>
      <c r="M290" s="77">
        <f t="shared" si="9"/>
        <v>0</v>
      </c>
    </row>
    <row r="291" spans="1:13">
      <c r="A291" s="1490"/>
      <c r="B291" s="22"/>
      <c r="C291" s="138" t="s">
        <v>1209</v>
      </c>
      <c r="D291" s="447" t="s">
        <v>2</v>
      </c>
      <c r="E291" s="948"/>
      <c r="F291" s="282">
        <v>45</v>
      </c>
      <c r="G291" s="80"/>
      <c r="H291" s="77">
        <f t="shared" si="10"/>
        <v>0</v>
      </c>
      <c r="I291" s="80"/>
      <c r="J291" s="77"/>
      <c r="K291" s="77"/>
      <c r="L291" s="77"/>
      <c r="M291" s="77">
        <f t="shared" si="9"/>
        <v>0</v>
      </c>
    </row>
    <row r="292" spans="1:13">
      <c r="A292" s="1490"/>
      <c r="B292" s="22"/>
      <c r="C292" s="138" t="s">
        <v>1211</v>
      </c>
      <c r="D292" s="447" t="s">
        <v>2</v>
      </c>
      <c r="E292" s="948"/>
      <c r="F292" s="282">
        <v>1</v>
      </c>
      <c r="G292" s="80"/>
      <c r="H292" s="77">
        <f t="shared" si="10"/>
        <v>0</v>
      </c>
      <c r="I292" s="80"/>
      <c r="J292" s="77"/>
      <c r="K292" s="77"/>
      <c r="L292" s="77"/>
      <c r="M292" s="77">
        <f t="shared" si="9"/>
        <v>0</v>
      </c>
    </row>
    <row r="293" spans="1:13">
      <c r="A293" s="1490"/>
      <c r="B293" s="22"/>
      <c r="C293" s="138" t="s">
        <v>1210</v>
      </c>
      <c r="D293" s="447" t="s">
        <v>2</v>
      </c>
      <c r="E293" s="948"/>
      <c r="F293" s="282">
        <v>1</v>
      </c>
      <c r="G293" s="80"/>
      <c r="H293" s="77">
        <f t="shared" si="10"/>
        <v>0</v>
      </c>
      <c r="I293" s="80"/>
      <c r="J293" s="77"/>
      <c r="K293" s="77"/>
      <c r="L293" s="77"/>
      <c r="M293" s="77">
        <f t="shared" si="9"/>
        <v>0</v>
      </c>
    </row>
    <row r="294" spans="1:13" hidden="1">
      <c r="A294" s="1490"/>
      <c r="B294" s="22"/>
      <c r="C294" s="138" t="s">
        <v>712</v>
      </c>
      <c r="D294" s="447" t="s">
        <v>2</v>
      </c>
      <c r="E294" s="948"/>
      <c r="F294" s="282"/>
      <c r="G294" s="80"/>
      <c r="H294" s="77">
        <f t="shared" si="10"/>
        <v>0</v>
      </c>
      <c r="I294" s="80"/>
      <c r="J294" s="77"/>
      <c r="K294" s="77"/>
      <c r="L294" s="77"/>
      <c r="M294" s="77">
        <f t="shared" si="9"/>
        <v>0</v>
      </c>
    </row>
    <row r="295" spans="1:13" hidden="1">
      <c r="A295" s="1490"/>
      <c r="B295" s="22"/>
      <c r="C295" s="138" t="s">
        <v>713</v>
      </c>
      <c r="D295" s="447" t="s">
        <v>2</v>
      </c>
      <c r="E295" s="948"/>
      <c r="F295" s="282"/>
      <c r="G295" s="80"/>
      <c r="H295" s="77">
        <f t="shared" si="10"/>
        <v>0</v>
      </c>
      <c r="I295" s="80"/>
      <c r="J295" s="77"/>
      <c r="K295" s="77"/>
      <c r="L295" s="77"/>
      <c r="M295" s="77">
        <f t="shared" si="9"/>
        <v>0</v>
      </c>
    </row>
    <row r="296" spans="1:13">
      <c r="A296" s="1490"/>
      <c r="B296" s="22"/>
      <c r="C296" s="138" t="s">
        <v>1215</v>
      </c>
      <c r="D296" s="447" t="s">
        <v>2</v>
      </c>
      <c r="E296" s="948"/>
      <c r="F296" s="282">
        <v>1</v>
      </c>
      <c r="G296" s="80"/>
      <c r="H296" s="77">
        <f t="shared" si="10"/>
        <v>0</v>
      </c>
      <c r="I296" s="80"/>
      <c r="J296" s="77"/>
      <c r="K296" s="77"/>
      <c r="L296" s="77"/>
      <c r="M296" s="77">
        <f t="shared" si="9"/>
        <v>0</v>
      </c>
    </row>
    <row r="297" spans="1:13">
      <c r="A297" s="1490"/>
      <c r="B297" s="22"/>
      <c r="C297" s="138" t="s">
        <v>1216</v>
      </c>
      <c r="D297" s="447" t="s">
        <v>2</v>
      </c>
      <c r="E297" s="948"/>
      <c r="F297" s="282">
        <v>1</v>
      </c>
      <c r="G297" s="80"/>
      <c r="H297" s="77">
        <f t="shared" si="10"/>
        <v>0</v>
      </c>
      <c r="I297" s="80"/>
      <c r="J297" s="77"/>
      <c r="K297" s="77"/>
      <c r="L297" s="77"/>
      <c r="M297" s="77">
        <f t="shared" si="9"/>
        <v>0</v>
      </c>
    </row>
    <row r="298" spans="1:13">
      <c r="A298" s="1490"/>
      <c r="B298" s="22"/>
      <c r="C298" s="138" t="s">
        <v>647</v>
      </c>
      <c r="D298" s="447" t="s">
        <v>2</v>
      </c>
      <c r="E298" s="948"/>
      <c r="F298" s="282">
        <v>4</v>
      </c>
      <c r="G298" s="80"/>
      <c r="H298" s="77">
        <f>F298*G298</f>
        <v>0</v>
      </c>
      <c r="I298" s="80"/>
      <c r="J298" s="77"/>
      <c r="K298" s="77"/>
      <c r="L298" s="77"/>
      <c r="M298" s="77">
        <f>H298+J298+L298</f>
        <v>0</v>
      </c>
    </row>
    <row r="299" spans="1:13">
      <c r="A299" s="1490"/>
      <c r="B299" s="22"/>
      <c r="C299" s="138" t="s">
        <v>715</v>
      </c>
      <c r="D299" s="447" t="s">
        <v>2</v>
      </c>
      <c r="E299" s="948"/>
      <c r="F299" s="282">
        <v>7</v>
      </c>
      <c r="G299" s="80"/>
      <c r="H299" s="77">
        <f t="shared" si="10"/>
        <v>0</v>
      </c>
      <c r="I299" s="80"/>
      <c r="J299" s="77"/>
      <c r="K299" s="77"/>
      <c r="L299" s="77"/>
      <c r="M299" s="77">
        <f t="shared" si="9"/>
        <v>0</v>
      </c>
    </row>
    <row r="300" spans="1:13">
      <c r="A300" s="1490"/>
      <c r="B300" s="22"/>
      <c r="C300" s="138" t="s">
        <v>1212</v>
      </c>
      <c r="D300" s="447" t="s">
        <v>2</v>
      </c>
      <c r="E300" s="948"/>
      <c r="F300" s="282">
        <v>5</v>
      </c>
      <c r="G300" s="80"/>
      <c r="H300" s="77">
        <f t="shared" si="10"/>
        <v>0</v>
      </c>
      <c r="I300" s="80"/>
      <c r="J300" s="77"/>
      <c r="K300" s="77"/>
      <c r="L300" s="77"/>
      <c r="M300" s="77">
        <f t="shared" si="9"/>
        <v>0</v>
      </c>
    </row>
    <row r="301" spans="1:13">
      <c r="A301" s="1491"/>
      <c r="B301" s="22"/>
      <c r="C301" s="127" t="s">
        <v>154</v>
      </c>
      <c r="D301" s="942" t="s">
        <v>121</v>
      </c>
      <c r="E301" s="26">
        <v>0.12</v>
      </c>
      <c r="F301" s="282">
        <f>F286*E301</f>
        <v>9.24</v>
      </c>
      <c r="G301" s="80"/>
      <c r="H301" s="77">
        <f t="shared" si="10"/>
        <v>0</v>
      </c>
      <c r="I301" s="80"/>
      <c r="J301" s="77"/>
      <c r="K301" s="80"/>
      <c r="L301" s="77"/>
      <c r="M301" s="77">
        <f t="shared" si="9"/>
        <v>0</v>
      </c>
    </row>
    <row r="302" spans="1:13">
      <c r="A302" s="1492" t="s">
        <v>432</v>
      </c>
      <c r="B302" s="265" t="s">
        <v>769</v>
      </c>
      <c r="C302" s="404" t="s">
        <v>770</v>
      </c>
      <c r="D302" s="22" t="s">
        <v>65</v>
      </c>
      <c r="E302" s="243"/>
      <c r="F302" s="122">
        <f>F305</f>
        <v>1</v>
      </c>
      <c r="G302" s="79"/>
      <c r="H302" s="77"/>
      <c r="I302" s="79"/>
      <c r="J302" s="77"/>
      <c r="K302" s="79"/>
      <c r="L302" s="77"/>
      <c r="M302" s="77"/>
    </row>
    <row r="303" spans="1:13">
      <c r="A303" s="1492"/>
      <c r="B303" s="22"/>
      <c r="C303" s="127" t="s">
        <v>13</v>
      </c>
      <c r="D303" s="942" t="s">
        <v>15</v>
      </c>
      <c r="E303" s="26">
        <v>5.68</v>
      </c>
      <c r="F303" s="282">
        <f>F302*E303</f>
        <v>5.68</v>
      </c>
      <c r="G303" s="80"/>
      <c r="H303" s="77"/>
      <c r="I303" s="80"/>
      <c r="J303" s="77">
        <f>F303*I303</f>
        <v>0</v>
      </c>
      <c r="K303" s="80"/>
      <c r="L303" s="77"/>
      <c r="M303" s="77">
        <f t="shared" ref="M303:M312" si="11">H303+J303+L303</f>
        <v>0</v>
      </c>
    </row>
    <row r="304" spans="1:13">
      <c r="A304" s="1492"/>
      <c r="B304" s="22"/>
      <c r="C304" s="127" t="s">
        <v>14</v>
      </c>
      <c r="D304" s="942" t="s">
        <v>11</v>
      </c>
      <c r="E304" s="26">
        <v>0.33</v>
      </c>
      <c r="F304" s="282">
        <f>F302*E304</f>
        <v>0.33</v>
      </c>
      <c r="G304" s="80"/>
      <c r="H304" s="77"/>
      <c r="I304" s="80"/>
      <c r="J304" s="77"/>
      <c r="K304" s="80"/>
      <c r="L304" s="77">
        <f>F304*K304</f>
        <v>0</v>
      </c>
      <c r="M304" s="77">
        <f t="shared" si="11"/>
        <v>0</v>
      </c>
    </row>
    <row r="305" spans="1:13">
      <c r="A305" s="1492"/>
      <c r="B305" s="22"/>
      <c r="C305" s="138" t="s">
        <v>775</v>
      </c>
      <c r="D305" s="447" t="s">
        <v>90</v>
      </c>
      <c r="E305" s="280"/>
      <c r="F305" s="94">
        <v>1</v>
      </c>
      <c r="G305" s="80"/>
      <c r="H305" s="77">
        <f t="shared" ref="H305:H312" si="12">F305*G305</f>
        <v>0</v>
      </c>
      <c r="I305" s="80"/>
      <c r="J305" s="77"/>
      <c r="K305" s="77"/>
      <c r="L305" s="77"/>
      <c r="M305" s="77">
        <f t="shared" si="11"/>
        <v>0</v>
      </c>
    </row>
    <row r="306" spans="1:13">
      <c r="A306" s="1492"/>
      <c r="B306" s="22"/>
      <c r="C306" s="138" t="s">
        <v>1213</v>
      </c>
      <c r="D306" s="447" t="s">
        <v>2</v>
      </c>
      <c r="E306" s="26"/>
      <c r="F306" s="282">
        <v>2</v>
      </c>
      <c r="G306" s="80"/>
      <c r="H306" s="77">
        <f t="shared" si="12"/>
        <v>0</v>
      </c>
      <c r="I306" s="80"/>
      <c r="J306" s="77"/>
      <c r="K306" s="80"/>
      <c r="L306" s="77"/>
      <c r="M306" s="77">
        <f t="shared" si="11"/>
        <v>0</v>
      </c>
    </row>
    <row r="307" spans="1:13">
      <c r="A307" s="1492"/>
      <c r="B307" s="22"/>
      <c r="C307" s="138" t="s">
        <v>1214</v>
      </c>
      <c r="D307" s="447" t="s">
        <v>2</v>
      </c>
      <c r="E307" s="26"/>
      <c r="F307" s="282">
        <v>2</v>
      </c>
      <c r="G307" s="80"/>
      <c r="H307" s="77">
        <f t="shared" si="12"/>
        <v>0</v>
      </c>
      <c r="I307" s="80"/>
      <c r="J307" s="77"/>
      <c r="K307" s="80"/>
      <c r="L307" s="77"/>
      <c r="M307" s="77">
        <f t="shared" si="11"/>
        <v>0</v>
      </c>
    </row>
    <row r="308" spans="1:13">
      <c r="A308" s="1492"/>
      <c r="B308" s="22"/>
      <c r="C308" s="138" t="s">
        <v>773</v>
      </c>
      <c r="D308" s="447" t="s">
        <v>2</v>
      </c>
      <c r="E308" s="26"/>
      <c r="F308" s="282">
        <v>2</v>
      </c>
      <c r="G308" s="80"/>
      <c r="H308" s="77">
        <f t="shared" si="12"/>
        <v>0</v>
      </c>
      <c r="I308" s="80"/>
      <c r="J308" s="77"/>
      <c r="K308" s="80"/>
      <c r="L308" s="77"/>
      <c r="M308" s="77">
        <f t="shared" si="11"/>
        <v>0</v>
      </c>
    </row>
    <row r="309" spans="1:13">
      <c r="A309" s="1492"/>
      <c r="B309" s="22"/>
      <c r="C309" s="138" t="s">
        <v>774</v>
      </c>
      <c r="D309" s="447" t="s">
        <v>2</v>
      </c>
      <c r="E309" s="26"/>
      <c r="F309" s="282">
        <v>2</v>
      </c>
      <c r="G309" s="80"/>
      <c r="H309" s="77">
        <f t="shared" si="12"/>
        <v>0</v>
      </c>
      <c r="I309" s="80"/>
      <c r="J309" s="77"/>
      <c r="K309" s="80"/>
      <c r="L309" s="77"/>
      <c r="M309" s="77">
        <f t="shared" si="11"/>
        <v>0</v>
      </c>
    </row>
    <row r="310" spans="1:13">
      <c r="A310" s="1492"/>
      <c r="B310" s="22"/>
      <c r="C310" s="138" t="s">
        <v>771</v>
      </c>
      <c r="D310" s="447" t="s">
        <v>6</v>
      </c>
      <c r="E310" s="26">
        <v>2.6</v>
      </c>
      <c r="F310" s="282">
        <f>F302*E310</f>
        <v>2.6</v>
      </c>
      <c r="G310" s="80"/>
      <c r="H310" s="77">
        <f t="shared" si="12"/>
        <v>0</v>
      </c>
      <c r="I310" s="80"/>
      <c r="J310" s="77"/>
      <c r="K310" s="80"/>
      <c r="L310" s="77"/>
      <c r="M310" s="77">
        <f t="shared" si="11"/>
        <v>0</v>
      </c>
    </row>
    <row r="311" spans="1:13">
      <c r="A311" s="1492"/>
      <c r="B311" s="22"/>
      <c r="C311" s="138" t="s">
        <v>772</v>
      </c>
      <c r="D311" s="447" t="s">
        <v>6</v>
      </c>
      <c r="E311" s="26">
        <v>10</v>
      </c>
      <c r="F311" s="282">
        <f>F302*E311</f>
        <v>10</v>
      </c>
      <c r="G311" s="80"/>
      <c r="H311" s="77">
        <f t="shared" si="12"/>
        <v>0</v>
      </c>
      <c r="I311" s="80"/>
      <c r="J311" s="77"/>
      <c r="K311" s="80"/>
      <c r="L311" s="77"/>
      <c r="M311" s="77">
        <f t="shared" si="11"/>
        <v>0</v>
      </c>
    </row>
    <row r="312" spans="1:13">
      <c r="A312" s="1492"/>
      <c r="B312" s="22"/>
      <c r="C312" s="127" t="s">
        <v>26</v>
      </c>
      <c r="D312" s="942" t="s">
        <v>11</v>
      </c>
      <c r="E312" s="26">
        <v>1.3</v>
      </c>
      <c r="F312" s="282">
        <f>F302*E312</f>
        <v>1.3</v>
      </c>
      <c r="G312" s="80"/>
      <c r="H312" s="77">
        <f t="shared" si="12"/>
        <v>0</v>
      </c>
      <c r="I312" s="80"/>
      <c r="J312" s="77"/>
      <c r="K312" s="80"/>
      <c r="L312" s="77"/>
      <c r="M312" s="77">
        <f t="shared" si="11"/>
        <v>0</v>
      </c>
    </row>
    <row r="313" spans="1:13">
      <c r="A313" s="1422" t="s">
        <v>39</v>
      </c>
      <c r="B313" s="942" t="s">
        <v>150</v>
      </c>
      <c r="C313" s="946" t="s">
        <v>1217</v>
      </c>
      <c r="D313" s="943" t="s">
        <v>12</v>
      </c>
      <c r="E313" s="57"/>
      <c r="F313" s="20">
        <f>SUM(F316:F323)</f>
        <v>5</v>
      </c>
      <c r="G313" s="79"/>
      <c r="H313" s="77"/>
      <c r="I313" s="79"/>
      <c r="J313" s="77"/>
      <c r="K313" s="79"/>
      <c r="L313" s="77"/>
      <c r="M313" s="77"/>
    </row>
    <row r="314" spans="1:13">
      <c r="A314" s="1422"/>
      <c r="B314" s="942"/>
      <c r="C314" s="127" t="s">
        <v>119</v>
      </c>
      <c r="D314" s="942" t="s">
        <v>120</v>
      </c>
      <c r="E314" s="26">
        <v>1.51</v>
      </c>
      <c r="F314" s="282">
        <f>F313*E314</f>
        <v>7.55</v>
      </c>
      <c r="G314" s="80"/>
      <c r="H314" s="77"/>
      <c r="I314" s="80"/>
      <c r="J314" s="77">
        <f>F314*I314</f>
        <v>0</v>
      </c>
      <c r="K314" s="80"/>
      <c r="L314" s="77"/>
      <c r="M314" s="77">
        <f t="shared" ref="M314:M324" si="13">H314+J314+L314</f>
        <v>0</v>
      </c>
    </row>
    <row r="315" spans="1:13">
      <c r="A315" s="1422"/>
      <c r="B315" s="942"/>
      <c r="C315" s="127" t="s">
        <v>134</v>
      </c>
      <c r="D315" s="942" t="s">
        <v>121</v>
      </c>
      <c r="E315" s="26">
        <v>0.13</v>
      </c>
      <c r="F315" s="282">
        <f>F313*E315</f>
        <v>0.65</v>
      </c>
      <c r="G315" s="80"/>
      <c r="H315" s="77"/>
      <c r="I315" s="80"/>
      <c r="J315" s="77"/>
      <c r="K315" s="80"/>
      <c r="L315" s="77">
        <f>F315*K315</f>
        <v>0</v>
      </c>
      <c r="M315" s="77">
        <f t="shared" si="13"/>
        <v>0</v>
      </c>
    </row>
    <row r="316" spans="1:13" hidden="1">
      <c r="A316" s="1422"/>
      <c r="B316" s="942"/>
      <c r="C316" s="127" t="s">
        <v>1218</v>
      </c>
      <c r="D316" s="942" t="s">
        <v>12</v>
      </c>
      <c r="E316" s="26">
        <v>1</v>
      </c>
      <c r="F316" s="282"/>
      <c r="G316" s="80">
        <v>5.3</v>
      </c>
      <c r="H316" s="77">
        <f t="shared" ref="H316:H324" si="14">F316*G316</f>
        <v>0</v>
      </c>
      <c r="I316" s="80"/>
      <c r="J316" s="77"/>
      <c r="K316" s="80"/>
      <c r="L316" s="77"/>
      <c r="M316" s="77">
        <f t="shared" si="13"/>
        <v>0</v>
      </c>
    </row>
    <row r="317" spans="1:13" hidden="1">
      <c r="A317" s="1422"/>
      <c r="B317" s="942"/>
      <c r="C317" s="127" t="s">
        <v>1219</v>
      </c>
      <c r="D317" s="942" t="s">
        <v>12</v>
      </c>
      <c r="E317" s="26">
        <v>1</v>
      </c>
      <c r="F317" s="282"/>
      <c r="G317" s="80">
        <v>6.8</v>
      </c>
      <c r="H317" s="77">
        <f t="shared" si="14"/>
        <v>0</v>
      </c>
      <c r="I317" s="80"/>
      <c r="J317" s="77"/>
      <c r="K317" s="80"/>
      <c r="L317" s="77"/>
      <c r="M317" s="77">
        <f t="shared" si="13"/>
        <v>0</v>
      </c>
    </row>
    <row r="318" spans="1:13" hidden="1">
      <c r="A318" s="1422"/>
      <c r="B318" s="942"/>
      <c r="C318" s="127" t="s">
        <v>1220</v>
      </c>
      <c r="D318" s="942" t="s">
        <v>12</v>
      </c>
      <c r="E318" s="26">
        <v>1</v>
      </c>
      <c r="F318" s="282"/>
      <c r="G318" s="80">
        <v>11.4</v>
      </c>
      <c r="H318" s="77">
        <f t="shared" si="14"/>
        <v>0</v>
      </c>
      <c r="I318" s="80"/>
      <c r="J318" s="77"/>
      <c r="K318" s="80"/>
      <c r="L318" s="77"/>
      <c r="M318" s="77">
        <f t="shared" si="13"/>
        <v>0</v>
      </c>
    </row>
    <row r="319" spans="1:13">
      <c r="A319" s="1422"/>
      <c r="B319" s="942"/>
      <c r="C319" s="127" t="s">
        <v>1221</v>
      </c>
      <c r="D319" s="942" t="s">
        <v>12</v>
      </c>
      <c r="E319" s="26">
        <v>1</v>
      </c>
      <c r="F319" s="282">
        <v>1</v>
      </c>
      <c r="G319" s="80"/>
      <c r="H319" s="77">
        <f t="shared" si="14"/>
        <v>0</v>
      </c>
      <c r="I319" s="80"/>
      <c r="J319" s="77"/>
      <c r="K319" s="80"/>
      <c r="L319" s="77"/>
      <c r="M319" s="77">
        <f t="shared" si="13"/>
        <v>0</v>
      </c>
    </row>
    <row r="320" spans="1:13">
      <c r="A320" s="1422"/>
      <c r="B320" s="942"/>
      <c r="C320" s="127" t="s">
        <v>1222</v>
      </c>
      <c r="D320" s="942" t="s">
        <v>12</v>
      </c>
      <c r="E320" s="26">
        <v>1</v>
      </c>
      <c r="F320" s="282">
        <v>2</v>
      </c>
      <c r="G320" s="80"/>
      <c r="H320" s="77">
        <f t="shared" si="14"/>
        <v>0</v>
      </c>
      <c r="I320" s="80"/>
      <c r="J320" s="77"/>
      <c r="K320" s="80"/>
      <c r="L320" s="77"/>
      <c r="M320" s="77">
        <f t="shared" si="13"/>
        <v>0</v>
      </c>
    </row>
    <row r="321" spans="1:13">
      <c r="A321" s="1422"/>
      <c r="B321" s="942"/>
      <c r="C321" s="127" t="s">
        <v>1223</v>
      </c>
      <c r="D321" s="942" t="s">
        <v>12</v>
      </c>
      <c r="E321" s="26">
        <v>1</v>
      </c>
      <c r="F321" s="282">
        <v>2</v>
      </c>
      <c r="G321" s="80"/>
      <c r="H321" s="77">
        <f>F321*G321</f>
        <v>0</v>
      </c>
      <c r="I321" s="80"/>
      <c r="J321" s="77"/>
      <c r="K321" s="80"/>
      <c r="L321" s="77"/>
      <c r="M321" s="77">
        <f>H321+J321+L321</f>
        <v>0</v>
      </c>
    </row>
    <row r="322" spans="1:13" hidden="1">
      <c r="A322" s="1422"/>
      <c r="B322" s="942"/>
      <c r="C322" s="127" t="s">
        <v>765</v>
      </c>
      <c r="D322" s="942" t="s">
        <v>2</v>
      </c>
      <c r="E322" s="26"/>
      <c r="F322" s="282"/>
      <c r="G322" s="80"/>
      <c r="H322" s="77">
        <f t="shared" si="14"/>
        <v>0</v>
      </c>
      <c r="I322" s="80"/>
      <c r="J322" s="77"/>
      <c r="K322" s="80"/>
      <c r="L322" s="77"/>
      <c r="M322" s="77">
        <f t="shared" si="13"/>
        <v>0</v>
      </c>
    </row>
    <row r="323" spans="1:13" hidden="1">
      <c r="A323" s="1422"/>
      <c r="B323" s="942"/>
      <c r="C323" s="127" t="s">
        <v>1099</v>
      </c>
      <c r="D323" s="942" t="s">
        <v>2</v>
      </c>
      <c r="E323" s="26"/>
      <c r="F323" s="282"/>
      <c r="G323" s="80"/>
      <c r="H323" s="77">
        <f t="shared" si="14"/>
        <v>0</v>
      </c>
      <c r="I323" s="80"/>
      <c r="J323" s="77"/>
      <c r="K323" s="80"/>
      <c r="L323" s="77"/>
      <c r="M323" s="77">
        <f t="shared" si="13"/>
        <v>0</v>
      </c>
    </row>
    <row r="324" spans="1:13">
      <c r="A324" s="1422"/>
      <c r="B324" s="942"/>
      <c r="C324" s="127" t="s">
        <v>122</v>
      </c>
      <c r="D324" s="942" t="s">
        <v>121</v>
      </c>
      <c r="E324" s="26">
        <v>7.0000000000000007E-2</v>
      </c>
      <c r="F324" s="282">
        <f>F313*E324</f>
        <v>0.35000000000000003</v>
      </c>
      <c r="G324" s="80"/>
      <c r="H324" s="77">
        <f t="shared" si="14"/>
        <v>0</v>
      </c>
      <c r="I324" s="80"/>
      <c r="J324" s="77"/>
      <c r="K324" s="80"/>
      <c r="L324" s="77"/>
      <c r="M324" s="77">
        <f t="shared" si="13"/>
        <v>0</v>
      </c>
    </row>
    <row r="325" spans="1:13" ht="31.5">
      <c r="A325" s="1492" t="s">
        <v>433</v>
      </c>
      <c r="B325" s="34"/>
      <c r="C325" s="822" t="s">
        <v>645</v>
      </c>
      <c r="D325" s="447" t="s">
        <v>4</v>
      </c>
      <c r="E325" s="746"/>
      <c r="F325" s="20">
        <f>F265*1000+F270-F275</f>
        <v>65</v>
      </c>
      <c r="G325" s="146"/>
      <c r="H325" s="77"/>
      <c r="I325" s="146"/>
      <c r="J325" s="77"/>
      <c r="K325" s="146"/>
      <c r="L325" s="77"/>
      <c r="M325" s="77"/>
    </row>
    <row r="326" spans="1:13">
      <c r="A326" s="1492"/>
      <c r="B326" s="34"/>
      <c r="C326" s="506" t="s">
        <v>28</v>
      </c>
      <c r="D326" s="64" t="s">
        <v>15</v>
      </c>
      <c r="E326" s="746">
        <v>0.53</v>
      </c>
      <c r="F326" s="78">
        <f>F325*E326</f>
        <v>34.450000000000003</v>
      </c>
      <c r="G326" s="146"/>
      <c r="H326" s="77"/>
      <c r="I326" s="146"/>
      <c r="J326" s="77">
        <f>F326*I326</f>
        <v>0</v>
      </c>
      <c r="K326" s="146"/>
      <c r="L326" s="77"/>
      <c r="M326" s="77">
        <f>H326+J326+L326</f>
        <v>0</v>
      </c>
    </row>
    <row r="327" spans="1:13">
      <c r="A327" s="1492"/>
      <c r="B327" s="447" t="s">
        <v>35</v>
      </c>
      <c r="C327" s="823" t="s">
        <v>1228</v>
      </c>
      <c r="D327" s="447" t="s">
        <v>7</v>
      </c>
      <c r="E327" s="746"/>
      <c r="F327" s="20">
        <f>F325*1.95</f>
        <v>126.75</v>
      </c>
      <c r="G327" s="146"/>
      <c r="H327" s="77"/>
      <c r="I327" s="146"/>
      <c r="J327" s="77"/>
      <c r="K327" s="146"/>
      <c r="L327" s="77">
        <f>F327*K327</f>
        <v>0</v>
      </c>
      <c r="M327" s="77">
        <f>H327+J327+L327</f>
        <v>0</v>
      </c>
    </row>
    <row r="328" spans="1:13">
      <c r="A328" s="877" t="s">
        <v>64</v>
      </c>
      <c r="B328" s="22"/>
      <c r="C328" s="946" t="s">
        <v>776</v>
      </c>
      <c r="D328" s="942" t="s">
        <v>65</v>
      </c>
      <c r="E328" s="26"/>
      <c r="F328" s="122">
        <v>1</v>
      </c>
      <c r="G328" s="188"/>
      <c r="H328" s="77"/>
      <c r="I328" s="80"/>
      <c r="J328" s="77"/>
      <c r="K328" s="80"/>
      <c r="L328" s="77"/>
      <c r="M328" s="77"/>
    </row>
    <row r="329" spans="1:13" ht="31.5">
      <c r="A329" s="1493" t="s">
        <v>485</v>
      </c>
      <c r="B329" s="266" t="s">
        <v>335</v>
      </c>
      <c r="C329" s="820" t="s">
        <v>334</v>
      </c>
      <c r="D329" s="184" t="s">
        <v>4</v>
      </c>
      <c r="E329" s="120"/>
      <c r="F329" s="20">
        <f>3.14*0.65*0.65*2.2*F328</f>
        <v>2.9186300000000012</v>
      </c>
      <c r="G329" s="180"/>
      <c r="H329" s="77"/>
      <c r="I329" s="180"/>
      <c r="J329" s="77"/>
      <c r="K329" s="180"/>
      <c r="L329" s="77"/>
      <c r="M329" s="77"/>
    </row>
    <row r="330" spans="1:13">
      <c r="A330" s="1494"/>
      <c r="B330" s="184"/>
      <c r="C330" s="268" t="s">
        <v>13</v>
      </c>
      <c r="D330" s="184" t="s">
        <v>319</v>
      </c>
      <c r="E330" s="312">
        <v>3.88</v>
      </c>
      <c r="F330" s="269">
        <f>E330*F329</f>
        <v>11.324284400000003</v>
      </c>
      <c r="G330" s="180"/>
      <c r="H330" s="77"/>
      <c r="I330" s="180"/>
      <c r="J330" s="77">
        <f>F330*I330</f>
        <v>0</v>
      </c>
      <c r="K330" s="180"/>
      <c r="L330" s="77"/>
      <c r="M330" s="77">
        <f t="shared" ref="M330:M340" si="15">H330+J330+L330</f>
        <v>0</v>
      </c>
    </row>
    <row r="331" spans="1:13" ht="27">
      <c r="A331" s="1493" t="s">
        <v>486</v>
      </c>
      <c r="B331" s="266" t="s">
        <v>337</v>
      </c>
      <c r="C331" s="821" t="s">
        <v>516</v>
      </c>
      <c r="D331" s="266" t="s">
        <v>90</v>
      </c>
      <c r="E331" s="117"/>
      <c r="F331" s="20">
        <f>F328</f>
        <v>1</v>
      </c>
      <c r="G331" s="123"/>
      <c r="H331" s="77"/>
      <c r="I331" s="307"/>
      <c r="J331" s="77"/>
      <c r="K331" s="307"/>
      <c r="L331" s="77"/>
      <c r="M331" s="77"/>
    </row>
    <row r="332" spans="1:13">
      <c r="A332" s="1507"/>
      <c r="B332" s="184"/>
      <c r="C332" s="268" t="s">
        <v>20</v>
      </c>
      <c r="D332" s="184" t="s">
        <v>15</v>
      </c>
      <c r="E332" s="120">
        <v>14.6</v>
      </c>
      <c r="F332" s="118">
        <f>F331*E332</f>
        <v>14.6</v>
      </c>
      <c r="G332" s="308"/>
      <c r="H332" s="77"/>
      <c r="I332" s="307"/>
      <c r="J332" s="77">
        <f>F332*I332</f>
        <v>0</v>
      </c>
      <c r="K332" s="307"/>
      <c r="L332" s="77"/>
      <c r="M332" s="77">
        <f t="shared" si="15"/>
        <v>0</v>
      </c>
    </row>
    <row r="333" spans="1:13">
      <c r="A333" s="1507"/>
      <c r="B333" s="184"/>
      <c r="C333" s="268" t="s">
        <v>14</v>
      </c>
      <c r="D333" s="184" t="s">
        <v>11</v>
      </c>
      <c r="E333" s="120">
        <v>5.5</v>
      </c>
      <c r="F333" s="118">
        <f>F331*E333</f>
        <v>5.5</v>
      </c>
      <c r="G333" s="307"/>
      <c r="H333" s="77"/>
      <c r="I333" s="307"/>
      <c r="J333" s="77"/>
      <c r="K333" s="307"/>
      <c r="L333" s="77">
        <f>F333*K333</f>
        <v>0</v>
      </c>
      <c r="M333" s="77">
        <f t="shared" si="15"/>
        <v>0</v>
      </c>
    </row>
    <row r="334" spans="1:13">
      <c r="A334" s="1507"/>
      <c r="B334" s="184"/>
      <c r="C334" s="268" t="s">
        <v>517</v>
      </c>
      <c r="D334" s="184" t="s">
        <v>90</v>
      </c>
      <c r="E334" s="120">
        <v>1</v>
      </c>
      <c r="F334" s="118">
        <v>2</v>
      </c>
      <c r="G334" s="307"/>
      <c r="H334" s="77">
        <f t="shared" ref="H334:H340" si="16">F334*G334</f>
        <v>0</v>
      </c>
      <c r="I334" s="307"/>
      <c r="J334" s="77"/>
      <c r="K334" s="80"/>
      <c r="L334" s="77"/>
      <c r="M334" s="77">
        <f t="shared" si="15"/>
        <v>0</v>
      </c>
    </row>
    <row r="335" spans="1:13">
      <c r="A335" s="1507"/>
      <c r="B335" s="184"/>
      <c r="C335" s="268" t="s">
        <v>321</v>
      </c>
      <c r="D335" s="184" t="s">
        <v>90</v>
      </c>
      <c r="E335" s="120">
        <v>1</v>
      </c>
      <c r="F335" s="118">
        <f>F331*E335</f>
        <v>1</v>
      </c>
      <c r="G335" s="307"/>
      <c r="H335" s="77">
        <f t="shared" si="16"/>
        <v>0</v>
      </c>
      <c r="I335" s="307"/>
      <c r="J335" s="77"/>
      <c r="K335" s="80"/>
      <c r="L335" s="77"/>
      <c r="M335" s="77">
        <f t="shared" si="15"/>
        <v>0</v>
      </c>
    </row>
    <row r="336" spans="1:13">
      <c r="A336" s="1507"/>
      <c r="B336" s="184"/>
      <c r="C336" s="268" t="s">
        <v>1421</v>
      </c>
      <c r="D336" s="184" t="s">
        <v>90</v>
      </c>
      <c r="E336" s="120">
        <v>1</v>
      </c>
      <c r="F336" s="118">
        <f>F331*E336</f>
        <v>1</v>
      </c>
      <c r="G336" s="307"/>
      <c r="H336" s="77">
        <f t="shared" si="16"/>
        <v>0</v>
      </c>
      <c r="I336" s="307"/>
      <c r="J336" s="77"/>
      <c r="K336" s="80"/>
      <c r="L336" s="77"/>
      <c r="M336" s="77">
        <f t="shared" si="15"/>
        <v>0</v>
      </c>
    </row>
    <row r="337" spans="1:13">
      <c r="A337" s="1507"/>
      <c r="B337" s="184"/>
      <c r="C337" s="268" t="s">
        <v>777</v>
      </c>
      <c r="D337" s="184" t="s">
        <v>319</v>
      </c>
      <c r="E337" s="120">
        <f>(4.13+1.24)/10</f>
        <v>0.53700000000000003</v>
      </c>
      <c r="F337" s="269">
        <f>F331*E337</f>
        <v>0.53700000000000003</v>
      </c>
      <c r="G337" s="307"/>
      <c r="H337" s="77">
        <f t="shared" si="16"/>
        <v>0</v>
      </c>
      <c r="I337" s="307"/>
      <c r="J337" s="77"/>
      <c r="K337" s="80"/>
      <c r="L337" s="77"/>
      <c r="M337" s="77">
        <f t="shared" si="15"/>
        <v>0</v>
      </c>
    </row>
    <row r="338" spans="1:13">
      <c r="A338" s="1507"/>
      <c r="B338" s="184"/>
      <c r="C338" s="268" t="s">
        <v>226</v>
      </c>
      <c r="D338" s="184" t="s">
        <v>7</v>
      </c>
      <c r="E338" s="120">
        <v>7.0000000000000001E-3</v>
      </c>
      <c r="F338" s="269">
        <f>F331*E338</f>
        <v>7.0000000000000001E-3</v>
      </c>
      <c r="G338" s="307"/>
      <c r="H338" s="77">
        <f t="shared" si="16"/>
        <v>0</v>
      </c>
      <c r="I338" s="307"/>
      <c r="J338" s="77"/>
      <c r="K338" s="80"/>
      <c r="L338" s="77"/>
      <c r="M338" s="77">
        <f t="shared" si="15"/>
        <v>0</v>
      </c>
    </row>
    <row r="339" spans="1:13">
      <c r="A339" s="1507"/>
      <c r="B339" s="184"/>
      <c r="C339" s="127" t="s">
        <v>324</v>
      </c>
      <c r="D339" s="942" t="s">
        <v>6</v>
      </c>
      <c r="E339" s="120">
        <v>7.85</v>
      </c>
      <c r="F339" s="269">
        <f>F331*E339</f>
        <v>7.85</v>
      </c>
      <c r="G339" s="307"/>
      <c r="H339" s="77">
        <f t="shared" si="16"/>
        <v>0</v>
      </c>
      <c r="I339" s="307"/>
      <c r="J339" s="77"/>
      <c r="K339" s="80"/>
      <c r="L339" s="77"/>
      <c r="M339" s="77">
        <f t="shared" si="15"/>
        <v>0</v>
      </c>
    </row>
    <row r="340" spans="1:13">
      <c r="A340" s="1494"/>
      <c r="B340" s="184"/>
      <c r="C340" s="268" t="s">
        <v>26</v>
      </c>
      <c r="D340" s="184" t="s">
        <v>11</v>
      </c>
      <c r="E340" s="120">
        <v>6.77</v>
      </c>
      <c r="F340" s="118">
        <f>F331*E340</f>
        <v>6.77</v>
      </c>
      <c r="G340" s="307"/>
      <c r="H340" s="77">
        <f t="shared" si="16"/>
        <v>0</v>
      </c>
      <c r="I340" s="307"/>
      <c r="J340" s="77"/>
      <c r="K340" s="307"/>
      <c r="L340" s="77"/>
      <c r="M340" s="77">
        <f t="shared" si="15"/>
        <v>0</v>
      </c>
    </row>
    <row r="341" spans="1:13" ht="31.5">
      <c r="A341" s="1492" t="s">
        <v>481</v>
      </c>
      <c r="B341" s="34"/>
      <c r="C341" s="296" t="s">
        <v>645</v>
      </c>
      <c r="D341" s="447" t="s">
        <v>4</v>
      </c>
      <c r="E341" s="746"/>
      <c r="F341" s="20">
        <f>F329</f>
        <v>2.9186300000000012</v>
      </c>
      <c r="G341" s="146"/>
      <c r="H341" s="77"/>
      <c r="I341" s="146"/>
      <c r="J341" s="77"/>
      <c r="K341" s="146"/>
      <c r="L341" s="77"/>
      <c r="M341" s="77"/>
    </row>
    <row r="342" spans="1:13">
      <c r="A342" s="1492"/>
      <c r="B342" s="34"/>
      <c r="C342" s="150" t="s">
        <v>28</v>
      </c>
      <c r="D342" s="64" t="s">
        <v>15</v>
      </c>
      <c r="E342" s="746">
        <v>0.53</v>
      </c>
      <c r="F342" s="78">
        <f>F341*E342</f>
        <v>1.5468739000000007</v>
      </c>
      <c r="G342" s="146"/>
      <c r="H342" s="77"/>
      <c r="I342" s="146"/>
      <c r="J342" s="77">
        <f>F342*I342</f>
        <v>0</v>
      </c>
      <c r="K342" s="146"/>
      <c r="L342" s="77"/>
      <c r="M342" s="77">
        <f>H342+J342+L342</f>
        <v>0</v>
      </c>
    </row>
    <row r="343" spans="1:13">
      <c r="A343" s="1492"/>
      <c r="B343" s="447" t="s">
        <v>35</v>
      </c>
      <c r="C343" s="151" t="s">
        <v>1228</v>
      </c>
      <c r="D343" s="447" t="s">
        <v>7</v>
      </c>
      <c r="E343" s="746"/>
      <c r="F343" s="20">
        <f>F341*1.95</f>
        <v>5.6913285000000018</v>
      </c>
      <c r="G343" s="146"/>
      <c r="H343" s="77"/>
      <c r="I343" s="146"/>
      <c r="J343" s="77"/>
      <c r="K343" s="146"/>
      <c r="L343" s="77">
        <f>F343*K343</f>
        <v>0</v>
      </c>
      <c r="M343" s="77">
        <f>H343+J343+L343</f>
        <v>0</v>
      </c>
    </row>
    <row r="344" spans="1:13">
      <c r="A344" s="934"/>
      <c r="B344" s="184"/>
      <c r="C344" s="268"/>
      <c r="D344" s="184"/>
      <c r="E344" s="120"/>
      <c r="F344" s="118"/>
      <c r="G344" s="307"/>
      <c r="H344" s="77"/>
      <c r="I344" s="307"/>
      <c r="J344" s="77"/>
      <c r="K344" s="307"/>
      <c r="L344" s="77"/>
      <c r="M344" s="77"/>
    </row>
    <row r="345" spans="1:13" ht="31.5">
      <c r="A345" s="1489" t="s">
        <v>433</v>
      </c>
      <c r="B345" s="850" t="s">
        <v>326</v>
      </c>
      <c r="C345" s="133" t="s">
        <v>1225</v>
      </c>
      <c r="D345" s="76" t="s">
        <v>90</v>
      </c>
      <c r="E345" s="60"/>
      <c r="F345" s="122">
        <v>1</v>
      </c>
      <c r="G345" s="188"/>
      <c r="H345" s="77"/>
      <c r="I345" s="180"/>
      <c r="J345" s="77"/>
      <c r="K345" s="180"/>
      <c r="L345" s="77"/>
      <c r="M345" s="77"/>
    </row>
    <row r="346" spans="1:13">
      <c r="A346" s="1490"/>
      <c r="B346" s="850"/>
      <c r="C346" s="131" t="s">
        <v>13</v>
      </c>
      <c r="D346" s="46" t="s">
        <v>15</v>
      </c>
      <c r="E346" s="61">
        <v>3.15</v>
      </c>
      <c r="F346" s="282">
        <f>F345*E346</f>
        <v>3.15</v>
      </c>
      <c r="G346" s="180"/>
      <c r="H346" s="77"/>
      <c r="I346" s="180"/>
      <c r="J346" s="77">
        <f>F346*I346</f>
        <v>0</v>
      </c>
      <c r="K346" s="180"/>
      <c r="L346" s="77"/>
      <c r="M346" s="77">
        <f>H346+J346+L346</f>
        <v>0</v>
      </c>
    </row>
    <row r="347" spans="1:13">
      <c r="A347" s="1490"/>
      <c r="B347" s="850"/>
      <c r="C347" s="260" t="s">
        <v>14</v>
      </c>
      <c r="D347" s="850" t="s">
        <v>11</v>
      </c>
      <c r="E347" s="59">
        <v>0.84</v>
      </c>
      <c r="F347" s="118">
        <f>F345*E347</f>
        <v>0.84</v>
      </c>
      <c r="G347" s="180"/>
      <c r="H347" s="77"/>
      <c r="I347" s="180"/>
      <c r="J347" s="77"/>
      <c r="K347" s="180"/>
      <c r="L347" s="77">
        <f>F347*K347</f>
        <v>0</v>
      </c>
      <c r="M347" s="77">
        <f>H347+J347+L347</f>
        <v>0</v>
      </c>
    </row>
    <row r="348" spans="1:13">
      <c r="A348" s="1490"/>
      <c r="B348" s="850"/>
      <c r="C348" s="260" t="s">
        <v>327</v>
      </c>
      <c r="D348" s="850" t="s">
        <v>169</v>
      </c>
      <c r="E348" s="59">
        <v>20</v>
      </c>
      <c r="F348" s="269">
        <f>E348*F345</f>
        <v>20</v>
      </c>
      <c r="G348" s="180"/>
      <c r="H348" s="77">
        <f>F348*G348</f>
        <v>0</v>
      </c>
      <c r="I348" s="180"/>
      <c r="J348" s="77"/>
      <c r="K348" s="180"/>
      <c r="L348" s="77"/>
      <c r="M348" s="77">
        <f>H348+J348+L348</f>
        <v>0</v>
      </c>
    </row>
    <row r="349" spans="1:13">
      <c r="A349" s="1491"/>
      <c r="B349" s="850"/>
      <c r="C349" s="260" t="s">
        <v>26</v>
      </c>
      <c r="D349" s="850" t="s">
        <v>11</v>
      </c>
      <c r="E349" s="59">
        <v>0.47</v>
      </c>
      <c r="F349" s="118">
        <f>F345*E349</f>
        <v>0.47</v>
      </c>
      <c r="G349" s="180"/>
      <c r="H349" s="77">
        <f>F349*G349</f>
        <v>0</v>
      </c>
      <c r="I349" s="180"/>
      <c r="J349" s="77"/>
      <c r="K349" s="180"/>
      <c r="L349" s="77"/>
      <c r="M349" s="77">
        <f>H349+J349+L349</f>
        <v>0</v>
      </c>
    </row>
    <row r="350" spans="1:13">
      <c r="A350" s="874" t="s">
        <v>333</v>
      </c>
      <c r="B350" s="875"/>
      <c r="C350" s="876" t="s">
        <v>317</v>
      </c>
      <c r="D350" s="1003"/>
      <c r="E350" s="1010"/>
      <c r="F350" s="1001"/>
      <c r="G350" s="245"/>
      <c r="H350" s="340"/>
      <c r="I350" s="245"/>
      <c r="J350" s="340"/>
      <c r="K350" s="245"/>
      <c r="L350" s="340"/>
      <c r="M350" s="340"/>
    </row>
    <row r="351" spans="1:13" ht="31.5">
      <c r="A351" s="1489" t="s">
        <v>429</v>
      </c>
      <c r="B351" s="850" t="s">
        <v>639</v>
      </c>
      <c r="C351" s="293" t="s">
        <v>716</v>
      </c>
      <c r="D351" s="76" t="s">
        <v>640</v>
      </c>
      <c r="E351" s="221"/>
      <c r="F351" s="20">
        <f>192/1000</f>
        <v>0.192</v>
      </c>
      <c r="G351" s="305"/>
      <c r="H351" s="77"/>
      <c r="I351" s="305"/>
      <c r="J351" s="77"/>
      <c r="K351" s="305"/>
      <c r="L351" s="77"/>
      <c r="M351" s="77"/>
    </row>
    <row r="352" spans="1:13">
      <c r="A352" s="1490"/>
      <c r="B352" s="267"/>
      <c r="C352" s="270" t="s">
        <v>13</v>
      </c>
      <c r="D352" s="184" t="s">
        <v>319</v>
      </c>
      <c r="E352" s="312">
        <v>20</v>
      </c>
      <c r="F352" s="269">
        <f>E352*F351</f>
        <v>3.84</v>
      </c>
      <c r="G352" s="245"/>
      <c r="H352" s="77"/>
      <c r="I352" s="245"/>
      <c r="J352" s="77">
        <f>F352*I352</f>
        <v>0</v>
      </c>
      <c r="K352" s="180"/>
      <c r="L352" s="77"/>
      <c r="M352" s="77">
        <f>H352+J352+L352</f>
        <v>0</v>
      </c>
    </row>
    <row r="353" spans="1:13">
      <c r="A353" s="1490"/>
      <c r="B353" s="267" t="s">
        <v>384</v>
      </c>
      <c r="C353" s="270" t="s">
        <v>641</v>
      </c>
      <c r="D353" s="184" t="s">
        <v>16</v>
      </c>
      <c r="E353" s="312">
        <v>44.8</v>
      </c>
      <c r="F353" s="269">
        <f>F351*E353</f>
        <v>8.6015999999999995</v>
      </c>
      <c r="G353" s="245"/>
      <c r="H353" s="77"/>
      <c r="I353" s="80"/>
      <c r="J353" s="77"/>
      <c r="K353" s="180"/>
      <c r="L353" s="77">
        <f>F353*K353</f>
        <v>0</v>
      </c>
      <c r="M353" s="77">
        <f>H353+J353+L353</f>
        <v>0</v>
      </c>
    </row>
    <row r="354" spans="1:13">
      <c r="A354" s="1490"/>
      <c r="B354" s="267"/>
      <c r="C354" s="270" t="s">
        <v>14</v>
      </c>
      <c r="D354" s="184" t="s">
        <v>11</v>
      </c>
      <c r="E354" s="312">
        <v>2.1</v>
      </c>
      <c r="F354" s="269">
        <f>F351*E354</f>
        <v>0.4032</v>
      </c>
      <c r="G354" s="245"/>
      <c r="H354" s="77"/>
      <c r="I354" s="80"/>
      <c r="J354" s="77"/>
      <c r="K354" s="180"/>
      <c r="L354" s="77">
        <f>F354*K354</f>
        <v>0</v>
      </c>
      <c r="M354" s="77">
        <f>H354+J354+L354</f>
        <v>0</v>
      </c>
    </row>
    <row r="355" spans="1:13">
      <c r="A355" s="1491"/>
      <c r="B355" s="267"/>
      <c r="C355" s="270" t="s">
        <v>220</v>
      </c>
      <c r="D355" s="184" t="s">
        <v>4</v>
      </c>
      <c r="E355" s="312">
        <v>0.05</v>
      </c>
      <c r="F355" s="269">
        <f>F351*E355</f>
        <v>9.6000000000000009E-3</v>
      </c>
      <c r="G355" s="245"/>
      <c r="H355" s="77">
        <f>F355*G355</f>
        <v>0</v>
      </c>
      <c r="I355" s="80"/>
      <c r="J355" s="77"/>
      <c r="K355" s="180"/>
      <c r="L355" s="77"/>
      <c r="M355" s="77">
        <f>H355+J355+L355</f>
        <v>0</v>
      </c>
    </row>
    <row r="356" spans="1:13">
      <c r="A356" s="1489" t="s">
        <v>430</v>
      </c>
      <c r="B356" s="943" t="s">
        <v>247</v>
      </c>
      <c r="C356" s="287" t="s">
        <v>642</v>
      </c>
      <c r="D356" s="850" t="s">
        <v>4</v>
      </c>
      <c r="E356" s="221"/>
      <c r="F356" s="20">
        <v>20</v>
      </c>
      <c r="G356" s="245"/>
      <c r="H356" s="77"/>
      <c r="I356" s="77"/>
      <c r="J356" s="77"/>
      <c r="K356" s="180"/>
      <c r="L356" s="77"/>
      <c r="M356" s="77"/>
    </row>
    <row r="357" spans="1:13">
      <c r="A357" s="1491"/>
      <c r="B357" s="943"/>
      <c r="C357" s="153" t="s">
        <v>189</v>
      </c>
      <c r="D357" s="942" t="s">
        <v>109</v>
      </c>
      <c r="E357" s="26">
        <v>2.06</v>
      </c>
      <c r="F357" s="282">
        <f>E357*F356</f>
        <v>41.2</v>
      </c>
      <c r="G357" s="80"/>
      <c r="H357" s="77"/>
      <c r="I357" s="245"/>
      <c r="J357" s="77">
        <f>F357*I357</f>
        <v>0</v>
      </c>
      <c r="K357" s="80"/>
      <c r="L357" s="77"/>
      <c r="M357" s="77">
        <f>H357+J357+L357</f>
        <v>0</v>
      </c>
    </row>
    <row r="358" spans="1:13">
      <c r="A358" s="1492" t="s">
        <v>83</v>
      </c>
      <c r="B358" s="46" t="s">
        <v>328</v>
      </c>
      <c r="C358" s="294" t="s">
        <v>515</v>
      </c>
      <c r="D358" s="40" t="s">
        <v>318</v>
      </c>
      <c r="E358" s="1008"/>
      <c r="F358" s="20">
        <v>12</v>
      </c>
      <c r="G358" s="245"/>
      <c r="H358" s="77"/>
      <c r="I358" s="245"/>
      <c r="J358" s="77"/>
      <c r="K358" s="180"/>
      <c r="L358" s="77"/>
      <c r="M358" s="77"/>
    </row>
    <row r="359" spans="1:13">
      <c r="A359" s="1492"/>
      <c r="B359" s="46"/>
      <c r="C359" s="160" t="s">
        <v>189</v>
      </c>
      <c r="D359" s="46" t="s">
        <v>15</v>
      </c>
      <c r="E359" s="61">
        <f>18/10</f>
        <v>1.8</v>
      </c>
      <c r="F359" s="282">
        <f>E359*F358</f>
        <v>21.6</v>
      </c>
      <c r="G359" s="245"/>
      <c r="H359" s="77"/>
      <c r="I359" s="245"/>
      <c r="J359" s="77">
        <f>F359*I359</f>
        <v>0</v>
      </c>
      <c r="K359" s="180"/>
      <c r="L359" s="77"/>
      <c r="M359" s="77">
        <f>H359+J359+L359</f>
        <v>0</v>
      </c>
    </row>
    <row r="360" spans="1:13">
      <c r="A360" s="1492"/>
      <c r="B360" s="46"/>
      <c r="C360" s="160" t="s">
        <v>329</v>
      </c>
      <c r="D360" s="46" t="s">
        <v>319</v>
      </c>
      <c r="E360" s="61">
        <v>1.1499999999999999</v>
      </c>
      <c r="F360" s="282">
        <f>F358*E360</f>
        <v>13.799999999999999</v>
      </c>
      <c r="G360" s="245"/>
      <c r="H360" s="77">
        <f>F360*G360</f>
        <v>0</v>
      </c>
      <c r="I360" s="245"/>
      <c r="J360" s="77"/>
      <c r="K360" s="180"/>
      <c r="L360" s="77"/>
      <c r="M360" s="77">
        <f>H360+J360+L360</f>
        <v>0</v>
      </c>
    </row>
    <row r="361" spans="1:13">
      <c r="A361" s="1492" t="s">
        <v>431</v>
      </c>
      <c r="B361" s="240" t="s">
        <v>503</v>
      </c>
      <c r="C361" s="295" t="s">
        <v>644</v>
      </c>
      <c r="D361" s="40" t="s">
        <v>318</v>
      </c>
      <c r="E361" s="1009"/>
      <c r="F361" s="20">
        <v>168</v>
      </c>
      <c r="G361" s="188"/>
      <c r="H361" s="77"/>
      <c r="I361" s="188"/>
      <c r="J361" s="77"/>
      <c r="K361" s="188"/>
      <c r="L361" s="77"/>
      <c r="M361" s="77"/>
    </row>
    <row r="362" spans="1:13">
      <c r="A362" s="1492"/>
      <c r="B362" s="46"/>
      <c r="C362" s="160" t="s">
        <v>189</v>
      </c>
      <c r="D362" s="46" t="s">
        <v>15</v>
      </c>
      <c r="E362" s="61">
        <v>1.21</v>
      </c>
      <c r="F362" s="282">
        <f>E362*F361</f>
        <v>203.28</v>
      </c>
      <c r="G362" s="180"/>
      <c r="H362" s="77"/>
      <c r="I362" s="180"/>
      <c r="J362" s="77">
        <f>F362*I362</f>
        <v>0</v>
      </c>
      <c r="K362" s="180"/>
      <c r="L362" s="77"/>
      <c r="M362" s="77">
        <f>H362+J362+L362</f>
        <v>0</v>
      </c>
    </row>
    <row r="363" spans="1:13" ht="31.5">
      <c r="A363" s="1489" t="s">
        <v>38</v>
      </c>
      <c r="B363" s="850" t="s">
        <v>320</v>
      </c>
      <c r="C363" s="294" t="s">
        <v>1227</v>
      </c>
      <c r="D363" s="76" t="s">
        <v>111</v>
      </c>
      <c r="E363" s="60"/>
      <c r="F363" s="20">
        <f>12+33+140+30</f>
        <v>215</v>
      </c>
      <c r="G363" s="188"/>
      <c r="H363" s="77"/>
      <c r="I363" s="180"/>
      <c r="J363" s="77"/>
      <c r="K363" s="180"/>
      <c r="L363" s="77"/>
      <c r="M363" s="77"/>
    </row>
    <row r="364" spans="1:13">
      <c r="A364" s="1490"/>
      <c r="B364" s="850"/>
      <c r="C364" s="160" t="s">
        <v>13</v>
      </c>
      <c r="D364" s="46" t="s">
        <v>15</v>
      </c>
      <c r="E364" s="59">
        <f>245*0.001</f>
        <v>0.245</v>
      </c>
      <c r="F364" s="118">
        <f>F363*E364</f>
        <v>52.674999999999997</v>
      </c>
      <c r="G364" s="180"/>
      <c r="H364" s="77"/>
      <c r="I364" s="180"/>
      <c r="J364" s="77">
        <f>F364*I364</f>
        <v>0</v>
      </c>
      <c r="K364" s="180"/>
      <c r="L364" s="77"/>
      <c r="M364" s="77">
        <f t="shared" ref="M364:M370" si="17">H364+J364+L364</f>
        <v>0</v>
      </c>
    </row>
    <row r="365" spans="1:13">
      <c r="A365" s="1490"/>
      <c r="B365" s="850"/>
      <c r="C365" s="220" t="s">
        <v>14</v>
      </c>
      <c r="D365" s="850" t="s">
        <v>11</v>
      </c>
      <c r="E365" s="59">
        <v>0.84</v>
      </c>
      <c r="F365" s="118">
        <f>F363*E365</f>
        <v>180.6</v>
      </c>
      <c r="G365" s="306"/>
      <c r="H365" s="77"/>
      <c r="I365" s="306"/>
      <c r="J365" s="77"/>
      <c r="K365" s="306"/>
      <c r="L365" s="77">
        <f>F365*K365</f>
        <v>0</v>
      </c>
      <c r="M365" s="77">
        <f t="shared" si="17"/>
        <v>0</v>
      </c>
    </row>
    <row r="366" spans="1:13">
      <c r="A366" s="1490"/>
      <c r="B366" s="850"/>
      <c r="C366" s="220" t="s">
        <v>717</v>
      </c>
      <c r="D366" s="850" t="str">
        <f>D362</f>
        <v>kac/sT</v>
      </c>
      <c r="E366" s="59">
        <v>1.01</v>
      </c>
      <c r="F366" s="118">
        <v>14</v>
      </c>
      <c r="G366" s="306"/>
      <c r="H366" s="77">
        <f t="shared" ref="H366:H372" si="18">F366*G366</f>
        <v>0</v>
      </c>
      <c r="I366" s="306"/>
      <c r="J366" s="77"/>
      <c r="K366" s="180"/>
      <c r="L366" s="77"/>
      <c r="M366" s="77">
        <f t="shared" si="17"/>
        <v>0</v>
      </c>
    </row>
    <row r="367" spans="1:13">
      <c r="A367" s="1490"/>
      <c r="B367" s="850"/>
      <c r="C367" s="220" t="s">
        <v>648</v>
      </c>
      <c r="D367" s="850" t="str">
        <f>D363</f>
        <v>grZ.m.</v>
      </c>
      <c r="E367" s="59">
        <f>1010*0.001</f>
        <v>1.01</v>
      </c>
      <c r="F367" s="118">
        <v>27</v>
      </c>
      <c r="G367" s="180"/>
      <c r="H367" s="77">
        <f t="shared" si="18"/>
        <v>0</v>
      </c>
      <c r="I367" s="180"/>
      <c r="J367" s="77"/>
      <c r="K367" s="180"/>
      <c r="L367" s="77"/>
      <c r="M367" s="77">
        <f t="shared" si="17"/>
        <v>0</v>
      </c>
    </row>
    <row r="368" spans="1:13">
      <c r="A368" s="1490"/>
      <c r="B368" s="850"/>
      <c r="C368" s="220" t="s">
        <v>718</v>
      </c>
      <c r="D368" s="850" t="str">
        <f>D364</f>
        <v>kac/sT</v>
      </c>
      <c r="E368" s="59">
        <v>1.01</v>
      </c>
      <c r="F368" s="118">
        <v>157</v>
      </c>
      <c r="G368" s="180"/>
      <c r="H368" s="77">
        <f t="shared" si="18"/>
        <v>0</v>
      </c>
      <c r="I368" s="180"/>
      <c r="J368" s="77"/>
      <c r="K368" s="180"/>
      <c r="L368" s="77"/>
      <c r="M368" s="77">
        <f t="shared" si="17"/>
        <v>0</v>
      </c>
    </row>
    <row r="369" spans="1:15">
      <c r="A369" s="1490"/>
      <c r="B369" s="850"/>
      <c r="C369" s="154" t="s">
        <v>714</v>
      </c>
      <c r="D369" s="63" t="s">
        <v>2</v>
      </c>
      <c r="E369" s="59"/>
      <c r="F369" s="118">
        <v>3</v>
      </c>
      <c r="G369" s="180"/>
      <c r="H369" s="77">
        <f t="shared" si="18"/>
        <v>0</v>
      </c>
      <c r="I369" s="180"/>
      <c r="J369" s="77"/>
      <c r="K369" s="180"/>
      <c r="L369" s="77"/>
      <c r="M369" s="77">
        <f t="shared" si="17"/>
        <v>0</v>
      </c>
    </row>
    <row r="370" spans="1:15">
      <c r="A370" s="1490"/>
      <c r="B370" s="850"/>
      <c r="C370" s="154" t="s">
        <v>649</v>
      </c>
      <c r="D370" s="63" t="s">
        <v>2</v>
      </c>
      <c r="E370" s="59"/>
      <c r="F370" s="118">
        <v>6</v>
      </c>
      <c r="G370" s="180"/>
      <c r="H370" s="77">
        <f t="shared" si="18"/>
        <v>0</v>
      </c>
      <c r="I370" s="180"/>
      <c r="J370" s="77"/>
      <c r="K370" s="180"/>
      <c r="L370" s="77"/>
      <c r="M370" s="77">
        <f t="shared" si="17"/>
        <v>0</v>
      </c>
    </row>
    <row r="371" spans="1:15">
      <c r="A371" s="1490"/>
      <c r="B371" s="850"/>
      <c r="C371" s="154" t="s">
        <v>719</v>
      </c>
      <c r="D371" s="63" t="s">
        <v>2</v>
      </c>
      <c r="E371" s="59"/>
      <c r="F371" s="118">
        <v>39</v>
      </c>
      <c r="G371" s="180"/>
      <c r="H371" s="77">
        <f t="shared" si="18"/>
        <v>0</v>
      </c>
      <c r="I371" s="180"/>
      <c r="J371" s="77"/>
      <c r="K371" s="180"/>
      <c r="L371" s="77"/>
      <c r="M371" s="77">
        <f t="shared" ref="M371:M435" si="19">H371+J371+L371</f>
        <v>0</v>
      </c>
    </row>
    <row r="372" spans="1:15">
      <c r="A372" s="1491"/>
      <c r="B372" s="850"/>
      <c r="C372" s="220" t="s">
        <v>26</v>
      </c>
      <c r="D372" s="850" t="s">
        <v>11</v>
      </c>
      <c r="E372" s="59">
        <f>8.88*0.001</f>
        <v>8.8800000000000007E-3</v>
      </c>
      <c r="F372" s="118">
        <f>F363*E372</f>
        <v>1.9092000000000002</v>
      </c>
      <c r="G372" s="180"/>
      <c r="H372" s="77">
        <f t="shared" si="18"/>
        <v>0</v>
      </c>
      <c r="I372" s="180"/>
      <c r="J372" s="77"/>
      <c r="K372" s="180"/>
      <c r="L372" s="77"/>
      <c r="M372" s="77">
        <f t="shared" si="19"/>
        <v>0</v>
      </c>
    </row>
    <row r="373" spans="1:15" ht="31.5">
      <c r="A373" s="1489" t="s">
        <v>409</v>
      </c>
      <c r="B373" s="34"/>
      <c r="C373" s="822" t="s">
        <v>645</v>
      </c>
      <c r="D373" s="447" t="s">
        <v>4</v>
      </c>
      <c r="E373" s="746"/>
      <c r="F373" s="20">
        <f>F351*1000+F356-F361</f>
        <v>44</v>
      </c>
      <c r="G373" s="146"/>
      <c r="H373" s="77"/>
      <c r="I373" s="146"/>
      <c r="J373" s="77"/>
      <c r="K373" s="146"/>
      <c r="L373" s="77"/>
      <c r="M373" s="77"/>
    </row>
    <row r="374" spans="1:15">
      <c r="A374" s="1490"/>
      <c r="B374" s="34"/>
      <c r="C374" s="506" t="s">
        <v>28</v>
      </c>
      <c r="D374" s="64" t="s">
        <v>15</v>
      </c>
      <c r="E374" s="746">
        <v>0.53</v>
      </c>
      <c r="F374" s="78">
        <f>F373*E374</f>
        <v>23.32</v>
      </c>
      <c r="G374" s="146"/>
      <c r="H374" s="77"/>
      <c r="I374" s="146"/>
      <c r="J374" s="77">
        <f>F374*I374</f>
        <v>0</v>
      </c>
      <c r="K374" s="146"/>
      <c r="L374" s="77"/>
      <c r="M374" s="77">
        <f>H374+J374+L374</f>
        <v>0</v>
      </c>
    </row>
    <row r="375" spans="1:15">
      <c r="A375" s="1491"/>
      <c r="B375" s="447" t="s">
        <v>35</v>
      </c>
      <c r="C375" s="823" t="s">
        <v>1228</v>
      </c>
      <c r="D375" s="447" t="s">
        <v>7</v>
      </c>
      <c r="E375" s="746"/>
      <c r="F375" s="20">
        <f>F373*1.95</f>
        <v>85.8</v>
      </c>
      <c r="G375" s="146"/>
      <c r="H375" s="77"/>
      <c r="I375" s="146"/>
      <c r="J375" s="77"/>
      <c r="K375" s="146"/>
      <c r="L375" s="77">
        <f>F375*K375</f>
        <v>0</v>
      </c>
      <c r="M375" s="77">
        <f>H375+J375+L375</f>
        <v>0</v>
      </c>
    </row>
    <row r="376" spans="1:15">
      <c r="A376" s="932" t="s">
        <v>432</v>
      </c>
      <c r="B376" s="447"/>
      <c r="C376" s="946" t="s">
        <v>776</v>
      </c>
      <c r="D376" s="942" t="s">
        <v>65</v>
      </c>
      <c r="E376" s="26"/>
      <c r="F376" s="122">
        <v>13</v>
      </c>
      <c r="G376" s="188"/>
      <c r="H376" s="77"/>
      <c r="I376" s="80"/>
      <c r="J376" s="77"/>
      <c r="K376" s="80"/>
      <c r="L376" s="77"/>
      <c r="M376" s="77"/>
    </row>
    <row r="377" spans="1:15" ht="31.5">
      <c r="A377" s="1489" t="s">
        <v>475</v>
      </c>
      <c r="B377" s="850" t="s">
        <v>335</v>
      </c>
      <c r="C377" s="293" t="s">
        <v>334</v>
      </c>
      <c r="D377" s="850" t="s">
        <v>4</v>
      </c>
      <c r="E377" s="59"/>
      <c r="F377" s="20">
        <f>3.14*0.65*0.65*1.7*11+3.14*0.65*0.65*3.2*1</f>
        <v>29.053635000000003</v>
      </c>
      <c r="G377" s="180"/>
      <c r="H377" s="77"/>
      <c r="I377" s="180"/>
      <c r="J377" s="77"/>
      <c r="K377" s="180"/>
      <c r="L377" s="77"/>
      <c r="M377" s="77"/>
    </row>
    <row r="378" spans="1:15">
      <c r="A378" s="1491"/>
      <c r="B378" s="850"/>
      <c r="C378" s="220" t="s">
        <v>13</v>
      </c>
      <c r="D378" s="850" t="s">
        <v>319</v>
      </c>
      <c r="E378" s="221">
        <v>3.88</v>
      </c>
      <c r="F378" s="269">
        <f>E378*F377</f>
        <v>112.72810380000001</v>
      </c>
      <c r="G378" s="180"/>
      <c r="H378" s="77"/>
      <c r="I378" s="180"/>
      <c r="J378" s="77">
        <f>F378*I378</f>
        <v>0</v>
      </c>
      <c r="K378" s="180"/>
      <c r="L378" s="77"/>
      <c r="M378" s="77">
        <f t="shared" si="19"/>
        <v>0</v>
      </c>
    </row>
    <row r="379" spans="1:15">
      <c r="A379" s="1489" t="s">
        <v>480</v>
      </c>
      <c r="B379" s="850" t="s">
        <v>337</v>
      </c>
      <c r="C379" s="294" t="s">
        <v>516</v>
      </c>
      <c r="D379" s="76" t="s">
        <v>90</v>
      </c>
      <c r="E379" s="60"/>
      <c r="F379" s="20">
        <v>11</v>
      </c>
      <c r="G379" s="123"/>
      <c r="H379" s="77"/>
      <c r="I379" s="307"/>
      <c r="J379" s="77"/>
      <c r="K379" s="307"/>
      <c r="L379" s="77"/>
      <c r="M379" s="77"/>
    </row>
    <row r="380" spans="1:15">
      <c r="A380" s="1490"/>
      <c r="B380" s="850"/>
      <c r="C380" s="220" t="s">
        <v>20</v>
      </c>
      <c r="D380" s="850" t="s">
        <v>15</v>
      </c>
      <c r="E380" s="59">
        <v>14.6</v>
      </c>
      <c r="F380" s="118">
        <f>F379*E380</f>
        <v>160.6</v>
      </c>
      <c r="G380" s="308"/>
      <c r="H380" s="77"/>
      <c r="I380" s="307"/>
      <c r="J380" s="77">
        <f>F380*I380</f>
        <v>0</v>
      </c>
      <c r="K380" s="307"/>
      <c r="L380" s="77"/>
      <c r="M380" s="77">
        <f t="shared" si="19"/>
        <v>0</v>
      </c>
    </row>
    <row r="381" spans="1:15">
      <c r="A381" s="1490"/>
      <c r="B381" s="850"/>
      <c r="C381" s="220" t="s">
        <v>14</v>
      </c>
      <c r="D381" s="850" t="s">
        <v>11</v>
      </c>
      <c r="E381" s="59">
        <v>5.5</v>
      </c>
      <c r="F381" s="118">
        <f>F379*E381</f>
        <v>60.5</v>
      </c>
      <c r="G381" s="307"/>
      <c r="H381" s="77"/>
      <c r="I381" s="307"/>
      <c r="J381" s="77"/>
      <c r="K381" s="307"/>
      <c r="L381" s="77">
        <f>F381*K381</f>
        <v>0</v>
      </c>
      <c r="M381" s="77">
        <f t="shared" si="19"/>
        <v>0</v>
      </c>
    </row>
    <row r="382" spans="1:15" ht="45" hidden="1">
      <c r="A382" s="1490"/>
      <c r="B382" s="850"/>
      <c r="C382" s="220" t="s">
        <v>1420</v>
      </c>
      <c r="D382" s="850" t="s">
        <v>90</v>
      </c>
      <c r="E382" s="59"/>
      <c r="F382" s="118"/>
      <c r="G382" s="1016">
        <f>243</f>
        <v>243</v>
      </c>
      <c r="H382" s="77">
        <f t="shared" ref="H382:H391" si="20">F382*G382</f>
        <v>0</v>
      </c>
      <c r="I382" s="307"/>
      <c r="J382" s="77"/>
      <c r="K382" s="80"/>
      <c r="L382" s="77"/>
      <c r="M382" s="77">
        <f t="shared" si="19"/>
        <v>0</v>
      </c>
      <c r="N382" s="21" t="s">
        <v>720</v>
      </c>
      <c r="O382" s="21">
        <f>220+153</f>
        <v>373</v>
      </c>
    </row>
    <row r="383" spans="1:15" hidden="1">
      <c r="A383" s="1490"/>
      <c r="B383" s="850"/>
      <c r="C383" s="220" t="s">
        <v>517</v>
      </c>
      <c r="D383" s="850" t="s">
        <v>90</v>
      </c>
      <c r="E383" s="59"/>
      <c r="F383" s="118"/>
      <c r="G383" s="307">
        <v>102</v>
      </c>
      <c r="H383" s="77">
        <f t="shared" si="20"/>
        <v>0</v>
      </c>
      <c r="I383" s="307"/>
      <c r="J383" s="77"/>
      <c r="K383" s="80"/>
      <c r="L383" s="77"/>
      <c r="M383" s="77">
        <f t="shared" si="19"/>
        <v>0</v>
      </c>
    </row>
    <row r="384" spans="1:15">
      <c r="A384" s="1490"/>
      <c r="B384" s="850"/>
      <c r="C384" s="220" t="s">
        <v>782</v>
      </c>
      <c r="D384" s="850" t="s">
        <v>90</v>
      </c>
      <c r="E384" s="59"/>
      <c r="F384" s="118">
        <v>12</v>
      </c>
      <c r="G384" s="307"/>
      <c r="H384" s="77">
        <f t="shared" si="20"/>
        <v>0</v>
      </c>
      <c r="I384" s="307"/>
      <c r="J384" s="77"/>
      <c r="K384" s="80"/>
      <c r="L384" s="77"/>
      <c r="M384" s="77">
        <f t="shared" si="19"/>
        <v>0</v>
      </c>
    </row>
    <row r="385" spans="1:13">
      <c r="A385" s="1490"/>
      <c r="B385" s="850"/>
      <c r="C385" s="220" t="s">
        <v>1097</v>
      </c>
      <c r="D385" s="850" t="s">
        <v>90</v>
      </c>
      <c r="E385" s="59"/>
      <c r="F385" s="118">
        <v>11</v>
      </c>
      <c r="G385" s="307"/>
      <c r="H385" s="77">
        <f t="shared" si="20"/>
        <v>0</v>
      </c>
      <c r="I385" s="307"/>
      <c r="J385" s="77"/>
      <c r="K385" s="80"/>
      <c r="L385" s="77"/>
      <c r="M385" s="77">
        <f t="shared" si="19"/>
        <v>0</v>
      </c>
    </row>
    <row r="386" spans="1:13" hidden="1">
      <c r="A386" s="1490"/>
      <c r="B386" s="850"/>
      <c r="C386" s="220" t="s">
        <v>1096</v>
      </c>
      <c r="D386" s="850" t="s">
        <v>90</v>
      </c>
      <c r="E386" s="59"/>
      <c r="F386" s="118"/>
      <c r="G386" s="307"/>
      <c r="H386" s="77">
        <f t="shared" si="20"/>
        <v>0</v>
      </c>
      <c r="I386" s="307"/>
      <c r="J386" s="77"/>
      <c r="K386" s="80"/>
      <c r="L386" s="77"/>
      <c r="M386" s="77">
        <f>H386+J386+L386</f>
        <v>0</v>
      </c>
    </row>
    <row r="387" spans="1:13">
      <c r="A387" s="1490"/>
      <c r="B387" s="850"/>
      <c r="C387" s="220" t="s">
        <v>783</v>
      </c>
      <c r="D387" s="850" t="s">
        <v>90</v>
      </c>
      <c r="E387" s="59"/>
      <c r="F387" s="118">
        <v>11</v>
      </c>
      <c r="G387" s="307"/>
      <c r="H387" s="77">
        <f t="shared" si="20"/>
        <v>0</v>
      </c>
      <c r="I387" s="307"/>
      <c r="J387" s="77"/>
      <c r="K387" s="80"/>
      <c r="L387" s="77"/>
      <c r="M387" s="77">
        <f t="shared" si="19"/>
        <v>0</v>
      </c>
    </row>
    <row r="388" spans="1:13">
      <c r="A388" s="1490"/>
      <c r="B388" s="850"/>
      <c r="C388" s="220" t="s">
        <v>777</v>
      </c>
      <c r="D388" s="850" t="s">
        <v>319</v>
      </c>
      <c r="E388" s="59">
        <f>(4.13+1.24)/10</f>
        <v>0.53700000000000003</v>
      </c>
      <c r="F388" s="269">
        <f>F379*E388</f>
        <v>5.907</v>
      </c>
      <c r="G388" s="307"/>
      <c r="H388" s="77">
        <f t="shared" si="20"/>
        <v>0</v>
      </c>
      <c r="I388" s="307"/>
      <c r="J388" s="77"/>
      <c r="K388" s="80"/>
      <c r="L388" s="77"/>
      <c r="M388" s="77">
        <f t="shared" si="19"/>
        <v>0</v>
      </c>
    </row>
    <row r="389" spans="1:13">
      <c r="A389" s="1490"/>
      <c r="B389" s="850"/>
      <c r="C389" s="220" t="s">
        <v>226</v>
      </c>
      <c r="D389" s="850" t="s">
        <v>7</v>
      </c>
      <c r="E389" s="59">
        <v>7.0000000000000001E-3</v>
      </c>
      <c r="F389" s="269">
        <f>F379*E389</f>
        <v>7.6999999999999999E-2</v>
      </c>
      <c r="G389" s="307"/>
      <c r="H389" s="77">
        <f t="shared" si="20"/>
        <v>0</v>
      </c>
      <c r="I389" s="307"/>
      <c r="J389" s="77"/>
      <c r="K389" s="80"/>
      <c r="L389" s="77"/>
      <c r="M389" s="77">
        <f t="shared" si="19"/>
        <v>0</v>
      </c>
    </row>
    <row r="390" spans="1:13">
      <c r="A390" s="1490"/>
      <c r="B390" s="850"/>
      <c r="C390" s="160" t="s">
        <v>324</v>
      </c>
      <c r="D390" s="46" t="s">
        <v>6</v>
      </c>
      <c r="E390" s="59">
        <v>7.85</v>
      </c>
      <c r="F390" s="269">
        <f>F379*E390</f>
        <v>86.35</v>
      </c>
      <c r="G390" s="307"/>
      <c r="H390" s="77">
        <f t="shared" si="20"/>
        <v>0</v>
      </c>
      <c r="I390" s="307"/>
      <c r="J390" s="77"/>
      <c r="K390" s="80"/>
      <c r="L390" s="77"/>
      <c r="M390" s="77">
        <f t="shared" si="19"/>
        <v>0</v>
      </c>
    </row>
    <row r="391" spans="1:13">
      <c r="A391" s="1491"/>
      <c r="B391" s="850"/>
      <c r="C391" s="220" t="s">
        <v>26</v>
      </c>
      <c r="D391" s="850" t="s">
        <v>11</v>
      </c>
      <c r="E391" s="59">
        <v>6.77</v>
      </c>
      <c r="F391" s="118">
        <f>F379*E391</f>
        <v>74.47</v>
      </c>
      <c r="G391" s="307"/>
      <c r="H391" s="77">
        <f t="shared" si="20"/>
        <v>0</v>
      </c>
      <c r="I391" s="307"/>
      <c r="J391" s="77"/>
      <c r="K391" s="307"/>
      <c r="L391" s="77"/>
      <c r="M391" s="77">
        <f t="shared" si="19"/>
        <v>0</v>
      </c>
    </row>
    <row r="392" spans="1:13" ht="31.5">
      <c r="A392" s="1492" t="s">
        <v>481</v>
      </c>
      <c r="B392" s="34"/>
      <c r="C392" s="296" t="s">
        <v>645</v>
      </c>
      <c r="D392" s="447" t="s">
        <v>4</v>
      </c>
      <c r="E392" s="746"/>
      <c r="F392" s="20">
        <f>F377</f>
        <v>29.053635000000003</v>
      </c>
      <c r="G392" s="146"/>
      <c r="H392" s="77"/>
      <c r="I392" s="146"/>
      <c r="J392" s="77"/>
      <c r="K392" s="146"/>
      <c r="L392" s="77"/>
      <c r="M392" s="77"/>
    </row>
    <row r="393" spans="1:13">
      <c r="A393" s="1492"/>
      <c r="B393" s="34"/>
      <c r="C393" s="150" t="s">
        <v>28</v>
      </c>
      <c r="D393" s="64" t="s">
        <v>15</v>
      </c>
      <c r="E393" s="746">
        <v>0.53</v>
      </c>
      <c r="F393" s="78">
        <f>F392*E393</f>
        <v>15.398426550000002</v>
      </c>
      <c r="G393" s="146"/>
      <c r="H393" s="77"/>
      <c r="I393" s="146"/>
      <c r="J393" s="77">
        <f>F393*I393</f>
        <v>0</v>
      </c>
      <c r="K393" s="146"/>
      <c r="L393" s="77"/>
      <c r="M393" s="77">
        <f t="shared" si="19"/>
        <v>0</v>
      </c>
    </row>
    <row r="394" spans="1:13">
      <c r="A394" s="1492"/>
      <c r="B394" s="447" t="s">
        <v>35</v>
      </c>
      <c r="C394" s="151" t="s">
        <v>1228</v>
      </c>
      <c r="D394" s="447" t="s">
        <v>7</v>
      </c>
      <c r="E394" s="746"/>
      <c r="F394" s="20">
        <f>F392*1.95</f>
        <v>56.654588250000003</v>
      </c>
      <c r="G394" s="146"/>
      <c r="H394" s="77"/>
      <c r="I394" s="146"/>
      <c r="J394" s="77"/>
      <c r="K394" s="146"/>
      <c r="L394" s="77">
        <f>F394*K394</f>
        <v>0</v>
      </c>
      <c r="M394" s="77">
        <f t="shared" si="19"/>
        <v>0</v>
      </c>
    </row>
    <row r="395" spans="1:13" ht="31.5">
      <c r="A395" s="1508" t="s">
        <v>39</v>
      </c>
      <c r="B395" s="240" t="s">
        <v>322</v>
      </c>
      <c r="C395" s="295" t="s">
        <v>1419</v>
      </c>
      <c r="D395" s="241" t="s">
        <v>323</v>
      </c>
      <c r="E395" s="1009"/>
      <c r="F395" s="20">
        <v>1</v>
      </c>
      <c r="G395" s="310"/>
      <c r="H395" s="77"/>
      <c r="I395" s="310"/>
      <c r="J395" s="77"/>
      <c r="K395" s="310"/>
      <c r="L395" s="77"/>
      <c r="M395" s="77"/>
    </row>
    <row r="396" spans="1:13">
      <c r="A396" s="1509"/>
      <c r="B396" s="242"/>
      <c r="C396" s="160" t="s">
        <v>189</v>
      </c>
      <c r="D396" s="46" t="s">
        <v>15</v>
      </c>
      <c r="E396" s="61">
        <v>17</v>
      </c>
      <c r="F396" s="282">
        <f>F395*E396</f>
        <v>17</v>
      </c>
      <c r="G396" s="80"/>
      <c r="H396" s="77"/>
      <c r="I396" s="80"/>
      <c r="J396" s="77">
        <f>F396*I396</f>
        <v>0</v>
      </c>
      <c r="K396" s="80"/>
      <c r="L396" s="77"/>
      <c r="M396" s="77">
        <f t="shared" si="19"/>
        <v>0</v>
      </c>
    </row>
    <row r="397" spans="1:13">
      <c r="A397" s="1509"/>
      <c r="B397" s="46"/>
      <c r="C397" s="160" t="s">
        <v>418</v>
      </c>
      <c r="D397" s="46" t="s">
        <v>98</v>
      </c>
      <c r="E397" s="61">
        <v>0.05</v>
      </c>
      <c r="F397" s="282">
        <f>E397*F395</f>
        <v>0.05</v>
      </c>
      <c r="G397" s="180"/>
      <c r="H397" s="77">
        <f>F397*G397</f>
        <v>0</v>
      </c>
      <c r="I397" s="180"/>
      <c r="J397" s="77"/>
      <c r="K397" s="180"/>
      <c r="L397" s="77"/>
      <c r="M397" s="77">
        <f t="shared" si="19"/>
        <v>0</v>
      </c>
    </row>
    <row r="398" spans="1:13">
      <c r="A398" s="1509"/>
      <c r="B398" s="46"/>
      <c r="C398" s="160" t="s">
        <v>336</v>
      </c>
      <c r="D398" s="46" t="s">
        <v>319</v>
      </c>
      <c r="E398" s="61">
        <v>0.2</v>
      </c>
      <c r="F398" s="282">
        <f>E398*F396</f>
        <v>3.4000000000000004</v>
      </c>
      <c r="G398" s="180"/>
      <c r="H398" s="77">
        <f>F398*G398</f>
        <v>0</v>
      </c>
      <c r="I398" s="180"/>
      <c r="J398" s="77"/>
      <c r="K398" s="180"/>
      <c r="L398" s="77"/>
      <c r="M398" s="77">
        <f t="shared" si="19"/>
        <v>0</v>
      </c>
    </row>
    <row r="399" spans="1:13">
      <c r="A399" s="1509"/>
      <c r="B399" s="242"/>
      <c r="C399" s="160" t="s">
        <v>324</v>
      </c>
      <c r="D399" s="46" t="s">
        <v>6</v>
      </c>
      <c r="E399" s="61">
        <v>7.8</v>
      </c>
      <c r="F399" s="282">
        <f>E399*F395</f>
        <v>7.8</v>
      </c>
      <c r="G399" s="80"/>
      <c r="H399" s="77">
        <f>F399*G399</f>
        <v>0</v>
      </c>
      <c r="I399" s="80"/>
      <c r="J399" s="77"/>
      <c r="K399" s="180"/>
      <c r="L399" s="77"/>
      <c r="M399" s="77">
        <f t="shared" si="19"/>
        <v>0</v>
      </c>
    </row>
    <row r="400" spans="1:13">
      <c r="A400" s="1510"/>
      <c r="B400" s="242"/>
      <c r="C400" s="160" t="s">
        <v>19</v>
      </c>
      <c r="D400" s="46" t="s">
        <v>11</v>
      </c>
      <c r="E400" s="61">
        <v>1.08</v>
      </c>
      <c r="F400" s="282">
        <f>E400*F395</f>
        <v>1.08</v>
      </c>
      <c r="G400" s="80"/>
      <c r="H400" s="77">
        <f>F400*G400</f>
        <v>0</v>
      </c>
      <c r="I400" s="80"/>
      <c r="J400" s="77"/>
      <c r="K400" s="180"/>
      <c r="L400" s="77"/>
      <c r="M400" s="77">
        <f t="shared" si="19"/>
        <v>0</v>
      </c>
    </row>
    <row r="401" spans="1:13">
      <c r="A401" s="320" t="s">
        <v>59</v>
      </c>
      <c r="B401" s="62"/>
      <c r="C401" s="234" t="s">
        <v>723</v>
      </c>
      <c r="D401" s="239"/>
      <c r="E401" s="1011"/>
      <c r="F401" s="96"/>
      <c r="G401" s="80"/>
      <c r="H401" s="77"/>
      <c r="I401" s="80"/>
      <c r="J401" s="77"/>
      <c r="K401" s="180"/>
      <c r="L401" s="77"/>
      <c r="M401" s="77"/>
    </row>
    <row r="402" spans="1:13" ht="40.5">
      <c r="A402" s="1418" t="s">
        <v>429</v>
      </c>
      <c r="B402" s="942" t="s">
        <v>368</v>
      </c>
      <c r="C402" s="152" t="s">
        <v>650</v>
      </c>
      <c r="D402" s="943" t="s">
        <v>1</v>
      </c>
      <c r="E402" s="57"/>
      <c r="F402" s="20">
        <v>14</v>
      </c>
      <c r="G402" s="79"/>
      <c r="H402" s="77"/>
      <c r="I402" s="79"/>
      <c r="J402" s="77"/>
      <c r="K402" s="79"/>
      <c r="L402" s="77"/>
      <c r="M402" s="77"/>
    </row>
    <row r="403" spans="1:13">
      <c r="A403" s="1419"/>
      <c r="B403" s="942"/>
      <c r="C403" s="153" t="s">
        <v>119</v>
      </c>
      <c r="D403" s="942" t="s">
        <v>120</v>
      </c>
      <c r="E403" s="26">
        <v>1.35</v>
      </c>
      <c r="F403" s="282">
        <f>F402*E403</f>
        <v>18.900000000000002</v>
      </c>
      <c r="G403" s="80"/>
      <c r="H403" s="77"/>
      <c r="I403" s="80"/>
      <c r="J403" s="77">
        <f>F403*I403</f>
        <v>0</v>
      </c>
      <c r="K403" s="80"/>
      <c r="L403" s="77"/>
      <c r="M403" s="77">
        <f t="shared" si="19"/>
        <v>0</v>
      </c>
    </row>
    <row r="404" spans="1:13">
      <c r="A404" s="1419"/>
      <c r="B404" s="942"/>
      <c r="C404" s="153" t="s">
        <v>134</v>
      </c>
      <c r="D404" s="942" t="s">
        <v>121</v>
      </c>
      <c r="E404" s="26">
        <v>3.1399999999999997E-2</v>
      </c>
      <c r="F404" s="282">
        <f>F402*E404</f>
        <v>0.43959999999999999</v>
      </c>
      <c r="G404" s="80"/>
      <c r="H404" s="77"/>
      <c r="I404" s="80"/>
      <c r="J404" s="77"/>
      <c r="K404" s="80"/>
      <c r="L404" s="77">
        <f>F404*K404</f>
        <v>0</v>
      </c>
      <c r="M404" s="77">
        <f t="shared" si="19"/>
        <v>0</v>
      </c>
    </row>
    <row r="405" spans="1:13">
      <c r="A405" s="1419"/>
      <c r="B405" s="942"/>
      <c r="C405" s="166" t="s">
        <v>651</v>
      </c>
      <c r="D405" s="942" t="s">
        <v>48</v>
      </c>
      <c r="E405" s="26">
        <v>1</v>
      </c>
      <c r="F405" s="282">
        <f>F402*E405</f>
        <v>14</v>
      </c>
      <c r="G405" s="80"/>
      <c r="H405" s="77">
        <f>F405*G405</f>
        <v>0</v>
      </c>
      <c r="I405" s="80"/>
      <c r="J405" s="77"/>
      <c r="K405" s="80"/>
      <c r="L405" s="77"/>
      <c r="M405" s="77">
        <f t="shared" si="19"/>
        <v>0</v>
      </c>
    </row>
    <row r="406" spans="1:13">
      <c r="A406" s="1419"/>
      <c r="B406" s="942"/>
      <c r="C406" s="153" t="s">
        <v>148</v>
      </c>
      <c r="D406" s="942" t="s">
        <v>12</v>
      </c>
      <c r="E406" s="26">
        <v>0.152</v>
      </c>
      <c r="F406" s="282">
        <f>F402*E406</f>
        <v>2.1280000000000001</v>
      </c>
      <c r="G406" s="80"/>
      <c r="H406" s="77">
        <f>F406*G406</f>
        <v>0</v>
      </c>
      <c r="I406" s="80"/>
      <c r="J406" s="77"/>
      <c r="K406" s="80"/>
      <c r="L406" s="77"/>
      <c r="M406" s="77">
        <f t="shared" si="19"/>
        <v>0</v>
      </c>
    </row>
    <row r="407" spans="1:13">
      <c r="A407" s="1420"/>
      <c r="B407" s="942"/>
      <c r="C407" s="153" t="s">
        <v>122</v>
      </c>
      <c r="D407" s="942" t="s">
        <v>121</v>
      </c>
      <c r="E407" s="26">
        <v>6.5199999999999994E-2</v>
      </c>
      <c r="F407" s="282">
        <f>F402*E407</f>
        <v>0.91279999999999994</v>
      </c>
      <c r="G407" s="80"/>
      <c r="H407" s="77">
        <f>F407*G407</f>
        <v>0</v>
      </c>
      <c r="I407" s="80"/>
      <c r="J407" s="77"/>
      <c r="K407" s="80"/>
      <c r="L407" s="77"/>
      <c r="M407" s="77">
        <f t="shared" si="19"/>
        <v>0</v>
      </c>
    </row>
    <row r="408" spans="1:13" ht="40.5">
      <c r="A408" s="1418" t="s">
        <v>430</v>
      </c>
      <c r="B408" s="942" t="s">
        <v>368</v>
      </c>
      <c r="C408" s="152" t="s">
        <v>652</v>
      </c>
      <c r="D408" s="943" t="s">
        <v>1</v>
      </c>
      <c r="E408" s="57"/>
      <c r="F408" s="20">
        <v>1.5</v>
      </c>
      <c r="G408" s="79"/>
      <c r="H408" s="77"/>
      <c r="I408" s="79"/>
      <c r="J408" s="77"/>
      <c r="K408" s="79"/>
      <c r="L408" s="77"/>
      <c r="M408" s="77"/>
    </row>
    <row r="409" spans="1:13">
      <c r="A409" s="1419"/>
      <c r="B409" s="942"/>
      <c r="C409" s="153" t="s">
        <v>119</v>
      </c>
      <c r="D409" s="942" t="s">
        <v>120</v>
      </c>
      <c r="E409" s="26">
        <v>1.35</v>
      </c>
      <c r="F409" s="282">
        <f>F408*E409</f>
        <v>2.0250000000000004</v>
      </c>
      <c r="G409" s="80"/>
      <c r="H409" s="77"/>
      <c r="I409" s="80"/>
      <c r="J409" s="77">
        <f>F409*I409</f>
        <v>0</v>
      </c>
      <c r="K409" s="80"/>
      <c r="L409" s="77"/>
      <c r="M409" s="77">
        <f t="shared" si="19"/>
        <v>0</v>
      </c>
    </row>
    <row r="410" spans="1:13">
      <c r="A410" s="1419"/>
      <c r="B410" s="942"/>
      <c r="C410" s="153" t="s">
        <v>134</v>
      </c>
      <c r="D410" s="942" t="s">
        <v>121</v>
      </c>
      <c r="E410" s="26">
        <v>3.1399999999999997E-2</v>
      </c>
      <c r="F410" s="282">
        <f>F408*E410</f>
        <v>4.7099999999999996E-2</v>
      </c>
      <c r="G410" s="80"/>
      <c r="H410" s="77"/>
      <c r="I410" s="80"/>
      <c r="J410" s="77"/>
      <c r="K410" s="80"/>
      <c r="L410" s="77">
        <f>F410*K410</f>
        <v>0</v>
      </c>
      <c r="M410" s="77">
        <f t="shared" si="19"/>
        <v>0</v>
      </c>
    </row>
    <row r="411" spans="1:13">
      <c r="A411" s="1419"/>
      <c r="B411" s="942"/>
      <c r="C411" s="166" t="s">
        <v>653</v>
      </c>
      <c r="D411" s="942" t="s">
        <v>48</v>
      </c>
      <c r="E411" s="26">
        <v>1</v>
      </c>
      <c r="F411" s="282">
        <f>F408*E411</f>
        <v>1.5</v>
      </c>
      <c r="G411" s="80"/>
      <c r="H411" s="77">
        <f>F411*G411</f>
        <v>0</v>
      </c>
      <c r="I411" s="80"/>
      <c r="J411" s="77"/>
      <c r="K411" s="80"/>
      <c r="L411" s="77"/>
      <c r="M411" s="77">
        <f t="shared" si="19"/>
        <v>0</v>
      </c>
    </row>
    <row r="412" spans="1:13">
      <c r="A412" s="1419"/>
      <c r="B412" s="942"/>
      <c r="C412" s="153" t="s">
        <v>148</v>
      </c>
      <c r="D412" s="942" t="s">
        <v>12</v>
      </c>
      <c r="E412" s="26">
        <v>0.152</v>
      </c>
      <c r="F412" s="282">
        <f>F408*E412</f>
        <v>0.22799999999999998</v>
      </c>
      <c r="G412" s="80"/>
      <c r="H412" s="77">
        <f>F412*G412</f>
        <v>0</v>
      </c>
      <c r="I412" s="80"/>
      <c r="J412" s="77"/>
      <c r="K412" s="80"/>
      <c r="L412" s="77"/>
      <c r="M412" s="77">
        <f t="shared" si="19"/>
        <v>0</v>
      </c>
    </row>
    <row r="413" spans="1:13">
      <c r="A413" s="1420"/>
      <c r="B413" s="942"/>
      <c r="C413" s="153" t="s">
        <v>122</v>
      </c>
      <c r="D413" s="942" t="s">
        <v>121</v>
      </c>
      <c r="E413" s="26">
        <v>6.5199999999999994E-2</v>
      </c>
      <c r="F413" s="282">
        <f>F408*E413</f>
        <v>9.7799999999999998E-2</v>
      </c>
      <c r="G413" s="80"/>
      <c r="H413" s="77">
        <f>F413*G413</f>
        <v>0</v>
      </c>
      <c r="I413" s="80"/>
      <c r="J413" s="77"/>
      <c r="K413" s="80"/>
      <c r="L413" s="77"/>
      <c r="M413" s="77">
        <f t="shared" si="19"/>
        <v>0</v>
      </c>
    </row>
    <row r="414" spans="1:13">
      <c r="A414" s="1495" t="s">
        <v>83</v>
      </c>
      <c r="B414" s="942" t="s">
        <v>152</v>
      </c>
      <c r="C414" s="152" t="s">
        <v>153</v>
      </c>
      <c r="D414" s="943" t="s">
        <v>12</v>
      </c>
      <c r="E414" s="57"/>
      <c r="F414" s="20">
        <f>F417+F418+F419</f>
        <v>4</v>
      </c>
      <c r="G414" s="79"/>
      <c r="H414" s="77"/>
      <c r="I414" s="79"/>
      <c r="J414" s="77"/>
      <c r="K414" s="79"/>
      <c r="L414" s="77"/>
      <c r="M414" s="77"/>
    </row>
    <row r="415" spans="1:13">
      <c r="A415" s="1496"/>
      <c r="B415" s="942"/>
      <c r="C415" s="153" t="s">
        <v>119</v>
      </c>
      <c r="D415" s="942" t="s">
        <v>120</v>
      </c>
      <c r="E415" s="26">
        <v>0.64600000000000002</v>
      </c>
      <c r="F415" s="282">
        <f>F414*E415</f>
        <v>2.5840000000000001</v>
      </c>
      <c r="G415" s="80"/>
      <c r="H415" s="77"/>
      <c r="I415" s="80"/>
      <c r="J415" s="77">
        <f>F415*I415</f>
        <v>0</v>
      </c>
      <c r="K415" s="80"/>
      <c r="L415" s="77"/>
      <c r="M415" s="77">
        <f t="shared" si="19"/>
        <v>0</v>
      </c>
    </row>
    <row r="416" spans="1:13">
      <c r="A416" s="1496"/>
      <c r="B416" s="942"/>
      <c r="C416" s="153" t="s">
        <v>134</v>
      </c>
      <c r="D416" s="942" t="s">
        <v>121</v>
      </c>
      <c r="E416" s="26">
        <v>2.5999999999999999E-3</v>
      </c>
      <c r="F416" s="282">
        <f>F414*E416</f>
        <v>1.04E-2</v>
      </c>
      <c r="G416" s="80"/>
      <c r="H416" s="77"/>
      <c r="I416" s="80"/>
      <c r="J416" s="77"/>
      <c r="K416" s="80"/>
      <c r="L416" s="77">
        <f>F416*K416</f>
        <v>0</v>
      </c>
      <c r="M416" s="77">
        <f t="shared" si="19"/>
        <v>0</v>
      </c>
    </row>
    <row r="417" spans="1:13">
      <c r="A417" s="1496"/>
      <c r="B417" s="22"/>
      <c r="C417" s="148" t="s">
        <v>1440</v>
      </c>
      <c r="D417" s="447" t="s">
        <v>2</v>
      </c>
      <c r="E417" s="26"/>
      <c r="F417" s="282">
        <v>1</v>
      </c>
      <c r="G417" s="80"/>
      <c r="H417" s="77">
        <f>F417*G417</f>
        <v>0</v>
      </c>
      <c r="I417" s="80"/>
      <c r="J417" s="77"/>
      <c r="K417" s="180"/>
      <c r="L417" s="77"/>
      <c r="M417" s="77">
        <f t="shared" si="19"/>
        <v>0</v>
      </c>
    </row>
    <row r="418" spans="1:13">
      <c r="A418" s="1496"/>
      <c r="B418" s="22"/>
      <c r="C418" s="148" t="s">
        <v>1441</v>
      </c>
      <c r="D418" s="447" t="s">
        <v>2</v>
      </c>
      <c r="E418" s="26"/>
      <c r="F418" s="282">
        <v>1</v>
      </c>
      <c r="G418" s="80"/>
      <c r="H418" s="77">
        <f>F418*G418</f>
        <v>0</v>
      </c>
      <c r="I418" s="80"/>
      <c r="J418" s="77"/>
      <c r="K418" s="180"/>
      <c r="L418" s="77"/>
      <c r="M418" s="77">
        <f t="shared" si="19"/>
        <v>0</v>
      </c>
    </row>
    <row r="419" spans="1:13">
      <c r="A419" s="1496"/>
      <c r="B419" s="22"/>
      <c r="C419" s="148" t="s">
        <v>1442</v>
      </c>
      <c r="D419" s="447" t="s">
        <v>2</v>
      </c>
      <c r="E419" s="26"/>
      <c r="F419" s="282">
        <v>2</v>
      </c>
      <c r="G419" s="80"/>
      <c r="H419" s="77">
        <f>F419*G419</f>
        <v>0</v>
      </c>
      <c r="I419" s="80"/>
      <c r="J419" s="77"/>
      <c r="K419" s="180"/>
      <c r="L419" s="77"/>
      <c r="M419" s="77">
        <f t="shared" si="19"/>
        <v>0</v>
      </c>
    </row>
    <row r="420" spans="1:13">
      <c r="A420" s="1497"/>
      <c r="B420" s="22"/>
      <c r="C420" s="153" t="s">
        <v>19</v>
      </c>
      <c r="D420" s="942" t="s">
        <v>156</v>
      </c>
      <c r="E420" s="26">
        <v>0.12</v>
      </c>
      <c r="F420" s="282">
        <f>F393*E420</f>
        <v>1.8478111860000002</v>
      </c>
      <c r="G420" s="80"/>
      <c r="H420" s="77">
        <f>F420*G420</f>
        <v>0</v>
      </c>
      <c r="I420" s="80"/>
      <c r="J420" s="77"/>
      <c r="K420" s="80"/>
      <c r="L420" s="77"/>
      <c r="M420" s="77">
        <f t="shared" si="19"/>
        <v>0</v>
      </c>
    </row>
    <row r="421" spans="1:13">
      <c r="A421" s="1422" t="s">
        <v>431</v>
      </c>
      <c r="B421" s="942" t="s">
        <v>150</v>
      </c>
      <c r="C421" s="152" t="s">
        <v>654</v>
      </c>
      <c r="D421" s="943" t="s">
        <v>12</v>
      </c>
      <c r="E421" s="57"/>
      <c r="F421" s="20">
        <f>F424+F425</f>
        <v>2</v>
      </c>
      <c r="G421" s="79"/>
      <c r="H421" s="77"/>
      <c r="I421" s="79"/>
      <c r="J421" s="77"/>
      <c r="K421" s="79"/>
      <c r="L421" s="77"/>
      <c r="M421" s="77"/>
    </row>
    <row r="422" spans="1:13">
      <c r="A422" s="1422"/>
      <c r="B422" s="942"/>
      <c r="C422" s="153" t="s">
        <v>119</v>
      </c>
      <c r="D422" s="942" t="s">
        <v>120</v>
      </c>
      <c r="E422" s="26">
        <v>1.51</v>
      </c>
      <c r="F422" s="282">
        <f>F421*E422</f>
        <v>3.02</v>
      </c>
      <c r="G422" s="80"/>
      <c r="H422" s="77"/>
      <c r="I422" s="80"/>
      <c r="J422" s="77">
        <f>F422*I422</f>
        <v>0</v>
      </c>
      <c r="K422" s="80"/>
      <c r="L422" s="77"/>
      <c r="M422" s="77">
        <f t="shared" si="19"/>
        <v>0</v>
      </c>
    </row>
    <row r="423" spans="1:13">
      <c r="A423" s="1422"/>
      <c r="B423" s="942"/>
      <c r="C423" s="153" t="s">
        <v>134</v>
      </c>
      <c r="D423" s="942" t="s">
        <v>121</v>
      </c>
      <c r="E423" s="26">
        <v>0.13</v>
      </c>
      <c r="F423" s="282">
        <f>F421*E423</f>
        <v>0.26</v>
      </c>
      <c r="G423" s="80"/>
      <c r="H423" s="77"/>
      <c r="I423" s="80"/>
      <c r="J423" s="77"/>
      <c r="K423" s="80"/>
      <c r="L423" s="77">
        <f>F423*K423</f>
        <v>0</v>
      </c>
      <c r="M423" s="77">
        <f t="shared" si="19"/>
        <v>0</v>
      </c>
    </row>
    <row r="424" spans="1:13">
      <c r="A424" s="1422"/>
      <c r="B424" s="942"/>
      <c r="C424" s="148" t="s">
        <v>1443</v>
      </c>
      <c r="D424" s="447" t="s">
        <v>2</v>
      </c>
      <c r="E424" s="26"/>
      <c r="F424" s="282">
        <v>1</v>
      </c>
      <c r="G424" s="80"/>
      <c r="H424" s="77">
        <f>F424*G424</f>
        <v>0</v>
      </c>
      <c r="I424" s="80"/>
      <c r="J424" s="77"/>
      <c r="K424" s="80"/>
      <c r="L424" s="77"/>
      <c r="M424" s="77">
        <f t="shared" si="19"/>
        <v>0</v>
      </c>
    </row>
    <row r="425" spans="1:13">
      <c r="A425" s="1422"/>
      <c r="B425" s="942"/>
      <c r="C425" s="148" t="s">
        <v>1444</v>
      </c>
      <c r="D425" s="447" t="s">
        <v>2</v>
      </c>
      <c r="E425" s="26"/>
      <c r="F425" s="282">
        <v>1</v>
      </c>
      <c r="G425" s="80"/>
      <c r="H425" s="77">
        <f>F425*G425</f>
        <v>0</v>
      </c>
      <c r="I425" s="80"/>
      <c r="J425" s="77"/>
      <c r="K425" s="80"/>
      <c r="L425" s="77"/>
      <c r="M425" s="77">
        <f t="shared" si="19"/>
        <v>0</v>
      </c>
    </row>
    <row r="426" spans="1:13">
      <c r="A426" s="1422"/>
      <c r="B426" s="942"/>
      <c r="C426" s="153" t="s">
        <v>122</v>
      </c>
      <c r="D426" s="942" t="s">
        <v>121</v>
      </c>
      <c r="E426" s="26">
        <v>7.0000000000000007E-2</v>
      </c>
      <c r="F426" s="282">
        <f>F421*E426</f>
        <v>0.14000000000000001</v>
      </c>
      <c r="G426" s="80"/>
      <c r="H426" s="77">
        <f>F426*G426</f>
        <v>0</v>
      </c>
      <c r="I426" s="80"/>
      <c r="J426" s="77"/>
      <c r="K426" s="80"/>
      <c r="L426" s="77"/>
      <c r="M426" s="77">
        <f t="shared" si="19"/>
        <v>0</v>
      </c>
    </row>
    <row r="427" spans="1:13">
      <c r="A427" s="1422" t="s">
        <v>38</v>
      </c>
      <c r="B427" s="942" t="s">
        <v>150</v>
      </c>
      <c r="C427" s="152" t="s">
        <v>655</v>
      </c>
      <c r="D427" s="943" t="s">
        <v>12</v>
      </c>
      <c r="E427" s="57"/>
      <c r="F427" s="20">
        <f>F430</f>
        <v>1</v>
      </c>
      <c r="G427" s="79"/>
      <c r="H427" s="77"/>
      <c r="I427" s="79"/>
      <c r="J427" s="77"/>
      <c r="K427" s="79"/>
      <c r="L427" s="77"/>
      <c r="M427" s="77"/>
    </row>
    <row r="428" spans="1:13">
      <c r="A428" s="1422"/>
      <c r="B428" s="942"/>
      <c r="C428" s="153" t="s">
        <v>119</v>
      </c>
      <c r="D428" s="942" t="s">
        <v>120</v>
      </c>
      <c r="E428" s="26">
        <v>1.51</v>
      </c>
      <c r="F428" s="282">
        <f>F427*E428</f>
        <v>1.51</v>
      </c>
      <c r="G428" s="80"/>
      <c r="H428" s="77"/>
      <c r="I428" s="80"/>
      <c r="J428" s="77">
        <f>F428*I428</f>
        <v>0</v>
      </c>
      <c r="K428" s="80"/>
      <c r="L428" s="77"/>
      <c r="M428" s="77">
        <f t="shared" si="19"/>
        <v>0</v>
      </c>
    </row>
    <row r="429" spans="1:13">
      <c r="A429" s="1422"/>
      <c r="B429" s="942"/>
      <c r="C429" s="153" t="s">
        <v>134</v>
      </c>
      <c r="D429" s="942" t="s">
        <v>121</v>
      </c>
      <c r="E429" s="26">
        <v>0.13</v>
      </c>
      <c r="F429" s="282">
        <f>F427*E429</f>
        <v>0.13</v>
      </c>
      <c r="G429" s="80"/>
      <c r="H429" s="77"/>
      <c r="I429" s="80"/>
      <c r="J429" s="77"/>
      <c r="K429" s="80"/>
      <c r="L429" s="77">
        <f>F429*K429</f>
        <v>0</v>
      </c>
      <c r="M429" s="77">
        <f t="shared" si="19"/>
        <v>0</v>
      </c>
    </row>
    <row r="430" spans="1:13">
      <c r="A430" s="1422"/>
      <c r="B430" s="942"/>
      <c r="C430" s="148" t="s">
        <v>656</v>
      </c>
      <c r="D430" s="447" t="s">
        <v>2</v>
      </c>
      <c r="E430" s="26"/>
      <c r="F430" s="282">
        <v>1</v>
      </c>
      <c r="G430" s="80"/>
      <c r="H430" s="77">
        <f>F430*G430</f>
        <v>0</v>
      </c>
      <c r="I430" s="80"/>
      <c r="J430" s="77"/>
      <c r="K430" s="80"/>
      <c r="L430" s="77"/>
      <c r="M430" s="77">
        <f t="shared" si="19"/>
        <v>0</v>
      </c>
    </row>
    <row r="431" spans="1:13">
      <c r="A431" s="1422"/>
      <c r="B431" s="942"/>
      <c r="C431" s="148" t="s">
        <v>1445</v>
      </c>
      <c r="D431" s="447" t="s">
        <v>2</v>
      </c>
      <c r="E431" s="26"/>
      <c r="F431" s="282">
        <v>1</v>
      </c>
      <c r="G431" s="80"/>
      <c r="H431" s="77">
        <f>F431*G431</f>
        <v>0</v>
      </c>
      <c r="I431" s="80"/>
      <c r="J431" s="77"/>
      <c r="K431" s="80"/>
      <c r="L431" s="77"/>
      <c r="M431" s="77">
        <f t="shared" si="19"/>
        <v>0</v>
      </c>
    </row>
    <row r="432" spans="1:13">
      <c r="A432" s="1422"/>
      <c r="B432" s="942"/>
      <c r="C432" s="148" t="s">
        <v>657</v>
      </c>
      <c r="D432" s="447" t="s">
        <v>2</v>
      </c>
      <c r="E432" s="26"/>
      <c r="F432" s="282">
        <v>2</v>
      </c>
      <c r="G432" s="80"/>
      <c r="H432" s="77">
        <f>F432*G432</f>
        <v>0</v>
      </c>
      <c r="I432" s="80"/>
      <c r="J432" s="77"/>
      <c r="K432" s="80"/>
      <c r="L432" s="77"/>
      <c r="M432" s="77">
        <f t="shared" si="19"/>
        <v>0</v>
      </c>
    </row>
    <row r="433" spans="1:13">
      <c r="A433" s="1422"/>
      <c r="B433" s="942"/>
      <c r="C433" s="148" t="s">
        <v>1446</v>
      </c>
      <c r="D433" s="447" t="s">
        <v>2</v>
      </c>
      <c r="E433" s="26"/>
      <c r="F433" s="282">
        <v>1</v>
      </c>
      <c r="G433" s="80"/>
      <c r="H433" s="77">
        <f>F433*G433</f>
        <v>0</v>
      </c>
      <c r="I433" s="80"/>
      <c r="J433" s="77"/>
      <c r="K433" s="80"/>
      <c r="L433" s="77"/>
      <c r="M433" s="77">
        <f t="shared" si="19"/>
        <v>0</v>
      </c>
    </row>
    <row r="434" spans="1:13">
      <c r="A434" s="1422"/>
      <c r="B434" s="942"/>
      <c r="C434" s="148" t="s">
        <v>658</v>
      </c>
      <c r="D434" s="447" t="s">
        <v>2</v>
      </c>
      <c r="E434" s="26"/>
      <c r="F434" s="282">
        <v>1</v>
      </c>
      <c r="G434" s="80"/>
      <c r="H434" s="77">
        <f t="shared" ref="H434:H454" si="21">F434*G434</f>
        <v>0</v>
      </c>
      <c r="I434" s="80"/>
      <c r="J434" s="77"/>
      <c r="K434" s="80"/>
      <c r="L434" s="77"/>
      <c r="M434" s="77">
        <f t="shared" si="19"/>
        <v>0</v>
      </c>
    </row>
    <row r="435" spans="1:13">
      <c r="A435" s="1422"/>
      <c r="B435" s="942"/>
      <c r="C435" s="153" t="s">
        <v>122</v>
      </c>
      <c r="D435" s="942" t="s">
        <v>121</v>
      </c>
      <c r="E435" s="26">
        <v>7.0000000000000007E-2</v>
      </c>
      <c r="F435" s="282">
        <f>F427*E435</f>
        <v>7.0000000000000007E-2</v>
      </c>
      <c r="G435" s="80"/>
      <c r="H435" s="77">
        <f t="shared" si="21"/>
        <v>0</v>
      </c>
      <c r="I435" s="80"/>
      <c r="J435" s="77"/>
      <c r="K435" s="80"/>
      <c r="L435" s="77"/>
      <c r="M435" s="77">
        <f t="shared" si="19"/>
        <v>0</v>
      </c>
    </row>
    <row r="436" spans="1:13">
      <c r="A436" s="1418" t="s">
        <v>409</v>
      </c>
      <c r="B436" s="22" t="s">
        <v>182</v>
      </c>
      <c r="C436" s="292" t="s">
        <v>659</v>
      </c>
      <c r="D436" s="22" t="s">
        <v>1</v>
      </c>
      <c r="E436" s="243"/>
      <c r="F436" s="122">
        <v>2.5</v>
      </c>
      <c r="G436" s="79"/>
      <c r="H436" s="77"/>
      <c r="I436" s="79"/>
      <c r="J436" s="77"/>
      <c r="K436" s="79"/>
      <c r="L436" s="77"/>
      <c r="M436" s="77"/>
    </row>
    <row r="437" spans="1:13">
      <c r="A437" s="1419"/>
      <c r="B437" s="22"/>
      <c r="C437" s="153" t="s">
        <v>13</v>
      </c>
      <c r="D437" s="942" t="s">
        <v>109</v>
      </c>
      <c r="E437" s="26">
        <v>0.60899999999999999</v>
      </c>
      <c r="F437" s="282">
        <f>F436*E437</f>
        <v>1.5225</v>
      </c>
      <c r="G437" s="80"/>
      <c r="H437" s="77"/>
      <c r="I437" s="80"/>
      <c r="J437" s="77">
        <f>F437*I437</f>
        <v>0</v>
      </c>
      <c r="K437" s="80"/>
      <c r="L437" s="77"/>
      <c r="M437" s="77">
        <f t="shared" ref="M437:M490" si="22">H437+J437+L437</f>
        <v>0</v>
      </c>
    </row>
    <row r="438" spans="1:13">
      <c r="A438" s="1419"/>
      <c r="B438" s="22"/>
      <c r="C438" s="153" t="s">
        <v>139</v>
      </c>
      <c r="D438" s="942" t="s">
        <v>156</v>
      </c>
      <c r="E438" s="26">
        <v>2.0999999999999999E-3</v>
      </c>
      <c r="F438" s="282">
        <f>F436*E438</f>
        <v>5.2499999999999995E-3</v>
      </c>
      <c r="G438" s="80"/>
      <c r="H438" s="77"/>
      <c r="I438" s="80"/>
      <c r="J438" s="77"/>
      <c r="K438" s="80"/>
      <c r="L438" s="77">
        <f>F438*K438</f>
        <v>0</v>
      </c>
      <c r="M438" s="77">
        <f t="shared" si="22"/>
        <v>0</v>
      </c>
    </row>
    <row r="439" spans="1:13">
      <c r="A439" s="1419"/>
      <c r="B439" s="22" t="s">
        <v>200</v>
      </c>
      <c r="C439" s="153" t="s">
        <v>629</v>
      </c>
      <c r="D439" s="942" t="s">
        <v>167</v>
      </c>
      <c r="E439" s="26">
        <v>1</v>
      </c>
      <c r="F439" s="282">
        <f>F436*E439</f>
        <v>2.5</v>
      </c>
      <c r="G439" s="80"/>
      <c r="H439" s="77">
        <f t="shared" si="21"/>
        <v>0</v>
      </c>
      <c r="I439" s="80"/>
      <c r="J439" s="77"/>
      <c r="K439" s="80"/>
      <c r="L439" s="77"/>
      <c r="M439" s="77">
        <f t="shared" si="22"/>
        <v>0</v>
      </c>
    </row>
    <row r="440" spans="1:13" ht="18">
      <c r="A440" s="1419"/>
      <c r="B440" s="22"/>
      <c r="C440" s="148" t="s">
        <v>778</v>
      </c>
      <c r="D440" s="1002" t="s">
        <v>2</v>
      </c>
      <c r="E440" s="26"/>
      <c r="F440" s="282">
        <v>1</v>
      </c>
      <c r="G440" s="80"/>
      <c r="H440" s="77">
        <f t="shared" si="21"/>
        <v>0</v>
      </c>
      <c r="I440" s="80"/>
      <c r="J440" s="77"/>
      <c r="K440" s="80"/>
      <c r="L440" s="77"/>
      <c r="M440" s="77">
        <f t="shared" si="22"/>
        <v>0</v>
      </c>
    </row>
    <row r="441" spans="1:13">
      <c r="A441" s="1419"/>
      <c r="B441" s="22"/>
      <c r="C441" s="247" t="s">
        <v>168</v>
      </c>
      <c r="D441" s="71" t="s">
        <v>169</v>
      </c>
      <c r="E441" s="26">
        <f>14*0.01</f>
        <v>0.14000000000000001</v>
      </c>
      <c r="F441" s="282">
        <f>E441*F436</f>
        <v>0.35000000000000003</v>
      </c>
      <c r="G441" s="80"/>
      <c r="H441" s="77">
        <f t="shared" si="21"/>
        <v>0</v>
      </c>
      <c r="I441" s="80"/>
      <c r="J441" s="77"/>
      <c r="K441" s="80"/>
      <c r="L441" s="77"/>
      <c r="M441" s="77">
        <f t="shared" si="22"/>
        <v>0</v>
      </c>
    </row>
    <row r="442" spans="1:13">
      <c r="A442" s="1420"/>
      <c r="B442" s="22"/>
      <c r="C442" s="153" t="s">
        <v>19</v>
      </c>
      <c r="D442" s="942" t="s">
        <v>156</v>
      </c>
      <c r="E442" s="26">
        <v>0.156</v>
      </c>
      <c r="F442" s="282">
        <f>F436*E442</f>
        <v>0.39</v>
      </c>
      <c r="G442" s="80"/>
      <c r="H442" s="77">
        <f t="shared" si="21"/>
        <v>0</v>
      </c>
      <c r="I442" s="80"/>
      <c r="J442" s="77"/>
      <c r="K442" s="80"/>
      <c r="L442" s="77"/>
      <c r="M442" s="77">
        <f t="shared" si="22"/>
        <v>0</v>
      </c>
    </row>
    <row r="443" spans="1:13" ht="31.5">
      <c r="A443" s="930" t="s">
        <v>432</v>
      </c>
      <c r="B443" s="928" t="s">
        <v>34</v>
      </c>
      <c r="C443" s="287" t="s">
        <v>660</v>
      </c>
      <c r="D443" s="447" t="s">
        <v>2</v>
      </c>
      <c r="E443" s="948"/>
      <c r="F443" s="122">
        <v>1</v>
      </c>
      <c r="G443" s="77"/>
      <c r="H443" s="77">
        <f t="shared" si="21"/>
        <v>0</v>
      </c>
      <c r="I443" s="80"/>
      <c r="J443" s="77">
        <f>F443*I443</f>
        <v>0</v>
      </c>
      <c r="K443" s="180"/>
      <c r="L443" s="77">
        <f>F443*K443</f>
        <v>0</v>
      </c>
      <c r="M443" s="77">
        <f t="shared" si="22"/>
        <v>0</v>
      </c>
    </row>
    <row r="444" spans="1:13" ht="31.5">
      <c r="A444" s="1495" t="s">
        <v>39</v>
      </c>
      <c r="B444" s="43" t="s">
        <v>661</v>
      </c>
      <c r="C444" s="425" t="s">
        <v>662</v>
      </c>
      <c r="D444" s="928" t="s">
        <v>5</v>
      </c>
      <c r="E444" s="26"/>
      <c r="F444" s="122">
        <v>85</v>
      </c>
      <c r="G444" s="77"/>
      <c r="H444" s="77"/>
      <c r="I444" s="80"/>
      <c r="J444" s="77"/>
      <c r="K444" s="80"/>
      <c r="L444" s="77"/>
      <c r="M444" s="77"/>
    </row>
    <row r="445" spans="1:13">
      <c r="A445" s="1496"/>
      <c r="B445" s="928"/>
      <c r="C445" s="165" t="s">
        <v>13</v>
      </c>
      <c r="D445" s="928" t="s">
        <v>15</v>
      </c>
      <c r="E445" s="26">
        <v>0.11700000000000001</v>
      </c>
      <c r="F445" s="282">
        <f>F444*E445</f>
        <v>9.9450000000000003</v>
      </c>
      <c r="G445" s="77"/>
      <c r="H445" s="77"/>
      <c r="I445" s="80"/>
      <c r="J445" s="77">
        <f>F445*I445</f>
        <v>0</v>
      </c>
      <c r="K445" s="80"/>
      <c r="L445" s="77"/>
      <c r="M445" s="77">
        <f t="shared" si="22"/>
        <v>0</v>
      </c>
    </row>
    <row r="446" spans="1:13">
      <c r="A446" s="1496"/>
      <c r="B446" s="928"/>
      <c r="C446" s="165" t="s">
        <v>25</v>
      </c>
      <c r="D446" s="928" t="s">
        <v>11</v>
      </c>
      <c r="E446" s="26">
        <v>7.9000000000000008E-3</v>
      </c>
      <c r="F446" s="282">
        <f>F444*E446</f>
        <v>0.6715000000000001</v>
      </c>
      <c r="G446" s="77"/>
      <c r="H446" s="77"/>
      <c r="I446" s="80"/>
      <c r="J446" s="77"/>
      <c r="K446" s="180"/>
      <c r="L446" s="77">
        <f>F446*K446</f>
        <v>0</v>
      </c>
      <c r="M446" s="77">
        <f t="shared" si="22"/>
        <v>0</v>
      </c>
    </row>
    <row r="447" spans="1:13">
      <c r="A447" s="1496"/>
      <c r="B447" s="184"/>
      <c r="C447" s="270" t="s">
        <v>574</v>
      </c>
      <c r="D447" s="184" t="s">
        <v>6</v>
      </c>
      <c r="E447" s="120">
        <v>3.2000000000000001E-2</v>
      </c>
      <c r="F447" s="118">
        <f>F444*E447</f>
        <v>2.72</v>
      </c>
      <c r="G447" s="307"/>
      <c r="H447" s="77">
        <f t="shared" si="21"/>
        <v>0</v>
      </c>
      <c r="I447" s="80"/>
      <c r="J447" s="77"/>
      <c r="K447" s="180"/>
      <c r="L447" s="77"/>
      <c r="M447" s="77">
        <f t="shared" si="22"/>
        <v>0</v>
      </c>
    </row>
    <row r="448" spans="1:13">
      <c r="A448" s="1496"/>
      <c r="B448" s="184"/>
      <c r="C448" s="270" t="s">
        <v>345</v>
      </c>
      <c r="D448" s="184" t="s">
        <v>6</v>
      </c>
      <c r="E448" s="120">
        <v>0.35</v>
      </c>
      <c r="F448" s="118">
        <f>F444*E448</f>
        <v>29.749999999999996</v>
      </c>
      <c r="G448" s="307"/>
      <c r="H448" s="77">
        <f t="shared" si="21"/>
        <v>0</v>
      </c>
      <c r="I448" s="80"/>
      <c r="J448" s="77"/>
      <c r="K448" s="180"/>
      <c r="L448" s="77"/>
      <c r="M448" s="77">
        <f t="shared" si="22"/>
        <v>0</v>
      </c>
    </row>
    <row r="449" spans="1:13">
      <c r="A449" s="1497"/>
      <c r="B449" s="184"/>
      <c r="C449" s="270" t="s">
        <v>19</v>
      </c>
      <c r="D449" s="184" t="s">
        <v>11</v>
      </c>
      <c r="E449" s="120">
        <v>5.9999999999999995E-4</v>
      </c>
      <c r="F449" s="118">
        <f>F444*E449</f>
        <v>5.0999999999999997E-2</v>
      </c>
      <c r="G449" s="307"/>
      <c r="H449" s="77">
        <f t="shared" si="21"/>
        <v>0</v>
      </c>
      <c r="I449" s="80"/>
      <c r="J449" s="77"/>
      <c r="K449" s="180"/>
      <c r="L449" s="77"/>
      <c r="M449" s="77">
        <f t="shared" si="22"/>
        <v>0</v>
      </c>
    </row>
    <row r="450" spans="1:13">
      <c r="A450" s="1418" t="s">
        <v>64</v>
      </c>
      <c r="B450" s="943" t="s">
        <v>332</v>
      </c>
      <c r="C450" s="425" t="s">
        <v>721</v>
      </c>
      <c r="D450" s="447" t="s">
        <v>1</v>
      </c>
      <c r="E450" s="26"/>
      <c r="F450" s="20">
        <f>(F453)*0.34*0.1</f>
        <v>1.258</v>
      </c>
      <c r="G450" s="80"/>
      <c r="H450" s="77"/>
      <c r="I450" s="80"/>
      <c r="J450" s="77"/>
      <c r="K450" s="80"/>
      <c r="L450" s="77"/>
      <c r="M450" s="77"/>
    </row>
    <row r="451" spans="1:13">
      <c r="A451" s="1419"/>
      <c r="B451" s="942"/>
      <c r="C451" s="160" t="s">
        <v>13</v>
      </c>
      <c r="D451" s="66" t="s">
        <v>15</v>
      </c>
      <c r="E451" s="61">
        <f>18.8</f>
        <v>18.8</v>
      </c>
      <c r="F451" s="282">
        <f>E451*F450</f>
        <v>23.650400000000001</v>
      </c>
      <c r="G451" s="80"/>
      <c r="H451" s="77"/>
      <c r="I451" s="80"/>
      <c r="J451" s="77">
        <f>F451*I451</f>
        <v>0</v>
      </c>
      <c r="K451" s="80"/>
      <c r="L451" s="77"/>
      <c r="M451" s="77">
        <f t="shared" si="22"/>
        <v>0</v>
      </c>
    </row>
    <row r="452" spans="1:13">
      <c r="A452" s="1419"/>
      <c r="B452" s="942"/>
      <c r="C452" s="160" t="s">
        <v>14</v>
      </c>
      <c r="D452" s="46" t="s">
        <v>11</v>
      </c>
      <c r="E452" s="1005">
        <f>0.24</f>
        <v>0.24</v>
      </c>
      <c r="F452" s="317">
        <f>F450*E452</f>
        <v>0.30191999999999997</v>
      </c>
      <c r="G452" s="80"/>
      <c r="H452" s="77"/>
      <c r="I452" s="80"/>
      <c r="J452" s="77"/>
      <c r="K452" s="80"/>
      <c r="L452" s="77">
        <f>F452*K452</f>
        <v>0</v>
      </c>
      <c r="M452" s="77">
        <f t="shared" si="22"/>
        <v>0</v>
      </c>
    </row>
    <row r="453" spans="1:13">
      <c r="A453" s="1419"/>
      <c r="B453" s="942"/>
      <c r="C453" s="148" t="s">
        <v>663</v>
      </c>
      <c r="D453" s="447" t="s">
        <v>1</v>
      </c>
      <c r="E453" s="948"/>
      <c r="F453" s="282">
        <v>37</v>
      </c>
      <c r="G453" s="80"/>
      <c r="H453" s="77">
        <f t="shared" si="21"/>
        <v>0</v>
      </c>
      <c r="I453" s="80"/>
      <c r="J453" s="77"/>
      <c r="K453" s="77"/>
      <c r="L453" s="77"/>
      <c r="M453" s="77">
        <f t="shared" si="22"/>
        <v>0</v>
      </c>
    </row>
    <row r="454" spans="1:13">
      <c r="A454" s="1420"/>
      <c r="B454" s="942"/>
      <c r="C454" s="160" t="s">
        <v>26</v>
      </c>
      <c r="D454" s="46" t="s">
        <v>11</v>
      </c>
      <c r="E454" s="1005">
        <v>1.7</v>
      </c>
      <c r="F454" s="317">
        <f>E454*F450</f>
        <v>2.1385999999999998</v>
      </c>
      <c r="G454" s="80"/>
      <c r="H454" s="77">
        <f t="shared" si="21"/>
        <v>0</v>
      </c>
      <c r="I454" s="80"/>
      <c r="J454" s="77"/>
      <c r="K454" s="80"/>
      <c r="L454" s="77"/>
      <c r="M454" s="77">
        <f t="shared" si="22"/>
        <v>0</v>
      </c>
    </row>
    <row r="455" spans="1:13">
      <c r="A455" s="931"/>
      <c r="B455" s="24"/>
      <c r="C455" s="160"/>
      <c r="D455" s="66"/>
      <c r="E455" s="216"/>
      <c r="F455" s="84"/>
      <c r="G455" s="77"/>
      <c r="H455" s="77"/>
      <c r="I455" s="80"/>
      <c r="J455" s="77"/>
      <c r="K455" s="80"/>
      <c r="L455" s="77"/>
      <c r="M455" s="77"/>
    </row>
    <row r="456" spans="1:13" ht="25.5" hidden="1" customHeight="1">
      <c r="A456" s="320" t="s">
        <v>60</v>
      </c>
      <c r="B456" s="62"/>
      <c r="C456" s="234" t="s">
        <v>722</v>
      </c>
      <c r="D456" s="239"/>
      <c r="E456" s="1011"/>
      <c r="F456" s="96"/>
      <c r="G456" s="77"/>
      <c r="H456" s="77"/>
      <c r="I456" s="80"/>
      <c r="J456" s="77"/>
      <c r="K456" s="80"/>
      <c r="L456" s="77"/>
      <c r="M456" s="77"/>
    </row>
    <row r="457" spans="1:13" ht="31.5" hidden="1">
      <c r="A457" s="1501">
        <v>1</v>
      </c>
      <c r="B457" s="864" t="s">
        <v>182</v>
      </c>
      <c r="C457" s="865" t="s">
        <v>165</v>
      </c>
      <c r="D457" s="864" t="s">
        <v>1</v>
      </c>
      <c r="E457" s="1012"/>
      <c r="F457" s="858">
        <v>4</v>
      </c>
      <c r="G457" s="79"/>
      <c r="H457" s="859"/>
      <c r="I457" s="860"/>
      <c r="J457" s="859"/>
      <c r="K457" s="860"/>
      <c r="L457" s="859"/>
      <c r="M457" s="859"/>
    </row>
    <row r="458" spans="1:13" hidden="1">
      <c r="A458" s="1502"/>
      <c r="B458" s="864"/>
      <c r="C458" s="866" t="s">
        <v>13</v>
      </c>
      <c r="D458" s="867" t="s">
        <v>109</v>
      </c>
      <c r="E458" s="880">
        <v>0.60899999999999999</v>
      </c>
      <c r="F458" s="618">
        <f>F457*E458</f>
        <v>2.4359999999999999</v>
      </c>
      <c r="G458" s="80"/>
      <c r="H458" s="859"/>
      <c r="I458" s="861">
        <v>4.5999999999999996</v>
      </c>
      <c r="J458" s="859"/>
      <c r="K458" s="861"/>
      <c r="L458" s="859"/>
      <c r="M458" s="859">
        <f t="shared" si="22"/>
        <v>0</v>
      </c>
    </row>
    <row r="459" spans="1:13" hidden="1">
      <c r="A459" s="1502"/>
      <c r="B459" s="864"/>
      <c r="C459" s="866" t="s">
        <v>139</v>
      </c>
      <c r="D459" s="867" t="s">
        <v>156</v>
      </c>
      <c r="E459" s="880">
        <v>2.0999999999999999E-3</v>
      </c>
      <c r="F459" s="618">
        <f>F457*E459</f>
        <v>8.3999999999999995E-3</v>
      </c>
      <c r="G459" s="80"/>
      <c r="H459" s="859"/>
      <c r="I459" s="861"/>
      <c r="J459" s="859"/>
      <c r="K459" s="861">
        <v>4</v>
      </c>
      <c r="L459" s="859"/>
      <c r="M459" s="859">
        <f t="shared" si="22"/>
        <v>0</v>
      </c>
    </row>
    <row r="460" spans="1:13" hidden="1">
      <c r="A460" s="1502"/>
      <c r="B460" s="864"/>
      <c r="C460" s="866" t="s">
        <v>629</v>
      </c>
      <c r="D460" s="867" t="s">
        <v>167</v>
      </c>
      <c r="E460" s="880">
        <v>1</v>
      </c>
      <c r="F460" s="618">
        <f>F457*E460</f>
        <v>4</v>
      </c>
      <c r="G460" s="80">
        <v>4.2</v>
      </c>
      <c r="H460" s="859"/>
      <c r="I460" s="861"/>
      <c r="J460" s="859"/>
      <c r="K460" s="861"/>
      <c r="L460" s="859"/>
      <c r="M460" s="859">
        <f t="shared" si="22"/>
        <v>0</v>
      </c>
    </row>
    <row r="461" spans="1:13" hidden="1">
      <c r="A461" s="1502"/>
      <c r="B461" s="864"/>
      <c r="C461" s="868" t="s">
        <v>168</v>
      </c>
      <c r="D461" s="869" t="s">
        <v>169</v>
      </c>
      <c r="E461" s="1017">
        <f>14*0.01</f>
        <v>0.14000000000000001</v>
      </c>
      <c r="F461" s="1018">
        <f>E461*F457</f>
        <v>0.56000000000000005</v>
      </c>
      <c r="G461" s="1015">
        <v>3.5</v>
      </c>
      <c r="H461" s="859"/>
      <c r="I461" s="1019"/>
      <c r="J461" s="859"/>
      <c r="K461" s="1019"/>
      <c r="L461" s="859"/>
      <c r="M461" s="859">
        <f t="shared" si="22"/>
        <v>0</v>
      </c>
    </row>
    <row r="462" spans="1:13" hidden="1">
      <c r="A462" s="1503"/>
      <c r="B462" s="864"/>
      <c r="C462" s="866" t="s">
        <v>19</v>
      </c>
      <c r="D462" s="867" t="s">
        <v>156</v>
      </c>
      <c r="E462" s="880">
        <v>0.156</v>
      </c>
      <c r="F462" s="618">
        <f>F457*E462</f>
        <v>0.624</v>
      </c>
      <c r="G462" s="80">
        <v>4</v>
      </c>
      <c r="H462" s="859"/>
      <c r="I462" s="861"/>
      <c r="J462" s="859"/>
      <c r="K462" s="861"/>
      <c r="L462" s="859"/>
      <c r="M462" s="859">
        <f t="shared" si="22"/>
        <v>0</v>
      </c>
    </row>
    <row r="463" spans="1:13" ht="31.5" hidden="1">
      <c r="A463" s="1501">
        <v>2</v>
      </c>
      <c r="B463" s="864" t="s">
        <v>171</v>
      </c>
      <c r="C463" s="865" t="s">
        <v>170</v>
      </c>
      <c r="D463" s="864" t="s">
        <v>1</v>
      </c>
      <c r="E463" s="1012"/>
      <c r="F463" s="858">
        <v>7</v>
      </c>
      <c r="G463" s="79"/>
      <c r="H463" s="859"/>
      <c r="I463" s="860"/>
      <c r="J463" s="859"/>
      <c r="K463" s="860"/>
      <c r="L463" s="859"/>
      <c r="M463" s="859"/>
    </row>
    <row r="464" spans="1:13" hidden="1">
      <c r="A464" s="1502"/>
      <c r="B464" s="864"/>
      <c r="C464" s="866" t="s">
        <v>13</v>
      </c>
      <c r="D464" s="867" t="s">
        <v>109</v>
      </c>
      <c r="E464" s="880">
        <f>58.3*0.01</f>
        <v>0.58299999999999996</v>
      </c>
      <c r="F464" s="618">
        <f>F463*E464</f>
        <v>4.0809999999999995</v>
      </c>
      <c r="G464" s="80"/>
      <c r="H464" s="859"/>
      <c r="I464" s="861">
        <v>4.5999999999999996</v>
      </c>
      <c r="J464" s="859"/>
      <c r="K464" s="861"/>
      <c r="L464" s="859"/>
      <c r="M464" s="859">
        <f t="shared" si="22"/>
        <v>0</v>
      </c>
    </row>
    <row r="465" spans="1:13" hidden="1">
      <c r="A465" s="1502"/>
      <c r="B465" s="864"/>
      <c r="C465" s="866" t="s">
        <v>139</v>
      </c>
      <c r="D465" s="867" t="s">
        <v>156</v>
      </c>
      <c r="E465" s="880">
        <f>0.46*0.01</f>
        <v>4.5999999999999999E-3</v>
      </c>
      <c r="F465" s="618">
        <f>F463*E465</f>
        <v>3.2199999999999999E-2</v>
      </c>
      <c r="G465" s="80"/>
      <c r="H465" s="859"/>
      <c r="I465" s="861"/>
      <c r="J465" s="859"/>
      <c r="K465" s="861">
        <v>4</v>
      </c>
      <c r="L465" s="859"/>
      <c r="M465" s="859">
        <f t="shared" si="22"/>
        <v>0</v>
      </c>
    </row>
    <row r="466" spans="1:13" hidden="1">
      <c r="A466" s="1502"/>
      <c r="B466" s="864"/>
      <c r="C466" s="866" t="s">
        <v>166</v>
      </c>
      <c r="D466" s="867" t="s">
        <v>167</v>
      </c>
      <c r="E466" s="880">
        <v>1</v>
      </c>
      <c r="F466" s="618">
        <f>F463*E466</f>
        <v>7</v>
      </c>
      <c r="G466" s="80">
        <v>13.9</v>
      </c>
      <c r="H466" s="859"/>
      <c r="I466" s="861"/>
      <c r="J466" s="859"/>
      <c r="K466" s="861"/>
      <c r="L466" s="859"/>
      <c r="M466" s="859">
        <f t="shared" si="22"/>
        <v>0</v>
      </c>
    </row>
    <row r="467" spans="1:13" hidden="1">
      <c r="A467" s="1502"/>
      <c r="B467" s="864"/>
      <c r="C467" s="868" t="s">
        <v>168</v>
      </c>
      <c r="D467" s="869" t="s">
        <v>169</v>
      </c>
      <c r="E467" s="1017">
        <f>23*0.01</f>
        <v>0.23</v>
      </c>
      <c r="F467" s="1018">
        <f>E467*F463</f>
        <v>1.61</v>
      </c>
      <c r="G467" s="1015">
        <v>5.5</v>
      </c>
      <c r="H467" s="859"/>
      <c r="I467" s="1019"/>
      <c r="J467" s="859"/>
      <c r="K467" s="1019"/>
      <c r="L467" s="859"/>
      <c r="M467" s="859">
        <f t="shared" si="22"/>
        <v>0</v>
      </c>
    </row>
    <row r="468" spans="1:13" hidden="1">
      <c r="A468" s="1503"/>
      <c r="B468" s="864"/>
      <c r="C468" s="866" t="s">
        <v>19</v>
      </c>
      <c r="D468" s="867" t="s">
        <v>156</v>
      </c>
      <c r="E468" s="880">
        <f>20.8*0.01</f>
        <v>0.20800000000000002</v>
      </c>
      <c r="F468" s="618">
        <f>F463*E468</f>
        <v>1.4560000000000002</v>
      </c>
      <c r="G468" s="80">
        <v>4</v>
      </c>
      <c r="H468" s="859"/>
      <c r="I468" s="861"/>
      <c r="J468" s="859"/>
      <c r="K468" s="861"/>
      <c r="L468" s="859"/>
      <c r="M468" s="859">
        <f t="shared" si="22"/>
        <v>0</v>
      </c>
    </row>
    <row r="469" spans="1:13" hidden="1">
      <c r="A469" s="1498" t="s">
        <v>83</v>
      </c>
      <c r="B469" s="864" t="s">
        <v>172</v>
      </c>
      <c r="C469" s="865" t="s">
        <v>173</v>
      </c>
      <c r="D469" s="864" t="s">
        <v>90</v>
      </c>
      <c r="E469" s="1012"/>
      <c r="F469" s="858">
        <f>F472+F473+F474+F475+F476</f>
        <v>9</v>
      </c>
      <c r="G469" s="79"/>
      <c r="H469" s="859"/>
      <c r="I469" s="860"/>
      <c r="J469" s="859"/>
      <c r="K469" s="860"/>
      <c r="L469" s="859"/>
      <c r="M469" s="859"/>
    </row>
    <row r="470" spans="1:13" hidden="1">
      <c r="A470" s="1499"/>
      <c r="B470" s="864"/>
      <c r="C470" s="866" t="s">
        <v>13</v>
      </c>
      <c r="D470" s="867" t="s">
        <v>109</v>
      </c>
      <c r="E470" s="880">
        <v>2.67</v>
      </c>
      <c r="F470" s="618">
        <f>F469*E470</f>
        <v>24.03</v>
      </c>
      <c r="G470" s="80"/>
      <c r="H470" s="859"/>
      <c r="I470" s="861">
        <v>6</v>
      </c>
      <c r="J470" s="859"/>
      <c r="K470" s="861"/>
      <c r="L470" s="859"/>
      <c r="M470" s="859">
        <f t="shared" si="22"/>
        <v>0</v>
      </c>
    </row>
    <row r="471" spans="1:13" hidden="1">
      <c r="A471" s="1499"/>
      <c r="B471" s="864"/>
      <c r="C471" s="866" t="s">
        <v>139</v>
      </c>
      <c r="D471" s="867" t="s">
        <v>156</v>
      </c>
      <c r="E471" s="880">
        <v>0.28999999999999998</v>
      </c>
      <c r="F471" s="618">
        <f>F469*E471</f>
        <v>2.61</v>
      </c>
      <c r="G471" s="80"/>
      <c r="H471" s="859"/>
      <c r="I471" s="861"/>
      <c r="J471" s="859"/>
      <c r="K471" s="861">
        <v>4</v>
      </c>
      <c r="L471" s="859"/>
      <c r="M471" s="859">
        <f t="shared" si="22"/>
        <v>0</v>
      </c>
    </row>
    <row r="472" spans="1:13" ht="31.5" hidden="1">
      <c r="A472" s="1499"/>
      <c r="B472" s="864"/>
      <c r="C472" s="870" t="s">
        <v>779</v>
      </c>
      <c r="D472" s="617" t="s">
        <v>2</v>
      </c>
      <c r="E472" s="880"/>
      <c r="F472" s="618">
        <v>2</v>
      </c>
      <c r="G472" s="80">
        <v>17</v>
      </c>
      <c r="H472" s="859"/>
      <c r="I472" s="861"/>
      <c r="J472" s="859"/>
      <c r="K472" s="859"/>
      <c r="L472" s="859"/>
      <c r="M472" s="859">
        <f t="shared" si="22"/>
        <v>0</v>
      </c>
    </row>
    <row r="473" spans="1:13" ht="18" hidden="1">
      <c r="A473" s="1499"/>
      <c r="B473" s="864"/>
      <c r="C473" s="870" t="s">
        <v>1447</v>
      </c>
      <c r="D473" s="617" t="s">
        <v>2</v>
      </c>
      <c r="E473" s="880"/>
      <c r="F473" s="618">
        <v>2</v>
      </c>
      <c r="G473" s="80">
        <v>2</v>
      </c>
      <c r="H473" s="859"/>
      <c r="I473" s="861"/>
      <c r="J473" s="859"/>
      <c r="K473" s="859"/>
      <c r="L473" s="859"/>
      <c r="M473" s="859">
        <f t="shared" si="22"/>
        <v>0</v>
      </c>
    </row>
    <row r="474" spans="1:13" ht="18" hidden="1">
      <c r="A474" s="1499"/>
      <c r="B474" s="864"/>
      <c r="C474" s="870" t="s">
        <v>1434</v>
      </c>
      <c r="D474" s="617" t="s">
        <v>2</v>
      </c>
      <c r="E474" s="880"/>
      <c r="F474" s="618">
        <v>2</v>
      </c>
      <c r="G474" s="80">
        <v>3.5</v>
      </c>
      <c r="H474" s="859"/>
      <c r="I474" s="861"/>
      <c r="J474" s="859"/>
      <c r="K474" s="859"/>
      <c r="L474" s="859"/>
      <c r="M474" s="859">
        <f t="shared" si="22"/>
        <v>0</v>
      </c>
    </row>
    <row r="475" spans="1:13" ht="18" hidden="1">
      <c r="A475" s="1499"/>
      <c r="B475" s="864"/>
      <c r="C475" s="870" t="s">
        <v>1448</v>
      </c>
      <c r="D475" s="617" t="s">
        <v>2</v>
      </c>
      <c r="E475" s="880"/>
      <c r="F475" s="618">
        <v>1</v>
      </c>
      <c r="G475" s="80">
        <v>3</v>
      </c>
      <c r="H475" s="859"/>
      <c r="I475" s="861"/>
      <c r="J475" s="859"/>
      <c r="K475" s="859"/>
      <c r="L475" s="859"/>
      <c r="M475" s="859">
        <f t="shared" si="22"/>
        <v>0</v>
      </c>
    </row>
    <row r="476" spans="1:13" hidden="1">
      <c r="A476" s="1499"/>
      <c r="B476" s="864"/>
      <c r="C476" s="870" t="s">
        <v>781</v>
      </c>
      <c r="D476" s="617" t="s">
        <v>2</v>
      </c>
      <c r="E476" s="880"/>
      <c r="F476" s="618">
        <v>2</v>
      </c>
      <c r="G476" s="80">
        <v>2.5</v>
      </c>
      <c r="H476" s="859"/>
      <c r="I476" s="861"/>
      <c r="J476" s="859"/>
      <c r="K476" s="859"/>
      <c r="L476" s="859"/>
      <c r="M476" s="859">
        <f t="shared" si="22"/>
        <v>0</v>
      </c>
    </row>
    <row r="477" spans="1:13" hidden="1">
      <c r="A477" s="1500"/>
      <c r="B477" s="864"/>
      <c r="C477" s="866" t="s">
        <v>19</v>
      </c>
      <c r="D477" s="867" t="s">
        <v>156</v>
      </c>
      <c r="E477" s="880">
        <v>0.2</v>
      </c>
      <c r="F477" s="618">
        <f>F469*E477</f>
        <v>1.8</v>
      </c>
      <c r="G477" s="80">
        <v>4</v>
      </c>
      <c r="H477" s="859"/>
      <c r="I477" s="861"/>
      <c r="J477" s="859"/>
      <c r="K477" s="861"/>
      <c r="L477" s="859"/>
      <c r="M477" s="859">
        <f t="shared" si="22"/>
        <v>0</v>
      </c>
    </row>
    <row r="478" spans="1:13" hidden="1">
      <c r="A478" s="1501" t="s">
        <v>431</v>
      </c>
      <c r="B478" s="867" t="s">
        <v>150</v>
      </c>
      <c r="C478" s="623" t="s">
        <v>654</v>
      </c>
      <c r="D478" s="622" t="s">
        <v>12</v>
      </c>
      <c r="E478" s="625"/>
      <c r="F478" s="382">
        <f>F481</f>
        <v>2</v>
      </c>
      <c r="G478" s="79"/>
      <c r="H478" s="859"/>
      <c r="I478" s="860"/>
      <c r="J478" s="859"/>
      <c r="K478" s="860"/>
      <c r="L478" s="859"/>
      <c r="M478" s="859"/>
    </row>
    <row r="479" spans="1:13" hidden="1">
      <c r="A479" s="1502"/>
      <c r="B479" s="867"/>
      <c r="C479" s="866" t="s">
        <v>119</v>
      </c>
      <c r="D479" s="867" t="s">
        <v>120</v>
      </c>
      <c r="E479" s="880">
        <v>1.51</v>
      </c>
      <c r="F479" s="618">
        <f>F478*E479</f>
        <v>3.02</v>
      </c>
      <c r="G479" s="80"/>
      <c r="H479" s="859"/>
      <c r="I479" s="861">
        <v>6</v>
      </c>
      <c r="J479" s="859"/>
      <c r="K479" s="861"/>
      <c r="L479" s="859"/>
      <c r="M479" s="859">
        <f t="shared" si="22"/>
        <v>0</v>
      </c>
    </row>
    <row r="480" spans="1:13" hidden="1">
      <c r="A480" s="1502"/>
      <c r="B480" s="867"/>
      <c r="C480" s="866" t="s">
        <v>134</v>
      </c>
      <c r="D480" s="867" t="s">
        <v>121</v>
      </c>
      <c r="E480" s="880">
        <v>0.13</v>
      </c>
      <c r="F480" s="618">
        <f>F478*E480</f>
        <v>0.26</v>
      </c>
      <c r="G480" s="80"/>
      <c r="H480" s="859"/>
      <c r="I480" s="861"/>
      <c r="J480" s="859"/>
      <c r="K480" s="861">
        <v>4</v>
      </c>
      <c r="L480" s="859"/>
      <c r="M480" s="859">
        <f t="shared" si="22"/>
        <v>0</v>
      </c>
    </row>
    <row r="481" spans="1:14" hidden="1">
      <c r="A481" s="1502"/>
      <c r="B481" s="867"/>
      <c r="C481" s="870" t="s">
        <v>724</v>
      </c>
      <c r="D481" s="617" t="s">
        <v>2</v>
      </c>
      <c r="E481" s="880"/>
      <c r="F481" s="618">
        <v>2</v>
      </c>
      <c r="G481" s="80">
        <v>157</v>
      </c>
      <c r="H481" s="859"/>
      <c r="I481" s="861"/>
      <c r="J481" s="859"/>
      <c r="K481" s="861"/>
      <c r="L481" s="859"/>
      <c r="M481" s="859">
        <f t="shared" si="22"/>
        <v>0</v>
      </c>
    </row>
    <row r="482" spans="1:14" hidden="1">
      <c r="A482" s="1502"/>
      <c r="B482" s="867"/>
      <c r="C482" s="870" t="s">
        <v>725</v>
      </c>
      <c r="D482" s="617" t="s">
        <v>2</v>
      </c>
      <c r="E482" s="880"/>
      <c r="F482" s="618">
        <v>2</v>
      </c>
      <c r="G482" s="80">
        <v>78.2</v>
      </c>
      <c r="H482" s="859"/>
      <c r="I482" s="861"/>
      <c r="J482" s="859"/>
      <c r="K482" s="861"/>
      <c r="L482" s="859"/>
      <c r="M482" s="859">
        <f t="shared" si="22"/>
        <v>0</v>
      </c>
    </row>
    <row r="483" spans="1:14" hidden="1">
      <c r="A483" s="1503"/>
      <c r="B483" s="867"/>
      <c r="C483" s="866" t="s">
        <v>122</v>
      </c>
      <c r="D483" s="867" t="s">
        <v>121</v>
      </c>
      <c r="E483" s="880">
        <v>7.0000000000000007E-2</v>
      </c>
      <c r="F483" s="618">
        <f>F478*E483</f>
        <v>0.14000000000000001</v>
      </c>
      <c r="G483" s="80">
        <v>4</v>
      </c>
      <c r="H483" s="859"/>
      <c r="I483" s="861"/>
      <c r="J483" s="859"/>
      <c r="K483" s="861"/>
      <c r="L483" s="859"/>
      <c r="M483" s="859">
        <f t="shared" si="22"/>
        <v>0</v>
      </c>
    </row>
    <row r="484" spans="1:14" hidden="1">
      <c r="A484" s="1504" t="s">
        <v>38</v>
      </c>
      <c r="B484" s="867" t="s">
        <v>366</v>
      </c>
      <c r="C484" s="871" t="s">
        <v>592</v>
      </c>
      <c r="D484" s="617" t="s">
        <v>2</v>
      </c>
      <c r="E484" s="880"/>
      <c r="F484" s="1020">
        <f>F487</f>
        <v>2</v>
      </c>
      <c r="G484" s="77"/>
      <c r="H484" s="859"/>
      <c r="I484" s="859"/>
      <c r="J484" s="859"/>
      <c r="K484" s="859"/>
      <c r="L484" s="859"/>
      <c r="M484" s="859"/>
    </row>
    <row r="485" spans="1:14" hidden="1">
      <c r="A485" s="1505"/>
      <c r="B485" s="867"/>
      <c r="C485" s="866" t="s">
        <v>13</v>
      </c>
      <c r="D485" s="867" t="s">
        <v>15</v>
      </c>
      <c r="E485" s="863">
        <v>25.9</v>
      </c>
      <c r="F485" s="862">
        <f>E485*F484</f>
        <v>51.8</v>
      </c>
      <c r="G485" s="77"/>
      <c r="H485" s="859"/>
      <c r="I485" s="859">
        <v>6</v>
      </c>
      <c r="J485" s="859"/>
      <c r="K485" s="859"/>
      <c r="L485" s="859"/>
      <c r="M485" s="859">
        <f t="shared" si="22"/>
        <v>0</v>
      </c>
    </row>
    <row r="486" spans="1:14" hidden="1">
      <c r="A486" s="1505"/>
      <c r="B486" s="867"/>
      <c r="C486" s="870" t="s">
        <v>14</v>
      </c>
      <c r="D486" s="617" t="s">
        <v>11</v>
      </c>
      <c r="E486" s="880">
        <v>1.66</v>
      </c>
      <c r="F486" s="618">
        <f>F484*E486</f>
        <v>3.32</v>
      </c>
      <c r="G486" s="77"/>
      <c r="H486" s="859"/>
      <c r="I486" s="859"/>
      <c r="J486" s="859"/>
      <c r="K486" s="859">
        <v>4</v>
      </c>
      <c r="L486" s="859"/>
      <c r="M486" s="859">
        <f t="shared" si="22"/>
        <v>0</v>
      </c>
    </row>
    <row r="487" spans="1:14" ht="31.5" hidden="1">
      <c r="A487" s="1505"/>
      <c r="B487" s="867"/>
      <c r="C487" s="866" t="s">
        <v>743</v>
      </c>
      <c r="D487" s="617" t="s">
        <v>65</v>
      </c>
      <c r="E487" s="880"/>
      <c r="F487" s="618">
        <v>2</v>
      </c>
      <c r="G487" s="77">
        <v>1250</v>
      </c>
      <c r="H487" s="859"/>
      <c r="I487" s="859"/>
      <c r="J487" s="859"/>
      <c r="K487" s="859"/>
      <c r="L487" s="859"/>
      <c r="M487" s="859">
        <f t="shared" si="22"/>
        <v>0</v>
      </c>
    </row>
    <row r="488" spans="1:14" hidden="1">
      <c r="A488" s="1505"/>
      <c r="B488" s="867"/>
      <c r="C488" s="866" t="s">
        <v>780</v>
      </c>
      <c r="D488" s="617" t="s">
        <v>2</v>
      </c>
      <c r="E488" s="880"/>
      <c r="F488" s="618">
        <v>2</v>
      </c>
      <c r="G488" s="77">
        <v>20</v>
      </c>
      <c r="H488" s="859"/>
      <c r="I488" s="859"/>
      <c r="J488" s="859"/>
      <c r="K488" s="859"/>
      <c r="L488" s="859"/>
      <c r="M488" s="859">
        <f t="shared" si="22"/>
        <v>0</v>
      </c>
    </row>
    <row r="489" spans="1:14" hidden="1">
      <c r="A489" s="1506"/>
      <c r="B489" s="867"/>
      <c r="C489" s="870" t="s">
        <v>26</v>
      </c>
      <c r="D489" s="617" t="s">
        <v>11</v>
      </c>
      <c r="E489" s="880">
        <v>2.99</v>
      </c>
      <c r="F489" s="618">
        <f>F484*E489</f>
        <v>5.98</v>
      </c>
      <c r="G489" s="77">
        <v>4</v>
      </c>
      <c r="H489" s="859"/>
      <c r="I489" s="859"/>
      <c r="J489" s="859"/>
      <c r="K489" s="859"/>
      <c r="L489" s="859"/>
      <c r="M489" s="859">
        <f t="shared" si="22"/>
        <v>0</v>
      </c>
    </row>
    <row r="490" spans="1:14" hidden="1">
      <c r="A490" s="935" t="s">
        <v>432</v>
      </c>
      <c r="B490" s="872"/>
      <c r="C490" s="623" t="s">
        <v>726</v>
      </c>
      <c r="D490" s="873" t="s">
        <v>2</v>
      </c>
      <c r="E490" s="863"/>
      <c r="F490" s="862">
        <v>1</v>
      </c>
      <c r="G490" s="77">
        <v>150</v>
      </c>
      <c r="H490" s="859"/>
      <c r="I490" s="861">
        <v>30</v>
      </c>
      <c r="J490" s="859"/>
      <c r="K490" s="861"/>
      <c r="L490" s="859"/>
      <c r="M490" s="859">
        <f t="shared" si="22"/>
        <v>0</v>
      </c>
    </row>
    <row r="491" spans="1:14">
      <c r="A491" s="931"/>
      <c r="B491" s="24"/>
      <c r="C491" s="160"/>
      <c r="D491" s="66"/>
      <c r="E491" s="216"/>
      <c r="F491" s="84"/>
      <c r="G491" s="77"/>
      <c r="H491" s="77"/>
      <c r="I491" s="80"/>
      <c r="J491" s="77"/>
      <c r="K491" s="80"/>
      <c r="L491" s="77"/>
      <c r="M491" s="448"/>
    </row>
    <row r="492" spans="1:14">
      <c r="A492" s="931"/>
      <c r="B492" s="24"/>
      <c r="C492" s="160"/>
      <c r="D492" s="66"/>
      <c r="E492" s="216"/>
      <c r="F492" s="84"/>
      <c r="G492" s="77"/>
      <c r="H492" s="77"/>
      <c r="I492" s="80"/>
      <c r="J492" s="77"/>
      <c r="K492" s="80"/>
      <c r="L492" s="77"/>
      <c r="M492" s="448"/>
    </row>
    <row r="493" spans="1:14" ht="31.5">
      <c r="A493" s="324"/>
      <c r="B493" s="105"/>
      <c r="C493" s="104" t="s">
        <v>1908</v>
      </c>
      <c r="D493" s="105"/>
      <c r="E493" s="421"/>
      <c r="F493" s="244"/>
      <c r="G493" s="100"/>
      <c r="H493" s="100">
        <f>SUM(H264:H492)</f>
        <v>0</v>
      </c>
      <c r="I493" s="100"/>
      <c r="J493" s="100">
        <f>SUM(J264:J492)</f>
        <v>0</v>
      </c>
      <c r="K493" s="100"/>
      <c r="L493" s="100">
        <f>SUM(L264:L492)</f>
        <v>0</v>
      </c>
      <c r="M493" s="100">
        <f>SUM(M264:M492)</f>
        <v>0</v>
      </c>
      <c r="N493" s="1025">
        <f>H493+J493+L493</f>
        <v>0</v>
      </c>
    </row>
    <row r="494" spans="1:14" ht="31.5">
      <c r="A494" s="1215"/>
      <c r="B494" s="338"/>
      <c r="C494" s="787" t="s">
        <v>1134</v>
      </c>
      <c r="D494" s="338"/>
      <c r="E494" s="353"/>
      <c r="F494" s="354"/>
      <c r="G494" s="355"/>
      <c r="H494" s="355"/>
      <c r="I494" s="355"/>
      <c r="J494" s="355"/>
      <c r="K494" s="355"/>
      <c r="L494" s="355"/>
      <c r="M494" s="356">
        <f>H493*F494</f>
        <v>0</v>
      </c>
      <c r="N494" s="1025"/>
    </row>
    <row r="495" spans="1:14">
      <c r="A495" s="1215"/>
      <c r="B495" s="338"/>
      <c r="C495" s="335" t="s">
        <v>54</v>
      </c>
      <c r="D495" s="338"/>
      <c r="E495" s="353"/>
      <c r="F495" s="357"/>
      <c r="G495" s="355"/>
      <c r="H495" s="355"/>
      <c r="I495" s="355"/>
      <c r="J495" s="355"/>
      <c r="K495" s="355"/>
      <c r="L495" s="355"/>
      <c r="M495" s="356">
        <f>M493+M494</f>
        <v>0</v>
      </c>
      <c r="N495" s="1025"/>
    </row>
    <row r="496" spans="1:14">
      <c r="A496" s="1214"/>
      <c r="B496" s="1142"/>
      <c r="C496" s="964" t="s">
        <v>63</v>
      </c>
      <c r="D496" s="1142"/>
      <c r="E496" s="1217"/>
      <c r="F496" s="318"/>
      <c r="G496" s="77"/>
      <c r="H496" s="77"/>
      <c r="I496" s="77"/>
      <c r="J496" s="77"/>
      <c r="K496" s="77"/>
      <c r="L496" s="77"/>
      <c r="M496" s="77">
        <f>M495*F496</f>
        <v>0</v>
      </c>
    </row>
    <row r="497" spans="1:13">
      <c r="A497" s="1214"/>
      <c r="B497" s="1142"/>
      <c r="C497" s="335" t="s">
        <v>54</v>
      </c>
      <c r="D497" s="1142"/>
      <c r="E497" s="1217"/>
      <c r="F497" s="1218"/>
      <c r="G497" s="77"/>
      <c r="H497" s="77"/>
      <c r="I497" s="77"/>
      <c r="J497" s="77"/>
      <c r="K497" s="77"/>
      <c r="L497" s="77"/>
      <c r="M497" s="77">
        <f>M495+M496</f>
        <v>0</v>
      </c>
    </row>
    <row r="498" spans="1:13">
      <c r="A498" s="1214"/>
      <c r="B498" s="1142"/>
      <c r="C498" s="964" t="s">
        <v>46</v>
      </c>
      <c r="D498" s="1142"/>
      <c r="E498" s="1217"/>
      <c r="F498" s="318"/>
      <c r="G498" s="77"/>
      <c r="H498" s="77"/>
      <c r="I498" s="77"/>
      <c r="J498" s="77"/>
      <c r="K498" s="77"/>
      <c r="L498" s="77"/>
      <c r="M498" s="77">
        <f>M497*F498</f>
        <v>0</v>
      </c>
    </row>
    <row r="499" spans="1:13" ht="31.5">
      <c r="A499" s="322"/>
      <c r="B499" s="101"/>
      <c r="C499" s="104" t="s">
        <v>1774</v>
      </c>
      <c r="D499" s="101"/>
      <c r="E499" s="485"/>
      <c r="F499" s="264"/>
      <c r="G499" s="486"/>
      <c r="H499" s="102"/>
      <c r="I499" s="102"/>
      <c r="J499" s="102"/>
      <c r="K499" s="102"/>
      <c r="L499" s="102"/>
      <c r="M499" s="100">
        <f>M497+M498</f>
        <v>0</v>
      </c>
    </row>
    <row r="500" spans="1:13">
      <c r="A500" s="916"/>
      <c r="B500" s="447"/>
      <c r="C500" s="945"/>
      <c r="D500" s="447"/>
      <c r="E500" s="948"/>
      <c r="F500" s="950"/>
      <c r="G500" s="448"/>
      <c r="H500" s="448"/>
      <c r="I500" s="448"/>
      <c r="J500" s="448"/>
      <c r="K500" s="448"/>
      <c r="L500" s="448"/>
      <c r="M500" s="448"/>
    </row>
    <row r="501" spans="1:13" ht="31.5">
      <c r="A501" s="1339"/>
      <c r="B501" s="1340"/>
      <c r="C501" s="1341" t="s">
        <v>1904</v>
      </c>
      <c r="D501" s="1340"/>
      <c r="E501" s="1342"/>
      <c r="F501" s="1343"/>
      <c r="G501" s="1345"/>
      <c r="H501" s="1345"/>
      <c r="I501" s="1345"/>
      <c r="J501" s="1345"/>
      <c r="K501" s="1345"/>
      <c r="L501" s="1345"/>
      <c r="M501" s="1360">
        <f>M262+M499</f>
        <v>0</v>
      </c>
    </row>
    <row r="502" spans="1:13">
      <c r="A502" s="476"/>
      <c r="B502" s="476"/>
      <c r="C502" s="172"/>
      <c r="D502" s="72"/>
      <c r="E502" s="1021"/>
      <c r="F502" s="1022"/>
      <c r="G502" s="1023"/>
      <c r="H502" s="1024"/>
      <c r="I502" s="1024"/>
      <c r="J502" s="1024"/>
      <c r="K502" s="1024"/>
      <c r="L502" s="1024"/>
      <c r="M502" s="1024"/>
    </row>
    <row r="503" spans="1:13">
      <c r="A503" s="476"/>
      <c r="B503" s="476"/>
      <c r="C503" s="1328"/>
      <c r="D503" s="271"/>
      <c r="E503" s="446"/>
      <c r="F503" s="1022"/>
      <c r="G503" s="1023"/>
      <c r="H503" s="1024"/>
      <c r="I503" s="1024"/>
      <c r="J503" s="1024"/>
      <c r="K503" s="1024"/>
      <c r="L503" s="1024"/>
      <c r="M503" s="1024"/>
    </row>
  </sheetData>
  <mergeCells count="79">
    <mergeCell ref="A395:A400"/>
    <mergeCell ref="A1:M1"/>
    <mergeCell ref="A2:M2"/>
    <mergeCell ref="A3:M3"/>
    <mergeCell ref="A4:A5"/>
    <mergeCell ref="B4:B5"/>
    <mergeCell ref="C4:C5"/>
    <mergeCell ref="D4:D5"/>
    <mergeCell ref="G4:H4"/>
    <mergeCell ref="I4:J4"/>
    <mergeCell ref="K4:L4"/>
    <mergeCell ref="M4:M5"/>
    <mergeCell ref="A9:A13"/>
    <mergeCell ref="A14:A19"/>
    <mergeCell ref="A23:A27"/>
    <mergeCell ref="A33:A39"/>
    <mergeCell ref="A40:A44"/>
    <mergeCell ref="A47:A52"/>
    <mergeCell ref="A53:A58"/>
    <mergeCell ref="E4:F4"/>
    <mergeCell ref="A59:A64"/>
    <mergeCell ref="A20:A22"/>
    <mergeCell ref="A28:A32"/>
    <mergeCell ref="A65:A70"/>
    <mergeCell ref="A71:A76"/>
    <mergeCell ref="A77:A82"/>
    <mergeCell ref="A83:A88"/>
    <mergeCell ref="A89:A94"/>
    <mergeCell ref="A107:A115"/>
    <mergeCell ref="A95:A100"/>
    <mergeCell ref="A101:A106"/>
    <mergeCell ref="A116:A126"/>
    <mergeCell ref="A127:A176"/>
    <mergeCell ref="A177:A179"/>
    <mergeCell ref="A180:A185"/>
    <mergeCell ref="A186:A189"/>
    <mergeCell ref="A190:A193"/>
    <mergeCell ref="A265:A269"/>
    <mergeCell ref="A195:A200"/>
    <mergeCell ref="A201:A206"/>
    <mergeCell ref="A207:A212"/>
    <mergeCell ref="A213:A217"/>
    <mergeCell ref="A392:A394"/>
    <mergeCell ref="A275:A276"/>
    <mergeCell ref="A277:A285"/>
    <mergeCell ref="A351:A355"/>
    <mergeCell ref="A356:A357"/>
    <mergeCell ref="A377:A378"/>
    <mergeCell ref="A379:A391"/>
    <mergeCell ref="A331:A340"/>
    <mergeCell ref="A325:A327"/>
    <mergeCell ref="A286:A301"/>
    <mergeCell ref="A313:A324"/>
    <mergeCell ref="A373:A375"/>
    <mergeCell ref="A341:A343"/>
    <mergeCell ref="A358:A360"/>
    <mergeCell ref="A361:A362"/>
    <mergeCell ref="A363:A372"/>
    <mergeCell ref="A469:A477"/>
    <mergeCell ref="A478:A483"/>
    <mergeCell ref="A484:A489"/>
    <mergeCell ref="A402:A407"/>
    <mergeCell ref="A408:A413"/>
    <mergeCell ref="A414:A420"/>
    <mergeCell ref="A421:A426"/>
    <mergeCell ref="A427:A435"/>
    <mergeCell ref="A457:A462"/>
    <mergeCell ref="A463:A468"/>
    <mergeCell ref="A436:A442"/>
    <mergeCell ref="A444:A449"/>
    <mergeCell ref="A450:A454"/>
    <mergeCell ref="A345:A349"/>
    <mergeCell ref="A302:A312"/>
    <mergeCell ref="A329:A330"/>
    <mergeCell ref="A270:A271"/>
    <mergeCell ref="A218:A245"/>
    <mergeCell ref="A246:A248"/>
    <mergeCell ref="A249:A254"/>
    <mergeCell ref="A272:A274"/>
  </mergeCells>
  <pageMargins left="0.47244094488188981" right="0.17" top="0.64" bottom="0.56999999999999995" header="0.42" footer="0.32"/>
  <pageSetup paperSize="9" scale="80" orientation="landscape" r:id="rId1"/>
  <headerFooter>
    <oddHeader>&amp;R&amp;P--&amp;N]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468"/>
  <sheetViews>
    <sheetView zoomScale="110" zoomScaleNormal="110" workbookViewId="0">
      <pane xSplit="3" ySplit="6" topLeftCell="D452" activePane="bottomRight" state="frozen"/>
      <selection pane="topRight" activeCell="D1" sqref="D1"/>
      <selection pane="bottomLeft" activeCell="A7" sqref="A7"/>
      <selection pane="bottomRight" activeCell="M409" sqref="M409"/>
    </sheetView>
  </sheetViews>
  <sheetFormatPr defaultColWidth="9.125" defaultRowHeight="15.75"/>
  <cols>
    <col min="1" max="1" width="6.75" style="476" customWidth="1"/>
    <col min="2" max="2" width="11.625" style="476" customWidth="1"/>
    <col min="3" max="3" width="54.625" style="172" customWidth="1"/>
    <col min="4" max="4" width="9.75" style="72" customWidth="1"/>
    <col min="5" max="5" width="12" style="1021" customWidth="1"/>
    <col min="6" max="6" width="11.75" style="1022" customWidth="1"/>
    <col min="7" max="7" width="12.875" style="1023" customWidth="1"/>
    <col min="8" max="8" width="12.625" style="1024" customWidth="1"/>
    <col min="9" max="9" width="12.75" style="1024" customWidth="1"/>
    <col min="10" max="10" width="10.875" style="1024" customWidth="1"/>
    <col min="11" max="11" width="12.75" style="1024" customWidth="1"/>
    <col min="12" max="12" width="11.25" style="1024" customWidth="1"/>
    <col min="13" max="13" width="14.25" style="1024" customWidth="1"/>
    <col min="14" max="14" width="18.75" style="55" hidden="1" customWidth="1"/>
    <col min="15" max="15" width="27.375" style="55" hidden="1" customWidth="1"/>
    <col min="16" max="16384" width="9.125" style="55"/>
  </cols>
  <sheetData>
    <row r="1" spans="1:14" ht="32.25" customHeight="1">
      <c r="A1" s="1437" t="str">
        <f>krebsiti!A3</f>
        <v>q.borjomi fexburTis centraluri stadioni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058" t="s">
        <v>1482</v>
      </c>
    </row>
    <row r="2" spans="1:14">
      <c r="A2" s="1437" t="s">
        <v>56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</row>
    <row r="3" spans="1:14" ht="27.75" customHeight="1">
      <c r="A3" s="1437" t="s">
        <v>554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</row>
    <row r="4" spans="1:14" ht="20.25" customHeight="1">
      <c r="A4" s="1470" t="s">
        <v>0</v>
      </c>
      <c r="B4" s="1472" t="s">
        <v>789</v>
      </c>
      <c r="C4" s="1472" t="s">
        <v>790</v>
      </c>
      <c r="D4" s="1472" t="s">
        <v>791</v>
      </c>
      <c r="E4" s="1444" t="s">
        <v>209</v>
      </c>
      <c r="F4" s="1445"/>
      <c r="G4" s="1440" t="s">
        <v>208</v>
      </c>
      <c r="H4" s="1441"/>
      <c r="I4" s="1440" t="s">
        <v>792</v>
      </c>
      <c r="J4" s="1441"/>
      <c r="K4" s="1440" t="s">
        <v>17</v>
      </c>
      <c r="L4" s="1441"/>
      <c r="M4" s="1474" t="s">
        <v>425</v>
      </c>
    </row>
    <row r="5" spans="1:14" ht="27" customHeight="1">
      <c r="A5" s="1471"/>
      <c r="B5" s="1473"/>
      <c r="C5" s="1473"/>
      <c r="D5" s="1473"/>
      <c r="E5" s="949" t="s">
        <v>210</v>
      </c>
      <c r="F5" s="949" t="s">
        <v>9</v>
      </c>
      <c r="G5" s="448" t="s">
        <v>793</v>
      </c>
      <c r="H5" s="448" t="s">
        <v>9</v>
      </c>
      <c r="I5" s="448" t="s">
        <v>793</v>
      </c>
      <c r="J5" s="448" t="s">
        <v>9</v>
      </c>
      <c r="K5" s="448" t="s">
        <v>793</v>
      </c>
      <c r="L5" s="448" t="s">
        <v>9</v>
      </c>
      <c r="M5" s="1475"/>
    </row>
    <row r="6" spans="1:14">
      <c r="A6" s="929">
        <v>1</v>
      </c>
      <c r="B6" s="281">
        <v>2</v>
      </c>
      <c r="C6" s="945">
        <v>3</v>
      </c>
      <c r="D6" s="945">
        <v>4</v>
      </c>
      <c r="E6" s="949">
        <v>5</v>
      </c>
      <c r="F6" s="949">
        <v>6</v>
      </c>
      <c r="G6" s="949">
        <v>7</v>
      </c>
      <c r="H6" s="949">
        <v>8</v>
      </c>
      <c r="I6" s="949">
        <v>9</v>
      </c>
      <c r="J6" s="949">
        <v>10</v>
      </c>
      <c r="K6" s="949">
        <v>11</v>
      </c>
      <c r="L6" s="949">
        <v>12</v>
      </c>
      <c r="M6" s="949">
        <v>13</v>
      </c>
    </row>
    <row r="7" spans="1:14" ht="31.5">
      <c r="A7" s="377" t="s">
        <v>886</v>
      </c>
      <c r="B7" s="461"/>
      <c r="C7" s="375" t="s">
        <v>554</v>
      </c>
      <c r="D7" s="377"/>
      <c r="E7" s="378"/>
      <c r="F7" s="379"/>
      <c r="G7" s="80"/>
      <c r="H7" s="77"/>
      <c r="I7" s="77"/>
      <c r="J7" s="77"/>
      <c r="K7" s="77"/>
      <c r="L7" s="77"/>
      <c r="M7" s="448"/>
    </row>
    <row r="8" spans="1:14">
      <c r="A8" s="47" t="s">
        <v>831</v>
      </c>
      <c r="B8" s="319"/>
      <c r="C8" s="32" t="s">
        <v>536</v>
      </c>
      <c r="D8" s="30"/>
      <c r="E8" s="31"/>
      <c r="F8" s="29"/>
      <c r="G8" s="80"/>
      <c r="H8" s="77"/>
      <c r="I8" s="77"/>
      <c r="J8" s="77"/>
      <c r="K8" s="77"/>
      <c r="L8" s="77"/>
      <c r="M8" s="448"/>
    </row>
    <row r="9" spans="1:14">
      <c r="A9" s="1418" t="s">
        <v>429</v>
      </c>
      <c r="B9" s="462" t="s">
        <v>142</v>
      </c>
      <c r="C9" s="451" t="s">
        <v>123</v>
      </c>
      <c r="D9" s="246" t="s">
        <v>124</v>
      </c>
      <c r="E9" s="1043"/>
      <c r="F9" s="20">
        <f>F12*2+F13*1.8+F14*1.6+F15*1.5+F16*1.4+F17*1.2+F18*1.1+F19*1+F20*0.9+F21*0.8+F22*0.7+F23*0.6+F24*0.6+F25*1.4+F26*0.6+F28*1+F29*1</f>
        <v>40.299999999999997</v>
      </c>
      <c r="G9" s="80"/>
      <c r="H9" s="77"/>
      <c r="I9" s="77"/>
      <c r="J9" s="77"/>
      <c r="K9" s="77"/>
      <c r="L9" s="77"/>
      <c r="M9" s="77"/>
    </row>
    <row r="10" spans="1:14">
      <c r="A10" s="1419"/>
      <c r="B10" s="462"/>
      <c r="C10" s="452" t="s">
        <v>119</v>
      </c>
      <c r="D10" s="71" t="s">
        <v>120</v>
      </c>
      <c r="E10" s="26">
        <f>44.6*0.01</f>
        <v>0.44600000000000001</v>
      </c>
      <c r="F10" s="282">
        <f>E10*F9</f>
        <v>17.973800000000001</v>
      </c>
      <c r="G10" s="80"/>
      <c r="H10" s="77"/>
      <c r="I10" s="77"/>
      <c r="J10" s="77">
        <f>F10*I10</f>
        <v>0</v>
      </c>
      <c r="K10" s="77"/>
      <c r="L10" s="77"/>
      <c r="M10" s="77">
        <f t="shared" ref="M10:M76" si="0">H10+J10+L10</f>
        <v>0</v>
      </c>
    </row>
    <row r="11" spans="1:14">
      <c r="A11" s="1419"/>
      <c r="B11" s="462"/>
      <c r="C11" s="452" t="s">
        <v>947</v>
      </c>
      <c r="D11" s="71" t="s">
        <v>121</v>
      </c>
      <c r="E11" s="26">
        <f>6.33*0.01</f>
        <v>6.3299999999999995E-2</v>
      </c>
      <c r="F11" s="282">
        <f>E11*F9</f>
        <v>2.5509899999999996</v>
      </c>
      <c r="G11" s="80"/>
      <c r="H11" s="77"/>
      <c r="I11" s="77"/>
      <c r="J11" s="77"/>
      <c r="K11" s="77"/>
      <c r="L11" s="77">
        <f>F11*K11</f>
        <v>0</v>
      </c>
      <c r="M11" s="77">
        <f t="shared" si="0"/>
        <v>0</v>
      </c>
    </row>
    <row r="12" spans="1:14" hidden="1">
      <c r="A12" s="1419"/>
      <c r="B12" s="462"/>
      <c r="C12" s="258" t="s">
        <v>1231</v>
      </c>
      <c r="D12" s="71" t="s">
        <v>12</v>
      </c>
      <c r="E12" s="26"/>
      <c r="F12" s="282"/>
      <c r="G12" s="80">
        <v>220.3</v>
      </c>
      <c r="H12" s="77">
        <f t="shared" ref="H12:H75" si="1">F12*G12</f>
        <v>0</v>
      </c>
      <c r="I12" s="77"/>
      <c r="J12" s="77">
        <f>F12*I12</f>
        <v>0</v>
      </c>
      <c r="K12" s="77"/>
      <c r="L12" s="77">
        <f>F12*K12</f>
        <v>0</v>
      </c>
      <c r="M12" s="77">
        <f t="shared" si="0"/>
        <v>0</v>
      </c>
    </row>
    <row r="13" spans="1:14">
      <c r="A13" s="1419"/>
      <c r="B13" s="462"/>
      <c r="C13" s="258" t="s">
        <v>533</v>
      </c>
      <c r="D13" s="71" t="s">
        <v>12</v>
      </c>
      <c r="E13" s="26"/>
      <c r="F13" s="282">
        <v>3</v>
      </c>
      <c r="G13" s="80"/>
      <c r="H13" s="77">
        <f t="shared" si="1"/>
        <v>0</v>
      </c>
      <c r="I13" s="77"/>
      <c r="J13" s="77"/>
      <c r="K13" s="77"/>
      <c r="L13" s="77"/>
      <c r="M13" s="77">
        <f t="shared" si="0"/>
        <v>0</v>
      </c>
    </row>
    <row r="14" spans="1:14">
      <c r="A14" s="1419"/>
      <c r="B14" s="462"/>
      <c r="C14" s="258" t="s">
        <v>532</v>
      </c>
      <c r="D14" s="71" t="s">
        <v>12</v>
      </c>
      <c r="E14" s="26"/>
      <c r="F14" s="282">
        <v>3</v>
      </c>
      <c r="G14" s="80"/>
      <c r="H14" s="77">
        <f t="shared" si="1"/>
        <v>0</v>
      </c>
      <c r="I14" s="77"/>
      <c r="J14" s="77"/>
      <c r="K14" s="77"/>
      <c r="L14" s="77"/>
      <c r="M14" s="77">
        <f t="shared" si="0"/>
        <v>0</v>
      </c>
    </row>
    <row r="15" spans="1:14" hidden="1">
      <c r="A15" s="1419"/>
      <c r="B15" s="462"/>
      <c r="C15" s="258" t="s">
        <v>1232</v>
      </c>
      <c r="D15" s="71" t="s">
        <v>12</v>
      </c>
      <c r="E15" s="26"/>
      <c r="F15" s="282"/>
      <c r="G15" s="80"/>
      <c r="H15" s="77">
        <f t="shared" si="1"/>
        <v>0</v>
      </c>
      <c r="I15" s="77"/>
      <c r="J15" s="77"/>
      <c r="K15" s="77"/>
      <c r="L15" s="77"/>
      <c r="M15" s="77">
        <f t="shared" si="0"/>
        <v>0</v>
      </c>
    </row>
    <row r="16" spans="1:14">
      <c r="A16" s="1419"/>
      <c r="B16" s="462"/>
      <c r="C16" s="258" t="s">
        <v>531</v>
      </c>
      <c r="D16" s="71" t="s">
        <v>12</v>
      </c>
      <c r="E16" s="26"/>
      <c r="F16" s="282">
        <v>6</v>
      </c>
      <c r="G16" s="80"/>
      <c r="H16" s="77">
        <f t="shared" si="1"/>
        <v>0</v>
      </c>
      <c r="I16" s="77"/>
      <c r="J16" s="77"/>
      <c r="K16" s="77"/>
      <c r="L16" s="77"/>
      <c r="M16" s="77">
        <f t="shared" si="0"/>
        <v>0</v>
      </c>
    </row>
    <row r="17" spans="1:13">
      <c r="A17" s="1419"/>
      <c r="B17" s="462"/>
      <c r="C17" s="258" t="s">
        <v>530</v>
      </c>
      <c r="D17" s="71" t="s">
        <v>12</v>
      </c>
      <c r="E17" s="26"/>
      <c r="F17" s="282">
        <v>5</v>
      </c>
      <c r="G17" s="80"/>
      <c r="H17" s="77">
        <f t="shared" si="1"/>
        <v>0</v>
      </c>
      <c r="I17" s="77"/>
      <c r="J17" s="77"/>
      <c r="K17" s="77"/>
      <c r="L17" s="77"/>
      <c r="M17" s="77">
        <f t="shared" si="0"/>
        <v>0</v>
      </c>
    </row>
    <row r="18" spans="1:13">
      <c r="A18" s="1419"/>
      <c r="B18" s="462"/>
      <c r="C18" s="258" t="s">
        <v>529</v>
      </c>
      <c r="D18" s="71" t="s">
        <v>12</v>
      </c>
      <c r="E18" s="26"/>
      <c r="F18" s="282">
        <v>1</v>
      </c>
      <c r="G18" s="80"/>
      <c r="H18" s="77">
        <f t="shared" si="1"/>
        <v>0</v>
      </c>
      <c r="I18" s="77"/>
      <c r="J18" s="77"/>
      <c r="K18" s="77"/>
      <c r="L18" s="77"/>
      <c r="M18" s="77">
        <f t="shared" si="0"/>
        <v>0</v>
      </c>
    </row>
    <row r="19" spans="1:13">
      <c r="A19" s="1419"/>
      <c r="B19" s="462"/>
      <c r="C19" s="258" t="s">
        <v>528</v>
      </c>
      <c r="D19" s="71" t="s">
        <v>12</v>
      </c>
      <c r="E19" s="26"/>
      <c r="F19" s="282">
        <v>1</v>
      </c>
      <c r="G19" s="80"/>
      <c r="H19" s="77">
        <f t="shared" si="1"/>
        <v>0</v>
      </c>
      <c r="I19" s="77"/>
      <c r="J19" s="77"/>
      <c r="K19" s="77"/>
      <c r="L19" s="77"/>
      <c r="M19" s="77">
        <f t="shared" si="0"/>
        <v>0</v>
      </c>
    </row>
    <row r="20" spans="1:13">
      <c r="A20" s="1419"/>
      <c r="B20" s="462"/>
      <c r="C20" s="258" t="s">
        <v>527</v>
      </c>
      <c r="D20" s="71" t="s">
        <v>12</v>
      </c>
      <c r="E20" s="26"/>
      <c r="F20" s="282">
        <v>3</v>
      </c>
      <c r="G20" s="80"/>
      <c r="H20" s="77">
        <f t="shared" si="1"/>
        <v>0</v>
      </c>
      <c r="I20" s="77"/>
      <c r="J20" s="77"/>
      <c r="K20" s="77"/>
      <c r="L20" s="77"/>
      <c r="M20" s="77">
        <f t="shared" si="0"/>
        <v>0</v>
      </c>
    </row>
    <row r="21" spans="1:13" hidden="1">
      <c r="A21" s="1419"/>
      <c r="B21" s="462"/>
      <c r="C21" s="258" t="s">
        <v>1230</v>
      </c>
      <c r="D21" s="71" t="s">
        <v>12</v>
      </c>
      <c r="E21" s="26"/>
      <c r="F21" s="282"/>
      <c r="G21" s="80"/>
      <c r="H21" s="77">
        <f t="shared" si="1"/>
        <v>0</v>
      </c>
      <c r="I21" s="77"/>
      <c r="J21" s="77"/>
      <c r="K21" s="77"/>
      <c r="L21" s="77"/>
      <c r="M21" s="77">
        <f t="shared" si="0"/>
        <v>0</v>
      </c>
    </row>
    <row r="22" spans="1:13">
      <c r="A22" s="1419"/>
      <c r="B22" s="462"/>
      <c r="C22" s="258" t="s">
        <v>1229</v>
      </c>
      <c r="D22" s="71" t="s">
        <v>12</v>
      </c>
      <c r="E22" s="26"/>
      <c r="F22" s="282">
        <v>1</v>
      </c>
      <c r="G22" s="80"/>
      <c r="H22" s="77">
        <f>F22*G22</f>
        <v>0</v>
      </c>
      <c r="I22" s="77"/>
      <c r="J22" s="77"/>
      <c r="K22" s="77"/>
      <c r="L22" s="77"/>
      <c r="M22" s="77">
        <f>H22+J22+L22</f>
        <v>0</v>
      </c>
    </row>
    <row r="23" spans="1:13" hidden="1">
      <c r="A23" s="1419"/>
      <c r="B23" s="462"/>
      <c r="C23" s="258" t="s">
        <v>526</v>
      </c>
      <c r="D23" s="71" t="s">
        <v>12</v>
      </c>
      <c r="E23" s="26"/>
      <c r="F23" s="282"/>
      <c r="G23" s="80"/>
      <c r="H23" s="77">
        <f t="shared" si="1"/>
        <v>0</v>
      </c>
      <c r="I23" s="77"/>
      <c r="J23" s="77"/>
      <c r="K23" s="77"/>
      <c r="L23" s="77"/>
      <c r="M23" s="77">
        <f t="shared" si="0"/>
        <v>0</v>
      </c>
    </row>
    <row r="24" spans="1:13">
      <c r="A24" s="1419"/>
      <c r="B24" s="462"/>
      <c r="C24" s="258" t="s">
        <v>1233</v>
      </c>
      <c r="D24" s="71" t="s">
        <v>12</v>
      </c>
      <c r="E24" s="26"/>
      <c r="F24" s="282">
        <v>2</v>
      </c>
      <c r="G24" s="80"/>
      <c r="H24" s="77">
        <f t="shared" si="1"/>
        <v>0</v>
      </c>
      <c r="I24" s="77"/>
      <c r="J24" s="77"/>
      <c r="K24" s="77"/>
      <c r="L24" s="77"/>
      <c r="M24" s="77">
        <f t="shared" si="0"/>
        <v>0</v>
      </c>
    </row>
    <row r="25" spans="1:13">
      <c r="A25" s="1419"/>
      <c r="B25" s="462"/>
      <c r="C25" s="258" t="s">
        <v>1234</v>
      </c>
      <c r="D25" s="71" t="s">
        <v>12</v>
      </c>
      <c r="E25" s="26"/>
      <c r="F25" s="282">
        <v>3</v>
      </c>
      <c r="G25" s="80"/>
      <c r="H25" s="77">
        <f t="shared" si="1"/>
        <v>0</v>
      </c>
      <c r="I25" s="77"/>
      <c r="J25" s="77"/>
      <c r="K25" s="77"/>
      <c r="L25" s="77"/>
      <c r="M25" s="77">
        <f t="shared" si="0"/>
        <v>0</v>
      </c>
    </row>
    <row r="26" spans="1:13" ht="31.5">
      <c r="A26" s="1419"/>
      <c r="B26" s="462"/>
      <c r="C26" s="138" t="s">
        <v>1449</v>
      </c>
      <c r="D26" s="71" t="s">
        <v>2</v>
      </c>
      <c r="E26" s="26"/>
      <c r="F26" s="282">
        <v>8</v>
      </c>
      <c r="G26" s="80"/>
      <c r="H26" s="77">
        <f t="shared" si="1"/>
        <v>0</v>
      </c>
      <c r="I26" s="77"/>
      <c r="J26" s="77"/>
      <c r="K26" s="77"/>
      <c r="L26" s="77"/>
      <c r="M26" s="77">
        <f t="shared" si="0"/>
        <v>0</v>
      </c>
    </row>
    <row r="27" spans="1:13" hidden="1">
      <c r="A27" s="1419"/>
      <c r="B27" s="462"/>
      <c r="C27" s="258"/>
      <c r="D27" s="71"/>
      <c r="E27" s="26"/>
      <c r="F27" s="282"/>
      <c r="G27" s="80"/>
      <c r="H27" s="77">
        <f t="shared" si="1"/>
        <v>0</v>
      </c>
      <c r="I27" s="77"/>
      <c r="J27" s="77"/>
      <c r="K27" s="77"/>
      <c r="L27" s="77"/>
      <c r="M27" s="77">
        <f t="shared" si="0"/>
        <v>0</v>
      </c>
    </row>
    <row r="28" spans="1:13" hidden="1">
      <c r="A28" s="1419"/>
      <c r="B28" s="462"/>
      <c r="C28" s="453" t="s">
        <v>518</v>
      </c>
      <c r="D28" s="71" t="s">
        <v>12</v>
      </c>
      <c r="E28" s="26"/>
      <c r="F28" s="282"/>
      <c r="G28" s="80"/>
      <c r="H28" s="77">
        <f t="shared" si="1"/>
        <v>0</v>
      </c>
      <c r="I28" s="77"/>
      <c r="J28" s="77"/>
      <c r="K28" s="77"/>
      <c r="L28" s="77"/>
      <c r="M28" s="77">
        <f t="shared" si="0"/>
        <v>0</v>
      </c>
    </row>
    <row r="29" spans="1:13" hidden="1">
      <c r="A29" s="1419"/>
      <c r="B29" s="462"/>
      <c r="C29" s="453" t="s">
        <v>519</v>
      </c>
      <c r="D29" s="71" t="s">
        <v>12</v>
      </c>
      <c r="E29" s="26"/>
      <c r="F29" s="282"/>
      <c r="G29" s="80"/>
      <c r="H29" s="77">
        <f t="shared" si="1"/>
        <v>0</v>
      </c>
      <c r="I29" s="77"/>
      <c r="J29" s="77"/>
      <c r="K29" s="77"/>
      <c r="L29" s="77"/>
      <c r="M29" s="77">
        <f t="shared" si="0"/>
        <v>0</v>
      </c>
    </row>
    <row r="30" spans="1:13">
      <c r="A30" s="1420"/>
      <c r="B30" s="462"/>
      <c r="C30" s="452" t="s">
        <v>122</v>
      </c>
      <c r="D30" s="71" t="s">
        <v>121</v>
      </c>
      <c r="E30" s="26">
        <f>0.28*0.01</f>
        <v>2.8000000000000004E-3</v>
      </c>
      <c r="F30" s="282">
        <f>E30*F9</f>
        <v>0.11284000000000001</v>
      </c>
      <c r="G30" s="80"/>
      <c r="H30" s="77">
        <f t="shared" si="1"/>
        <v>0</v>
      </c>
      <c r="I30" s="77"/>
      <c r="J30" s="77"/>
      <c r="K30" s="77"/>
      <c r="L30" s="77"/>
      <c r="M30" s="77">
        <f t="shared" si="0"/>
        <v>0</v>
      </c>
    </row>
    <row r="31" spans="1:13">
      <c r="A31" s="1518" t="s">
        <v>39</v>
      </c>
      <c r="B31" s="460" t="s">
        <v>130</v>
      </c>
      <c r="C31" s="454" t="s">
        <v>131</v>
      </c>
      <c r="D31" s="447" t="s">
        <v>2</v>
      </c>
      <c r="E31" s="982"/>
      <c r="F31" s="20">
        <f>F34+F35+F36</f>
        <v>120</v>
      </c>
      <c r="G31" s="80"/>
      <c r="H31" s="77"/>
      <c r="I31" s="77"/>
      <c r="J31" s="77"/>
      <c r="K31" s="77"/>
      <c r="L31" s="77"/>
      <c r="M31" s="77"/>
    </row>
    <row r="32" spans="1:13">
      <c r="A32" s="1519"/>
      <c r="B32" s="460"/>
      <c r="C32" s="403" t="s">
        <v>133</v>
      </c>
      <c r="D32" s="248" t="s">
        <v>120</v>
      </c>
      <c r="E32" s="948">
        <v>1.51</v>
      </c>
      <c r="F32" s="282">
        <f>F31*E32</f>
        <v>181.2</v>
      </c>
      <c r="G32" s="80"/>
      <c r="H32" s="77"/>
      <c r="I32" s="77"/>
      <c r="J32" s="77">
        <f>F32*I32</f>
        <v>0</v>
      </c>
      <c r="K32" s="77"/>
      <c r="L32" s="77"/>
      <c r="M32" s="77">
        <f t="shared" ref="M32:M37" si="2">H32+J32+L32</f>
        <v>0</v>
      </c>
    </row>
    <row r="33" spans="1:13">
      <c r="A33" s="1519"/>
      <c r="B33" s="460"/>
      <c r="C33" s="403" t="s">
        <v>134</v>
      </c>
      <c r="D33" s="248" t="s">
        <v>121</v>
      </c>
      <c r="E33" s="948">
        <v>0.13</v>
      </c>
      <c r="F33" s="282">
        <f>F31*E33</f>
        <v>15.600000000000001</v>
      </c>
      <c r="G33" s="80"/>
      <c r="H33" s="77"/>
      <c r="I33" s="77"/>
      <c r="J33" s="77"/>
      <c r="K33" s="77"/>
      <c r="L33" s="77">
        <f>F33*K33</f>
        <v>0</v>
      </c>
      <c r="M33" s="77">
        <f t="shared" si="2"/>
        <v>0</v>
      </c>
    </row>
    <row r="34" spans="1:13">
      <c r="A34" s="1519"/>
      <c r="B34" s="463"/>
      <c r="C34" s="138" t="s">
        <v>534</v>
      </c>
      <c r="D34" s="447" t="s">
        <v>2</v>
      </c>
      <c r="E34" s="948">
        <v>1</v>
      </c>
      <c r="F34" s="282">
        <v>40</v>
      </c>
      <c r="G34" s="80"/>
      <c r="H34" s="77">
        <f>F34*G34</f>
        <v>0</v>
      </c>
      <c r="I34" s="77"/>
      <c r="J34" s="77"/>
      <c r="K34" s="77"/>
      <c r="L34" s="77"/>
      <c r="M34" s="77">
        <f t="shared" si="2"/>
        <v>0</v>
      </c>
    </row>
    <row r="35" spans="1:13">
      <c r="A35" s="1519"/>
      <c r="B35" s="463"/>
      <c r="C35" s="138" t="s">
        <v>535</v>
      </c>
      <c r="D35" s="447" t="s">
        <v>2</v>
      </c>
      <c r="E35" s="948">
        <v>1</v>
      </c>
      <c r="F35" s="282">
        <v>40</v>
      </c>
      <c r="G35" s="80"/>
      <c r="H35" s="77">
        <f>F35*G35</f>
        <v>0</v>
      </c>
      <c r="I35" s="77"/>
      <c r="J35" s="77"/>
      <c r="K35" s="77"/>
      <c r="L35" s="77"/>
      <c r="M35" s="77">
        <f t="shared" si="2"/>
        <v>0</v>
      </c>
    </row>
    <row r="36" spans="1:13">
      <c r="A36" s="1519"/>
      <c r="B36" s="460"/>
      <c r="C36" s="138" t="s">
        <v>537</v>
      </c>
      <c r="D36" s="447" t="s">
        <v>2</v>
      </c>
      <c r="E36" s="948">
        <v>1</v>
      </c>
      <c r="F36" s="282">
        <v>40</v>
      </c>
      <c r="G36" s="80"/>
      <c r="H36" s="77">
        <f>F36*G36</f>
        <v>0</v>
      </c>
      <c r="I36" s="77"/>
      <c r="J36" s="77"/>
      <c r="K36" s="77"/>
      <c r="L36" s="77"/>
      <c r="M36" s="77">
        <f t="shared" si="2"/>
        <v>0</v>
      </c>
    </row>
    <row r="37" spans="1:13">
      <c r="A37" s="1520"/>
      <c r="B37" s="460"/>
      <c r="C37" s="403" t="s">
        <v>122</v>
      </c>
      <c r="D37" s="248" t="s">
        <v>121</v>
      </c>
      <c r="E37" s="948">
        <v>7.0000000000000007E-2</v>
      </c>
      <c r="F37" s="282">
        <f>F31*E37</f>
        <v>8.4</v>
      </c>
      <c r="G37" s="80"/>
      <c r="H37" s="77">
        <f>F37*G37</f>
        <v>0</v>
      </c>
      <c r="I37" s="77"/>
      <c r="J37" s="77"/>
      <c r="K37" s="77"/>
      <c r="L37" s="77"/>
      <c r="M37" s="77">
        <f t="shared" si="2"/>
        <v>0</v>
      </c>
    </row>
    <row r="38" spans="1:13">
      <c r="A38" s="1518" t="s">
        <v>430</v>
      </c>
      <c r="B38" s="460" t="s">
        <v>126</v>
      </c>
      <c r="C38" s="137" t="s">
        <v>539</v>
      </c>
      <c r="D38" s="447" t="s">
        <v>1</v>
      </c>
      <c r="E38" s="982"/>
      <c r="F38" s="20">
        <v>230</v>
      </c>
      <c r="G38" s="80"/>
      <c r="H38" s="77"/>
      <c r="I38" s="77"/>
      <c r="J38" s="77"/>
      <c r="K38" s="77"/>
      <c r="L38" s="77"/>
      <c r="M38" s="77"/>
    </row>
    <row r="39" spans="1:13">
      <c r="A39" s="1519"/>
      <c r="B39" s="460"/>
      <c r="C39" s="403" t="s">
        <v>133</v>
      </c>
      <c r="D39" s="447" t="s">
        <v>120</v>
      </c>
      <c r="E39" s="948">
        <v>0.97</v>
      </c>
      <c r="F39" s="282">
        <f>F38*E39</f>
        <v>223.1</v>
      </c>
      <c r="G39" s="80"/>
      <c r="H39" s="77"/>
      <c r="I39" s="77"/>
      <c r="J39" s="77">
        <f>F39*I39</f>
        <v>0</v>
      </c>
      <c r="K39" s="77"/>
      <c r="L39" s="77"/>
      <c r="M39" s="77">
        <f t="shared" si="0"/>
        <v>0</v>
      </c>
    </row>
    <row r="40" spans="1:13">
      <c r="A40" s="1519"/>
      <c r="B40" s="460"/>
      <c r="C40" s="403" t="s">
        <v>134</v>
      </c>
      <c r="D40" s="447" t="s">
        <v>121</v>
      </c>
      <c r="E40" s="948">
        <v>1.4E-2</v>
      </c>
      <c r="F40" s="282">
        <f>F38*E40</f>
        <v>3.22</v>
      </c>
      <c r="G40" s="80"/>
      <c r="H40" s="77"/>
      <c r="I40" s="77"/>
      <c r="J40" s="77"/>
      <c r="K40" s="77"/>
      <c r="L40" s="77">
        <f>F40*K40</f>
        <v>0</v>
      </c>
      <c r="M40" s="77">
        <f t="shared" si="0"/>
        <v>0</v>
      </c>
    </row>
    <row r="41" spans="1:13">
      <c r="A41" s="1519"/>
      <c r="B41" s="460"/>
      <c r="C41" s="138" t="s">
        <v>538</v>
      </c>
      <c r="D41" s="447" t="s">
        <v>127</v>
      </c>
      <c r="E41" s="948">
        <v>1</v>
      </c>
      <c r="F41" s="282">
        <f>F38*E41</f>
        <v>230</v>
      </c>
      <c r="G41" s="80"/>
      <c r="H41" s="77">
        <f t="shared" si="1"/>
        <v>0</v>
      </c>
      <c r="I41" s="77"/>
      <c r="J41" s="77"/>
      <c r="K41" s="77"/>
      <c r="L41" s="77"/>
      <c r="M41" s="77">
        <f t="shared" si="0"/>
        <v>0</v>
      </c>
    </row>
    <row r="42" spans="1:13">
      <c r="A42" s="1520"/>
      <c r="B42" s="460"/>
      <c r="C42" s="403" t="s">
        <v>122</v>
      </c>
      <c r="D42" s="447" t="s">
        <v>121</v>
      </c>
      <c r="E42" s="948">
        <v>4.5699999999999998E-2</v>
      </c>
      <c r="F42" s="282">
        <f>F38*E42</f>
        <v>10.510999999999999</v>
      </c>
      <c r="G42" s="80"/>
      <c r="H42" s="77">
        <f t="shared" si="1"/>
        <v>0</v>
      </c>
      <c r="I42" s="77"/>
      <c r="J42" s="77"/>
      <c r="K42" s="77"/>
      <c r="L42" s="77"/>
      <c r="M42" s="77">
        <f t="shared" si="0"/>
        <v>0</v>
      </c>
    </row>
    <row r="43" spans="1:13">
      <c r="A43" s="1518" t="s">
        <v>83</v>
      </c>
      <c r="B43" s="460" t="s">
        <v>128</v>
      </c>
      <c r="C43" s="137" t="s">
        <v>540</v>
      </c>
      <c r="D43" s="447" t="s">
        <v>1</v>
      </c>
      <c r="E43" s="982"/>
      <c r="F43" s="20">
        <v>60</v>
      </c>
      <c r="G43" s="80"/>
      <c r="H43" s="77"/>
      <c r="I43" s="77"/>
      <c r="J43" s="77"/>
      <c r="K43" s="77"/>
      <c r="L43" s="77"/>
      <c r="M43" s="77"/>
    </row>
    <row r="44" spans="1:13">
      <c r="A44" s="1519"/>
      <c r="B44" s="460"/>
      <c r="C44" s="403" t="s">
        <v>133</v>
      </c>
      <c r="D44" s="248" t="s">
        <v>120</v>
      </c>
      <c r="E44" s="948">
        <v>1.17</v>
      </c>
      <c r="F44" s="282">
        <f>F43*E44</f>
        <v>70.199999999999989</v>
      </c>
      <c r="G44" s="80"/>
      <c r="H44" s="77"/>
      <c r="I44" s="77"/>
      <c r="J44" s="77">
        <f>F44*I44</f>
        <v>0</v>
      </c>
      <c r="K44" s="77"/>
      <c r="L44" s="77"/>
      <c r="M44" s="77">
        <f t="shared" si="0"/>
        <v>0</v>
      </c>
    </row>
    <row r="45" spans="1:13">
      <c r="A45" s="1519"/>
      <c r="B45" s="460"/>
      <c r="C45" s="403" t="s">
        <v>134</v>
      </c>
      <c r="D45" s="248" t="s">
        <v>121</v>
      </c>
      <c r="E45" s="948">
        <v>1.72E-2</v>
      </c>
      <c r="F45" s="282">
        <f>F43*E45</f>
        <v>1.032</v>
      </c>
      <c r="G45" s="80"/>
      <c r="H45" s="77"/>
      <c r="I45" s="77"/>
      <c r="J45" s="77"/>
      <c r="K45" s="77"/>
      <c r="L45" s="77">
        <f>F45*K45</f>
        <v>0</v>
      </c>
      <c r="M45" s="77">
        <f t="shared" si="0"/>
        <v>0</v>
      </c>
    </row>
    <row r="46" spans="1:13">
      <c r="A46" s="1519"/>
      <c r="B46" s="460"/>
      <c r="C46" s="138" t="s">
        <v>541</v>
      </c>
      <c r="D46" s="248" t="s">
        <v>127</v>
      </c>
      <c r="E46" s="948">
        <v>1</v>
      </c>
      <c r="F46" s="282">
        <f>F43*E46</f>
        <v>60</v>
      </c>
      <c r="G46" s="80"/>
      <c r="H46" s="77">
        <f t="shared" si="1"/>
        <v>0</v>
      </c>
      <c r="I46" s="77"/>
      <c r="J46" s="77"/>
      <c r="K46" s="77"/>
      <c r="L46" s="77"/>
      <c r="M46" s="77">
        <f t="shared" si="0"/>
        <v>0</v>
      </c>
    </row>
    <row r="47" spans="1:13">
      <c r="A47" s="1520"/>
      <c r="B47" s="460"/>
      <c r="C47" s="403" t="s">
        <v>122</v>
      </c>
      <c r="D47" s="248" t="s">
        <v>121</v>
      </c>
      <c r="E47" s="948">
        <v>3.9300000000000002E-2</v>
      </c>
      <c r="F47" s="282">
        <f>F43*E47</f>
        <v>2.3580000000000001</v>
      </c>
      <c r="G47" s="80"/>
      <c r="H47" s="77">
        <f t="shared" si="1"/>
        <v>0</v>
      </c>
      <c r="I47" s="77"/>
      <c r="J47" s="77"/>
      <c r="K47" s="77"/>
      <c r="L47" s="77"/>
      <c r="M47" s="77">
        <f t="shared" si="0"/>
        <v>0</v>
      </c>
    </row>
    <row r="48" spans="1:13">
      <c r="A48" s="1521" t="s">
        <v>431</v>
      </c>
      <c r="B48" s="460" t="s">
        <v>129</v>
      </c>
      <c r="C48" s="137" t="s">
        <v>542</v>
      </c>
      <c r="D48" s="447" t="s">
        <v>1</v>
      </c>
      <c r="E48" s="982"/>
      <c r="F48" s="20">
        <v>25</v>
      </c>
      <c r="G48" s="80"/>
      <c r="H48" s="77"/>
      <c r="I48" s="77"/>
      <c r="J48" s="77"/>
      <c r="K48" s="77"/>
      <c r="L48" s="77"/>
      <c r="M48" s="77"/>
    </row>
    <row r="49" spans="1:13">
      <c r="A49" s="1522"/>
      <c r="B49" s="460"/>
      <c r="C49" s="403" t="s">
        <v>133</v>
      </c>
      <c r="D49" s="248" t="s">
        <v>120</v>
      </c>
      <c r="E49" s="948">
        <v>1.56</v>
      </c>
      <c r="F49" s="282">
        <f>F48*E49</f>
        <v>39</v>
      </c>
      <c r="G49" s="80"/>
      <c r="H49" s="77"/>
      <c r="I49" s="77"/>
      <c r="J49" s="77">
        <f>F49*I49</f>
        <v>0</v>
      </c>
      <c r="K49" s="77"/>
      <c r="L49" s="77"/>
      <c r="M49" s="77">
        <f t="shared" si="0"/>
        <v>0</v>
      </c>
    </row>
    <row r="50" spans="1:13">
      <c r="A50" s="1522"/>
      <c r="B50" s="460"/>
      <c r="C50" s="403" t="s">
        <v>134</v>
      </c>
      <c r="D50" s="248" t="s">
        <v>121</v>
      </c>
      <c r="E50" s="948">
        <v>2.1700000000000001E-2</v>
      </c>
      <c r="F50" s="282">
        <f>F48*E50</f>
        <v>0.54249999999999998</v>
      </c>
      <c r="G50" s="80"/>
      <c r="H50" s="77"/>
      <c r="I50" s="77"/>
      <c r="J50" s="77"/>
      <c r="K50" s="77"/>
      <c r="L50" s="77">
        <f>F50*K50</f>
        <v>0</v>
      </c>
      <c r="M50" s="77">
        <f t="shared" si="0"/>
        <v>0</v>
      </c>
    </row>
    <row r="51" spans="1:13">
      <c r="A51" s="1522"/>
      <c r="B51" s="460"/>
      <c r="C51" s="138" t="s">
        <v>543</v>
      </c>
      <c r="D51" s="248" t="s">
        <v>127</v>
      </c>
      <c r="E51" s="948">
        <v>1</v>
      </c>
      <c r="F51" s="282">
        <f>F48*E51</f>
        <v>25</v>
      </c>
      <c r="G51" s="80"/>
      <c r="H51" s="77">
        <f t="shared" si="1"/>
        <v>0</v>
      </c>
      <c r="I51" s="77"/>
      <c r="J51" s="77"/>
      <c r="K51" s="77"/>
      <c r="L51" s="77"/>
      <c r="M51" s="77">
        <f t="shared" si="0"/>
        <v>0</v>
      </c>
    </row>
    <row r="52" spans="1:13">
      <c r="A52" s="1523"/>
      <c r="B52" s="460"/>
      <c r="C52" s="403" t="s">
        <v>122</v>
      </c>
      <c r="D52" s="248" t="s">
        <v>121</v>
      </c>
      <c r="E52" s="948">
        <v>7.0800000000000002E-2</v>
      </c>
      <c r="F52" s="282">
        <f>F48*E52</f>
        <v>1.77</v>
      </c>
      <c r="G52" s="80"/>
      <c r="H52" s="77">
        <f t="shared" si="1"/>
        <v>0</v>
      </c>
      <c r="I52" s="77"/>
      <c r="J52" s="77"/>
      <c r="K52" s="77"/>
      <c r="L52" s="77"/>
      <c r="M52" s="77">
        <f t="shared" si="0"/>
        <v>0</v>
      </c>
    </row>
    <row r="53" spans="1:13">
      <c r="A53" s="1521" t="s">
        <v>38</v>
      </c>
      <c r="B53" s="460" t="s">
        <v>129</v>
      </c>
      <c r="C53" s="137" t="s">
        <v>544</v>
      </c>
      <c r="D53" s="447" t="s">
        <v>1</v>
      </c>
      <c r="E53" s="982"/>
      <c r="F53" s="20">
        <v>30</v>
      </c>
      <c r="G53" s="80"/>
      <c r="H53" s="77"/>
      <c r="I53" s="77"/>
      <c r="J53" s="77"/>
      <c r="K53" s="77"/>
      <c r="L53" s="77"/>
      <c r="M53" s="77"/>
    </row>
    <row r="54" spans="1:13">
      <c r="A54" s="1522"/>
      <c r="B54" s="460"/>
      <c r="C54" s="403" t="s">
        <v>133</v>
      </c>
      <c r="D54" s="248" t="s">
        <v>120</v>
      </c>
      <c r="E54" s="948">
        <v>1.56</v>
      </c>
      <c r="F54" s="282">
        <f>F53*E54</f>
        <v>46.800000000000004</v>
      </c>
      <c r="G54" s="80"/>
      <c r="H54" s="77"/>
      <c r="I54" s="77"/>
      <c r="J54" s="77">
        <f>F54*I54</f>
        <v>0</v>
      </c>
      <c r="K54" s="77"/>
      <c r="L54" s="77"/>
      <c r="M54" s="77">
        <f t="shared" si="0"/>
        <v>0</v>
      </c>
    </row>
    <row r="55" spans="1:13">
      <c r="A55" s="1522"/>
      <c r="B55" s="460"/>
      <c r="C55" s="403" t="s">
        <v>134</v>
      </c>
      <c r="D55" s="248" t="s">
        <v>121</v>
      </c>
      <c r="E55" s="948">
        <v>2.1700000000000001E-2</v>
      </c>
      <c r="F55" s="282">
        <f>F53*E55</f>
        <v>0.65100000000000002</v>
      </c>
      <c r="G55" s="80"/>
      <c r="H55" s="77"/>
      <c r="I55" s="77"/>
      <c r="J55" s="77"/>
      <c r="K55" s="77"/>
      <c r="L55" s="77">
        <f>F55*K55</f>
        <v>0</v>
      </c>
      <c r="M55" s="77">
        <f t="shared" si="0"/>
        <v>0</v>
      </c>
    </row>
    <row r="56" spans="1:13">
      <c r="A56" s="1522"/>
      <c r="B56" s="460"/>
      <c r="C56" s="138" t="s">
        <v>545</v>
      </c>
      <c r="D56" s="248" t="s">
        <v>127</v>
      </c>
      <c r="E56" s="948">
        <v>1</v>
      </c>
      <c r="F56" s="282">
        <f>F53*E56</f>
        <v>30</v>
      </c>
      <c r="G56" s="80"/>
      <c r="H56" s="77">
        <f t="shared" si="1"/>
        <v>0</v>
      </c>
      <c r="I56" s="77"/>
      <c r="J56" s="77"/>
      <c r="K56" s="77"/>
      <c r="L56" s="77"/>
      <c r="M56" s="77">
        <f t="shared" si="0"/>
        <v>0</v>
      </c>
    </row>
    <row r="57" spans="1:13">
      <c r="A57" s="1523"/>
      <c r="B57" s="460"/>
      <c r="C57" s="403" t="s">
        <v>122</v>
      </c>
      <c r="D57" s="248" t="s">
        <v>121</v>
      </c>
      <c r="E57" s="948">
        <v>7.0800000000000002E-2</v>
      </c>
      <c r="F57" s="282">
        <f>F53*E57</f>
        <v>2.1240000000000001</v>
      </c>
      <c r="G57" s="80"/>
      <c r="H57" s="77">
        <f t="shared" si="1"/>
        <v>0</v>
      </c>
      <c r="I57" s="77"/>
      <c r="J57" s="77"/>
      <c r="K57" s="77"/>
      <c r="L57" s="77"/>
      <c r="M57" s="77">
        <f t="shared" si="0"/>
        <v>0</v>
      </c>
    </row>
    <row r="58" spans="1:13">
      <c r="A58" s="1521" t="s">
        <v>409</v>
      </c>
      <c r="B58" s="460" t="s">
        <v>129</v>
      </c>
      <c r="C58" s="137" t="s">
        <v>546</v>
      </c>
      <c r="D58" s="447" t="s">
        <v>1</v>
      </c>
      <c r="E58" s="982"/>
      <c r="F58" s="20">
        <v>60</v>
      </c>
      <c r="G58" s="80"/>
      <c r="H58" s="77"/>
      <c r="I58" s="77"/>
      <c r="J58" s="77"/>
      <c r="K58" s="77"/>
      <c r="L58" s="77"/>
      <c r="M58" s="77"/>
    </row>
    <row r="59" spans="1:13">
      <c r="A59" s="1522"/>
      <c r="B59" s="460"/>
      <c r="C59" s="403" t="s">
        <v>133</v>
      </c>
      <c r="D59" s="248" t="s">
        <v>120</v>
      </c>
      <c r="E59" s="948">
        <v>1.56</v>
      </c>
      <c r="F59" s="282">
        <f>F58*E59</f>
        <v>93.600000000000009</v>
      </c>
      <c r="G59" s="80"/>
      <c r="H59" s="77"/>
      <c r="I59" s="77"/>
      <c r="J59" s="77">
        <f>F59*I59</f>
        <v>0</v>
      </c>
      <c r="K59" s="77"/>
      <c r="L59" s="77"/>
      <c r="M59" s="77">
        <f t="shared" si="0"/>
        <v>0</v>
      </c>
    </row>
    <row r="60" spans="1:13">
      <c r="A60" s="1522"/>
      <c r="B60" s="460"/>
      <c r="C60" s="403" t="s">
        <v>134</v>
      </c>
      <c r="D60" s="248" t="s">
        <v>121</v>
      </c>
      <c r="E60" s="948">
        <v>2.1700000000000001E-2</v>
      </c>
      <c r="F60" s="282">
        <f>F58*E60</f>
        <v>1.302</v>
      </c>
      <c r="G60" s="80"/>
      <c r="H60" s="77"/>
      <c r="I60" s="77"/>
      <c r="J60" s="77"/>
      <c r="K60" s="77"/>
      <c r="L60" s="77">
        <f>F60*K60</f>
        <v>0</v>
      </c>
      <c r="M60" s="77">
        <f t="shared" si="0"/>
        <v>0</v>
      </c>
    </row>
    <row r="61" spans="1:13">
      <c r="A61" s="1522"/>
      <c r="B61" s="460"/>
      <c r="C61" s="138" t="s">
        <v>547</v>
      </c>
      <c r="D61" s="248" t="s">
        <v>127</v>
      </c>
      <c r="E61" s="948">
        <v>1</v>
      </c>
      <c r="F61" s="282">
        <f>F58*E61</f>
        <v>60</v>
      </c>
      <c r="G61" s="80"/>
      <c r="H61" s="77">
        <f t="shared" si="1"/>
        <v>0</v>
      </c>
      <c r="I61" s="77"/>
      <c r="J61" s="77"/>
      <c r="K61" s="77"/>
      <c r="L61" s="77"/>
      <c r="M61" s="77">
        <f t="shared" si="0"/>
        <v>0</v>
      </c>
    </row>
    <row r="62" spans="1:13">
      <c r="A62" s="1523"/>
      <c r="B62" s="460"/>
      <c r="C62" s="403" t="s">
        <v>122</v>
      </c>
      <c r="D62" s="248" t="s">
        <v>121</v>
      </c>
      <c r="E62" s="948">
        <v>7.0800000000000002E-2</v>
      </c>
      <c r="F62" s="282">
        <f>F58*E62</f>
        <v>4.2480000000000002</v>
      </c>
      <c r="G62" s="80"/>
      <c r="H62" s="77">
        <f t="shared" si="1"/>
        <v>0</v>
      </c>
      <c r="I62" s="77"/>
      <c r="J62" s="77"/>
      <c r="K62" s="77"/>
      <c r="L62" s="77"/>
      <c r="M62" s="77">
        <f t="shared" si="0"/>
        <v>0</v>
      </c>
    </row>
    <row r="63" spans="1:13">
      <c r="A63" s="1418" t="s">
        <v>432</v>
      </c>
      <c r="B63" s="460" t="s">
        <v>370</v>
      </c>
      <c r="C63" s="451" t="s">
        <v>135</v>
      </c>
      <c r="D63" s="942" t="s">
        <v>4</v>
      </c>
      <c r="E63" s="57"/>
      <c r="F63" s="20">
        <f>(F66+F67+F68+F69+F70+F71)*0.34*0.013</f>
        <v>1.4365000000000001</v>
      </c>
      <c r="G63" s="80"/>
      <c r="H63" s="77"/>
      <c r="I63" s="77"/>
      <c r="J63" s="77"/>
      <c r="K63" s="77"/>
      <c r="L63" s="77"/>
      <c r="M63" s="77"/>
    </row>
    <row r="64" spans="1:13">
      <c r="A64" s="1419"/>
      <c r="B64" s="460"/>
      <c r="C64" s="403" t="s">
        <v>119</v>
      </c>
      <c r="D64" s="248" t="s">
        <v>120</v>
      </c>
      <c r="E64" s="948">
        <v>18.600000000000001</v>
      </c>
      <c r="F64" s="282">
        <f>E64*F63</f>
        <v>26.718900000000005</v>
      </c>
      <c r="G64" s="80"/>
      <c r="H64" s="77"/>
      <c r="I64" s="77"/>
      <c r="J64" s="77">
        <f>F64*I64</f>
        <v>0</v>
      </c>
      <c r="K64" s="77"/>
      <c r="L64" s="77"/>
      <c r="M64" s="77">
        <f t="shared" si="0"/>
        <v>0</v>
      </c>
    </row>
    <row r="65" spans="1:13">
      <c r="A65" s="1419"/>
      <c r="B65" s="460"/>
      <c r="C65" s="403" t="s">
        <v>125</v>
      </c>
      <c r="D65" s="248" t="s">
        <v>121</v>
      </c>
      <c r="E65" s="948">
        <v>0.38</v>
      </c>
      <c r="F65" s="282">
        <f>E65*F63</f>
        <v>0.54587000000000008</v>
      </c>
      <c r="G65" s="80"/>
      <c r="H65" s="77"/>
      <c r="I65" s="77"/>
      <c r="J65" s="77"/>
      <c r="K65" s="77"/>
      <c r="L65" s="77">
        <f>F65*K65</f>
        <v>0</v>
      </c>
      <c r="M65" s="77">
        <f t="shared" si="0"/>
        <v>0</v>
      </c>
    </row>
    <row r="66" spans="1:13" s="391" customFormat="1">
      <c r="A66" s="1419"/>
      <c r="B66" s="460"/>
      <c r="C66" s="455" t="s">
        <v>1235</v>
      </c>
      <c r="D66" s="447" t="s">
        <v>124</v>
      </c>
      <c r="E66" s="948"/>
      <c r="F66" s="282">
        <v>150</v>
      </c>
      <c r="G66" s="80"/>
      <c r="H66" s="77">
        <f t="shared" si="1"/>
        <v>0</v>
      </c>
      <c r="I66" s="77"/>
      <c r="J66" s="77"/>
      <c r="K66" s="77"/>
      <c r="L66" s="77"/>
      <c r="M66" s="77">
        <f t="shared" si="0"/>
        <v>0</v>
      </c>
    </row>
    <row r="67" spans="1:13" s="391" customFormat="1">
      <c r="A67" s="1419"/>
      <c r="B67" s="460"/>
      <c r="C67" s="455" t="s">
        <v>1236</v>
      </c>
      <c r="D67" s="447" t="s">
        <v>124</v>
      </c>
      <c r="E67" s="948"/>
      <c r="F67" s="282">
        <v>60</v>
      </c>
      <c r="G67" s="80"/>
      <c r="H67" s="77">
        <f t="shared" si="1"/>
        <v>0</v>
      </c>
      <c r="I67" s="77"/>
      <c r="J67" s="77"/>
      <c r="K67" s="77"/>
      <c r="L67" s="77"/>
      <c r="M67" s="77">
        <f t="shared" si="0"/>
        <v>0</v>
      </c>
    </row>
    <row r="68" spans="1:13" s="391" customFormat="1">
      <c r="A68" s="1419"/>
      <c r="B68" s="460"/>
      <c r="C68" s="455" t="s">
        <v>1237</v>
      </c>
      <c r="D68" s="447" t="s">
        <v>124</v>
      </c>
      <c r="E68" s="948"/>
      <c r="F68" s="282">
        <v>25</v>
      </c>
      <c r="G68" s="80"/>
      <c r="H68" s="77">
        <f t="shared" si="1"/>
        <v>0</v>
      </c>
      <c r="I68" s="77"/>
      <c r="J68" s="77"/>
      <c r="K68" s="77"/>
      <c r="L68" s="77"/>
      <c r="M68" s="77">
        <f t="shared" si="0"/>
        <v>0</v>
      </c>
    </row>
    <row r="69" spans="1:13" s="391" customFormat="1">
      <c r="A69" s="1419"/>
      <c r="B69" s="460"/>
      <c r="C69" s="455" t="s">
        <v>1238</v>
      </c>
      <c r="D69" s="447" t="s">
        <v>124</v>
      </c>
      <c r="E69" s="948"/>
      <c r="F69" s="282">
        <v>30</v>
      </c>
      <c r="G69" s="80"/>
      <c r="H69" s="77">
        <f t="shared" si="1"/>
        <v>0</v>
      </c>
      <c r="I69" s="77"/>
      <c r="J69" s="77"/>
      <c r="K69" s="77"/>
      <c r="L69" s="77"/>
      <c r="M69" s="77">
        <f t="shared" si="0"/>
        <v>0</v>
      </c>
    </row>
    <row r="70" spans="1:13" s="391" customFormat="1">
      <c r="A70" s="1419"/>
      <c r="B70" s="460"/>
      <c r="C70" s="455" t="s">
        <v>1239</v>
      </c>
      <c r="D70" s="447" t="s">
        <v>124</v>
      </c>
      <c r="E70" s="948"/>
      <c r="F70" s="282">
        <v>60</v>
      </c>
      <c r="G70" s="80"/>
      <c r="H70" s="77">
        <f t="shared" si="1"/>
        <v>0</v>
      </c>
      <c r="I70" s="77"/>
      <c r="J70" s="77"/>
      <c r="K70" s="77"/>
      <c r="L70" s="77"/>
      <c r="M70" s="77">
        <f t="shared" si="0"/>
        <v>0</v>
      </c>
    </row>
    <row r="71" spans="1:13" s="391" customFormat="1" ht="45" hidden="1">
      <c r="A71" s="1419"/>
      <c r="B71" s="460"/>
      <c r="C71" s="456" t="s">
        <v>520</v>
      </c>
      <c r="D71" s="447" t="s">
        <v>124</v>
      </c>
      <c r="E71" s="948"/>
      <c r="F71" s="282"/>
      <c r="G71" s="80"/>
      <c r="H71" s="77">
        <f t="shared" si="1"/>
        <v>0</v>
      </c>
      <c r="I71" s="77"/>
      <c r="J71" s="77"/>
      <c r="K71" s="77"/>
      <c r="L71" s="77"/>
      <c r="M71" s="77">
        <f t="shared" si="0"/>
        <v>0</v>
      </c>
    </row>
    <row r="72" spans="1:13" s="391" customFormat="1">
      <c r="A72" s="1420"/>
      <c r="B72" s="460"/>
      <c r="C72" s="456" t="s">
        <v>122</v>
      </c>
      <c r="D72" s="390" t="s">
        <v>121</v>
      </c>
      <c r="E72" s="948">
        <v>3.06</v>
      </c>
      <c r="F72" s="282">
        <f>E72*F63</f>
        <v>4.3956900000000001</v>
      </c>
      <c r="G72" s="80"/>
      <c r="H72" s="77">
        <f t="shared" si="1"/>
        <v>0</v>
      </c>
      <c r="I72" s="77"/>
      <c r="J72" s="77"/>
      <c r="K72" s="77"/>
      <c r="L72" s="77"/>
      <c r="M72" s="77">
        <f t="shared" si="0"/>
        <v>0</v>
      </c>
    </row>
    <row r="73" spans="1:13" s="1382" customFormat="1" ht="31.5">
      <c r="A73" s="1518" t="s">
        <v>64</v>
      </c>
      <c r="B73" s="1381" t="s">
        <v>132</v>
      </c>
      <c r="C73" s="133" t="s">
        <v>1914</v>
      </c>
      <c r="D73" s="40" t="s">
        <v>65</v>
      </c>
      <c r="E73" s="1008" t="s">
        <v>93</v>
      </c>
      <c r="F73" s="276">
        <v>1</v>
      </c>
      <c r="G73" s="1378">
        <f>(H41+H46+H51+H56+H61)*30%</f>
        <v>0</v>
      </c>
      <c r="H73" s="1378">
        <f t="shared" si="1"/>
        <v>0</v>
      </c>
      <c r="I73" s="1378"/>
      <c r="J73" s="1378"/>
      <c r="K73" s="1378"/>
      <c r="L73" s="1378"/>
      <c r="M73" s="1378">
        <f t="shared" si="0"/>
        <v>0</v>
      </c>
    </row>
    <row r="74" spans="1:13" hidden="1">
      <c r="A74" s="1519"/>
      <c r="B74" s="460"/>
      <c r="C74" s="138" t="s">
        <v>1450</v>
      </c>
      <c r="D74" s="447" t="s">
        <v>2</v>
      </c>
      <c r="E74" s="948"/>
      <c r="F74" s="282"/>
      <c r="G74" s="80">
        <v>5</v>
      </c>
      <c r="H74" s="77">
        <f t="shared" si="1"/>
        <v>0</v>
      </c>
      <c r="I74" s="77"/>
      <c r="J74" s="77">
        <f>F74*I74</f>
        <v>0</v>
      </c>
      <c r="K74" s="77"/>
      <c r="L74" s="77">
        <f>F74*K74</f>
        <v>0</v>
      </c>
      <c r="M74" s="77">
        <f t="shared" si="0"/>
        <v>0</v>
      </c>
    </row>
    <row r="75" spans="1:13" hidden="1">
      <c r="A75" s="1519"/>
      <c r="B75" s="460"/>
      <c r="C75" s="138" t="s">
        <v>1451</v>
      </c>
      <c r="D75" s="447" t="s">
        <v>2</v>
      </c>
      <c r="E75" s="948"/>
      <c r="F75" s="282"/>
      <c r="G75" s="80">
        <v>3</v>
      </c>
      <c r="H75" s="77">
        <f t="shared" si="1"/>
        <v>0</v>
      </c>
      <c r="I75" s="77"/>
      <c r="J75" s="77">
        <f>F75*I75</f>
        <v>0</v>
      </c>
      <c r="K75" s="77"/>
      <c r="L75" s="77">
        <f>F75*K75</f>
        <v>0</v>
      </c>
      <c r="M75" s="77">
        <f t="shared" si="0"/>
        <v>0</v>
      </c>
    </row>
    <row r="76" spans="1:13" hidden="1">
      <c r="A76" s="1519"/>
      <c r="B76" s="460"/>
      <c r="C76" s="138" t="s">
        <v>1452</v>
      </c>
      <c r="D76" s="447" t="s">
        <v>2</v>
      </c>
      <c r="E76" s="948"/>
      <c r="F76" s="282"/>
      <c r="G76" s="80">
        <v>2</v>
      </c>
      <c r="H76" s="77">
        <f t="shared" ref="H76:H102" si="3">F76*G76</f>
        <v>0</v>
      </c>
      <c r="I76" s="77"/>
      <c r="J76" s="77">
        <f t="shared" ref="J76:J99" si="4">F76*I76</f>
        <v>0</v>
      </c>
      <c r="K76" s="77"/>
      <c r="L76" s="77">
        <f>F76*K76</f>
        <v>0</v>
      </c>
      <c r="M76" s="77">
        <f t="shared" si="0"/>
        <v>0</v>
      </c>
    </row>
    <row r="77" spans="1:13" hidden="1">
      <c r="A77" s="1519"/>
      <c r="B77" s="460"/>
      <c r="C77" s="138" t="s">
        <v>1453</v>
      </c>
      <c r="D77" s="447" t="s">
        <v>2</v>
      </c>
      <c r="E77" s="948"/>
      <c r="F77" s="282"/>
      <c r="G77" s="80">
        <v>0.8</v>
      </c>
      <c r="H77" s="77">
        <f t="shared" si="3"/>
        <v>0</v>
      </c>
      <c r="I77" s="77"/>
      <c r="J77" s="77">
        <f t="shared" si="4"/>
        <v>0</v>
      </c>
      <c r="K77" s="77"/>
      <c r="L77" s="77">
        <f t="shared" ref="L77:L100" si="5">F77*K77</f>
        <v>0</v>
      </c>
      <c r="M77" s="77">
        <f t="shared" ref="M77:M102" si="6">H77+J77+L77</f>
        <v>0</v>
      </c>
    </row>
    <row r="78" spans="1:13" ht="17.25" hidden="1">
      <c r="A78" s="1519"/>
      <c r="B78" s="460"/>
      <c r="C78" s="403" t="s">
        <v>1454</v>
      </c>
      <c r="D78" s="921" t="s">
        <v>2</v>
      </c>
      <c r="E78" s="948"/>
      <c r="F78" s="282"/>
      <c r="G78" s="80">
        <v>3</v>
      </c>
      <c r="H78" s="77">
        <f t="shared" si="3"/>
        <v>0</v>
      </c>
      <c r="I78" s="77"/>
      <c r="J78" s="77">
        <f t="shared" si="4"/>
        <v>0</v>
      </c>
      <c r="K78" s="77"/>
      <c r="L78" s="77">
        <f t="shared" si="5"/>
        <v>0</v>
      </c>
      <c r="M78" s="77">
        <f t="shared" si="6"/>
        <v>0</v>
      </c>
    </row>
    <row r="79" spans="1:13" ht="17.25" hidden="1">
      <c r="A79" s="1519"/>
      <c r="B79" s="460"/>
      <c r="C79" s="403" t="s">
        <v>1455</v>
      </c>
      <c r="D79" s="921" t="s">
        <v>2</v>
      </c>
      <c r="E79" s="948"/>
      <c r="F79" s="282"/>
      <c r="G79" s="80">
        <v>2</v>
      </c>
      <c r="H79" s="77">
        <f t="shared" si="3"/>
        <v>0</v>
      </c>
      <c r="I79" s="77"/>
      <c r="J79" s="77">
        <f t="shared" si="4"/>
        <v>0</v>
      </c>
      <c r="K79" s="77"/>
      <c r="L79" s="77">
        <f t="shared" si="5"/>
        <v>0</v>
      </c>
      <c r="M79" s="77">
        <f t="shared" si="6"/>
        <v>0</v>
      </c>
    </row>
    <row r="80" spans="1:13" ht="17.25" hidden="1">
      <c r="A80" s="1519"/>
      <c r="B80" s="460"/>
      <c r="C80" s="403" t="s">
        <v>1456</v>
      </c>
      <c r="D80" s="921" t="s">
        <v>2</v>
      </c>
      <c r="E80" s="948"/>
      <c r="F80" s="282"/>
      <c r="G80" s="80">
        <v>1.5</v>
      </c>
      <c r="H80" s="77">
        <f t="shared" si="3"/>
        <v>0</v>
      </c>
      <c r="I80" s="77"/>
      <c r="J80" s="77">
        <f t="shared" si="4"/>
        <v>0</v>
      </c>
      <c r="K80" s="77"/>
      <c r="L80" s="77">
        <f t="shared" si="5"/>
        <v>0</v>
      </c>
      <c r="M80" s="77">
        <f t="shared" si="6"/>
        <v>0</v>
      </c>
    </row>
    <row r="81" spans="1:13" ht="17.25" hidden="1">
      <c r="A81" s="1519"/>
      <c r="B81" s="460"/>
      <c r="C81" s="403" t="s">
        <v>1457</v>
      </c>
      <c r="D81" s="921" t="s">
        <v>2</v>
      </c>
      <c r="E81" s="948"/>
      <c r="F81" s="282"/>
      <c r="G81" s="80">
        <v>0.8</v>
      </c>
      <c r="H81" s="77">
        <f t="shared" si="3"/>
        <v>0</v>
      </c>
      <c r="I81" s="77"/>
      <c r="J81" s="77">
        <f t="shared" si="4"/>
        <v>0</v>
      </c>
      <c r="K81" s="77"/>
      <c r="L81" s="77">
        <f t="shared" si="5"/>
        <v>0</v>
      </c>
      <c r="M81" s="77">
        <f t="shared" si="6"/>
        <v>0</v>
      </c>
    </row>
    <row r="82" spans="1:13" ht="17.25" hidden="1">
      <c r="A82" s="1519"/>
      <c r="B82" s="460"/>
      <c r="C82" s="403" t="s">
        <v>1458</v>
      </c>
      <c r="D82" s="921" t="s">
        <v>2</v>
      </c>
      <c r="E82" s="948"/>
      <c r="F82" s="282"/>
      <c r="G82" s="80">
        <v>0.3</v>
      </c>
      <c r="H82" s="77">
        <f t="shared" si="3"/>
        <v>0</v>
      </c>
      <c r="I82" s="77"/>
      <c r="J82" s="77">
        <f t="shared" si="4"/>
        <v>0</v>
      </c>
      <c r="K82" s="77"/>
      <c r="L82" s="77">
        <f t="shared" si="5"/>
        <v>0</v>
      </c>
      <c r="M82" s="77">
        <f t="shared" si="6"/>
        <v>0</v>
      </c>
    </row>
    <row r="83" spans="1:13" hidden="1">
      <c r="A83" s="1519"/>
      <c r="B83" s="460"/>
      <c r="C83" s="403" t="s">
        <v>521</v>
      </c>
      <c r="D83" s="921" t="s">
        <v>2</v>
      </c>
      <c r="E83" s="948"/>
      <c r="F83" s="282"/>
      <c r="G83" s="80">
        <v>1.5</v>
      </c>
      <c r="H83" s="77">
        <f t="shared" si="3"/>
        <v>0</v>
      </c>
      <c r="I83" s="77"/>
      <c r="J83" s="77">
        <f t="shared" si="4"/>
        <v>0</v>
      </c>
      <c r="K83" s="77"/>
      <c r="L83" s="77">
        <f t="shared" si="5"/>
        <v>0</v>
      </c>
      <c r="M83" s="77">
        <f t="shared" si="6"/>
        <v>0</v>
      </c>
    </row>
    <row r="84" spans="1:13" hidden="1">
      <c r="A84" s="1519"/>
      <c r="B84" s="460"/>
      <c r="C84" s="403" t="s">
        <v>522</v>
      </c>
      <c r="D84" s="921" t="s">
        <v>2</v>
      </c>
      <c r="E84" s="948"/>
      <c r="F84" s="282"/>
      <c r="G84" s="80">
        <v>2.5</v>
      </c>
      <c r="H84" s="77">
        <f t="shared" si="3"/>
        <v>0</v>
      </c>
      <c r="I84" s="77"/>
      <c r="J84" s="77">
        <f t="shared" si="4"/>
        <v>0</v>
      </c>
      <c r="K84" s="77"/>
      <c r="L84" s="77">
        <f t="shared" si="5"/>
        <v>0</v>
      </c>
      <c r="M84" s="77">
        <f t="shared" si="6"/>
        <v>0</v>
      </c>
    </row>
    <row r="85" spans="1:13" hidden="1">
      <c r="A85" s="1519"/>
      <c r="B85" s="460"/>
      <c r="C85" s="403" t="s">
        <v>523</v>
      </c>
      <c r="D85" s="921" t="s">
        <v>2</v>
      </c>
      <c r="E85" s="948"/>
      <c r="F85" s="282"/>
      <c r="G85" s="80">
        <v>3.5</v>
      </c>
      <c r="H85" s="77">
        <f t="shared" si="3"/>
        <v>0</v>
      </c>
      <c r="I85" s="77"/>
      <c r="J85" s="77">
        <f t="shared" si="4"/>
        <v>0</v>
      </c>
      <c r="K85" s="77"/>
      <c r="L85" s="77">
        <f t="shared" si="5"/>
        <v>0</v>
      </c>
      <c r="M85" s="77">
        <f t="shared" si="6"/>
        <v>0</v>
      </c>
    </row>
    <row r="86" spans="1:13" hidden="1">
      <c r="A86" s="1519"/>
      <c r="B86" s="475"/>
      <c r="C86" s="258" t="s">
        <v>1459</v>
      </c>
      <c r="D86" s="921" t="s">
        <v>2</v>
      </c>
      <c r="E86" s="948"/>
      <c r="F86" s="282"/>
      <c r="G86" s="80">
        <v>5</v>
      </c>
      <c r="H86" s="77">
        <f t="shared" si="3"/>
        <v>0</v>
      </c>
      <c r="I86" s="77"/>
      <c r="J86" s="77">
        <f t="shared" si="4"/>
        <v>0</v>
      </c>
      <c r="K86" s="77"/>
      <c r="L86" s="77">
        <f t="shared" si="5"/>
        <v>0</v>
      </c>
      <c r="M86" s="77">
        <f t="shared" si="6"/>
        <v>0</v>
      </c>
    </row>
    <row r="87" spans="1:13" hidden="1">
      <c r="A87" s="1519"/>
      <c r="B87" s="475"/>
      <c r="C87" s="258" t="s">
        <v>1460</v>
      </c>
      <c r="D87" s="921" t="s">
        <v>2</v>
      </c>
      <c r="E87" s="948"/>
      <c r="F87" s="282"/>
      <c r="G87" s="80">
        <v>3</v>
      </c>
      <c r="H87" s="77">
        <f t="shared" si="3"/>
        <v>0</v>
      </c>
      <c r="I87" s="77"/>
      <c r="J87" s="77">
        <f t="shared" si="4"/>
        <v>0</v>
      </c>
      <c r="K87" s="77"/>
      <c r="L87" s="77">
        <f t="shared" si="5"/>
        <v>0</v>
      </c>
      <c r="M87" s="77">
        <f t="shared" si="6"/>
        <v>0</v>
      </c>
    </row>
    <row r="88" spans="1:13" hidden="1">
      <c r="A88" s="1519"/>
      <c r="B88" s="475"/>
      <c r="C88" s="258" t="s">
        <v>1461</v>
      </c>
      <c r="D88" s="921" t="s">
        <v>2</v>
      </c>
      <c r="E88" s="948"/>
      <c r="F88" s="282"/>
      <c r="G88" s="80">
        <v>2</v>
      </c>
      <c r="H88" s="77">
        <f t="shared" si="3"/>
        <v>0</v>
      </c>
      <c r="I88" s="77"/>
      <c r="J88" s="77">
        <f t="shared" si="4"/>
        <v>0</v>
      </c>
      <c r="K88" s="77"/>
      <c r="L88" s="77">
        <f t="shared" si="5"/>
        <v>0</v>
      </c>
      <c r="M88" s="77">
        <f t="shared" si="6"/>
        <v>0</v>
      </c>
    </row>
    <row r="89" spans="1:13" hidden="1">
      <c r="A89" s="1519"/>
      <c r="B89" s="460"/>
      <c r="C89" s="258" t="s">
        <v>1462</v>
      </c>
      <c r="D89" s="921" t="s">
        <v>2</v>
      </c>
      <c r="E89" s="948"/>
      <c r="F89" s="282"/>
      <c r="G89" s="80">
        <v>1.5</v>
      </c>
      <c r="H89" s="77">
        <f t="shared" si="3"/>
        <v>0</v>
      </c>
      <c r="I89" s="77"/>
      <c r="J89" s="77">
        <f t="shared" si="4"/>
        <v>0</v>
      </c>
      <c r="K89" s="77"/>
      <c r="L89" s="77">
        <f t="shared" si="5"/>
        <v>0</v>
      </c>
      <c r="M89" s="77">
        <f t="shared" si="6"/>
        <v>0</v>
      </c>
    </row>
    <row r="90" spans="1:13" hidden="1">
      <c r="A90" s="1519"/>
      <c r="B90" s="460"/>
      <c r="C90" s="258" t="s">
        <v>1463</v>
      </c>
      <c r="D90" s="921" t="s">
        <v>2</v>
      </c>
      <c r="E90" s="948"/>
      <c r="F90" s="282"/>
      <c r="G90" s="80">
        <v>1.4</v>
      </c>
      <c r="H90" s="77">
        <f t="shared" si="3"/>
        <v>0</v>
      </c>
      <c r="I90" s="77"/>
      <c r="J90" s="77">
        <f t="shared" si="4"/>
        <v>0</v>
      </c>
      <c r="K90" s="77"/>
      <c r="L90" s="77">
        <f t="shared" si="5"/>
        <v>0</v>
      </c>
      <c r="M90" s="77">
        <f t="shared" si="6"/>
        <v>0</v>
      </c>
    </row>
    <row r="91" spans="1:13" hidden="1">
      <c r="A91" s="1519"/>
      <c r="B91" s="460"/>
      <c r="C91" s="258" t="s">
        <v>1464</v>
      </c>
      <c r="D91" s="921" t="s">
        <v>2</v>
      </c>
      <c r="E91" s="948"/>
      <c r="F91" s="282"/>
      <c r="G91" s="80">
        <v>1.3</v>
      </c>
      <c r="H91" s="77">
        <f t="shared" si="3"/>
        <v>0</v>
      </c>
      <c r="I91" s="77"/>
      <c r="J91" s="77">
        <f t="shared" si="4"/>
        <v>0</v>
      </c>
      <c r="K91" s="77"/>
      <c r="L91" s="77">
        <f t="shared" si="5"/>
        <v>0</v>
      </c>
      <c r="M91" s="77">
        <f t="shared" si="6"/>
        <v>0</v>
      </c>
    </row>
    <row r="92" spans="1:13" hidden="1">
      <c r="A92" s="1519"/>
      <c r="B92" s="460"/>
      <c r="C92" s="258" t="s">
        <v>1465</v>
      </c>
      <c r="D92" s="921" t="s">
        <v>2</v>
      </c>
      <c r="E92" s="948"/>
      <c r="F92" s="282"/>
      <c r="G92" s="80">
        <v>1</v>
      </c>
      <c r="H92" s="77">
        <f t="shared" si="3"/>
        <v>0</v>
      </c>
      <c r="I92" s="77"/>
      <c r="J92" s="77">
        <f t="shared" si="4"/>
        <v>0</v>
      </c>
      <c r="K92" s="77"/>
      <c r="L92" s="77">
        <f t="shared" si="5"/>
        <v>0</v>
      </c>
      <c r="M92" s="77">
        <f t="shared" si="6"/>
        <v>0</v>
      </c>
    </row>
    <row r="93" spans="1:13" hidden="1">
      <c r="A93" s="1519"/>
      <c r="B93" s="460"/>
      <c r="C93" s="258" t="s">
        <v>1466</v>
      </c>
      <c r="D93" s="921" t="s">
        <v>2</v>
      </c>
      <c r="E93" s="948"/>
      <c r="F93" s="282"/>
      <c r="G93" s="80">
        <v>1</v>
      </c>
      <c r="H93" s="77">
        <f t="shared" si="3"/>
        <v>0</v>
      </c>
      <c r="I93" s="77"/>
      <c r="J93" s="77">
        <f t="shared" si="4"/>
        <v>0</v>
      </c>
      <c r="K93" s="77"/>
      <c r="L93" s="77">
        <f t="shared" si="5"/>
        <v>0</v>
      </c>
      <c r="M93" s="77">
        <f t="shared" si="6"/>
        <v>0</v>
      </c>
    </row>
    <row r="94" spans="1:13" hidden="1">
      <c r="A94" s="1519"/>
      <c r="B94" s="460"/>
      <c r="C94" s="258" t="s">
        <v>1467</v>
      </c>
      <c r="D94" s="921" t="s">
        <v>2</v>
      </c>
      <c r="E94" s="948"/>
      <c r="F94" s="282"/>
      <c r="G94" s="80">
        <v>0.3</v>
      </c>
      <c r="H94" s="77">
        <f t="shared" si="3"/>
        <v>0</v>
      </c>
      <c r="I94" s="77"/>
      <c r="J94" s="77">
        <f t="shared" si="4"/>
        <v>0</v>
      </c>
      <c r="K94" s="77"/>
      <c r="L94" s="77">
        <f t="shared" si="5"/>
        <v>0</v>
      </c>
      <c r="M94" s="77">
        <f t="shared" si="6"/>
        <v>0</v>
      </c>
    </row>
    <row r="95" spans="1:13" hidden="1">
      <c r="A95" s="1519"/>
      <c r="B95" s="460"/>
      <c r="C95" s="138" t="s">
        <v>1468</v>
      </c>
      <c r="D95" s="447" t="s">
        <v>2</v>
      </c>
      <c r="E95" s="948"/>
      <c r="F95" s="282"/>
      <c r="G95" s="80">
        <v>3.5</v>
      </c>
      <c r="H95" s="77">
        <f t="shared" si="3"/>
        <v>0</v>
      </c>
      <c r="I95" s="77"/>
      <c r="J95" s="77">
        <f t="shared" si="4"/>
        <v>0</v>
      </c>
      <c r="K95" s="77"/>
      <c r="L95" s="77">
        <f t="shared" si="5"/>
        <v>0</v>
      </c>
      <c r="M95" s="77">
        <f t="shared" si="6"/>
        <v>0</v>
      </c>
    </row>
    <row r="96" spans="1:13" hidden="1">
      <c r="A96" s="1519"/>
      <c r="B96" s="460"/>
      <c r="C96" s="403" t="s">
        <v>524</v>
      </c>
      <c r="D96" s="921" t="s">
        <v>65</v>
      </c>
      <c r="E96" s="948"/>
      <c r="F96" s="282"/>
      <c r="G96" s="80">
        <v>200</v>
      </c>
      <c r="H96" s="77">
        <f t="shared" si="3"/>
        <v>0</v>
      </c>
      <c r="I96" s="77"/>
      <c r="J96" s="77">
        <f t="shared" si="4"/>
        <v>0</v>
      </c>
      <c r="K96" s="77"/>
      <c r="L96" s="77">
        <f t="shared" si="5"/>
        <v>0</v>
      </c>
      <c r="M96" s="77">
        <f t="shared" si="6"/>
        <v>0</v>
      </c>
    </row>
    <row r="97" spans="1:14" hidden="1">
      <c r="A97" s="1519"/>
      <c r="B97" s="460"/>
      <c r="C97" s="138" t="s">
        <v>525</v>
      </c>
      <c r="D97" s="921" t="s">
        <v>65</v>
      </c>
      <c r="E97" s="948"/>
      <c r="F97" s="282"/>
      <c r="G97" s="80">
        <v>200</v>
      </c>
      <c r="H97" s="77">
        <f t="shared" si="3"/>
        <v>0</v>
      </c>
      <c r="I97" s="77"/>
      <c r="J97" s="77">
        <f t="shared" si="4"/>
        <v>0</v>
      </c>
      <c r="K97" s="77"/>
      <c r="L97" s="77">
        <f t="shared" si="5"/>
        <v>0</v>
      </c>
      <c r="M97" s="77">
        <f t="shared" si="6"/>
        <v>0</v>
      </c>
    </row>
    <row r="98" spans="1:14">
      <c r="A98" s="1418" t="s">
        <v>433</v>
      </c>
      <c r="B98" s="372" t="s">
        <v>181</v>
      </c>
      <c r="C98" s="946" t="s">
        <v>176</v>
      </c>
      <c r="D98" s="942" t="s">
        <v>177</v>
      </c>
      <c r="E98" s="26"/>
      <c r="F98" s="20">
        <f>F38+F43+F48+F53+F58</f>
        <v>405</v>
      </c>
      <c r="G98" s="80"/>
      <c r="H98" s="77"/>
      <c r="I98" s="80"/>
      <c r="J98" s="77"/>
      <c r="K98" s="80"/>
      <c r="L98" s="77"/>
      <c r="M98" s="77"/>
    </row>
    <row r="99" spans="1:14">
      <c r="A99" s="1419"/>
      <c r="B99" s="372"/>
      <c r="C99" s="127" t="s">
        <v>119</v>
      </c>
      <c r="D99" s="942" t="s">
        <v>120</v>
      </c>
      <c r="E99" s="26">
        <v>5.16</v>
      </c>
      <c r="F99" s="282">
        <f>F98*E99</f>
        <v>2089.8000000000002</v>
      </c>
      <c r="G99" s="80"/>
      <c r="H99" s="77"/>
      <c r="I99" s="80"/>
      <c r="J99" s="77">
        <f t="shared" si="4"/>
        <v>0</v>
      </c>
      <c r="K99" s="80"/>
      <c r="L99" s="77"/>
      <c r="M99" s="77">
        <f t="shared" si="6"/>
        <v>0</v>
      </c>
    </row>
    <row r="100" spans="1:14" hidden="1">
      <c r="A100" s="1419"/>
      <c r="B100" s="372"/>
      <c r="C100" s="127" t="s">
        <v>134</v>
      </c>
      <c r="D100" s="942" t="s">
        <v>121</v>
      </c>
      <c r="E100" s="26">
        <v>0</v>
      </c>
      <c r="F100" s="282">
        <f>F98*E100</f>
        <v>0</v>
      </c>
      <c r="G100" s="80"/>
      <c r="H100" s="77"/>
      <c r="I100" s="80"/>
      <c r="J100" s="77"/>
      <c r="K100" s="80">
        <v>4</v>
      </c>
      <c r="L100" s="77">
        <f t="shared" si="5"/>
        <v>0</v>
      </c>
      <c r="M100" s="77">
        <f t="shared" si="6"/>
        <v>0</v>
      </c>
    </row>
    <row r="101" spans="1:14">
      <c r="A101" s="1419"/>
      <c r="B101" s="372"/>
      <c r="C101" s="127" t="s">
        <v>828</v>
      </c>
      <c r="D101" s="942" t="s">
        <v>4</v>
      </c>
      <c r="E101" s="26">
        <v>1</v>
      </c>
      <c r="F101" s="282">
        <f>F98*E101</f>
        <v>405</v>
      </c>
      <c r="G101" s="80"/>
      <c r="H101" s="77">
        <f t="shared" si="3"/>
        <v>0</v>
      </c>
      <c r="I101" s="80"/>
      <c r="J101" s="77"/>
      <c r="K101" s="80"/>
      <c r="L101" s="77"/>
      <c r="M101" s="77">
        <f t="shared" si="6"/>
        <v>0</v>
      </c>
    </row>
    <row r="102" spans="1:14">
      <c r="A102" s="1420"/>
      <c r="B102" s="372"/>
      <c r="C102" s="127" t="s">
        <v>19</v>
      </c>
      <c r="D102" s="942" t="s">
        <v>11</v>
      </c>
      <c r="E102" s="26">
        <v>0.11</v>
      </c>
      <c r="F102" s="282">
        <f>F98*E102</f>
        <v>44.55</v>
      </c>
      <c r="G102" s="80"/>
      <c r="H102" s="77">
        <f t="shared" si="3"/>
        <v>0</v>
      </c>
      <c r="I102" s="80"/>
      <c r="J102" s="77"/>
      <c r="K102" s="80"/>
      <c r="L102" s="77"/>
      <c r="M102" s="77">
        <f t="shared" si="6"/>
        <v>0</v>
      </c>
    </row>
    <row r="103" spans="1:14">
      <c r="A103" s="918"/>
      <c r="B103" s="372"/>
      <c r="C103" s="127"/>
      <c r="D103" s="942"/>
      <c r="E103" s="26"/>
      <c r="F103" s="282"/>
      <c r="G103" s="477"/>
      <c r="H103" s="339"/>
      <c r="I103" s="477"/>
      <c r="J103" s="339"/>
      <c r="K103" s="477"/>
      <c r="L103" s="339"/>
      <c r="M103" s="339"/>
    </row>
    <row r="104" spans="1:14">
      <c r="A104" s="101"/>
      <c r="B104" s="238"/>
      <c r="C104" s="104" t="s">
        <v>830</v>
      </c>
      <c r="D104" s="238" t="s">
        <v>11</v>
      </c>
      <c r="E104" s="421"/>
      <c r="F104" s="244"/>
      <c r="G104" s="99"/>
      <c r="H104" s="1044">
        <f>SUM(H7:H103)</f>
        <v>0</v>
      </c>
      <c r="I104" s="1044"/>
      <c r="J104" s="1044">
        <f>SUM(J7:J103)</f>
        <v>0</v>
      </c>
      <c r="K104" s="1044"/>
      <c r="L104" s="1044">
        <f>SUM(L7:L103)</f>
        <v>0</v>
      </c>
      <c r="M104" s="1044">
        <f>SUM(M7:M103)</f>
        <v>0</v>
      </c>
      <c r="N104" s="1026">
        <f>H104+J104+L104</f>
        <v>0</v>
      </c>
    </row>
    <row r="105" spans="1:14">
      <c r="A105" s="928"/>
      <c r="B105" s="338"/>
      <c r="C105" s="352" t="s">
        <v>785</v>
      </c>
      <c r="D105" s="338"/>
      <c r="E105" s="353"/>
      <c r="F105" s="354"/>
      <c r="G105" s="355"/>
      <c r="H105" s="355"/>
      <c r="I105" s="355"/>
      <c r="J105" s="355"/>
      <c r="K105" s="355"/>
      <c r="L105" s="355"/>
      <c r="M105" s="356">
        <f>H104*F105</f>
        <v>0</v>
      </c>
    </row>
    <row r="106" spans="1:14">
      <c r="A106" s="928"/>
      <c r="B106" s="338"/>
      <c r="C106" s="335" t="s">
        <v>54</v>
      </c>
      <c r="D106" s="338"/>
      <c r="E106" s="353"/>
      <c r="F106" s="357"/>
      <c r="G106" s="355"/>
      <c r="H106" s="355"/>
      <c r="I106" s="355"/>
      <c r="J106" s="355"/>
      <c r="K106" s="355"/>
      <c r="L106" s="355"/>
      <c r="M106" s="356">
        <f>M104+M105</f>
        <v>0</v>
      </c>
    </row>
    <row r="107" spans="1:14">
      <c r="A107" s="478"/>
      <c r="B107" s="359"/>
      <c r="C107" s="52" t="s">
        <v>63</v>
      </c>
      <c r="D107" s="36"/>
      <c r="E107" s="360"/>
      <c r="F107" s="479"/>
      <c r="G107" s="88"/>
      <c r="H107" s="88"/>
      <c r="I107" s="88"/>
      <c r="J107" s="88"/>
      <c r="K107" s="88"/>
      <c r="L107" s="88"/>
      <c r="M107" s="88">
        <f>M106*F107</f>
        <v>0</v>
      </c>
    </row>
    <row r="108" spans="1:14">
      <c r="A108" s="439"/>
      <c r="B108" s="363"/>
      <c r="C108" s="335" t="s">
        <v>54</v>
      </c>
      <c r="D108" s="37"/>
      <c r="E108" s="218"/>
      <c r="F108" s="364"/>
      <c r="G108" s="89"/>
      <c r="H108" s="89"/>
      <c r="I108" s="89"/>
      <c r="J108" s="89"/>
      <c r="K108" s="89"/>
      <c r="L108" s="89"/>
      <c r="M108" s="89">
        <f>M106+M107</f>
        <v>0</v>
      </c>
    </row>
    <row r="109" spans="1:14">
      <c r="A109" s="439"/>
      <c r="B109" s="363"/>
      <c r="C109" s="53" t="s">
        <v>46</v>
      </c>
      <c r="D109" s="37"/>
      <c r="E109" s="218"/>
      <c r="F109" s="365"/>
      <c r="G109" s="89"/>
      <c r="H109" s="89"/>
      <c r="I109" s="89"/>
      <c r="J109" s="89"/>
      <c r="K109" s="89"/>
      <c r="L109" s="89"/>
      <c r="M109" s="89">
        <f>M108*F109</f>
        <v>0</v>
      </c>
    </row>
    <row r="110" spans="1:14">
      <c r="A110" s="480"/>
      <c r="B110" s="366"/>
      <c r="C110" s="481" t="s">
        <v>837</v>
      </c>
      <c r="D110" s="367"/>
      <c r="E110" s="368"/>
      <c r="F110" s="369"/>
      <c r="G110" s="370"/>
      <c r="H110" s="370"/>
      <c r="I110" s="370"/>
      <c r="J110" s="370"/>
      <c r="K110" s="370"/>
      <c r="L110" s="370"/>
      <c r="M110" s="482">
        <f>M108+M109</f>
        <v>0</v>
      </c>
    </row>
    <row r="111" spans="1:14" hidden="1">
      <c r="A111" s="47" t="s">
        <v>832</v>
      </c>
      <c r="B111" s="325"/>
      <c r="C111" s="32" t="s">
        <v>556</v>
      </c>
      <c r="D111" s="30"/>
      <c r="E111" s="31"/>
      <c r="F111" s="29"/>
      <c r="G111" s="393"/>
      <c r="H111" s="339"/>
      <c r="I111" s="339"/>
      <c r="J111" s="339"/>
      <c r="K111" s="339"/>
      <c r="L111" s="339"/>
      <c r="M111" s="339"/>
    </row>
    <row r="112" spans="1:14" ht="31.5" hidden="1">
      <c r="A112" s="1517" t="s">
        <v>429</v>
      </c>
      <c r="B112" s="464" t="s">
        <v>1244</v>
      </c>
      <c r="C112" s="457" t="s">
        <v>551</v>
      </c>
      <c r="D112" s="342" t="s">
        <v>65</v>
      </c>
      <c r="E112" s="1045"/>
      <c r="F112" s="389">
        <f>E113+E114+E115+E116</f>
        <v>0</v>
      </c>
      <c r="G112" s="394"/>
      <c r="H112" s="339"/>
      <c r="I112" s="339"/>
      <c r="J112" s="339"/>
      <c r="K112" s="339"/>
      <c r="L112" s="339"/>
      <c r="M112" s="339"/>
    </row>
    <row r="113" spans="1:13" ht="48.75" hidden="1">
      <c r="A113" s="1517"/>
      <c r="B113" s="465" t="s">
        <v>429</v>
      </c>
      <c r="C113" s="458" t="s">
        <v>1243</v>
      </c>
      <c r="D113" s="250" t="s">
        <v>65</v>
      </c>
      <c r="E113" s="1035"/>
      <c r="F113" s="1046"/>
      <c r="G113" s="395"/>
      <c r="H113" s="396"/>
      <c r="I113" s="396"/>
      <c r="J113" s="396"/>
      <c r="K113" s="396"/>
      <c r="L113" s="396"/>
      <c r="M113" s="397"/>
    </row>
    <row r="114" spans="1:13" ht="48.75" hidden="1">
      <c r="A114" s="1517"/>
      <c r="B114" s="465" t="s">
        <v>430</v>
      </c>
      <c r="C114" s="458" t="s">
        <v>548</v>
      </c>
      <c r="D114" s="250" t="s">
        <v>65</v>
      </c>
      <c r="E114" s="1035"/>
      <c r="F114" s="1047"/>
      <c r="G114" s="224"/>
      <c r="H114" s="398"/>
      <c r="I114" s="398"/>
      <c r="J114" s="398"/>
      <c r="K114" s="398"/>
      <c r="L114" s="398"/>
      <c r="M114" s="399"/>
    </row>
    <row r="115" spans="1:13" ht="48.75" hidden="1">
      <c r="A115" s="1517"/>
      <c r="B115" s="465" t="s">
        <v>83</v>
      </c>
      <c r="C115" s="458" t="s">
        <v>549</v>
      </c>
      <c r="D115" s="250" t="s">
        <v>65</v>
      </c>
      <c r="E115" s="1035"/>
      <c r="F115" s="1047"/>
      <c r="G115" s="224"/>
      <c r="H115" s="398"/>
      <c r="I115" s="398"/>
      <c r="J115" s="398"/>
      <c r="K115" s="398"/>
      <c r="L115" s="398"/>
      <c r="M115" s="399"/>
    </row>
    <row r="116" spans="1:13" ht="48.75" hidden="1">
      <c r="A116" s="1517"/>
      <c r="B116" s="465" t="s">
        <v>431</v>
      </c>
      <c r="C116" s="458" t="s">
        <v>550</v>
      </c>
      <c r="D116" s="250" t="s">
        <v>65</v>
      </c>
      <c r="E116" s="1035"/>
      <c r="F116" s="1048"/>
      <c r="G116" s="400"/>
      <c r="H116" s="401"/>
      <c r="I116" s="401"/>
      <c r="J116" s="401"/>
      <c r="K116" s="401"/>
      <c r="L116" s="401"/>
      <c r="M116" s="402"/>
    </row>
    <row r="117" spans="1:13" hidden="1">
      <c r="A117" s="1391"/>
      <c r="B117" s="936" t="s">
        <v>34</v>
      </c>
      <c r="C117" s="51" t="s">
        <v>13</v>
      </c>
      <c r="D117" s="24" t="s">
        <v>11</v>
      </c>
      <c r="E117" s="216">
        <v>24.6</v>
      </c>
      <c r="F117" s="314">
        <f>F112*E117</f>
        <v>0</v>
      </c>
      <c r="G117" s="341"/>
      <c r="H117" s="340"/>
      <c r="I117" s="340">
        <v>150</v>
      </c>
      <c r="J117" s="340">
        <f>F117*I117</f>
        <v>0</v>
      </c>
      <c r="K117" s="340"/>
      <c r="L117" s="340"/>
      <c r="M117" s="340">
        <f>H117+J117+L117</f>
        <v>0</v>
      </c>
    </row>
    <row r="118" spans="1:13" hidden="1">
      <c r="A118" s="1391"/>
      <c r="B118" s="465"/>
      <c r="C118" s="131" t="s">
        <v>14</v>
      </c>
      <c r="D118" s="46" t="s">
        <v>11</v>
      </c>
      <c r="E118" s="216">
        <v>3.73</v>
      </c>
      <c r="F118" s="315">
        <f>F112*E118</f>
        <v>0</v>
      </c>
      <c r="G118" s="80"/>
      <c r="H118" s="77"/>
      <c r="I118" s="77"/>
      <c r="J118" s="77"/>
      <c r="K118" s="77">
        <v>4</v>
      </c>
      <c r="L118" s="77">
        <f>F118*K118</f>
        <v>0</v>
      </c>
      <c r="M118" s="77">
        <f t="shared" ref="M118:M124" si="7">H118+J118+L118</f>
        <v>0</v>
      </c>
    </row>
    <row r="119" spans="1:13" hidden="1">
      <c r="A119" s="1391"/>
      <c r="B119" s="465"/>
      <c r="C119" s="131" t="s">
        <v>26</v>
      </c>
      <c r="D119" s="66" t="s">
        <v>11</v>
      </c>
      <c r="E119" s="216">
        <v>12.2</v>
      </c>
      <c r="F119" s="315">
        <f>F112*E119</f>
        <v>0</v>
      </c>
      <c r="G119" s="80">
        <v>4</v>
      </c>
      <c r="H119" s="77">
        <f t="shared" ref="H119:H124" si="8">F119*G119</f>
        <v>0</v>
      </c>
      <c r="I119" s="77"/>
      <c r="J119" s="77"/>
      <c r="K119" s="77"/>
      <c r="L119" s="77"/>
      <c r="M119" s="77">
        <f t="shared" si="7"/>
        <v>0</v>
      </c>
    </row>
    <row r="120" spans="1:13" ht="48.75" hidden="1">
      <c r="A120" s="1391"/>
      <c r="B120" s="465"/>
      <c r="C120" s="458" t="s">
        <v>1243</v>
      </c>
      <c r="D120" s="250" t="s">
        <v>65</v>
      </c>
      <c r="E120" s="1036"/>
      <c r="F120" s="316">
        <f>E113</f>
        <v>0</v>
      </c>
      <c r="G120" s="80">
        <v>1000</v>
      </c>
      <c r="H120" s="77">
        <f t="shared" si="8"/>
        <v>0</v>
      </c>
      <c r="I120" s="77"/>
      <c r="J120" s="77"/>
      <c r="K120" s="77"/>
      <c r="L120" s="77"/>
      <c r="M120" s="77">
        <f t="shared" si="7"/>
        <v>0</v>
      </c>
    </row>
    <row r="121" spans="1:13" ht="48.75" hidden="1">
      <c r="A121" s="1391"/>
      <c r="B121" s="465"/>
      <c r="C121" s="458" t="s">
        <v>548</v>
      </c>
      <c r="D121" s="250" t="s">
        <v>65</v>
      </c>
      <c r="E121" s="1036"/>
      <c r="F121" s="316">
        <f>E114</f>
        <v>0</v>
      </c>
      <c r="G121" s="80">
        <v>1200</v>
      </c>
      <c r="H121" s="77">
        <f t="shared" si="8"/>
        <v>0</v>
      </c>
      <c r="I121" s="77"/>
      <c r="J121" s="77"/>
      <c r="K121" s="77"/>
      <c r="L121" s="77"/>
      <c r="M121" s="77">
        <f t="shared" si="7"/>
        <v>0</v>
      </c>
    </row>
    <row r="122" spans="1:13" ht="48.75" hidden="1">
      <c r="A122" s="1391"/>
      <c r="B122" s="465"/>
      <c r="C122" s="458" t="s">
        <v>549</v>
      </c>
      <c r="D122" s="250" t="s">
        <v>65</v>
      </c>
      <c r="E122" s="1036"/>
      <c r="F122" s="316">
        <f>E115</f>
        <v>0</v>
      </c>
      <c r="G122" s="80">
        <v>1500</v>
      </c>
      <c r="H122" s="77">
        <f t="shared" si="8"/>
        <v>0</v>
      </c>
      <c r="I122" s="77"/>
      <c r="J122" s="77"/>
      <c r="K122" s="77"/>
      <c r="L122" s="77"/>
      <c r="M122" s="77">
        <f t="shared" si="7"/>
        <v>0</v>
      </c>
    </row>
    <row r="123" spans="1:13" ht="48.75" hidden="1">
      <c r="A123" s="1391"/>
      <c r="B123" s="465"/>
      <c r="C123" s="458" t="s">
        <v>550</v>
      </c>
      <c r="D123" s="250" t="s">
        <v>65</v>
      </c>
      <c r="E123" s="1036"/>
      <c r="F123" s="316">
        <f>E116</f>
        <v>0</v>
      </c>
      <c r="G123" s="80">
        <v>1800</v>
      </c>
      <c r="H123" s="77">
        <f t="shared" si="8"/>
        <v>0</v>
      </c>
      <c r="I123" s="77"/>
      <c r="J123" s="77"/>
      <c r="K123" s="77"/>
      <c r="L123" s="77"/>
      <c r="M123" s="77">
        <f t="shared" si="7"/>
        <v>0</v>
      </c>
    </row>
    <row r="124" spans="1:13" ht="31.5" hidden="1">
      <c r="A124" s="1392"/>
      <c r="B124" s="465"/>
      <c r="C124" s="458" t="s">
        <v>552</v>
      </c>
      <c r="D124" s="388" t="s">
        <v>553</v>
      </c>
      <c r="E124" s="1037"/>
      <c r="F124" s="315"/>
      <c r="G124" s="80">
        <v>5</v>
      </c>
      <c r="H124" s="77">
        <f t="shared" si="8"/>
        <v>0</v>
      </c>
      <c r="I124" s="77"/>
      <c r="J124" s="77"/>
      <c r="K124" s="77"/>
      <c r="L124" s="77"/>
      <c r="M124" s="77">
        <f t="shared" si="7"/>
        <v>0</v>
      </c>
    </row>
    <row r="125" spans="1:13" hidden="1">
      <c r="A125" s="915"/>
      <c r="B125" s="465"/>
      <c r="C125" s="458"/>
      <c r="D125" s="388"/>
      <c r="E125" s="1037"/>
      <c r="F125" s="315"/>
      <c r="G125" s="341"/>
      <c r="H125" s="77"/>
      <c r="I125" s="77"/>
      <c r="J125" s="77"/>
      <c r="K125" s="77"/>
      <c r="L125" s="77"/>
      <c r="M125" s="77"/>
    </row>
    <row r="126" spans="1:13" hidden="1">
      <c r="A126" s="101"/>
      <c r="B126" s="238"/>
      <c r="C126" s="104" t="s">
        <v>839</v>
      </c>
      <c r="D126" s="238" t="s">
        <v>11</v>
      </c>
      <c r="E126" s="421"/>
      <c r="F126" s="244"/>
      <c r="G126" s="99"/>
      <c r="H126" s="1044">
        <f>SUM(H111:H125)</f>
        <v>0</v>
      </c>
      <c r="I126" s="1044"/>
      <c r="J126" s="1044">
        <f>SUM(J111:J125)</f>
        <v>0</v>
      </c>
      <c r="K126" s="1044"/>
      <c r="L126" s="1044">
        <f>SUM(L111:L125)</f>
        <v>0</v>
      </c>
      <c r="M126" s="1044">
        <f>SUM(M111:M125)</f>
        <v>0</v>
      </c>
    </row>
    <row r="127" spans="1:13" ht="31.5" hidden="1">
      <c r="A127" s="413"/>
      <c r="B127" s="413"/>
      <c r="C127" s="414" t="s">
        <v>802</v>
      </c>
      <c r="D127" s="413"/>
      <c r="E127" s="415"/>
      <c r="F127" s="1029">
        <v>0.05</v>
      </c>
      <c r="G127" s="417"/>
      <c r="H127" s="417"/>
      <c r="I127" s="417"/>
      <c r="J127" s="417"/>
      <c r="K127" s="417"/>
      <c r="L127" s="417"/>
      <c r="M127" s="304">
        <f>H126*F127</f>
        <v>0</v>
      </c>
    </row>
    <row r="128" spans="1:13" hidden="1">
      <c r="A128" s="413"/>
      <c r="B128" s="413"/>
      <c r="C128" s="418" t="s">
        <v>54</v>
      </c>
      <c r="D128" s="413"/>
      <c r="E128" s="415"/>
      <c r="F128" s="94"/>
      <c r="G128" s="417"/>
      <c r="H128" s="417"/>
      <c r="I128" s="417"/>
      <c r="J128" s="419"/>
      <c r="K128" s="417"/>
      <c r="L128" s="417"/>
      <c r="M128" s="304">
        <f>M126+M127</f>
        <v>0</v>
      </c>
    </row>
    <row r="129" spans="1:13" ht="31.5" hidden="1">
      <c r="A129" s="942"/>
      <c r="B129" s="420"/>
      <c r="C129" s="945" t="s">
        <v>833</v>
      </c>
      <c r="D129" s="447"/>
      <c r="E129" s="280"/>
      <c r="F129" s="1029">
        <v>0.68</v>
      </c>
      <c r="G129" s="448"/>
      <c r="H129" s="448"/>
      <c r="I129" s="448"/>
      <c r="J129" s="448"/>
      <c r="K129" s="448"/>
      <c r="L129" s="448"/>
      <c r="M129" s="448">
        <f>J126*F129</f>
        <v>0</v>
      </c>
    </row>
    <row r="130" spans="1:13" hidden="1">
      <c r="A130" s="447"/>
      <c r="B130" s="921"/>
      <c r="C130" s="483" t="s">
        <v>54</v>
      </c>
      <c r="D130" s="921"/>
      <c r="E130" s="948"/>
      <c r="F130" s="58"/>
      <c r="G130" s="87"/>
      <c r="H130" s="1049"/>
      <c r="I130" s="1050"/>
      <c r="J130" s="1050"/>
      <c r="K130" s="1049"/>
      <c r="L130" s="1049"/>
      <c r="M130" s="87">
        <f>M128+M129</f>
        <v>0</v>
      </c>
    </row>
    <row r="131" spans="1:13" hidden="1">
      <c r="A131" s="447"/>
      <c r="B131" s="447"/>
      <c r="C131" s="945" t="s">
        <v>46</v>
      </c>
      <c r="D131" s="447"/>
      <c r="E131" s="280"/>
      <c r="F131" s="1029">
        <v>0.08</v>
      </c>
      <c r="G131" s="448"/>
      <c r="H131" s="448"/>
      <c r="I131" s="448"/>
      <c r="J131" s="448"/>
      <c r="K131" s="448"/>
      <c r="L131" s="448"/>
      <c r="M131" s="448">
        <f>(M130-0)*F131</f>
        <v>0</v>
      </c>
    </row>
    <row r="132" spans="1:13" hidden="1">
      <c r="A132" s="101"/>
      <c r="B132" s="484"/>
      <c r="C132" s="237" t="s">
        <v>836</v>
      </c>
      <c r="D132" s="484"/>
      <c r="E132" s="485"/>
      <c r="F132" s="264"/>
      <c r="G132" s="486"/>
      <c r="H132" s="1051"/>
      <c r="I132" s="1051"/>
      <c r="J132" s="1051"/>
      <c r="K132" s="1051"/>
      <c r="L132" s="1051"/>
      <c r="M132" s="386">
        <f>M130+M131</f>
        <v>0</v>
      </c>
    </row>
    <row r="133" spans="1:13">
      <c r="A133" s="47" t="s">
        <v>835</v>
      </c>
      <c r="B133" s="325"/>
      <c r="C133" s="32" t="s">
        <v>555</v>
      </c>
      <c r="D133" s="30"/>
      <c r="E133" s="31"/>
      <c r="F133" s="29"/>
      <c r="G133" s="261"/>
      <c r="H133" s="77"/>
      <c r="I133" s="77"/>
      <c r="J133" s="77"/>
      <c r="K133" s="77"/>
      <c r="L133" s="77"/>
      <c r="M133" s="77"/>
    </row>
    <row r="134" spans="1:13" s="33" customFormat="1">
      <c r="A134" s="43"/>
      <c r="B134" s="487"/>
      <c r="C134" s="155" t="s">
        <v>1245</v>
      </c>
      <c r="D134" s="928"/>
      <c r="E134" s="56"/>
      <c r="F134" s="17"/>
      <c r="G134" s="261"/>
      <c r="H134" s="77"/>
      <c r="I134" s="77"/>
      <c r="J134" s="77"/>
      <c r="K134" s="77"/>
      <c r="L134" s="77"/>
      <c r="M134" s="77"/>
    </row>
    <row r="135" spans="1:13" s="33" customFormat="1">
      <c r="A135" s="1447" t="s">
        <v>429</v>
      </c>
      <c r="B135" s="487" t="s">
        <v>1247</v>
      </c>
      <c r="C135" s="425" t="s">
        <v>1246</v>
      </c>
      <c r="D135" s="43" t="s">
        <v>65</v>
      </c>
      <c r="E135" s="116"/>
      <c r="F135" s="108">
        <v>1</v>
      </c>
      <c r="G135" s="261"/>
      <c r="H135" s="77"/>
      <c r="I135" s="77"/>
      <c r="J135" s="77"/>
      <c r="K135" s="77"/>
      <c r="L135" s="77"/>
      <c r="M135" s="77"/>
    </row>
    <row r="136" spans="1:13" s="33" customFormat="1">
      <c r="A136" s="1448"/>
      <c r="B136" s="487"/>
      <c r="C136" s="160" t="s">
        <v>13</v>
      </c>
      <c r="D136" s="46" t="s">
        <v>11</v>
      </c>
      <c r="E136" s="216">
        <v>10.4</v>
      </c>
      <c r="F136" s="315">
        <f>F135*E136</f>
        <v>10.4</v>
      </c>
      <c r="G136" s="80"/>
      <c r="H136" s="77"/>
      <c r="I136" s="77"/>
      <c r="J136" s="77">
        <f>F136*I136</f>
        <v>0</v>
      </c>
      <c r="K136" s="77"/>
      <c r="L136" s="77"/>
      <c r="M136" s="77">
        <f>H136+J136+L136</f>
        <v>0</v>
      </c>
    </row>
    <row r="137" spans="1:13" s="33" customFormat="1">
      <c r="A137" s="1448"/>
      <c r="B137" s="487"/>
      <c r="C137" s="160" t="s">
        <v>14</v>
      </c>
      <c r="D137" s="46" t="s">
        <v>11</v>
      </c>
      <c r="E137" s="216">
        <v>0.69</v>
      </c>
      <c r="F137" s="315">
        <f>F135*E137</f>
        <v>0.69</v>
      </c>
      <c r="G137" s="80"/>
      <c r="H137" s="77"/>
      <c r="I137" s="77"/>
      <c r="J137" s="77"/>
      <c r="K137" s="77"/>
      <c r="L137" s="77">
        <f>F137*K137</f>
        <v>0</v>
      </c>
      <c r="M137" s="77">
        <f>H137+J137+L137</f>
        <v>0</v>
      </c>
    </row>
    <row r="138" spans="1:13" s="33" customFormat="1">
      <c r="A138" s="1448"/>
      <c r="B138" s="487"/>
      <c r="C138" s="160" t="s">
        <v>26</v>
      </c>
      <c r="D138" s="66" t="s">
        <v>11</v>
      </c>
      <c r="E138" s="216">
        <v>2.52</v>
      </c>
      <c r="F138" s="315">
        <f>F135*E138</f>
        <v>2.52</v>
      </c>
      <c r="G138" s="80"/>
      <c r="H138" s="77">
        <f>F138*G138</f>
        <v>0</v>
      </c>
      <c r="I138" s="77"/>
      <c r="J138" s="77"/>
      <c r="K138" s="77"/>
      <c r="L138" s="77"/>
      <c r="M138" s="77">
        <f>H138+J138+L138</f>
        <v>0</v>
      </c>
    </row>
    <row r="139" spans="1:13" s="33" customFormat="1" ht="66">
      <c r="A139" s="1449"/>
      <c r="B139" s="487"/>
      <c r="C139" s="165" t="s">
        <v>1469</v>
      </c>
      <c r="D139" s="928" t="s">
        <v>65</v>
      </c>
      <c r="E139" s="56"/>
      <c r="F139" s="17">
        <f>F135</f>
        <v>1</v>
      </c>
      <c r="G139" s="261"/>
      <c r="H139" s="77">
        <f>F139*G139</f>
        <v>0</v>
      </c>
      <c r="I139" s="77"/>
      <c r="J139" s="77"/>
      <c r="K139" s="77"/>
      <c r="L139" s="77"/>
      <c r="M139" s="77">
        <f>H139+J139+L139</f>
        <v>0</v>
      </c>
    </row>
    <row r="140" spans="1:13" s="33" customFormat="1">
      <c r="A140" s="1447" t="s">
        <v>430</v>
      </c>
      <c r="B140" s="487" t="s">
        <v>1250</v>
      </c>
      <c r="C140" s="425" t="s">
        <v>1248</v>
      </c>
      <c r="D140" s="43" t="s">
        <v>2</v>
      </c>
      <c r="E140" s="116"/>
      <c r="F140" s="108">
        <v>2</v>
      </c>
      <c r="G140" s="261"/>
      <c r="H140" s="77"/>
      <c r="I140" s="77"/>
      <c r="J140" s="77"/>
      <c r="K140" s="77"/>
      <c r="L140" s="77"/>
      <c r="M140" s="77"/>
    </row>
    <row r="141" spans="1:13" s="33" customFormat="1">
      <c r="A141" s="1448"/>
      <c r="B141" s="487"/>
      <c r="C141" s="160" t="s">
        <v>13</v>
      </c>
      <c r="D141" s="46" t="s">
        <v>11</v>
      </c>
      <c r="E141" s="216">
        <v>1.96</v>
      </c>
      <c r="F141" s="315">
        <f>F140*E141</f>
        <v>3.92</v>
      </c>
      <c r="G141" s="80"/>
      <c r="H141" s="77"/>
      <c r="I141" s="77"/>
      <c r="J141" s="77">
        <f>F141*I141</f>
        <v>0</v>
      </c>
      <c r="K141" s="77"/>
      <c r="L141" s="77"/>
      <c r="M141" s="77">
        <f>H141+J141+L141</f>
        <v>0</v>
      </c>
    </row>
    <row r="142" spans="1:13" s="33" customFormat="1">
      <c r="A142" s="1448"/>
      <c r="B142" s="487"/>
      <c r="C142" s="160" t="s">
        <v>14</v>
      </c>
      <c r="D142" s="46" t="s">
        <v>11</v>
      </c>
      <c r="E142" s="216">
        <v>0.16</v>
      </c>
      <c r="F142" s="315">
        <f>F140*E142</f>
        <v>0.32</v>
      </c>
      <c r="G142" s="80"/>
      <c r="H142" s="77"/>
      <c r="I142" s="77"/>
      <c r="J142" s="77"/>
      <c r="K142" s="77"/>
      <c r="L142" s="77">
        <f>F142*K142</f>
        <v>0</v>
      </c>
      <c r="M142" s="77">
        <f>H142+J142+L142</f>
        <v>0</v>
      </c>
    </row>
    <row r="143" spans="1:13" s="33" customFormat="1">
      <c r="A143" s="1448"/>
      <c r="B143" s="487"/>
      <c r="C143" s="160" t="s">
        <v>26</v>
      </c>
      <c r="D143" s="66" t="s">
        <v>11</v>
      </c>
      <c r="E143" s="216">
        <v>1.78</v>
      </c>
      <c r="F143" s="315">
        <f>F140*E143</f>
        <v>3.56</v>
      </c>
      <c r="G143" s="80"/>
      <c r="H143" s="77">
        <f>F143*G143</f>
        <v>0</v>
      </c>
      <c r="I143" s="77"/>
      <c r="J143" s="77"/>
      <c r="K143" s="77"/>
      <c r="L143" s="77"/>
      <c r="M143" s="77">
        <f>H143+J143+L143</f>
        <v>0</v>
      </c>
    </row>
    <row r="144" spans="1:13" s="33" customFormat="1">
      <c r="A144" s="1449"/>
      <c r="B144" s="487"/>
      <c r="C144" s="165" t="s">
        <v>1249</v>
      </c>
      <c r="D144" s="928" t="s">
        <v>2</v>
      </c>
      <c r="E144" s="56"/>
      <c r="F144" s="17">
        <f>F140</f>
        <v>2</v>
      </c>
      <c r="G144" s="261"/>
      <c r="H144" s="77">
        <f>F144*G144</f>
        <v>0</v>
      </c>
      <c r="I144" s="77"/>
      <c r="J144" s="77"/>
      <c r="K144" s="77"/>
      <c r="L144" s="77"/>
      <c r="M144" s="77">
        <f>H144+J144+L144</f>
        <v>0</v>
      </c>
    </row>
    <row r="145" spans="1:13" s="33" customFormat="1">
      <c r="A145" s="1511" t="s">
        <v>83</v>
      </c>
      <c r="B145" s="487" t="s">
        <v>1253</v>
      </c>
      <c r="C145" s="425" t="s">
        <v>1251</v>
      </c>
      <c r="D145" s="43" t="s">
        <v>2</v>
      </c>
      <c r="E145" s="116"/>
      <c r="F145" s="108">
        <v>8</v>
      </c>
      <c r="G145" s="261"/>
      <c r="H145" s="77"/>
      <c r="I145" s="77"/>
      <c r="J145" s="77"/>
      <c r="K145" s="77"/>
      <c r="L145" s="77"/>
      <c r="M145" s="77"/>
    </row>
    <row r="146" spans="1:13" s="33" customFormat="1">
      <c r="A146" s="1512"/>
      <c r="B146" s="487"/>
      <c r="C146" s="160" t="s">
        <v>13</v>
      </c>
      <c r="D146" s="46" t="s">
        <v>11</v>
      </c>
      <c r="E146" s="216">
        <v>1.63</v>
      </c>
      <c r="F146" s="315">
        <f>F145*E146</f>
        <v>13.04</v>
      </c>
      <c r="G146" s="80"/>
      <c r="H146" s="77"/>
      <c r="I146" s="77"/>
      <c r="J146" s="77">
        <f>F146*I146</f>
        <v>0</v>
      </c>
      <c r="K146" s="77"/>
      <c r="L146" s="77"/>
      <c r="M146" s="77">
        <f>H146+J146+L146</f>
        <v>0</v>
      </c>
    </row>
    <row r="147" spans="1:13" s="33" customFormat="1">
      <c r="A147" s="1512"/>
      <c r="B147" s="487"/>
      <c r="C147" s="160" t="s">
        <v>14</v>
      </c>
      <c r="D147" s="46" t="s">
        <v>11</v>
      </c>
      <c r="E147" s="216">
        <v>0.1</v>
      </c>
      <c r="F147" s="315">
        <f>F145*E147</f>
        <v>0.8</v>
      </c>
      <c r="G147" s="80"/>
      <c r="H147" s="77"/>
      <c r="I147" s="77"/>
      <c r="J147" s="77"/>
      <c r="K147" s="77"/>
      <c r="L147" s="77">
        <f>F147*K147</f>
        <v>0</v>
      </c>
      <c r="M147" s="77">
        <f>H147+J147+L147</f>
        <v>0</v>
      </c>
    </row>
    <row r="148" spans="1:13" s="33" customFormat="1">
      <c r="A148" s="1512"/>
      <c r="B148" s="487"/>
      <c r="C148" s="160" t="s">
        <v>26</v>
      </c>
      <c r="D148" s="66" t="s">
        <v>11</v>
      </c>
      <c r="E148" s="216">
        <v>0.38</v>
      </c>
      <c r="F148" s="315">
        <f>F145*E148</f>
        <v>3.04</v>
      </c>
      <c r="G148" s="80"/>
      <c r="H148" s="77">
        <f>F148*G148</f>
        <v>0</v>
      </c>
      <c r="I148" s="77"/>
      <c r="J148" s="77"/>
      <c r="K148" s="77"/>
      <c r="L148" s="77"/>
      <c r="M148" s="77">
        <f>H148+J148+L148</f>
        <v>0</v>
      </c>
    </row>
    <row r="149" spans="1:13" s="33" customFormat="1">
      <c r="A149" s="1513"/>
      <c r="B149" s="487"/>
      <c r="C149" s="165" t="s">
        <v>1252</v>
      </c>
      <c r="D149" s="928" t="s">
        <v>2</v>
      </c>
      <c r="E149" s="56"/>
      <c r="F149" s="17">
        <f>F145</f>
        <v>8</v>
      </c>
      <c r="G149" s="261"/>
      <c r="H149" s="77">
        <f>F149*G149</f>
        <v>0</v>
      </c>
      <c r="I149" s="77"/>
      <c r="J149" s="77"/>
      <c r="K149" s="77"/>
      <c r="L149" s="77"/>
      <c r="M149" s="77">
        <f>H149+J149+L149</f>
        <v>0</v>
      </c>
    </row>
    <row r="150" spans="1:13" s="33" customFormat="1" ht="31.5">
      <c r="A150" s="1511" t="s">
        <v>431</v>
      </c>
      <c r="B150" s="487" t="s">
        <v>1257</v>
      </c>
      <c r="C150" s="425" t="s">
        <v>1254</v>
      </c>
      <c r="D150" s="43" t="s">
        <v>5</v>
      </c>
      <c r="E150" s="116"/>
      <c r="F150" s="108">
        <v>48</v>
      </c>
      <c r="G150" s="261"/>
      <c r="H150" s="77"/>
      <c r="I150" s="77"/>
      <c r="J150" s="77"/>
      <c r="K150" s="77"/>
      <c r="L150" s="77"/>
      <c r="M150" s="77"/>
    </row>
    <row r="151" spans="1:13" s="33" customFormat="1">
      <c r="A151" s="1512"/>
      <c r="B151" s="487"/>
      <c r="C151" s="160" t="s">
        <v>13</v>
      </c>
      <c r="D151" s="46" t="s">
        <v>11</v>
      </c>
      <c r="E151" s="216">
        <v>1.54</v>
      </c>
      <c r="F151" s="315">
        <f>F150*E151</f>
        <v>73.92</v>
      </c>
      <c r="G151" s="80"/>
      <c r="H151" s="77"/>
      <c r="I151" s="77"/>
      <c r="J151" s="77">
        <f>F151*I151</f>
        <v>0</v>
      </c>
      <c r="K151" s="77"/>
      <c r="L151" s="77"/>
      <c r="M151" s="77">
        <f t="shared" ref="M151:M156" si="9">H151+J151+L151</f>
        <v>0</v>
      </c>
    </row>
    <row r="152" spans="1:13" s="33" customFormat="1">
      <c r="A152" s="1512"/>
      <c r="B152" s="487"/>
      <c r="C152" s="160" t="s">
        <v>14</v>
      </c>
      <c r="D152" s="46" t="s">
        <v>11</v>
      </c>
      <c r="E152" s="216">
        <v>3.73E-2</v>
      </c>
      <c r="F152" s="315">
        <f>F150*E152</f>
        <v>1.7904</v>
      </c>
      <c r="G152" s="80"/>
      <c r="H152" s="77"/>
      <c r="I152" s="77"/>
      <c r="J152" s="77"/>
      <c r="K152" s="77"/>
      <c r="L152" s="77">
        <f>F152*K152</f>
        <v>0</v>
      </c>
      <c r="M152" s="77">
        <f t="shared" si="9"/>
        <v>0</v>
      </c>
    </row>
    <row r="153" spans="1:13" s="33" customFormat="1">
      <c r="A153" s="1512"/>
      <c r="B153" s="487"/>
      <c r="C153" s="160" t="s">
        <v>26</v>
      </c>
      <c r="D153" s="66" t="s">
        <v>11</v>
      </c>
      <c r="E153" s="216">
        <v>0.16900000000000001</v>
      </c>
      <c r="F153" s="315">
        <f>F150*E153</f>
        <v>8.1120000000000001</v>
      </c>
      <c r="G153" s="80"/>
      <c r="H153" s="77">
        <f>F153*G153</f>
        <v>0</v>
      </c>
      <c r="I153" s="77"/>
      <c r="J153" s="77"/>
      <c r="K153" s="77"/>
      <c r="L153" s="77"/>
      <c r="M153" s="77">
        <f t="shared" si="9"/>
        <v>0</v>
      </c>
    </row>
    <row r="154" spans="1:13" s="33" customFormat="1" ht="31.5">
      <c r="A154" s="1512"/>
      <c r="B154" s="487"/>
      <c r="C154" s="165" t="s">
        <v>1255</v>
      </c>
      <c r="D154" s="928" t="s">
        <v>5</v>
      </c>
      <c r="E154" s="56">
        <v>1</v>
      </c>
      <c r="F154" s="17">
        <f>F150*E154</f>
        <v>48</v>
      </c>
      <c r="G154" s="261"/>
      <c r="H154" s="77">
        <f>F154*G154</f>
        <v>0</v>
      </c>
      <c r="I154" s="77"/>
      <c r="J154" s="77"/>
      <c r="K154" s="77"/>
      <c r="L154" s="77"/>
      <c r="M154" s="77">
        <f t="shared" si="9"/>
        <v>0</v>
      </c>
    </row>
    <row r="155" spans="1:13" s="33" customFormat="1">
      <c r="A155" s="1512"/>
      <c r="B155" s="487"/>
      <c r="C155" s="165" t="s">
        <v>1256</v>
      </c>
      <c r="D155" s="928" t="s">
        <v>5</v>
      </c>
      <c r="E155" s="56">
        <v>1</v>
      </c>
      <c r="F155" s="17">
        <f>F150*E155</f>
        <v>48</v>
      </c>
      <c r="G155" s="261"/>
      <c r="H155" s="77">
        <f>F155*G155</f>
        <v>0</v>
      </c>
      <c r="I155" s="77"/>
      <c r="J155" s="77"/>
      <c r="K155" s="77"/>
      <c r="L155" s="77"/>
      <c r="M155" s="77">
        <f t="shared" si="9"/>
        <v>0</v>
      </c>
    </row>
    <row r="156" spans="1:13" s="33" customFormat="1">
      <c r="A156" s="1513"/>
      <c r="B156" s="487"/>
      <c r="C156" s="165" t="s">
        <v>772</v>
      </c>
      <c r="D156" s="928" t="s">
        <v>6</v>
      </c>
      <c r="E156" s="56">
        <v>0.65</v>
      </c>
      <c r="F156" s="17">
        <f>F150*E156</f>
        <v>31.200000000000003</v>
      </c>
      <c r="G156" s="261"/>
      <c r="H156" s="77">
        <f>F156*G156</f>
        <v>0</v>
      </c>
      <c r="I156" s="77"/>
      <c r="J156" s="77"/>
      <c r="K156" s="77"/>
      <c r="L156" s="77"/>
      <c r="M156" s="77">
        <f t="shared" si="9"/>
        <v>0</v>
      </c>
    </row>
    <row r="157" spans="1:13" s="33" customFormat="1">
      <c r="A157" s="43"/>
      <c r="B157" s="487"/>
      <c r="C157" s="155" t="s">
        <v>1258</v>
      </c>
      <c r="D157" s="928"/>
      <c r="E157" s="56"/>
      <c r="F157" s="17"/>
      <c r="G157" s="261"/>
      <c r="H157" s="77"/>
      <c r="I157" s="77"/>
      <c r="J157" s="77"/>
      <c r="K157" s="77"/>
      <c r="L157" s="77"/>
      <c r="M157" s="77"/>
    </row>
    <row r="158" spans="1:13" s="33" customFormat="1">
      <c r="A158" s="1447" t="s">
        <v>429</v>
      </c>
      <c r="B158" s="487" t="s">
        <v>1247</v>
      </c>
      <c r="C158" s="425" t="s">
        <v>1246</v>
      </c>
      <c r="D158" s="43" t="s">
        <v>65</v>
      </c>
      <c r="E158" s="116"/>
      <c r="F158" s="108">
        <v>2</v>
      </c>
      <c r="G158" s="261"/>
      <c r="H158" s="77"/>
      <c r="I158" s="77"/>
      <c r="J158" s="77"/>
      <c r="K158" s="77"/>
      <c r="L158" s="77"/>
      <c r="M158" s="77"/>
    </row>
    <row r="159" spans="1:13" s="33" customFormat="1">
      <c r="A159" s="1448"/>
      <c r="B159" s="487"/>
      <c r="C159" s="160" t="s">
        <v>13</v>
      </c>
      <c r="D159" s="46" t="s">
        <v>11</v>
      </c>
      <c r="E159" s="216">
        <v>10.4</v>
      </c>
      <c r="F159" s="315">
        <f>F158*E159</f>
        <v>20.8</v>
      </c>
      <c r="G159" s="80"/>
      <c r="H159" s="77"/>
      <c r="I159" s="77"/>
      <c r="J159" s="77">
        <f>F159*I159</f>
        <v>0</v>
      </c>
      <c r="K159" s="77"/>
      <c r="L159" s="77"/>
      <c r="M159" s="77">
        <f>H159+J159+L159</f>
        <v>0</v>
      </c>
    </row>
    <row r="160" spans="1:13" s="33" customFormat="1">
      <c r="A160" s="1448"/>
      <c r="B160" s="487"/>
      <c r="C160" s="160" t="s">
        <v>14</v>
      </c>
      <c r="D160" s="46" t="s">
        <v>11</v>
      </c>
      <c r="E160" s="216">
        <v>0.69</v>
      </c>
      <c r="F160" s="315">
        <f>F158*E160</f>
        <v>1.38</v>
      </c>
      <c r="G160" s="80"/>
      <c r="H160" s="77"/>
      <c r="I160" s="77"/>
      <c r="J160" s="77"/>
      <c r="K160" s="77"/>
      <c r="L160" s="77">
        <f>F160*K160</f>
        <v>0</v>
      </c>
      <c r="M160" s="77">
        <f>H160+J160+L160</f>
        <v>0</v>
      </c>
    </row>
    <row r="161" spans="1:13" s="33" customFormat="1">
      <c r="A161" s="1448"/>
      <c r="B161" s="487"/>
      <c r="C161" s="160" t="s">
        <v>26</v>
      </c>
      <c r="D161" s="66" t="s">
        <v>11</v>
      </c>
      <c r="E161" s="216">
        <v>2.52</v>
      </c>
      <c r="F161" s="315">
        <f>F158*E161</f>
        <v>5.04</v>
      </c>
      <c r="G161" s="80"/>
      <c r="H161" s="77">
        <f>F161*G161</f>
        <v>0</v>
      </c>
      <c r="I161" s="77"/>
      <c r="J161" s="77"/>
      <c r="K161" s="77"/>
      <c r="L161" s="77"/>
      <c r="M161" s="77">
        <f>H161+J161+L161</f>
        <v>0</v>
      </c>
    </row>
    <row r="162" spans="1:13" s="33" customFormat="1" ht="66">
      <c r="A162" s="1449"/>
      <c r="B162" s="487"/>
      <c r="C162" s="165" t="s">
        <v>1470</v>
      </c>
      <c r="D162" s="928" t="s">
        <v>65</v>
      </c>
      <c r="E162" s="56"/>
      <c r="F162" s="17">
        <f>F158</f>
        <v>2</v>
      </c>
      <c r="G162" s="261"/>
      <c r="H162" s="77">
        <f>F162*G162</f>
        <v>0</v>
      </c>
      <c r="I162" s="77"/>
      <c r="J162" s="77"/>
      <c r="K162" s="77"/>
      <c r="L162" s="77"/>
      <c r="M162" s="77">
        <f>H162+J162+L162</f>
        <v>0</v>
      </c>
    </row>
    <row r="163" spans="1:13" s="33" customFormat="1" hidden="1">
      <c r="A163" s="1447" t="s">
        <v>430</v>
      </c>
      <c r="B163" s="487" t="s">
        <v>1250</v>
      </c>
      <c r="C163" s="425" t="s">
        <v>1248</v>
      </c>
      <c r="D163" s="43" t="s">
        <v>2</v>
      </c>
      <c r="E163" s="116"/>
      <c r="F163" s="108">
        <v>0</v>
      </c>
      <c r="G163" s="261"/>
      <c r="H163" s="77"/>
      <c r="I163" s="77"/>
      <c r="J163" s="77"/>
      <c r="K163" s="77"/>
      <c r="L163" s="77"/>
      <c r="M163" s="77"/>
    </row>
    <row r="164" spans="1:13" s="33" customFormat="1" hidden="1">
      <c r="A164" s="1448"/>
      <c r="B164" s="487"/>
      <c r="C164" s="160" t="s">
        <v>13</v>
      </c>
      <c r="D164" s="46" t="s">
        <v>11</v>
      </c>
      <c r="E164" s="216">
        <v>1.96</v>
      </c>
      <c r="F164" s="315">
        <f>F163*E164</f>
        <v>0</v>
      </c>
      <c r="G164" s="80"/>
      <c r="H164" s="77"/>
      <c r="I164" s="77">
        <v>6</v>
      </c>
      <c r="J164" s="77">
        <f>F164*I164</f>
        <v>0</v>
      </c>
      <c r="K164" s="77"/>
      <c r="L164" s="77"/>
      <c r="M164" s="77">
        <f>H164+J164+L164</f>
        <v>0</v>
      </c>
    </row>
    <row r="165" spans="1:13" s="33" customFormat="1" hidden="1">
      <c r="A165" s="1448"/>
      <c r="B165" s="487"/>
      <c r="C165" s="160" t="s">
        <v>14</v>
      </c>
      <c r="D165" s="46" t="s">
        <v>11</v>
      </c>
      <c r="E165" s="216">
        <v>0.16</v>
      </c>
      <c r="F165" s="315">
        <f>F163*E165</f>
        <v>0</v>
      </c>
      <c r="G165" s="80"/>
      <c r="H165" s="77"/>
      <c r="I165" s="77"/>
      <c r="J165" s="77"/>
      <c r="K165" s="77">
        <v>4</v>
      </c>
      <c r="L165" s="77">
        <f>F165*K165</f>
        <v>0</v>
      </c>
      <c r="M165" s="77">
        <f>H165+J165+L165</f>
        <v>0</v>
      </c>
    </row>
    <row r="166" spans="1:13" s="33" customFormat="1" hidden="1">
      <c r="A166" s="1448"/>
      <c r="B166" s="487"/>
      <c r="C166" s="160" t="s">
        <v>26</v>
      </c>
      <c r="D166" s="66" t="s">
        <v>11</v>
      </c>
      <c r="E166" s="216">
        <v>1.78</v>
      </c>
      <c r="F166" s="315">
        <f>F163*E166</f>
        <v>0</v>
      </c>
      <c r="G166" s="80">
        <v>4</v>
      </c>
      <c r="H166" s="77">
        <f>F166*G166</f>
        <v>0</v>
      </c>
      <c r="I166" s="77"/>
      <c r="J166" s="77"/>
      <c r="K166" s="77"/>
      <c r="L166" s="77"/>
      <c r="M166" s="77">
        <f>H166+J166+L166</f>
        <v>0</v>
      </c>
    </row>
    <row r="167" spans="1:13" s="33" customFormat="1" hidden="1">
      <c r="A167" s="1449"/>
      <c r="B167" s="487"/>
      <c r="C167" s="165" t="s">
        <v>1249</v>
      </c>
      <c r="D167" s="928" t="s">
        <v>2</v>
      </c>
      <c r="E167" s="56"/>
      <c r="F167" s="17">
        <f>F163</f>
        <v>0</v>
      </c>
      <c r="G167" s="261">
        <v>250</v>
      </c>
      <c r="H167" s="77">
        <f>F167*G167</f>
        <v>0</v>
      </c>
      <c r="I167" s="77"/>
      <c r="J167" s="77"/>
      <c r="K167" s="77"/>
      <c r="L167" s="77"/>
      <c r="M167" s="77">
        <f>H167+J167+L167</f>
        <v>0</v>
      </c>
    </row>
    <row r="168" spans="1:13" s="33" customFormat="1">
      <c r="A168" s="1447" t="s">
        <v>83</v>
      </c>
      <c r="B168" s="487" t="s">
        <v>1253</v>
      </c>
      <c r="C168" s="425" t="s">
        <v>1251</v>
      </c>
      <c r="D168" s="43" t="s">
        <v>2</v>
      </c>
      <c r="E168" s="116"/>
      <c r="F168" s="108">
        <v>12</v>
      </c>
      <c r="G168" s="261"/>
      <c r="H168" s="77"/>
      <c r="I168" s="77"/>
      <c r="J168" s="77"/>
      <c r="K168" s="77"/>
      <c r="L168" s="77"/>
      <c r="M168" s="77"/>
    </row>
    <row r="169" spans="1:13" s="33" customFormat="1">
      <c r="A169" s="1448"/>
      <c r="B169" s="487"/>
      <c r="C169" s="160" t="s">
        <v>13</v>
      </c>
      <c r="D169" s="46" t="s">
        <v>11</v>
      </c>
      <c r="E169" s="216">
        <v>1.63</v>
      </c>
      <c r="F169" s="315">
        <f>F168*E169</f>
        <v>19.559999999999999</v>
      </c>
      <c r="G169" s="80"/>
      <c r="H169" s="77"/>
      <c r="I169" s="77"/>
      <c r="J169" s="77">
        <f>F169*I169</f>
        <v>0</v>
      </c>
      <c r="K169" s="77"/>
      <c r="L169" s="77"/>
      <c r="M169" s="77">
        <f>H169+J169+L169</f>
        <v>0</v>
      </c>
    </row>
    <row r="170" spans="1:13" s="33" customFormat="1">
      <c r="A170" s="1448"/>
      <c r="B170" s="487"/>
      <c r="C170" s="160" t="s">
        <v>14</v>
      </c>
      <c r="D170" s="46" t="s">
        <v>11</v>
      </c>
      <c r="E170" s="216">
        <v>0.1</v>
      </c>
      <c r="F170" s="315">
        <f>F168*E170</f>
        <v>1.2000000000000002</v>
      </c>
      <c r="G170" s="80"/>
      <c r="H170" s="77"/>
      <c r="I170" s="77"/>
      <c r="J170" s="77"/>
      <c r="K170" s="77"/>
      <c r="L170" s="77">
        <f>F170*K170</f>
        <v>0</v>
      </c>
      <c r="M170" s="77">
        <f>H170+J170+L170</f>
        <v>0</v>
      </c>
    </row>
    <row r="171" spans="1:13" s="33" customFormat="1">
      <c r="A171" s="1448"/>
      <c r="B171" s="487"/>
      <c r="C171" s="160" t="s">
        <v>26</v>
      </c>
      <c r="D171" s="66" t="s">
        <v>11</v>
      </c>
      <c r="E171" s="216">
        <v>0.38</v>
      </c>
      <c r="F171" s="315">
        <f>F168*E171</f>
        <v>4.5600000000000005</v>
      </c>
      <c r="G171" s="80"/>
      <c r="H171" s="77">
        <f>F171*G171</f>
        <v>0</v>
      </c>
      <c r="I171" s="77"/>
      <c r="J171" s="77"/>
      <c r="K171" s="77"/>
      <c r="L171" s="77"/>
      <c r="M171" s="77">
        <f>H171+J171+L171</f>
        <v>0</v>
      </c>
    </row>
    <row r="172" spans="1:13" s="33" customFormat="1">
      <c r="A172" s="1449"/>
      <c r="B172" s="487"/>
      <c r="C172" s="165" t="s">
        <v>1252</v>
      </c>
      <c r="D172" s="928" t="s">
        <v>2</v>
      </c>
      <c r="E172" s="56"/>
      <c r="F172" s="17">
        <f>F168</f>
        <v>12</v>
      </c>
      <c r="G172" s="261"/>
      <c r="H172" s="77">
        <f>F172*G172</f>
        <v>0</v>
      </c>
      <c r="I172" s="77"/>
      <c r="J172" s="77"/>
      <c r="K172" s="77"/>
      <c r="L172" s="77"/>
      <c r="M172" s="77">
        <f>H172+J172+L172</f>
        <v>0</v>
      </c>
    </row>
    <row r="173" spans="1:13" s="33" customFormat="1" ht="31.5">
      <c r="A173" s="1447" t="s">
        <v>431</v>
      </c>
      <c r="B173" s="487" t="s">
        <v>1257</v>
      </c>
      <c r="C173" s="425" t="s">
        <v>1254</v>
      </c>
      <c r="D173" s="43" t="s">
        <v>5</v>
      </c>
      <c r="E173" s="116"/>
      <c r="F173" s="108">
        <v>44</v>
      </c>
      <c r="G173" s="261"/>
      <c r="H173" s="77"/>
      <c r="I173" s="77"/>
      <c r="J173" s="77"/>
      <c r="K173" s="77"/>
      <c r="L173" s="77"/>
      <c r="M173" s="77"/>
    </row>
    <row r="174" spans="1:13" s="33" customFormat="1">
      <c r="A174" s="1448"/>
      <c r="B174" s="487"/>
      <c r="C174" s="160" t="s">
        <v>13</v>
      </c>
      <c r="D174" s="46" t="s">
        <v>11</v>
      </c>
      <c r="E174" s="216">
        <v>1.54</v>
      </c>
      <c r="F174" s="315">
        <f>F173*E174</f>
        <v>67.760000000000005</v>
      </c>
      <c r="G174" s="80"/>
      <c r="H174" s="77"/>
      <c r="I174" s="77"/>
      <c r="J174" s="77">
        <f>F174*I174</f>
        <v>0</v>
      </c>
      <c r="K174" s="77"/>
      <c r="L174" s="77"/>
      <c r="M174" s="77">
        <f t="shared" ref="M174:M179" si="10">H174+J174+L174</f>
        <v>0</v>
      </c>
    </row>
    <row r="175" spans="1:13" s="33" customFormat="1">
      <c r="A175" s="1448"/>
      <c r="B175" s="487"/>
      <c r="C175" s="160" t="s">
        <v>14</v>
      </c>
      <c r="D175" s="46" t="s">
        <v>11</v>
      </c>
      <c r="E175" s="216">
        <v>3.73E-2</v>
      </c>
      <c r="F175" s="315">
        <f>F173*E175</f>
        <v>1.6412</v>
      </c>
      <c r="G175" s="80"/>
      <c r="H175" s="77"/>
      <c r="I175" s="77"/>
      <c r="J175" s="77"/>
      <c r="K175" s="77"/>
      <c r="L175" s="77">
        <f>F175*K175</f>
        <v>0</v>
      </c>
      <c r="M175" s="77">
        <f t="shared" si="10"/>
        <v>0</v>
      </c>
    </row>
    <row r="176" spans="1:13" s="33" customFormat="1">
      <c r="A176" s="1448"/>
      <c r="B176" s="487"/>
      <c r="C176" s="160" t="s">
        <v>26</v>
      </c>
      <c r="D176" s="66" t="s">
        <v>11</v>
      </c>
      <c r="E176" s="216">
        <v>0.16900000000000001</v>
      </c>
      <c r="F176" s="315">
        <f>F173*E176</f>
        <v>7.4360000000000008</v>
      </c>
      <c r="G176" s="80"/>
      <c r="H176" s="77">
        <f>F176*G176</f>
        <v>0</v>
      </c>
      <c r="I176" s="77"/>
      <c r="J176" s="77"/>
      <c r="K176" s="77"/>
      <c r="L176" s="77"/>
      <c r="M176" s="77">
        <f t="shared" si="10"/>
        <v>0</v>
      </c>
    </row>
    <row r="177" spans="1:13" s="33" customFormat="1" ht="31.5">
      <c r="A177" s="1448"/>
      <c r="B177" s="487"/>
      <c r="C177" s="165" t="s">
        <v>1255</v>
      </c>
      <c r="D177" s="928" t="s">
        <v>5</v>
      </c>
      <c r="E177" s="56">
        <v>1</v>
      </c>
      <c r="F177" s="17">
        <f>F173*E177</f>
        <v>44</v>
      </c>
      <c r="G177" s="261"/>
      <c r="H177" s="77">
        <f>F177*G177</f>
        <v>0</v>
      </c>
      <c r="I177" s="77"/>
      <c r="J177" s="77"/>
      <c r="K177" s="77"/>
      <c r="L177" s="77"/>
      <c r="M177" s="77">
        <f t="shared" si="10"/>
        <v>0</v>
      </c>
    </row>
    <row r="178" spans="1:13" s="33" customFormat="1">
      <c r="A178" s="1448"/>
      <c r="B178" s="487"/>
      <c r="C178" s="165" t="s">
        <v>1256</v>
      </c>
      <c r="D178" s="928" t="s">
        <v>5</v>
      </c>
      <c r="E178" s="56">
        <v>1</v>
      </c>
      <c r="F178" s="17">
        <f>F173*E178</f>
        <v>44</v>
      </c>
      <c r="G178" s="261"/>
      <c r="H178" s="77">
        <f>F178*G178</f>
        <v>0</v>
      </c>
      <c r="I178" s="77"/>
      <c r="J178" s="77"/>
      <c r="K178" s="77"/>
      <c r="L178" s="77"/>
      <c r="M178" s="77">
        <f t="shared" si="10"/>
        <v>0</v>
      </c>
    </row>
    <row r="179" spans="1:13" s="33" customFormat="1">
      <c r="A179" s="1449"/>
      <c r="B179" s="487"/>
      <c r="C179" s="165" t="s">
        <v>772</v>
      </c>
      <c r="D179" s="928" t="s">
        <v>6</v>
      </c>
      <c r="E179" s="56">
        <v>0.65</v>
      </c>
      <c r="F179" s="17">
        <f>F173*E179</f>
        <v>28.6</v>
      </c>
      <c r="G179" s="261"/>
      <c r="H179" s="77">
        <f>F179*G179</f>
        <v>0</v>
      </c>
      <c r="I179" s="77"/>
      <c r="J179" s="77"/>
      <c r="K179" s="77"/>
      <c r="L179" s="77"/>
      <c r="M179" s="77">
        <f t="shared" si="10"/>
        <v>0</v>
      </c>
    </row>
    <row r="180" spans="1:13" s="33" customFormat="1">
      <c r="A180" s="43"/>
      <c r="B180" s="487"/>
      <c r="C180" s="155" t="s">
        <v>1261</v>
      </c>
      <c r="D180" s="928"/>
      <c r="E180" s="56"/>
      <c r="F180" s="17"/>
      <c r="G180" s="261"/>
      <c r="H180" s="77"/>
      <c r="I180" s="77"/>
      <c r="J180" s="77"/>
      <c r="K180" s="77"/>
      <c r="L180" s="77"/>
      <c r="M180" s="77"/>
    </row>
    <row r="181" spans="1:13" s="33" customFormat="1">
      <c r="A181" s="1447" t="s">
        <v>429</v>
      </c>
      <c r="B181" s="487" t="s">
        <v>1247</v>
      </c>
      <c r="C181" s="425" t="s">
        <v>557</v>
      </c>
      <c r="D181" s="43" t="s">
        <v>65</v>
      </c>
      <c r="E181" s="116"/>
      <c r="F181" s="108">
        <v>2</v>
      </c>
      <c r="G181" s="261"/>
      <c r="H181" s="77"/>
      <c r="I181" s="77"/>
      <c r="J181" s="77"/>
      <c r="K181" s="77"/>
      <c r="L181" s="77"/>
      <c r="M181" s="77"/>
    </row>
    <row r="182" spans="1:13" s="33" customFormat="1">
      <c r="A182" s="1448"/>
      <c r="B182" s="487"/>
      <c r="C182" s="160" t="s">
        <v>13</v>
      </c>
      <c r="D182" s="46" t="s">
        <v>11</v>
      </c>
      <c r="E182" s="216">
        <v>10.4</v>
      </c>
      <c r="F182" s="315">
        <f>F181*E182</f>
        <v>20.8</v>
      </c>
      <c r="G182" s="80"/>
      <c r="H182" s="77"/>
      <c r="I182" s="77"/>
      <c r="J182" s="77">
        <f>F182*I182</f>
        <v>0</v>
      </c>
      <c r="K182" s="77"/>
      <c r="L182" s="77"/>
      <c r="M182" s="77">
        <f>H182+J182+L182</f>
        <v>0</v>
      </c>
    </row>
    <row r="183" spans="1:13" s="33" customFormat="1">
      <c r="A183" s="1448"/>
      <c r="B183" s="487"/>
      <c r="C183" s="160" t="s">
        <v>14</v>
      </c>
      <c r="D183" s="46" t="s">
        <v>11</v>
      </c>
      <c r="E183" s="216">
        <v>0.69</v>
      </c>
      <c r="F183" s="315">
        <f>F181*E183</f>
        <v>1.38</v>
      </c>
      <c r="G183" s="80"/>
      <c r="H183" s="77"/>
      <c r="I183" s="77"/>
      <c r="J183" s="77"/>
      <c r="K183" s="77"/>
      <c r="L183" s="77">
        <f>F183*K183</f>
        <v>0</v>
      </c>
      <c r="M183" s="77">
        <f>H183+J183+L183</f>
        <v>0</v>
      </c>
    </row>
    <row r="184" spans="1:13" s="33" customFormat="1">
      <c r="A184" s="1448"/>
      <c r="B184" s="487"/>
      <c r="C184" s="160" t="s">
        <v>26</v>
      </c>
      <c r="D184" s="66" t="s">
        <v>11</v>
      </c>
      <c r="E184" s="216">
        <v>2.52</v>
      </c>
      <c r="F184" s="315">
        <f>F181*E184</f>
        <v>5.04</v>
      </c>
      <c r="G184" s="80"/>
      <c r="H184" s="77">
        <f>F184*G184</f>
        <v>0</v>
      </c>
      <c r="I184" s="77"/>
      <c r="J184" s="77"/>
      <c r="K184" s="77"/>
      <c r="L184" s="77"/>
      <c r="M184" s="77">
        <f>H184+J184+L184</f>
        <v>0</v>
      </c>
    </row>
    <row r="185" spans="1:13" s="33" customFormat="1">
      <c r="A185" s="1449"/>
      <c r="B185" s="487"/>
      <c r="C185" s="165" t="s">
        <v>1471</v>
      </c>
      <c r="D185" s="928" t="s">
        <v>65</v>
      </c>
      <c r="E185" s="56"/>
      <c r="F185" s="17">
        <f>F181</f>
        <v>2</v>
      </c>
      <c r="G185" s="261"/>
      <c r="H185" s="77">
        <f>F185*G185</f>
        <v>0</v>
      </c>
      <c r="I185" s="77"/>
      <c r="J185" s="77"/>
      <c r="K185" s="77"/>
      <c r="L185" s="77"/>
      <c r="M185" s="77">
        <f>H185+J185+L185</f>
        <v>0</v>
      </c>
    </row>
    <row r="186" spans="1:13" s="33" customFormat="1">
      <c r="A186" s="1447" t="s">
        <v>430</v>
      </c>
      <c r="B186" s="487" t="s">
        <v>1253</v>
      </c>
      <c r="C186" s="425" t="s">
        <v>1251</v>
      </c>
      <c r="D186" s="43" t="s">
        <v>2</v>
      </c>
      <c r="E186" s="116"/>
      <c r="F186" s="108">
        <v>20</v>
      </c>
      <c r="G186" s="261"/>
      <c r="H186" s="77"/>
      <c r="I186" s="77"/>
      <c r="J186" s="77"/>
      <c r="K186" s="77"/>
      <c r="L186" s="77"/>
      <c r="M186" s="77"/>
    </row>
    <row r="187" spans="1:13" s="33" customFormat="1">
      <c r="A187" s="1448"/>
      <c r="B187" s="487"/>
      <c r="C187" s="160" t="s">
        <v>13</v>
      </c>
      <c r="D187" s="46" t="s">
        <v>11</v>
      </c>
      <c r="E187" s="216">
        <v>1.63</v>
      </c>
      <c r="F187" s="315">
        <f>F186*E187</f>
        <v>32.599999999999994</v>
      </c>
      <c r="G187" s="80"/>
      <c r="H187" s="77"/>
      <c r="I187" s="77"/>
      <c r="J187" s="77">
        <f>F187*I187</f>
        <v>0</v>
      </c>
      <c r="K187" s="77"/>
      <c r="L187" s="77"/>
      <c r="M187" s="77">
        <f>H187+J187+L187</f>
        <v>0</v>
      </c>
    </row>
    <row r="188" spans="1:13" s="33" customFormat="1">
      <c r="A188" s="1448"/>
      <c r="B188" s="487"/>
      <c r="C188" s="160" t="s">
        <v>14</v>
      </c>
      <c r="D188" s="46" t="s">
        <v>11</v>
      </c>
      <c r="E188" s="216">
        <v>0.1</v>
      </c>
      <c r="F188" s="315">
        <f>F186*E188</f>
        <v>2</v>
      </c>
      <c r="G188" s="80"/>
      <c r="H188" s="77"/>
      <c r="I188" s="77"/>
      <c r="J188" s="77"/>
      <c r="K188" s="77"/>
      <c r="L188" s="77">
        <f>F188*K188</f>
        <v>0</v>
      </c>
      <c r="M188" s="77">
        <f>H188+J188+L188</f>
        <v>0</v>
      </c>
    </row>
    <row r="189" spans="1:13" s="33" customFormat="1">
      <c r="A189" s="1448"/>
      <c r="B189" s="487"/>
      <c r="C189" s="160" t="s">
        <v>26</v>
      </c>
      <c r="D189" s="66" t="s">
        <v>11</v>
      </c>
      <c r="E189" s="216">
        <v>0.38</v>
      </c>
      <c r="F189" s="315">
        <f>F186*E189</f>
        <v>7.6</v>
      </c>
      <c r="G189" s="80"/>
      <c r="H189" s="77">
        <f>F189*G189</f>
        <v>0</v>
      </c>
      <c r="I189" s="77"/>
      <c r="J189" s="77"/>
      <c r="K189" s="77"/>
      <c r="L189" s="77"/>
      <c r="M189" s="77">
        <f>H189+J189+L189</f>
        <v>0</v>
      </c>
    </row>
    <row r="190" spans="1:13" s="33" customFormat="1">
      <c r="A190" s="1449"/>
      <c r="B190" s="487"/>
      <c r="C190" s="165" t="s">
        <v>1259</v>
      </c>
      <c r="D190" s="928" t="s">
        <v>2</v>
      </c>
      <c r="E190" s="56"/>
      <c r="F190" s="17">
        <f>F186</f>
        <v>20</v>
      </c>
      <c r="G190" s="261"/>
      <c r="H190" s="77">
        <f>F190*G190</f>
        <v>0</v>
      </c>
      <c r="I190" s="77"/>
      <c r="J190" s="77"/>
      <c r="K190" s="77"/>
      <c r="L190" s="77"/>
      <c r="M190" s="77">
        <f>H190+J190+L190</f>
        <v>0</v>
      </c>
    </row>
    <row r="191" spans="1:13" s="33" customFormat="1">
      <c r="A191" s="1447" t="s">
        <v>83</v>
      </c>
      <c r="B191" s="487" t="s">
        <v>1260</v>
      </c>
      <c r="C191" s="425" t="s">
        <v>1275</v>
      </c>
      <c r="D191" s="43" t="s">
        <v>2</v>
      </c>
      <c r="E191" s="116"/>
      <c r="F191" s="108">
        <v>2</v>
      </c>
      <c r="G191" s="261"/>
      <c r="H191" s="77"/>
      <c r="I191" s="77"/>
      <c r="J191" s="77"/>
      <c r="K191" s="77"/>
      <c r="L191" s="77"/>
      <c r="M191" s="77"/>
    </row>
    <row r="192" spans="1:13" s="33" customFormat="1">
      <c r="A192" s="1448"/>
      <c r="B192" s="487"/>
      <c r="C192" s="160" t="s">
        <v>13</v>
      </c>
      <c r="D192" s="46" t="s">
        <v>11</v>
      </c>
      <c r="E192" s="216">
        <v>2.89</v>
      </c>
      <c r="F192" s="315">
        <f>F191*E192</f>
        <v>5.78</v>
      </c>
      <c r="G192" s="80"/>
      <c r="H192" s="77"/>
      <c r="I192" s="77"/>
      <c r="J192" s="77">
        <f>F192*I192</f>
        <v>0</v>
      </c>
      <c r="K192" s="77"/>
      <c r="L192" s="77"/>
      <c r="M192" s="77">
        <f>H192+J192+L192</f>
        <v>0</v>
      </c>
    </row>
    <row r="193" spans="1:13" s="33" customFormat="1">
      <c r="A193" s="1448"/>
      <c r="B193" s="487"/>
      <c r="C193" s="160" t="s">
        <v>14</v>
      </c>
      <c r="D193" s="46" t="s">
        <v>11</v>
      </c>
      <c r="E193" s="216">
        <v>0.01</v>
      </c>
      <c r="F193" s="315">
        <f>F191*E193</f>
        <v>0.02</v>
      </c>
      <c r="G193" s="80"/>
      <c r="H193" s="77"/>
      <c r="I193" s="77"/>
      <c r="J193" s="77"/>
      <c r="K193" s="77"/>
      <c r="L193" s="77">
        <f>F193*K193</f>
        <v>0</v>
      </c>
      <c r="M193" s="77">
        <f>H193+J193+L193</f>
        <v>0</v>
      </c>
    </row>
    <row r="194" spans="1:13" s="33" customFormat="1">
      <c r="A194" s="1448"/>
      <c r="B194" s="487"/>
      <c r="C194" s="160" t="s">
        <v>26</v>
      </c>
      <c r="D194" s="66" t="s">
        <v>11</v>
      </c>
      <c r="E194" s="216">
        <v>0.02</v>
      </c>
      <c r="F194" s="315">
        <f>F191*E194</f>
        <v>0.04</v>
      </c>
      <c r="G194" s="80"/>
      <c r="H194" s="77">
        <f>F194*G194</f>
        <v>0</v>
      </c>
      <c r="I194" s="77"/>
      <c r="J194" s="77"/>
      <c r="K194" s="77"/>
      <c r="L194" s="77"/>
      <c r="M194" s="77">
        <f>H194+J194+L194</f>
        <v>0</v>
      </c>
    </row>
    <row r="195" spans="1:13" s="33" customFormat="1">
      <c r="A195" s="1449"/>
      <c r="B195" s="487"/>
      <c r="C195" s="165" t="s">
        <v>1274</v>
      </c>
      <c r="D195" s="928" t="s">
        <v>65</v>
      </c>
      <c r="E195" s="56"/>
      <c r="F195" s="17">
        <f>F191</f>
        <v>2</v>
      </c>
      <c r="G195" s="261"/>
      <c r="H195" s="77">
        <f>F195*G195</f>
        <v>0</v>
      </c>
      <c r="I195" s="77"/>
      <c r="J195" s="77"/>
      <c r="K195" s="77"/>
      <c r="L195" s="77"/>
      <c r="M195" s="77">
        <f>H195+J195+L195</f>
        <v>0</v>
      </c>
    </row>
    <row r="196" spans="1:13" s="33" customFormat="1" ht="31.5">
      <c r="A196" s="1447" t="s">
        <v>431</v>
      </c>
      <c r="B196" s="487" t="s">
        <v>1257</v>
      </c>
      <c r="C196" s="425" t="s">
        <v>1254</v>
      </c>
      <c r="D196" s="43" t="s">
        <v>5</v>
      </c>
      <c r="E196" s="116"/>
      <c r="F196" s="108">
        <v>48</v>
      </c>
      <c r="G196" s="261"/>
      <c r="H196" s="77"/>
      <c r="I196" s="77"/>
      <c r="J196" s="77"/>
      <c r="K196" s="77"/>
      <c r="L196" s="77"/>
      <c r="M196" s="77"/>
    </row>
    <row r="197" spans="1:13" s="33" customFormat="1">
      <c r="A197" s="1448"/>
      <c r="B197" s="487"/>
      <c r="C197" s="160" t="s">
        <v>13</v>
      </c>
      <c r="D197" s="46" t="s">
        <v>11</v>
      </c>
      <c r="E197" s="216">
        <v>1.54</v>
      </c>
      <c r="F197" s="315">
        <f>F196*E197</f>
        <v>73.92</v>
      </c>
      <c r="G197" s="80"/>
      <c r="H197" s="77"/>
      <c r="I197" s="77"/>
      <c r="J197" s="77">
        <f>F197*I197</f>
        <v>0</v>
      </c>
      <c r="K197" s="77"/>
      <c r="L197" s="77"/>
      <c r="M197" s="77">
        <f t="shared" ref="M197:M202" si="11">H197+J197+L197</f>
        <v>0</v>
      </c>
    </row>
    <row r="198" spans="1:13" s="33" customFormat="1">
      <c r="A198" s="1448"/>
      <c r="B198" s="487"/>
      <c r="C198" s="160" t="s">
        <v>14</v>
      </c>
      <c r="D198" s="46" t="s">
        <v>11</v>
      </c>
      <c r="E198" s="216">
        <v>3.73E-2</v>
      </c>
      <c r="F198" s="315">
        <f>F196*E198</f>
        <v>1.7904</v>
      </c>
      <c r="G198" s="80"/>
      <c r="H198" s="77"/>
      <c r="I198" s="77"/>
      <c r="J198" s="77"/>
      <c r="K198" s="77"/>
      <c r="L198" s="77">
        <f>F198*K198</f>
        <v>0</v>
      </c>
      <c r="M198" s="77">
        <f t="shared" si="11"/>
        <v>0</v>
      </c>
    </row>
    <row r="199" spans="1:13" s="33" customFormat="1">
      <c r="A199" s="1448"/>
      <c r="B199" s="487"/>
      <c r="C199" s="160" t="s">
        <v>26</v>
      </c>
      <c r="D199" s="66" t="s">
        <v>11</v>
      </c>
      <c r="E199" s="216">
        <v>0.16900000000000001</v>
      </c>
      <c r="F199" s="315">
        <f>F196*E199</f>
        <v>8.1120000000000001</v>
      </c>
      <c r="G199" s="80"/>
      <c r="H199" s="77">
        <f>F199*G199</f>
        <v>0</v>
      </c>
      <c r="I199" s="77"/>
      <c r="J199" s="77"/>
      <c r="K199" s="77"/>
      <c r="L199" s="77"/>
      <c r="M199" s="77">
        <f t="shared" si="11"/>
        <v>0</v>
      </c>
    </row>
    <row r="200" spans="1:13" s="33" customFormat="1" ht="31.5">
      <c r="A200" s="1448"/>
      <c r="B200" s="487"/>
      <c r="C200" s="165" t="s">
        <v>1255</v>
      </c>
      <c r="D200" s="928" t="s">
        <v>5</v>
      </c>
      <c r="E200" s="56">
        <v>1</v>
      </c>
      <c r="F200" s="17">
        <f>F196*E200</f>
        <v>48</v>
      </c>
      <c r="G200" s="261"/>
      <c r="H200" s="77">
        <f>F200*G200</f>
        <v>0</v>
      </c>
      <c r="I200" s="77"/>
      <c r="J200" s="77"/>
      <c r="K200" s="77"/>
      <c r="L200" s="77"/>
      <c r="M200" s="77">
        <f t="shared" si="11"/>
        <v>0</v>
      </c>
    </row>
    <row r="201" spans="1:13" s="33" customFormat="1" hidden="1">
      <c r="A201" s="1448"/>
      <c r="B201" s="487"/>
      <c r="C201" s="165" t="s">
        <v>1256</v>
      </c>
      <c r="D201" s="928" t="s">
        <v>5</v>
      </c>
      <c r="E201" s="56">
        <v>1</v>
      </c>
      <c r="F201" s="17">
        <v>0</v>
      </c>
      <c r="G201" s="261"/>
      <c r="H201" s="77">
        <f>F201*G201</f>
        <v>0</v>
      </c>
      <c r="I201" s="77"/>
      <c r="J201" s="77"/>
      <c r="K201" s="77"/>
      <c r="L201" s="77"/>
      <c r="M201" s="77">
        <f t="shared" si="11"/>
        <v>0</v>
      </c>
    </row>
    <row r="202" spans="1:13" s="33" customFormat="1">
      <c r="A202" s="1449"/>
      <c r="B202" s="487"/>
      <c r="C202" s="165" t="s">
        <v>772</v>
      </c>
      <c r="D202" s="928" t="s">
        <v>6</v>
      </c>
      <c r="E202" s="56">
        <v>0.65</v>
      </c>
      <c r="F202" s="17">
        <f>F196*E202</f>
        <v>31.200000000000003</v>
      </c>
      <c r="G202" s="261"/>
      <c r="H202" s="77">
        <f>F202*G202</f>
        <v>0</v>
      </c>
      <c r="I202" s="77"/>
      <c r="J202" s="77"/>
      <c r="K202" s="77"/>
      <c r="L202" s="77"/>
      <c r="M202" s="77">
        <f t="shared" si="11"/>
        <v>0</v>
      </c>
    </row>
    <row r="203" spans="1:13" s="33" customFormat="1">
      <c r="A203" s="43"/>
      <c r="B203" s="487"/>
      <c r="C203" s="155" t="s">
        <v>1262</v>
      </c>
      <c r="D203" s="928"/>
      <c r="E203" s="56"/>
      <c r="F203" s="17"/>
      <c r="G203" s="261"/>
      <c r="H203" s="77"/>
      <c r="I203" s="77"/>
      <c r="J203" s="77"/>
      <c r="K203" s="77"/>
      <c r="L203" s="77"/>
      <c r="M203" s="77"/>
    </row>
    <row r="204" spans="1:13" s="33" customFormat="1">
      <c r="A204" s="1447" t="s">
        <v>429</v>
      </c>
      <c r="B204" s="487" t="s">
        <v>1247</v>
      </c>
      <c r="C204" s="425" t="s">
        <v>557</v>
      </c>
      <c r="D204" s="43" t="s">
        <v>65</v>
      </c>
      <c r="E204" s="116"/>
      <c r="F204" s="108">
        <v>1</v>
      </c>
      <c r="G204" s="261"/>
      <c r="H204" s="77"/>
      <c r="I204" s="77"/>
      <c r="J204" s="77"/>
      <c r="K204" s="77"/>
      <c r="L204" s="77"/>
      <c r="M204" s="77"/>
    </row>
    <row r="205" spans="1:13" s="33" customFormat="1">
      <c r="A205" s="1448"/>
      <c r="B205" s="487"/>
      <c r="C205" s="160" t="s">
        <v>13</v>
      </c>
      <c r="D205" s="46" t="s">
        <v>11</v>
      </c>
      <c r="E205" s="216">
        <v>10.4</v>
      </c>
      <c r="F205" s="315">
        <f>F204*E205</f>
        <v>10.4</v>
      </c>
      <c r="G205" s="80"/>
      <c r="H205" s="77"/>
      <c r="I205" s="77"/>
      <c r="J205" s="77">
        <f>F205*I205</f>
        <v>0</v>
      </c>
      <c r="K205" s="77"/>
      <c r="L205" s="77"/>
      <c r="M205" s="77">
        <f>H205+J205+L205</f>
        <v>0</v>
      </c>
    </row>
    <row r="206" spans="1:13" s="33" customFormat="1">
      <c r="A206" s="1448"/>
      <c r="B206" s="487"/>
      <c r="C206" s="160" t="s">
        <v>14</v>
      </c>
      <c r="D206" s="46" t="s">
        <v>11</v>
      </c>
      <c r="E206" s="216">
        <v>0.69</v>
      </c>
      <c r="F206" s="315">
        <f>F204*E206</f>
        <v>0.69</v>
      </c>
      <c r="G206" s="80"/>
      <c r="H206" s="77"/>
      <c r="I206" s="77"/>
      <c r="J206" s="77"/>
      <c r="K206" s="77"/>
      <c r="L206" s="77">
        <f>F206*K206</f>
        <v>0</v>
      </c>
      <c r="M206" s="77">
        <f>H206+J206+L206</f>
        <v>0</v>
      </c>
    </row>
    <row r="207" spans="1:13" s="33" customFormat="1">
      <c r="A207" s="1448"/>
      <c r="B207" s="487"/>
      <c r="C207" s="160" t="s">
        <v>26</v>
      </c>
      <c r="D207" s="66" t="s">
        <v>11</v>
      </c>
      <c r="E207" s="216">
        <v>2.52</v>
      </c>
      <c r="F207" s="315">
        <f>F204*E207</f>
        <v>2.52</v>
      </c>
      <c r="G207" s="80"/>
      <c r="H207" s="77">
        <f>F207*G207</f>
        <v>0</v>
      </c>
      <c r="I207" s="77"/>
      <c r="J207" s="77"/>
      <c r="K207" s="77"/>
      <c r="L207" s="77"/>
      <c r="M207" s="77">
        <f>H207+J207+L207</f>
        <v>0</v>
      </c>
    </row>
    <row r="208" spans="1:13" s="33" customFormat="1">
      <c r="A208" s="1449"/>
      <c r="B208" s="487"/>
      <c r="C208" s="165" t="s">
        <v>1472</v>
      </c>
      <c r="D208" s="928" t="s">
        <v>65</v>
      </c>
      <c r="E208" s="56"/>
      <c r="F208" s="17">
        <f>F204</f>
        <v>1</v>
      </c>
      <c r="G208" s="261"/>
      <c r="H208" s="77">
        <f>F208*G208</f>
        <v>0</v>
      </c>
      <c r="I208" s="77"/>
      <c r="J208" s="77"/>
      <c r="K208" s="77"/>
      <c r="L208" s="77"/>
      <c r="M208" s="77">
        <f>H208+J208+L208</f>
        <v>0</v>
      </c>
    </row>
    <row r="209" spans="1:13" s="33" customFormat="1">
      <c r="A209" s="1447" t="s">
        <v>430</v>
      </c>
      <c r="B209" s="487" t="s">
        <v>581</v>
      </c>
      <c r="C209" s="425" t="s">
        <v>1263</v>
      </c>
      <c r="D209" s="43" t="s">
        <v>2</v>
      </c>
      <c r="E209" s="116"/>
      <c r="F209" s="108">
        <v>7</v>
      </c>
      <c r="G209" s="261"/>
      <c r="H209" s="77"/>
      <c r="I209" s="77"/>
      <c r="J209" s="77"/>
      <c r="K209" s="77"/>
      <c r="L209" s="77"/>
      <c r="M209" s="77"/>
    </row>
    <row r="210" spans="1:13" s="33" customFormat="1">
      <c r="A210" s="1448"/>
      <c r="B210" s="487"/>
      <c r="C210" s="160" t="s">
        <v>13</v>
      </c>
      <c r="D210" s="46" t="s">
        <v>11</v>
      </c>
      <c r="E210" s="216">
        <v>4.0999999999999996</v>
      </c>
      <c r="F210" s="315">
        <f>F209*E210</f>
        <v>28.699999999999996</v>
      </c>
      <c r="G210" s="80"/>
      <c r="H210" s="77"/>
      <c r="I210" s="77"/>
      <c r="J210" s="77">
        <f>F210*I210</f>
        <v>0</v>
      </c>
      <c r="K210" s="77"/>
      <c r="L210" s="77"/>
      <c r="M210" s="77">
        <f>H210+J210+L210</f>
        <v>0</v>
      </c>
    </row>
    <row r="211" spans="1:13" s="33" customFormat="1">
      <c r="A211" s="1448"/>
      <c r="B211" s="487"/>
      <c r="C211" s="160" t="s">
        <v>14</v>
      </c>
      <c r="D211" s="46" t="s">
        <v>11</v>
      </c>
      <c r="E211" s="216">
        <v>0.03</v>
      </c>
      <c r="F211" s="315">
        <f>F209*E211</f>
        <v>0.21</v>
      </c>
      <c r="G211" s="80"/>
      <c r="H211" s="77"/>
      <c r="I211" s="77"/>
      <c r="J211" s="77"/>
      <c r="K211" s="77"/>
      <c r="L211" s="77">
        <f>F211*K211</f>
        <v>0</v>
      </c>
      <c r="M211" s="77">
        <f>H211+J211+L211</f>
        <v>0</v>
      </c>
    </row>
    <row r="212" spans="1:13" s="33" customFormat="1">
      <c r="A212" s="1448"/>
      <c r="B212" s="487"/>
      <c r="C212" s="160" t="s">
        <v>26</v>
      </c>
      <c r="D212" s="66" t="s">
        <v>11</v>
      </c>
      <c r="E212" s="216">
        <v>0.08</v>
      </c>
      <c r="F212" s="315">
        <f>F209*E212</f>
        <v>0.56000000000000005</v>
      </c>
      <c r="G212" s="80"/>
      <c r="H212" s="77">
        <f>F212*G212</f>
        <v>0</v>
      </c>
      <c r="I212" s="77"/>
      <c r="J212" s="77"/>
      <c r="K212" s="77"/>
      <c r="L212" s="77"/>
      <c r="M212" s="77">
        <f>H212+J212+L212</f>
        <v>0</v>
      </c>
    </row>
    <row r="213" spans="1:13" s="33" customFormat="1">
      <c r="A213" s="1449"/>
      <c r="B213" s="487"/>
      <c r="C213" s="165" t="s">
        <v>1264</v>
      </c>
      <c r="D213" s="928" t="s">
        <v>5</v>
      </c>
      <c r="E213" s="56">
        <v>1</v>
      </c>
      <c r="F213" s="17">
        <f>F209*E213</f>
        <v>7</v>
      </c>
      <c r="G213" s="261"/>
      <c r="H213" s="77">
        <f>F213*G213</f>
        <v>0</v>
      </c>
      <c r="I213" s="77"/>
      <c r="J213" s="77"/>
      <c r="K213" s="77"/>
      <c r="L213" s="77"/>
      <c r="M213" s="77">
        <f>H213+J213+L213</f>
        <v>0</v>
      </c>
    </row>
    <row r="214" spans="1:13" s="33" customFormat="1">
      <c r="A214" s="1447" t="s">
        <v>83</v>
      </c>
      <c r="B214" s="487" t="s">
        <v>1253</v>
      </c>
      <c r="C214" s="425" t="s">
        <v>1265</v>
      </c>
      <c r="D214" s="43" t="s">
        <v>2</v>
      </c>
      <c r="E214" s="116"/>
      <c r="F214" s="108">
        <v>1</v>
      </c>
      <c r="G214" s="261"/>
      <c r="H214" s="77"/>
      <c r="I214" s="77"/>
      <c r="J214" s="77"/>
      <c r="K214" s="77"/>
      <c r="L214" s="77"/>
      <c r="M214" s="77"/>
    </row>
    <row r="215" spans="1:13" s="33" customFormat="1">
      <c r="A215" s="1448"/>
      <c r="B215" s="487"/>
      <c r="C215" s="160" t="s">
        <v>13</v>
      </c>
      <c r="D215" s="46" t="s">
        <v>11</v>
      </c>
      <c r="E215" s="216">
        <v>1.63</v>
      </c>
      <c r="F215" s="315">
        <f>F214*E215</f>
        <v>1.63</v>
      </c>
      <c r="G215" s="80"/>
      <c r="H215" s="77"/>
      <c r="I215" s="77"/>
      <c r="J215" s="77">
        <f>F215*I215</f>
        <v>0</v>
      </c>
      <c r="K215" s="77"/>
      <c r="L215" s="77"/>
      <c r="M215" s="77">
        <f>H215+J215+L215</f>
        <v>0</v>
      </c>
    </row>
    <row r="216" spans="1:13" s="33" customFormat="1">
      <c r="A216" s="1448"/>
      <c r="B216" s="487"/>
      <c r="C216" s="160" t="s">
        <v>14</v>
      </c>
      <c r="D216" s="46" t="s">
        <v>11</v>
      </c>
      <c r="E216" s="216">
        <v>0.1</v>
      </c>
      <c r="F216" s="315">
        <f>F214*E216</f>
        <v>0.1</v>
      </c>
      <c r="G216" s="80"/>
      <c r="H216" s="77"/>
      <c r="I216" s="77"/>
      <c r="J216" s="77"/>
      <c r="K216" s="77"/>
      <c r="L216" s="77">
        <f>F216*K216</f>
        <v>0</v>
      </c>
      <c r="M216" s="77">
        <f>H216+J216+L216</f>
        <v>0</v>
      </c>
    </row>
    <row r="217" spans="1:13" s="33" customFormat="1">
      <c r="A217" s="1448"/>
      <c r="B217" s="487"/>
      <c r="C217" s="160" t="s">
        <v>26</v>
      </c>
      <c r="D217" s="66" t="s">
        <v>11</v>
      </c>
      <c r="E217" s="216">
        <v>0.38</v>
      </c>
      <c r="F217" s="315">
        <f>F214*E217</f>
        <v>0.38</v>
      </c>
      <c r="G217" s="80"/>
      <c r="H217" s="77">
        <f>F217*G217</f>
        <v>0</v>
      </c>
      <c r="I217" s="77"/>
      <c r="J217" s="77"/>
      <c r="K217" s="77"/>
      <c r="L217" s="77"/>
      <c r="M217" s="77">
        <f>H217+J217+L217</f>
        <v>0</v>
      </c>
    </row>
    <row r="218" spans="1:13" s="33" customFormat="1">
      <c r="A218" s="1449"/>
      <c r="B218" s="487"/>
      <c r="C218" s="165" t="s">
        <v>1268</v>
      </c>
      <c r="D218" s="928" t="s">
        <v>2</v>
      </c>
      <c r="E218" s="56"/>
      <c r="F218" s="17">
        <f>F214</f>
        <v>1</v>
      </c>
      <c r="G218" s="261"/>
      <c r="H218" s="77">
        <f>F218*G218</f>
        <v>0</v>
      </c>
      <c r="I218" s="77"/>
      <c r="J218" s="77"/>
      <c r="K218" s="77"/>
      <c r="L218" s="77"/>
      <c r="M218" s="77">
        <f>H218+J218+L218</f>
        <v>0</v>
      </c>
    </row>
    <row r="219" spans="1:13" s="33" customFormat="1" ht="31.5">
      <c r="A219" s="1447" t="s">
        <v>431</v>
      </c>
      <c r="B219" s="487" t="s">
        <v>1257</v>
      </c>
      <c r="C219" s="425" t="s">
        <v>1254</v>
      </c>
      <c r="D219" s="43" t="s">
        <v>5</v>
      </c>
      <c r="E219" s="116"/>
      <c r="F219" s="108">
        <v>10</v>
      </c>
      <c r="G219" s="261"/>
      <c r="H219" s="77"/>
      <c r="I219" s="77"/>
      <c r="J219" s="77"/>
      <c r="K219" s="77"/>
      <c r="L219" s="77"/>
      <c r="M219" s="77"/>
    </row>
    <row r="220" spans="1:13" s="33" customFormat="1">
      <c r="A220" s="1448"/>
      <c r="B220" s="487"/>
      <c r="C220" s="160" t="s">
        <v>13</v>
      </c>
      <c r="D220" s="46" t="s">
        <v>11</v>
      </c>
      <c r="E220" s="216">
        <v>1.54</v>
      </c>
      <c r="F220" s="315">
        <f>F219*E220</f>
        <v>15.4</v>
      </c>
      <c r="G220" s="80"/>
      <c r="H220" s="77"/>
      <c r="I220" s="77"/>
      <c r="J220" s="77">
        <f>F220*I220</f>
        <v>0</v>
      </c>
      <c r="K220" s="77"/>
      <c r="L220" s="77"/>
      <c r="M220" s="77">
        <f t="shared" ref="M220:M225" si="12">H220+J220+L220</f>
        <v>0</v>
      </c>
    </row>
    <row r="221" spans="1:13" s="33" customFormat="1">
      <c r="A221" s="1448"/>
      <c r="B221" s="487"/>
      <c r="C221" s="160" t="s">
        <v>14</v>
      </c>
      <c r="D221" s="46" t="s">
        <v>11</v>
      </c>
      <c r="E221" s="216">
        <v>3.73E-2</v>
      </c>
      <c r="F221" s="315">
        <f>F219*E221</f>
        <v>0.373</v>
      </c>
      <c r="G221" s="80"/>
      <c r="H221" s="77"/>
      <c r="I221" s="77"/>
      <c r="J221" s="77"/>
      <c r="K221" s="77"/>
      <c r="L221" s="77">
        <f>F221*K221</f>
        <v>0</v>
      </c>
      <c r="M221" s="77">
        <f t="shared" si="12"/>
        <v>0</v>
      </c>
    </row>
    <row r="222" spans="1:13" s="33" customFormat="1">
      <c r="A222" s="1448"/>
      <c r="B222" s="487"/>
      <c r="C222" s="160" t="s">
        <v>26</v>
      </c>
      <c r="D222" s="66" t="s">
        <v>11</v>
      </c>
      <c r="E222" s="216">
        <v>0.16900000000000001</v>
      </c>
      <c r="F222" s="315">
        <f>F219*E222</f>
        <v>1.6900000000000002</v>
      </c>
      <c r="G222" s="80"/>
      <c r="H222" s="77">
        <f>F222*G222</f>
        <v>0</v>
      </c>
      <c r="I222" s="77"/>
      <c r="J222" s="77"/>
      <c r="K222" s="77"/>
      <c r="L222" s="77"/>
      <c r="M222" s="77">
        <f t="shared" si="12"/>
        <v>0</v>
      </c>
    </row>
    <row r="223" spans="1:13" s="33" customFormat="1" ht="31.5">
      <c r="A223" s="1448"/>
      <c r="B223" s="487"/>
      <c r="C223" s="165" t="s">
        <v>1255</v>
      </c>
      <c r="D223" s="928" t="s">
        <v>5</v>
      </c>
      <c r="E223" s="56">
        <v>1</v>
      </c>
      <c r="F223" s="17">
        <f>F219*E223</f>
        <v>10</v>
      </c>
      <c r="G223" s="261"/>
      <c r="H223" s="77">
        <f>F223*G223</f>
        <v>0</v>
      </c>
      <c r="I223" s="77"/>
      <c r="J223" s="77"/>
      <c r="K223" s="77"/>
      <c r="L223" s="77"/>
      <c r="M223" s="77">
        <f t="shared" si="12"/>
        <v>0</v>
      </c>
    </row>
    <row r="224" spans="1:13" s="33" customFormat="1">
      <c r="A224" s="1448"/>
      <c r="B224" s="487"/>
      <c r="C224" s="165" t="s">
        <v>1266</v>
      </c>
      <c r="D224" s="928" t="s">
        <v>5</v>
      </c>
      <c r="E224" s="56">
        <v>1</v>
      </c>
      <c r="F224" s="17">
        <v>3.5</v>
      </c>
      <c r="G224" s="261"/>
      <c r="H224" s="77">
        <f>F224*G224</f>
        <v>0</v>
      </c>
      <c r="I224" s="77"/>
      <c r="J224" s="77"/>
      <c r="K224" s="77"/>
      <c r="L224" s="77"/>
      <c r="M224" s="77">
        <f t="shared" si="12"/>
        <v>0</v>
      </c>
    </row>
    <row r="225" spans="1:13" s="33" customFormat="1">
      <c r="A225" s="1449"/>
      <c r="B225" s="487"/>
      <c r="C225" s="165" t="s">
        <v>772</v>
      </c>
      <c r="D225" s="928" t="s">
        <v>6</v>
      </c>
      <c r="E225" s="56">
        <v>0.65</v>
      </c>
      <c r="F225" s="17">
        <f>F219*E225</f>
        <v>6.5</v>
      </c>
      <c r="G225" s="261"/>
      <c r="H225" s="77">
        <f>F225*G225</f>
        <v>0</v>
      </c>
      <c r="I225" s="77"/>
      <c r="J225" s="77"/>
      <c r="K225" s="77"/>
      <c r="L225" s="77"/>
      <c r="M225" s="77">
        <f t="shared" si="12"/>
        <v>0</v>
      </c>
    </row>
    <row r="226" spans="1:13" s="33" customFormat="1">
      <c r="A226" s="43"/>
      <c r="B226" s="487"/>
      <c r="C226" s="155" t="s">
        <v>1267</v>
      </c>
      <c r="D226" s="928"/>
      <c r="E226" s="56"/>
      <c r="F226" s="17"/>
      <c r="G226" s="261"/>
      <c r="H226" s="77"/>
      <c r="I226" s="77"/>
      <c r="J226" s="77"/>
      <c r="K226" s="77"/>
      <c r="L226" s="77"/>
      <c r="M226" s="77"/>
    </row>
    <row r="227" spans="1:13" s="33" customFormat="1">
      <c r="A227" s="1447" t="s">
        <v>429</v>
      </c>
      <c r="B227" s="487" t="s">
        <v>1247</v>
      </c>
      <c r="C227" s="425" t="s">
        <v>557</v>
      </c>
      <c r="D227" s="43" t="s">
        <v>65</v>
      </c>
      <c r="E227" s="116"/>
      <c r="F227" s="108">
        <v>1</v>
      </c>
      <c r="G227" s="261"/>
      <c r="H227" s="77"/>
      <c r="I227" s="77"/>
      <c r="J227" s="77"/>
      <c r="K227" s="77"/>
      <c r="L227" s="77"/>
      <c r="M227" s="77"/>
    </row>
    <row r="228" spans="1:13" s="33" customFormat="1">
      <c r="A228" s="1448"/>
      <c r="B228" s="487"/>
      <c r="C228" s="160" t="s">
        <v>13</v>
      </c>
      <c r="D228" s="46" t="s">
        <v>11</v>
      </c>
      <c r="E228" s="216">
        <v>10.4</v>
      </c>
      <c r="F228" s="315">
        <f>F227*E228</f>
        <v>10.4</v>
      </c>
      <c r="G228" s="80"/>
      <c r="H228" s="77"/>
      <c r="I228" s="77"/>
      <c r="J228" s="77">
        <f>F228*I228</f>
        <v>0</v>
      </c>
      <c r="K228" s="77"/>
      <c r="L228" s="77"/>
      <c r="M228" s="77">
        <f>H228+J228+L228</f>
        <v>0</v>
      </c>
    </row>
    <row r="229" spans="1:13" s="33" customFormat="1">
      <c r="A229" s="1448"/>
      <c r="B229" s="487"/>
      <c r="C229" s="160" t="s">
        <v>14</v>
      </c>
      <c r="D229" s="46" t="s">
        <v>11</v>
      </c>
      <c r="E229" s="216">
        <v>0.69</v>
      </c>
      <c r="F229" s="315">
        <f>F227*E229</f>
        <v>0.69</v>
      </c>
      <c r="G229" s="80"/>
      <c r="H229" s="77"/>
      <c r="I229" s="77"/>
      <c r="J229" s="77"/>
      <c r="K229" s="77"/>
      <c r="L229" s="77">
        <f>F229*K229</f>
        <v>0</v>
      </c>
      <c r="M229" s="77">
        <f>H229+J229+L229</f>
        <v>0</v>
      </c>
    </row>
    <row r="230" spans="1:13" s="33" customFormat="1">
      <c r="A230" s="1448"/>
      <c r="B230" s="487"/>
      <c r="C230" s="160" t="s">
        <v>26</v>
      </c>
      <c r="D230" s="66" t="s">
        <v>11</v>
      </c>
      <c r="E230" s="216">
        <v>2.52</v>
      </c>
      <c r="F230" s="315">
        <f>F227*E230</f>
        <v>2.52</v>
      </c>
      <c r="G230" s="80"/>
      <c r="H230" s="77">
        <f>F230*G230</f>
        <v>0</v>
      </c>
      <c r="I230" s="77"/>
      <c r="J230" s="77"/>
      <c r="K230" s="77"/>
      <c r="L230" s="77"/>
      <c r="M230" s="77">
        <f>H230+J230+L230</f>
        <v>0</v>
      </c>
    </row>
    <row r="231" spans="1:13" s="33" customFormat="1">
      <c r="A231" s="1449"/>
      <c r="B231" s="487"/>
      <c r="C231" s="165" t="s">
        <v>1473</v>
      </c>
      <c r="D231" s="928" t="s">
        <v>65</v>
      </c>
      <c r="E231" s="56"/>
      <c r="F231" s="17">
        <f>F227</f>
        <v>1</v>
      </c>
      <c r="G231" s="261"/>
      <c r="H231" s="77">
        <f>F231*G231</f>
        <v>0</v>
      </c>
      <c r="I231" s="77"/>
      <c r="J231" s="77"/>
      <c r="K231" s="77"/>
      <c r="L231" s="77"/>
      <c r="M231" s="77">
        <f>H231+J231+L231</f>
        <v>0</v>
      </c>
    </row>
    <row r="232" spans="1:13" s="33" customFormat="1">
      <c r="A232" s="1447" t="s">
        <v>430</v>
      </c>
      <c r="B232" s="487" t="s">
        <v>581</v>
      </c>
      <c r="C232" s="425" t="s">
        <v>1263</v>
      </c>
      <c r="D232" s="43" t="s">
        <v>2</v>
      </c>
      <c r="E232" s="116"/>
      <c r="F232" s="108">
        <v>3</v>
      </c>
      <c r="G232" s="261"/>
      <c r="H232" s="77"/>
      <c r="I232" s="77"/>
      <c r="J232" s="77"/>
      <c r="K232" s="77"/>
      <c r="L232" s="77"/>
      <c r="M232" s="77"/>
    </row>
    <row r="233" spans="1:13" s="33" customFormat="1">
      <c r="A233" s="1448"/>
      <c r="B233" s="487"/>
      <c r="C233" s="160" t="s">
        <v>13</v>
      </c>
      <c r="D233" s="46" t="s">
        <v>11</v>
      </c>
      <c r="E233" s="216">
        <v>4.0999999999999996</v>
      </c>
      <c r="F233" s="315">
        <f>F232*E233</f>
        <v>12.299999999999999</v>
      </c>
      <c r="G233" s="80"/>
      <c r="H233" s="77"/>
      <c r="I233" s="77"/>
      <c r="J233" s="77">
        <f>F233*I233</f>
        <v>0</v>
      </c>
      <c r="K233" s="77"/>
      <c r="L233" s="77"/>
      <c r="M233" s="77">
        <f>H233+J233+L233</f>
        <v>0</v>
      </c>
    </row>
    <row r="234" spans="1:13" s="33" customFormat="1">
      <c r="A234" s="1448"/>
      <c r="B234" s="487"/>
      <c r="C234" s="160" t="s">
        <v>14</v>
      </c>
      <c r="D234" s="46" t="s">
        <v>11</v>
      </c>
      <c r="E234" s="216">
        <v>0.03</v>
      </c>
      <c r="F234" s="315">
        <f>F232*E234</f>
        <v>0.09</v>
      </c>
      <c r="G234" s="80"/>
      <c r="H234" s="77"/>
      <c r="I234" s="77"/>
      <c r="J234" s="77"/>
      <c r="K234" s="77"/>
      <c r="L234" s="77">
        <f>F234*K234</f>
        <v>0</v>
      </c>
      <c r="M234" s="77">
        <f>H234+J234+L234</f>
        <v>0</v>
      </c>
    </row>
    <row r="235" spans="1:13" s="33" customFormat="1">
      <c r="A235" s="1448"/>
      <c r="B235" s="487"/>
      <c r="C235" s="160" t="s">
        <v>26</v>
      </c>
      <c r="D235" s="66" t="s">
        <v>11</v>
      </c>
      <c r="E235" s="216">
        <v>0.08</v>
      </c>
      <c r="F235" s="315">
        <f>F232*E235</f>
        <v>0.24</v>
      </c>
      <c r="G235" s="80"/>
      <c r="H235" s="77">
        <f>F235*G235</f>
        <v>0</v>
      </c>
      <c r="I235" s="77"/>
      <c r="J235" s="77"/>
      <c r="K235" s="77"/>
      <c r="L235" s="77"/>
      <c r="M235" s="77">
        <f>H235+J235+L235</f>
        <v>0</v>
      </c>
    </row>
    <row r="236" spans="1:13" s="33" customFormat="1">
      <c r="A236" s="1449"/>
      <c r="B236" s="487"/>
      <c r="C236" s="165" t="s">
        <v>1264</v>
      </c>
      <c r="D236" s="928" t="s">
        <v>5</v>
      </c>
      <c r="E236" s="56">
        <v>1</v>
      </c>
      <c r="F236" s="17">
        <f>F232*E236</f>
        <v>3</v>
      </c>
      <c r="G236" s="261"/>
      <c r="H236" s="77">
        <f>F236*G236</f>
        <v>0</v>
      </c>
      <c r="I236" s="77"/>
      <c r="J236" s="77"/>
      <c r="K236" s="77"/>
      <c r="L236" s="77"/>
      <c r="M236" s="77">
        <f>H236+J236+L236</f>
        <v>0</v>
      </c>
    </row>
    <row r="237" spans="1:13" s="33" customFormat="1">
      <c r="A237" s="1447" t="s">
        <v>83</v>
      </c>
      <c r="B237" s="487" t="s">
        <v>1253</v>
      </c>
      <c r="C237" s="425" t="s">
        <v>1265</v>
      </c>
      <c r="D237" s="43" t="s">
        <v>2</v>
      </c>
      <c r="E237" s="116"/>
      <c r="F237" s="108">
        <v>1</v>
      </c>
      <c r="G237" s="261"/>
      <c r="H237" s="77"/>
      <c r="I237" s="77"/>
      <c r="J237" s="77"/>
      <c r="K237" s="77"/>
      <c r="L237" s="77"/>
      <c r="M237" s="77"/>
    </row>
    <row r="238" spans="1:13" s="33" customFormat="1">
      <c r="A238" s="1448"/>
      <c r="B238" s="487"/>
      <c r="C238" s="160" t="s">
        <v>13</v>
      </c>
      <c r="D238" s="46" t="s">
        <v>11</v>
      </c>
      <c r="E238" s="216">
        <v>1.63</v>
      </c>
      <c r="F238" s="315">
        <f>F237*E238</f>
        <v>1.63</v>
      </c>
      <c r="G238" s="80"/>
      <c r="H238" s="77"/>
      <c r="I238" s="77"/>
      <c r="J238" s="77">
        <f>F238*I238</f>
        <v>0</v>
      </c>
      <c r="K238" s="77"/>
      <c r="L238" s="77"/>
      <c r="M238" s="77">
        <f>H238+J238+L238</f>
        <v>0</v>
      </c>
    </row>
    <row r="239" spans="1:13" s="33" customFormat="1">
      <c r="A239" s="1448"/>
      <c r="B239" s="487"/>
      <c r="C239" s="160" t="s">
        <v>14</v>
      </c>
      <c r="D239" s="46" t="s">
        <v>11</v>
      </c>
      <c r="E239" s="216">
        <v>0.1</v>
      </c>
      <c r="F239" s="315">
        <f>F237*E239</f>
        <v>0.1</v>
      </c>
      <c r="G239" s="80"/>
      <c r="H239" s="77"/>
      <c r="I239" s="77"/>
      <c r="J239" s="77"/>
      <c r="K239" s="77"/>
      <c r="L239" s="77">
        <f>F239*K239</f>
        <v>0</v>
      </c>
      <c r="M239" s="77">
        <f>H239+J239+L239</f>
        <v>0</v>
      </c>
    </row>
    <row r="240" spans="1:13" s="33" customFormat="1">
      <c r="A240" s="1448"/>
      <c r="B240" s="487"/>
      <c r="C240" s="160" t="s">
        <v>26</v>
      </c>
      <c r="D240" s="66" t="s">
        <v>11</v>
      </c>
      <c r="E240" s="216">
        <v>0.38</v>
      </c>
      <c r="F240" s="315">
        <f>F237*E240</f>
        <v>0.38</v>
      </c>
      <c r="G240" s="80"/>
      <c r="H240" s="77">
        <f>F240*G240</f>
        <v>0</v>
      </c>
      <c r="I240" s="77"/>
      <c r="J240" s="77"/>
      <c r="K240" s="77"/>
      <c r="L240" s="77"/>
      <c r="M240" s="77">
        <f>H240+J240+L240</f>
        <v>0</v>
      </c>
    </row>
    <row r="241" spans="1:13" s="33" customFormat="1">
      <c r="A241" s="1449"/>
      <c r="B241" s="487"/>
      <c r="C241" s="165" t="s">
        <v>1268</v>
      </c>
      <c r="D241" s="928" t="s">
        <v>2</v>
      </c>
      <c r="E241" s="56"/>
      <c r="F241" s="17">
        <f>F237</f>
        <v>1</v>
      </c>
      <c r="G241" s="261"/>
      <c r="H241" s="77">
        <f>F241*G241</f>
        <v>0</v>
      </c>
      <c r="I241" s="77"/>
      <c r="J241" s="77"/>
      <c r="K241" s="77"/>
      <c r="L241" s="77"/>
      <c r="M241" s="77">
        <f>H241+J241+L241</f>
        <v>0</v>
      </c>
    </row>
    <row r="242" spans="1:13" s="33" customFormat="1" ht="31.5">
      <c r="A242" s="1447" t="s">
        <v>431</v>
      </c>
      <c r="B242" s="487" t="s">
        <v>1257</v>
      </c>
      <c r="C242" s="425" t="s">
        <v>1254</v>
      </c>
      <c r="D242" s="43" t="s">
        <v>5</v>
      </c>
      <c r="E242" s="116"/>
      <c r="F242" s="108">
        <v>4</v>
      </c>
      <c r="G242" s="261"/>
      <c r="H242" s="77"/>
      <c r="I242" s="77"/>
      <c r="J242" s="77"/>
      <c r="K242" s="77"/>
      <c r="L242" s="77"/>
      <c r="M242" s="77"/>
    </row>
    <row r="243" spans="1:13" s="33" customFormat="1">
      <c r="A243" s="1448"/>
      <c r="B243" s="487"/>
      <c r="C243" s="160" t="s">
        <v>13</v>
      </c>
      <c r="D243" s="46" t="s">
        <v>11</v>
      </c>
      <c r="E243" s="216">
        <v>1.54</v>
      </c>
      <c r="F243" s="315">
        <f>F242*E243</f>
        <v>6.16</v>
      </c>
      <c r="G243" s="80"/>
      <c r="H243" s="77"/>
      <c r="I243" s="77"/>
      <c r="J243" s="77">
        <f>F243*I243</f>
        <v>0</v>
      </c>
      <c r="K243" s="77"/>
      <c r="L243" s="77"/>
      <c r="M243" s="77">
        <f t="shared" ref="M243:M248" si="13">H243+J243+L243</f>
        <v>0</v>
      </c>
    </row>
    <row r="244" spans="1:13" s="33" customFormat="1">
      <c r="A244" s="1448"/>
      <c r="B244" s="487"/>
      <c r="C244" s="160" t="s">
        <v>14</v>
      </c>
      <c r="D244" s="46" t="s">
        <v>11</v>
      </c>
      <c r="E244" s="216">
        <v>3.73E-2</v>
      </c>
      <c r="F244" s="315">
        <f>F242*E244</f>
        <v>0.1492</v>
      </c>
      <c r="G244" s="80"/>
      <c r="H244" s="77"/>
      <c r="I244" s="77"/>
      <c r="J244" s="77"/>
      <c r="K244" s="77"/>
      <c r="L244" s="77">
        <f>F244*K244</f>
        <v>0</v>
      </c>
      <c r="M244" s="77">
        <f t="shared" si="13"/>
        <v>0</v>
      </c>
    </row>
    <row r="245" spans="1:13" s="33" customFormat="1">
      <c r="A245" s="1448"/>
      <c r="B245" s="487"/>
      <c r="C245" s="160" t="s">
        <v>26</v>
      </c>
      <c r="D245" s="66" t="s">
        <v>11</v>
      </c>
      <c r="E245" s="216">
        <v>0.16900000000000001</v>
      </c>
      <c r="F245" s="315">
        <f>F242*E245</f>
        <v>0.67600000000000005</v>
      </c>
      <c r="G245" s="80"/>
      <c r="H245" s="77">
        <f>F245*G245</f>
        <v>0</v>
      </c>
      <c r="I245" s="77"/>
      <c r="J245" s="77"/>
      <c r="K245" s="77"/>
      <c r="L245" s="77"/>
      <c r="M245" s="77">
        <f t="shared" si="13"/>
        <v>0</v>
      </c>
    </row>
    <row r="246" spans="1:13" s="33" customFormat="1" ht="31.5">
      <c r="A246" s="1448"/>
      <c r="B246" s="487"/>
      <c r="C246" s="165" t="s">
        <v>1255</v>
      </c>
      <c r="D246" s="928" t="s">
        <v>5</v>
      </c>
      <c r="E246" s="56">
        <v>1</v>
      </c>
      <c r="F246" s="17">
        <f>F242*E246</f>
        <v>4</v>
      </c>
      <c r="G246" s="261"/>
      <c r="H246" s="77">
        <f>F246*G246</f>
        <v>0</v>
      </c>
      <c r="I246" s="77"/>
      <c r="J246" s="77"/>
      <c r="K246" s="77"/>
      <c r="L246" s="77"/>
      <c r="M246" s="77">
        <f t="shared" si="13"/>
        <v>0</v>
      </c>
    </row>
    <row r="247" spans="1:13" s="33" customFormat="1">
      <c r="A247" s="1448"/>
      <c r="B247" s="487"/>
      <c r="C247" s="165" t="s">
        <v>1266</v>
      </c>
      <c r="D247" s="928" t="s">
        <v>5</v>
      </c>
      <c r="E247" s="56">
        <v>1</v>
      </c>
      <c r="F247" s="17">
        <v>3.5</v>
      </c>
      <c r="G247" s="261"/>
      <c r="H247" s="77">
        <f>F247*G247</f>
        <v>0</v>
      </c>
      <c r="I247" s="77"/>
      <c r="J247" s="77"/>
      <c r="K247" s="77"/>
      <c r="L247" s="77"/>
      <c r="M247" s="77">
        <f t="shared" si="13"/>
        <v>0</v>
      </c>
    </row>
    <row r="248" spans="1:13" s="33" customFormat="1">
      <c r="A248" s="1449"/>
      <c r="B248" s="487"/>
      <c r="C248" s="165" t="s">
        <v>772</v>
      </c>
      <c r="D248" s="928" t="s">
        <v>6</v>
      </c>
      <c r="E248" s="56">
        <v>0.65</v>
      </c>
      <c r="F248" s="17">
        <f>F242*E248</f>
        <v>2.6</v>
      </c>
      <c r="G248" s="261"/>
      <c r="H248" s="77">
        <f>F248*G248</f>
        <v>0</v>
      </c>
      <c r="I248" s="77"/>
      <c r="J248" s="77"/>
      <c r="K248" s="77"/>
      <c r="L248" s="77"/>
      <c r="M248" s="77">
        <f t="shared" si="13"/>
        <v>0</v>
      </c>
    </row>
    <row r="249" spans="1:13" s="33" customFormat="1">
      <c r="A249" s="43"/>
      <c r="B249" s="487"/>
      <c r="C249" s="155" t="s">
        <v>1269</v>
      </c>
      <c r="D249" s="928"/>
      <c r="E249" s="56"/>
      <c r="F249" s="17"/>
      <c r="G249" s="261"/>
      <c r="H249" s="77"/>
      <c r="I249" s="77"/>
      <c r="J249" s="77"/>
      <c r="K249" s="77"/>
      <c r="L249" s="77"/>
      <c r="M249" s="77"/>
    </row>
    <row r="250" spans="1:13" s="33" customFormat="1" ht="31.5">
      <c r="A250" s="1447" t="s">
        <v>429</v>
      </c>
      <c r="B250" s="487" t="s">
        <v>1271</v>
      </c>
      <c r="C250" s="425" t="s">
        <v>1270</v>
      </c>
      <c r="D250" s="43" t="s">
        <v>65</v>
      </c>
      <c r="E250" s="116"/>
      <c r="F250" s="108">
        <v>4</v>
      </c>
      <c r="G250" s="261"/>
      <c r="H250" s="77"/>
      <c r="I250" s="77"/>
      <c r="J250" s="77"/>
      <c r="K250" s="77"/>
      <c r="L250" s="77"/>
      <c r="M250" s="77"/>
    </row>
    <row r="251" spans="1:13" s="33" customFormat="1">
      <c r="A251" s="1448"/>
      <c r="B251" s="487"/>
      <c r="C251" s="160" t="s">
        <v>13</v>
      </c>
      <c r="D251" s="46" t="s">
        <v>11</v>
      </c>
      <c r="E251" s="216">
        <v>5.94</v>
      </c>
      <c r="F251" s="315">
        <f>F250*E251</f>
        <v>23.76</v>
      </c>
      <c r="G251" s="80"/>
      <c r="H251" s="77"/>
      <c r="I251" s="77"/>
      <c r="J251" s="77">
        <f>F251*I251</f>
        <v>0</v>
      </c>
      <c r="K251" s="77"/>
      <c r="L251" s="77"/>
      <c r="M251" s="77">
        <f>H251+J251+L251</f>
        <v>0</v>
      </c>
    </row>
    <row r="252" spans="1:13" s="33" customFormat="1">
      <c r="A252" s="1448"/>
      <c r="B252" s="487"/>
      <c r="C252" s="160" t="s">
        <v>14</v>
      </c>
      <c r="D252" s="46" t="s">
        <v>11</v>
      </c>
      <c r="E252" s="216">
        <v>0.12</v>
      </c>
      <c r="F252" s="315">
        <f>F250*E252</f>
        <v>0.48</v>
      </c>
      <c r="G252" s="80"/>
      <c r="H252" s="77"/>
      <c r="I252" s="77"/>
      <c r="J252" s="77"/>
      <c r="K252" s="77"/>
      <c r="L252" s="77">
        <f>F252*K252</f>
        <v>0</v>
      </c>
      <c r="M252" s="77">
        <f>H252+J252+L252</f>
        <v>0</v>
      </c>
    </row>
    <row r="253" spans="1:13" s="33" customFormat="1">
      <c r="A253" s="1448"/>
      <c r="B253" s="487"/>
      <c r="C253" s="160" t="s">
        <v>26</v>
      </c>
      <c r="D253" s="66" t="s">
        <v>11</v>
      </c>
      <c r="E253" s="216">
        <v>1.1399999999999999</v>
      </c>
      <c r="F253" s="315">
        <f>F250*E253</f>
        <v>4.5599999999999996</v>
      </c>
      <c r="G253" s="80"/>
      <c r="H253" s="77">
        <f>F253*G253</f>
        <v>0</v>
      </c>
      <c r="I253" s="77"/>
      <c r="J253" s="77"/>
      <c r="K253" s="77"/>
      <c r="L253" s="77"/>
      <c r="M253" s="77">
        <f>H253+J253+L253</f>
        <v>0</v>
      </c>
    </row>
    <row r="254" spans="1:13" s="33" customFormat="1" ht="31.5">
      <c r="A254" s="1449"/>
      <c r="B254" s="487"/>
      <c r="C254" s="165" t="s">
        <v>1474</v>
      </c>
      <c r="D254" s="928" t="s">
        <v>65</v>
      </c>
      <c r="E254" s="56"/>
      <c r="F254" s="17">
        <f>F250</f>
        <v>4</v>
      </c>
      <c r="G254" s="261"/>
      <c r="H254" s="77">
        <f>F254*G254</f>
        <v>0</v>
      </c>
      <c r="I254" s="77"/>
      <c r="J254" s="77"/>
      <c r="K254" s="77"/>
      <c r="L254" s="77"/>
      <c r="M254" s="77">
        <f>H254+J254+L254</f>
        <v>0</v>
      </c>
    </row>
    <row r="255" spans="1:13" s="33" customFormat="1">
      <c r="A255" s="43"/>
      <c r="B255" s="487"/>
      <c r="C255" s="165" t="s">
        <v>1272</v>
      </c>
      <c r="D255" s="928" t="s">
        <v>2</v>
      </c>
      <c r="E255" s="56"/>
      <c r="F255" s="17">
        <v>6</v>
      </c>
      <c r="G255" s="261"/>
      <c r="H255" s="77">
        <f>F255*G255</f>
        <v>0</v>
      </c>
      <c r="I255" s="77"/>
      <c r="J255" s="77"/>
      <c r="K255" s="77"/>
      <c r="L255" s="77"/>
      <c r="M255" s="77">
        <f>H255+J255+L255</f>
        <v>0</v>
      </c>
    </row>
    <row r="256" spans="1:13" s="33" customFormat="1">
      <c r="A256" s="1447" t="s">
        <v>430</v>
      </c>
      <c r="B256" s="487" t="s">
        <v>1253</v>
      </c>
      <c r="C256" s="425" t="s">
        <v>1265</v>
      </c>
      <c r="D256" s="43" t="s">
        <v>2</v>
      </c>
      <c r="E256" s="116"/>
      <c r="F256" s="108">
        <v>2</v>
      </c>
      <c r="G256" s="261"/>
      <c r="H256" s="77"/>
      <c r="I256" s="77"/>
      <c r="J256" s="77"/>
      <c r="K256" s="77"/>
      <c r="L256" s="77"/>
      <c r="M256" s="77"/>
    </row>
    <row r="257" spans="1:13" s="33" customFormat="1">
      <c r="A257" s="1448"/>
      <c r="B257" s="487"/>
      <c r="C257" s="160" t="s">
        <v>13</v>
      </c>
      <c r="D257" s="46" t="s">
        <v>11</v>
      </c>
      <c r="E257" s="216">
        <v>1.63</v>
      </c>
      <c r="F257" s="315">
        <f>F256*E257</f>
        <v>3.26</v>
      </c>
      <c r="G257" s="80"/>
      <c r="H257" s="77"/>
      <c r="I257" s="77"/>
      <c r="J257" s="77">
        <f>F257*I257</f>
        <v>0</v>
      </c>
      <c r="K257" s="77"/>
      <c r="L257" s="77"/>
      <c r="M257" s="77">
        <f>H257+J257+L257</f>
        <v>0</v>
      </c>
    </row>
    <row r="258" spans="1:13" s="33" customFormat="1">
      <c r="A258" s="1448"/>
      <c r="B258" s="487"/>
      <c r="C258" s="160" t="s">
        <v>14</v>
      </c>
      <c r="D258" s="46" t="s">
        <v>11</v>
      </c>
      <c r="E258" s="216">
        <v>0.1</v>
      </c>
      <c r="F258" s="315">
        <f>F256*E258</f>
        <v>0.2</v>
      </c>
      <c r="G258" s="80"/>
      <c r="H258" s="77"/>
      <c r="I258" s="77"/>
      <c r="J258" s="77"/>
      <c r="K258" s="77"/>
      <c r="L258" s="77">
        <f>F258*K258</f>
        <v>0</v>
      </c>
      <c r="M258" s="77">
        <f>H258+J258+L258</f>
        <v>0</v>
      </c>
    </row>
    <row r="259" spans="1:13" s="33" customFormat="1">
      <c r="A259" s="1448"/>
      <c r="B259" s="487"/>
      <c r="C259" s="160" t="s">
        <v>26</v>
      </c>
      <c r="D259" s="66" t="s">
        <v>11</v>
      </c>
      <c r="E259" s="216">
        <v>0.38</v>
      </c>
      <c r="F259" s="315">
        <f>F256*E259</f>
        <v>0.76</v>
      </c>
      <c r="G259" s="80"/>
      <c r="H259" s="77">
        <f>F259*G259</f>
        <v>0</v>
      </c>
      <c r="I259" s="77"/>
      <c r="J259" s="77"/>
      <c r="K259" s="77"/>
      <c r="L259" s="77"/>
      <c r="M259" s="77">
        <f>H259+J259+L259</f>
        <v>0</v>
      </c>
    </row>
    <row r="260" spans="1:13" s="33" customFormat="1">
      <c r="A260" s="1449"/>
      <c r="B260" s="487"/>
      <c r="C260" s="165" t="s">
        <v>1475</v>
      </c>
      <c r="D260" s="928" t="s">
        <v>2</v>
      </c>
      <c r="E260" s="56"/>
      <c r="F260" s="17">
        <f>F256</f>
        <v>2</v>
      </c>
      <c r="G260" s="261"/>
      <c r="H260" s="77">
        <f>F260*G260</f>
        <v>0</v>
      </c>
      <c r="I260" s="77"/>
      <c r="J260" s="77"/>
      <c r="K260" s="77"/>
      <c r="L260" s="77"/>
      <c r="M260" s="77">
        <f>H260+J260+L260</f>
        <v>0</v>
      </c>
    </row>
    <row r="261" spans="1:13" s="33" customFormat="1">
      <c r="A261" s="1447" t="s">
        <v>83</v>
      </c>
      <c r="B261" s="487" t="s">
        <v>1260</v>
      </c>
      <c r="C261" s="425" t="s">
        <v>1273</v>
      </c>
      <c r="D261" s="43" t="s">
        <v>2</v>
      </c>
      <c r="E261" s="116"/>
      <c r="F261" s="108">
        <v>2</v>
      </c>
      <c r="G261" s="261"/>
      <c r="H261" s="77"/>
      <c r="I261" s="77"/>
      <c r="J261" s="77"/>
      <c r="K261" s="77"/>
      <c r="L261" s="77"/>
      <c r="M261" s="77"/>
    </row>
    <row r="262" spans="1:13" s="33" customFormat="1">
      <c r="A262" s="1448"/>
      <c r="B262" s="487"/>
      <c r="C262" s="160" t="s">
        <v>13</v>
      </c>
      <c r="D262" s="46" t="s">
        <v>11</v>
      </c>
      <c r="E262" s="216">
        <v>2.89</v>
      </c>
      <c r="F262" s="315">
        <f>F261*E262</f>
        <v>5.78</v>
      </c>
      <c r="G262" s="80"/>
      <c r="H262" s="77"/>
      <c r="I262" s="77"/>
      <c r="J262" s="77">
        <f>F262*I262</f>
        <v>0</v>
      </c>
      <c r="K262" s="77"/>
      <c r="L262" s="77"/>
      <c r="M262" s="77">
        <f>H262+J262+L262</f>
        <v>0</v>
      </c>
    </row>
    <row r="263" spans="1:13" s="33" customFormat="1">
      <c r="A263" s="1448"/>
      <c r="B263" s="487"/>
      <c r="C263" s="160" t="s">
        <v>14</v>
      </c>
      <c r="D263" s="46" t="s">
        <v>11</v>
      </c>
      <c r="E263" s="216">
        <v>0.01</v>
      </c>
      <c r="F263" s="315">
        <f>F261*E263</f>
        <v>0.02</v>
      </c>
      <c r="G263" s="80"/>
      <c r="H263" s="77"/>
      <c r="I263" s="77"/>
      <c r="J263" s="77"/>
      <c r="K263" s="77"/>
      <c r="L263" s="77">
        <f>F263*K263</f>
        <v>0</v>
      </c>
      <c r="M263" s="77">
        <f>H263+J263+L263</f>
        <v>0</v>
      </c>
    </row>
    <row r="264" spans="1:13" s="33" customFormat="1">
      <c r="A264" s="1448"/>
      <c r="B264" s="487"/>
      <c r="C264" s="160" t="s">
        <v>26</v>
      </c>
      <c r="D264" s="66" t="s">
        <v>11</v>
      </c>
      <c r="E264" s="216">
        <v>0.02</v>
      </c>
      <c r="F264" s="315">
        <f>F261*E264</f>
        <v>0.04</v>
      </c>
      <c r="G264" s="80"/>
      <c r="H264" s="77">
        <f>F264*G264</f>
        <v>0</v>
      </c>
      <c r="I264" s="77"/>
      <c r="J264" s="77"/>
      <c r="K264" s="77"/>
      <c r="L264" s="77"/>
      <c r="M264" s="77">
        <f>H264+J264+L264</f>
        <v>0</v>
      </c>
    </row>
    <row r="265" spans="1:13" s="33" customFormat="1">
      <c r="A265" s="1449"/>
      <c r="B265" s="487"/>
      <c r="C265" s="165" t="s">
        <v>1476</v>
      </c>
      <c r="D265" s="928" t="s">
        <v>65</v>
      </c>
      <c r="E265" s="56"/>
      <c r="F265" s="17">
        <f>F261</f>
        <v>2</v>
      </c>
      <c r="G265" s="261"/>
      <c r="H265" s="77">
        <f>F265*G265</f>
        <v>0</v>
      </c>
      <c r="I265" s="77"/>
      <c r="J265" s="77"/>
      <c r="K265" s="77"/>
      <c r="L265" s="77"/>
      <c r="M265" s="77">
        <f>H265+J265+L265</f>
        <v>0</v>
      </c>
    </row>
    <row r="266" spans="1:13" s="33" customFormat="1">
      <c r="A266" s="43"/>
      <c r="B266" s="487"/>
      <c r="C266" s="155" t="s">
        <v>1276</v>
      </c>
      <c r="D266" s="928"/>
      <c r="E266" s="56"/>
      <c r="F266" s="17"/>
      <c r="G266" s="261"/>
      <c r="H266" s="77"/>
      <c r="I266" s="77"/>
      <c r="J266" s="77"/>
      <c r="K266" s="77"/>
      <c r="L266" s="77"/>
      <c r="M266" s="77"/>
    </row>
    <row r="267" spans="1:13" s="33" customFormat="1">
      <c r="A267" s="1447" t="s">
        <v>429</v>
      </c>
      <c r="B267" s="487" t="s">
        <v>1253</v>
      </c>
      <c r="C267" s="425" t="s">
        <v>1278</v>
      </c>
      <c r="D267" s="43" t="s">
        <v>2</v>
      </c>
      <c r="E267" s="116"/>
      <c r="F267" s="108">
        <v>1</v>
      </c>
      <c r="G267" s="261"/>
      <c r="H267" s="77"/>
      <c r="I267" s="77"/>
      <c r="J267" s="77"/>
      <c r="K267" s="77"/>
      <c r="L267" s="77"/>
      <c r="M267" s="77"/>
    </row>
    <row r="268" spans="1:13" s="33" customFormat="1">
      <c r="A268" s="1448"/>
      <c r="B268" s="487"/>
      <c r="C268" s="160" t="s">
        <v>13</v>
      </c>
      <c r="D268" s="46" t="s">
        <v>11</v>
      </c>
      <c r="E268" s="216">
        <v>1.63</v>
      </c>
      <c r="F268" s="315">
        <f>F267*E268</f>
        <v>1.63</v>
      </c>
      <c r="G268" s="80"/>
      <c r="H268" s="77"/>
      <c r="I268" s="77"/>
      <c r="J268" s="77">
        <f>F268*I268</f>
        <v>0</v>
      </c>
      <c r="K268" s="77"/>
      <c r="L268" s="77"/>
      <c r="M268" s="77">
        <f>H268+J268+L268</f>
        <v>0</v>
      </c>
    </row>
    <row r="269" spans="1:13" s="33" customFormat="1">
      <c r="A269" s="1448"/>
      <c r="B269" s="487"/>
      <c r="C269" s="160" t="s">
        <v>14</v>
      </c>
      <c r="D269" s="46" t="s">
        <v>11</v>
      </c>
      <c r="E269" s="216">
        <v>0.1</v>
      </c>
      <c r="F269" s="315">
        <f>F267*E269</f>
        <v>0.1</v>
      </c>
      <c r="G269" s="80"/>
      <c r="H269" s="77"/>
      <c r="I269" s="77"/>
      <c r="J269" s="77"/>
      <c r="K269" s="77"/>
      <c r="L269" s="77">
        <f>F269*K269</f>
        <v>0</v>
      </c>
      <c r="M269" s="77">
        <f>H269+J269+L269</f>
        <v>0</v>
      </c>
    </row>
    <row r="270" spans="1:13" s="33" customFormat="1">
      <c r="A270" s="1448"/>
      <c r="B270" s="487"/>
      <c r="C270" s="160" t="s">
        <v>26</v>
      </c>
      <c r="D270" s="66" t="s">
        <v>11</v>
      </c>
      <c r="E270" s="216">
        <v>0.38</v>
      </c>
      <c r="F270" s="315">
        <f>F267*E270</f>
        <v>0.38</v>
      </c>
      <c r="G270" s="80"/>
      <c r="H270" s="77">
        <f>F270*G270</f>
        <v>0</v>
      </c>
      <c r="I270" s="77"/>
      <c r="J270" s="77"/>
      <c r="K270" s="77"/>
      <c r="L270" s="77"/>
      <c r="M270" s="77">
        <f>H270+J270+L270</f>
        <v>0</v>
      </c>
    </row>
    <row r="271" spans="1:13" s="33" customFormat="1">
      <c r="A271" s="1449"/>
      <c r="B271" s="487"/>
      <c r="C271" s="165" t="s">
        <v>1277</v>
      </c>
      <c r="D271" s="928" t="s">
        <v>2</v>
      </c>
      <c r="E271" s="56"/>
      <c r="F271" s="17">
        <f>F267</f>
        <v>1</v>
      </c>
      <c r="G271" s="261"/>
      <c r="H271" s="77">
        <f>F271*G271</f>
        <v>0</v>
      </c>
      <c r="I271" s="77"/>
      <c r="J271" s="77"/>
      <c r="K271" s="77"/>
      <c r="L271" s="77"/>
      <c r="M271" s="77">
        <f>H271+J271+L271</f>
        <v>0</v>
      </c>
    </row>
    <row r="272" spans="1:13" s="33" customFormat="1">
      <c r="A272" s="1447" t="s">
        <v>430</v>
      </c>
      <c r="B272" s="487" t="s">
        <v>1253</v>
      </c>
      <c r="C272" s="425" t="s">
        <v>1279</v>
      </c>
      <c r="D272" s="43" t="s">
        <v>2</v>
      </c>
      <c r="E272" s="116"/>
      <c r="F272" s="108">
        <v>1</v>
      </c>
      <c r="G272" s="261"/>
      <c r="H272" s="77"/>
      <c r="I272" s="77"/>
      <c r="J272" s="77"/>
      <c r="K272" s="77"/>
      <c r="L272" s="77"/>
      <c r="M272" s="77"/>
    </row>
    <row r="273" spans="1:14" s="33" customFormat="1">
      <c r="A273" s="1448"/>
      <c r="B273" s="487"/>
      <c r="C273" s="160" t="s">
        <v>13</v>
      </c>
      <c r="D273" s="46" t="s">
        <v>11</v>
      </c>
      <c r="E273" s="216">
        <v>1.63</v>
      </c>
      <c r="F273" s="315">
        <f>F272*E273</f>
        <v>1.63</v>
      </c>
      <c r="G273" s="80"/>
      <c r="H273" s="77"/>
      <c r="I273" s="77"/>
      <c r="J273" s="77">
        <f>F273*I273</f>
        <v>0</v>
      </c>
      <c r="K273" s="77"/>
      <c r="L273" s="77"/>
      <c r="M273" s="77">
        <f>H273+J273+L273</f>
        <v>0</v>
      </c>
    </row>
    <row r="274" spans="1:14" s="33" customFormat="1">
      <c r="A274" s="1448"/>
      <c r="B274" s="487"/>
      <c r="C274" s="160" t="s">
        <v>14</v>
      </c>
      <c r="D274" s="46" t="s">
        <v>11</v>
      </c>
      <c r="E274" s="216">
        <v>0.1</v>
      </c>
      <c r="F274" s="315">
        <f>F272*E274</f>
        <v>0.1</v>
      </c>
      <c r="G274" s="80"/>
      <c r="H274" s="77"/>
      <c r="I274" s="77"/>
      <c r="J274" s="77"/>
      <c r="K274" s="77"/>
      <c r="L274" s="77">
        <f>F274*K274</f>
        <v>0</v>
      </c>
      <c r="M274" s="77">
        <f>H274+J274+L274</f>
        <v>0</v>
      </c>
    </row>
    <row r="275" spans="1:14" s="33" customFormat="1">
      <c r="A275" s="1448"/>
      <c r="B275" s="487"/>
      <c r="C275" s="160" t="s">
        <v>26</v>
      </c>
      <c r="D275" s="66" t="s">
        <v>11</v>
      </c>
      <c r="E275" s="216">
        <v>0.38</v>
      </c>
      <c r="F275" s="315">
        <f>F272*E275</f>
        <v>0.38</v>
      </c>
      <c r="G275" s="80"/>
      <c r="H275" s="77">
        <f>F275*G275</f>
        <v>0</v>
      </c>
      <c r="I275" s="77"/>
      <c r="J275" s="77"/>
      <c r="K275" s="77"/>
      <c r="L275" s="77"/>
      <c r="M275" s="77">
        <f>H275+J275+L275</f>
        <v>0</v>
      </c>
    </row>
    <row r="276" spans="1:14" s="33" customFormat="1">
      <c r="A276" s="1449"/>
      <c r="B276" s="487"/>
      <c r="C276" s="165" t="s">
        <v>1280</v>
      </c>
      <c r="D276" s="928" t="s">
        <v>2</v>
      </c>
      <c r="E276" s="56"/>
      <c r="F276" s="17">
        <f>F272</f>
        <v>1</v>
      </c>
      <c r="G276" s="261"/>
      <c r="H276" s="77">
        <f>F276*G276</f>
        <v>0</v>
      </c>
      <c r="I276" s="77"/>
      <c r="J276" s="77"/>
      <c r="K276" s="77"/>
      <c r="L276" s="77"/>
      <c r="M276" s="77">
        <f>H276+J276+L276</f>
        <v>0</v>
      </c>
    </row>
    <row r="277" spans="1:14" s="33" customFormat="1">
      <c r="A277" s="43"/>
      <c r="B277" s="487"/>
      <c r="C277" s="425"/>
      <c r="D277" s="928"/>
      <c r="E277" s="56"/>
      <c r="F277" s="17"/>
      <c r="G277" s="261"/>
      <c r="H277" s="77"/>
      <c r="I277" s="77"/>
      <c r="J277" s="77"/>
      <c r="K277" s="77"/>
      <c r="L277" s="77"/>
      <c r="M277" s="77"/>
    </row>
    <row r="278" spans="1:14">
      <c r="A278" s="101"/>
      <c r="B278" s="238"/>
      <c r="C278" s="104" t="s">
        <v>838</v>
      </c>
      <c r="D278" s="238" t="s">
        <v>11</v>
      </c>
      <c r="E278" s="421"/>
      <c r="F278" s="244"/>
      <c r="G278" s="99"/>
      <c r="H278" s="1044">
        <f>SUM(H133:H277)</f>
        <v>0</v>
      </c>
      <c r="I278" s="1044"/>
      <c r="J278" s="1044">
        <f>SUM(J133:J277)</f>
        <v>0</v>
      </c>
      <c r="K278" s="1044"/>
      <c r="L278" s="1044">
        <f>SUM(L133:L277)</f>
        <v>0</v>
      </c>
      <c r="M278" s="1044">
        <f>SUM(M133:M277)</f>
        <v>0</v>
      </c>
      <c r="N278" s="1026">
        <f>H278+J278+L278</f>
        <v>0</v>
      </c>
    </row>
    <row r="279" spans="1:14" ht="31.5">
      <c r="A279" s="413"/>
      <c r="B279" s="413"/>
      <c r="C279" s="414" t="s">
        <v>802</v>
      </c>
      <c r="D279" s="413"/>
      <c r="E279" s="415"/>
      <c r="F279" s="1383"/>
      <c r="G279" s="417"/>
      <c r="H279" s="417"/>
      <c r="I279" s="417"/>
      <c r="J279" s="417"/>
      <c r="K279" s="417"/>
      <c r="L279" s="417"/>
      <c r="M279" s="304">
        <f>H278*F279</f>
        <v>0</v>
      </c>
    </row>
    <row r="280" spans="1:14">
      <c r="A280" s="413"/>
      <c r="B280" s="413"/>
      <c r="C280" s="418" t="s">
        <v>54</v>
      </c>
      <c r="D280" s="413"/>
      <c r="E280" s="415"/>
      <c r="F280" s="94"/>
      <c r="G280" s="417"/>
      <c r="H280" s="417"/>
      <c r="I280" s="417"/>
      <c r="J280" s="419"/>
      <c r="K280" s="417"/>
      <c r="L280" s="417"/>
      <c r="M280" s="304">
        <f>M278+M279</f>
        <v>0</v>
      </c>
    </row>
    <row r="281" spans="1:14" ht="31.5">
      <c r="A281" s="942"/>
      <c r="B281" s="420"/>
      <c r="C281" s="945" t="s">
        <v>840</v>
      </c>
      <c r="D281" s="447"/>
      <c r="E281" s="280"/>
      <c r="F281" s="1383"/>
      <c r="G281" s="448"/>
      <c r="H281" s="448"/>
      <c r="I281" s="448"/>
      <c r="J281" s="448"/>
      <c r="K281" s="448"/>
      <c r="L281" s="448"/>
      <c r="M281" s="448">
        <f>J278*F281</f>
        <v>0</v>
      </c>
    </row>
    <row r="282" spans="1:14">
      <c r="A282" s="447"/>
      <c r="B282" s="921"/>
      <c r="C282" s="483" t="s">
        <v>54</v>
      </c>
      <c r="D282" s="921"/>
      <c r="E282" s="948"/>
      <c r="F282" s="58"/>
      <c r="G282" s="87"/>
      <c r="H282" s="1049"/>
      <c r="I282" s="1050"/>
      <c r="J282" s="1050"/>
      <c r="K282" s="1049"/>
      <c r="L282" s="1049"/>
      <c r="M282" s="87">
        <f>M280+M281</f>
        <v>0</v>
      </c>
    </row>
    <row r="283" spans="1:14" ht="31.5">
      <c r="A283" s="447"/>
      <c r="B283" s="447"/>
      <c r="C283" s="945" t="s">
        <v>1780</v>
      </c>
      <c r="D283" s="447"/>
      <c r="E283" s="280"/>
      <c r="F283" s="1383"/>
      <c r="G283" s="448"/>
      <c r="H283" s="448">
        <f>(H139+H162+H185+H208+H231+H254)</f>
        <v>0</v>
      </c>
      <c r="I283" s="448"/>
      <c r="J283" s="448"/>
      <c r="K283" s="448"/>
      <c r="L283" s="448"/>
      <c r="M283" s="448">
        <f>(M282-H283)*F283</f>
        <v>0</v>
      </c>
    </row>
    <row r="284" spans="1:14">
      <c r="A284" s="101"/>
      <c r="B284" s="484"/>
      <c r="C284" s="237" t="s">
        <v>834</v>
      </c>
      <c r="D284" s="484"/>
      <c r="E284" s="485"/>
      <c r="F284" s="264"/>
      <c r="G284" s="486"/>
      <c r="H284" s="1051"/>
      <c r="I284" s="1051"/>
      <c r="J284" s="1051"/>
      <c r="K284" s="1051"/>
      <c r="L284" s="1051"/>
      <c r="M284" s="386">
        <f>M282+M283</f>
        <v>0</v>
      </c>
    </row>
    <row r="285" spans="1:14">
      <c r="A285" s="47" t="s">
        <v>842</v>
      </c>
      <c r="B285" s="325"/>
      <c r="C285" s="32" t="s">
        <v>841</v>
      </c>
      <c r="D285" s="30"/>
      <c r="E285" s="31"/>
      <c r="F285" s="29"/>
      <c r="G285" s="261"/>
      <c r="H285" s="77"/>
      <c r="I285" s="77"/>
      <c r="J285" s="77"/>
      <c r="K285" s="77"/>
      <c r="L285" s="77"/>
      <c r="M285" s="77"/>
    </row>
    <row r="286" spans="1:14">
      <c r="A286" s="1418" t="s">
        <v>429</v>
      </c>
      <c r="B286" s="471" t="s">
        <v>141</v>
      </c>
      <c r="C286" s="287" t="s">
        <v>564</v>
      </c>
      <c r="D286" s="447" t="s">
        <v>76</v>
      </c>
      <c r="E286" s="948"/>
      <c r="F286" s="20">
        <f>F289</f>
        <v>2</v>
      </c>
      <c r="G286" s="80"/>
      <c r="H286" s="77"/>
      <c r="I286" s="77"/>
      <c r="J286" s="77"/>
      <c r="K286" s="77"/>
      <c r="L286" s="77"/>
      <c r="M286" s="77"/>
    </row>
    <row r="287" spans="1:14">
      <c r="A287" s="1419"/>
      <c r="B287" s="471"/>
      <c r="C287" s="148" t="s">
        <v>119</v>
      </c>
      <c r="D287" s="447" t="s">
        <v>120</v>
      </c>
      <c r="E287" s="948">
        <v>88.1</v>
      </c>
      <c r="F287" s="282">
        <f>E287*F286</f>
        <v>176.2</v>
      </c>
      <c r="G287" s="80"/>
      <c r="H287" s="77"/>
      <c r="I287" s="77"/>
      <c r="J287" s="77">
        <f>F287*I287</f>
        <v>0</v>
      </c>
      <c r="K287" s="77"/>
      <c r="L287" s="77"/>
      <c r="M287" s="77">
        <f t="shared" ref="M287:M292" si="14">H287+J287+L287</f>
        <v>0</v>
      </c>
    </row>
    <row r="288" spans="1:14">
      <c r="A288" s="1419"/>
      <c r="B288" s="471"/>
      <c r="C288" s="148" t="s">
        <v>134</v>
      </c>
      <c r="D288" s="447" t="s">
        <v>121</v>
      </c>
      <c r="E288" s="948">
        <v>14.7</v>
      </c>
      <c r="F288" s="282">
        <f>E288*F286</f>
        <v>29.4</v>
      </c>
      <c r="G288" s="80"/>
      <c r="H288" s="77"/>
      <c r="I288" s="77"/>
      <c r="J288" s="77"/>
      <c r="K288" s="77"/>
      <c r="L288" s="77">
        <f>F288*K288</f>
        <v>0</v>
      </c>
      <c r="M288" s="77">
        <f t="shared" si="14"/>
        <v>0</v>
      </c>
    </row>
    <row r="289" spans="1:13" ht="81">
      <c r="A289" s="1419"/>
      <c r="B289" s="471"/>
      <c r="C289" s="148" t="s">
        <v>1477</v>
      </c>
      <c r="D289" s="447" t="s">
        <v>76</v>
      </c>
      <c r="E289" s="948">
        <v>1</v>
      </c>
      <c r="F289" s="282">
        <v>2</v>
      </c>
      <c r="G289" s="80"/>
      <c r="H289" s="77">
        <f>F289*G289</f>
        <v>0</v>
      </c>
      <c r="I289" s="77"/>
      <c r="J289" s="77"/>
      <c r="K289" s="77"/>
      <c r="L289" s="77"/>
      <c r="M289" s="77">
        <f t="shared" si="14"/>
        <v>0</v>
      </c>
    </row>
    <row r="290" spans="1:13" ht="47.25">
      <c r="A290" s="1419"/>
      <c r="B290" s="471"/>
      <c r="C290" s="148" t="s">
        <v>565</v>
      </c>
      <c r="D290" s="447" t="s">
        <v>76</v>
      </c>
      <c r="E290" s="948">
        <v>1</v>
      </c>
      <c r="F290" s="282">
        <f>F289</f>
        <v>2</v>
      </c>
      <c r="G290" s="80"/>
      <c r="H290" s="77">
        <f>F290*G290</f>
        <v>0</v>
      </c>
      <c r="I290" s="77"/>
      <c r="J290" s="77"/>
      <c r="K290" s="77"/>
      <c r="L290" s="77"/>
      <c r="M290" s="77">
        <f t="shared" si="14"/>
        <v>0</v>
      </c>
    </row>
    <row r="291" spans="1:13">
      <c r="A291" s="1419"/>
      <c r="B291" s="471"/>
      <c r="C291" s="148" t="s">
        <v>563</v>
      </c>
      <c r="D291" s="447" t="s">
        <v>65</v>
      </c>
      <c r="E291" s="948">
        <v>1</v>
      </c>
      <c r="F291" s="282">
        <f>F286*E291</f>
        <v>2</v>
      </c>
      <c r="G291" s="80"/>
      <c r="H291" s="77">
        <f>F291*G291</f>
        <v>0</v>
      </c>
      <c r="I291" s="77"/>
      <c r="J291" s="77"/>
      <c r="K291" s="77"/>
      <c r="L291" s="77"/>
      <c r="M291" s="77">
        <f t="shared" si="14"/>
        <v>0</v>
      </c>
    </row>
    <row r="292" spans="1:13">
      <c r="A292" s="1420"/>
      <c r="B292" s="471"/>
      <c r="C292" s="165" t="s">
        <v>26</v>
      </c>
      <c r="D292" s="928" t="s">
        <v>11</v>
      </c>
      <c r="E292" s="26">
        <v>7.92</v>
      </c>
      <c r="F292" s="282">
        <f>F286*E292</f>
        <v>15.84</v>
      </c>
      <c r="G292" s="80"/>
      <c r="H292" s="77">
        <f>F292*G292</f>
        <v>0</v>
      </c>
      <c r="I292" s="77"/>
      <c r="J292" s="77"/>
      <c r="K292" s="77"/>
      <c r="L292" s="77"/>
      <c r="M292" s="77">
        <f t="shared" si="14"/>
        <v>0</v>
      </c>
    </row>
    <row r="293" spans="1:13">
      <c r="A293" s="1514" t="s">
        <v>83</v>
      </c>
      <c r="B293" s="466" t="s">
        <v>580</v>
      </c>
      <c r="C293" s="152" t="s">
        <v>578</v>
      </c>
      <c r="D293" s="942" t="s">
        <v>2</v>
      </c>
      <c r="E293" s="26"/>
      <c r="F293" s="20">
        <f>F296</f>
        <v>2</v>
      </c>
      <c r="G293" s="261"/>
      <c r="H293" s="77"/>
      <c r="I293" s="77"/>
      <c r="J293" s="77"/>
      <c r="K293" s="77"/>
      <c r="L293" s="77"/>
      <c r="M293" s="77"/>
    </row>
    <row r="294" spans="1:13">
      <c r="A294" s="1515"/>
      <c r="B294" s="471"/>
      <c r="C294" s="459" t="s">
        <v>119</v>
      </c>
      <c r="D294" s="250" t="s">
        <v>120</v>
      </c>
      <c r="E294" s="1036">
        <v>3.8</v>
      </c>
      <c r="F294" s="316">
        <f>F293*E294</f>
        <v>7.6</v>
      </c>
      <c r="G294" s="313"/>
      <c r="H294" s="77"/>
      <c r="I294" s="77"/>
      <c r="J294" s="77">
        <f>F294*I294</f>
        <v>0</v>
      </c>
      <c r="K294" s="77"/>
      <c r="L294" s="77"/>
      <c r="M294" s="77">
        <f>H294+J294+L294</f>
        <v>0</v>
      </c>
    </row>
    <row r="295" spans="1:13">
      <c r="A295" s="1515"/>
      <c r="B295" s="471"/>
      <c r="C295" s="148" t="s">
        <v>125</v>
      </c>
      <c r="D295" s="447" t="s">
        <v>121</v>
      </c>
      <c r="E295" s="1036">
        <v>0.22</v>
      </c>
      <c r="F295" s="316">
        <f>F293*E295</f>
        <v>0.44</v>
      </c>
      <c r="G295" s="313"/>
      <c r="H295" s="77"/>
      <c r="I295" s="77"/>
      <c r="J295" s="77"/>
      <c r="K295" s="77"/>
      <c r="L295" s="77">
        <f>F295*K295</f>
        <v>0</v>
      </c>
      <c r="M295" s="77">
        <f>H295+J295+L295</f>
        <v>0</v>
      </c>
    </row>
    <row r="296" spans="1:13" ht="31.5">
      <c r="A296" s="1515"/>
      <c r="B296" s="1033"/>
      <c r="C296" s="153" t="s">
        <v>579</v>
      </c>
      <c r="D296" s="942" t="s">
        <v>2</v>
      </c>
      <c r="E296" s="26">
        <v>1</v>
      </c>
      <c r="F296" s="282">
        <v>2</v>
      </c>
      <c r="G296" s="261"/>
      <c r="H296" s="77">
        <f>F296*G296</f>
        <v>0</v>
      </c>
      <c r="I296" s="77"/>
      <c r="J296" s="77"/>
      <c r="K296" s="77"/>
      <c r="L296" s="77"/>
      <c r="M296" s="77">
        <f>H296+J296+L296</f>
        <v>0</v>
      </c>
    </row>
    <row r="297" spans="1:13">
      <c r="A297" s="1516"/>
      <c r="B297" s="471"/>
      <c r="C297" s="148" t="s">
        <v>122</v>
      </c>
      <c r="D297" s="447" t="s">
        <v>121</v>
      </c>
      <c r="E297" s="1036">
        <v>0.22</v>
      </c>
      <c r="F297" s="316">
        <f>F293*E297</f>
        <v>0.44</v>
      </c>
      <c r="G297" s="313"/>
      <c r="H297" s="77">
        <f>F297*G297</f>
        <v>0</v>
      </c>
      <c r="I297" s="77"/>
      <c r="J297" s="77"/>
      <c r="K297" s="77"/>
      <c r="L297" s="77"/>
      <c r="M297" s="77">
        <f>H297+J297+L297</f>
        <v>0</v>
      </c>
    </row>
    <row r="298" spans="1:13" ht="31.5">
      <c r="A298" s="1415">
        <v>9</v>
      </c>
      <c r="B298" s="469" t="s">
        <v>728</v>
      </c>
      <c r="C298" s="275" t="s">
        <v>595</v>
      </c>
      <c r="D298" s="1027" t="s">
        <v>428</v>
      </c>
      <c r="E298" s="1030"/>
      <c r="F298" s="1052">
        <f>F301</f>
        <v>1</v>
      </c>
      <c r="G298" s="261"/>
      <c r="H298" s="77"/>
      <c r="I298" s="77"/>
      <c r="J298" s="77"/>
      <c r="K298" s="77"/>
      <c r="L298" s="77"/>
      <c r="M298" s="77"/>
    </row>
    <row r="299" spans="1:13">
      <c r="A299" s="1416"/>
      <c r="B299" s="469"/>
      <c r="C299" s="160" t="s">
        <v>13</v>
      </c>
      <c r="D299" s="66" t="s">
        <v>15</v>
      </c>
      <c r="E299" s="216">
        <v>13.7</v>
      </c>
      <c r="F299" s="205">
        <f>E299*F298</f>
        <v>13.7</v>
      </c>
      <c r="G299" s="261"/>
      <c r="H299" s="77"/>
      <c r="I299" s="77"/>
      <c r="J299" s="77">
        <f>F299*I299</f>
        <v>0</v>
      </c>
      <c r="K299" s="77"/>
      <c r="L299" s="77"/>
      <c r="M299" s="77">
        <f>H299+J299+L299</f>
        <v>0</v>
      </c>
    </row>
    <row r="300" spans="1:13">
      <c r="A300" s="1416"/>
      <c r="B300" s="469"/>
      <c r="C300" s="160" t="s">
        <v>14</v>
      </c>
      <c r="D300" s="66" t="s">
        <v>11</v>
      </c>
      <c r="E300" s="216">
        <v>1.3</v>
      </c>
      <c r="F300" s="205">
        <f>E300*F298</f>
        <v>1.3</v>
      </c>
      <c r="G300" s="261"/>
      <c r="H300" s="77"/>
      <c r="I300" s="77"/>
      <c r="J300" s="77"/>
      <c r="K300" s="77"/>
      <c r="L300" s="77">
        <f>F300*K300</f>
        <v>0</v>
      </c>
      <c r="M300" s="77">
        <f>H300+J300+L300</f>
        <v>0</v>
      </c>
    </row>
    <row r="301" spans="1:13" ht="47.25">
      <c r="A301" s="1416"/>
      <c r="B301" s="469"/>
      <c r="C301" s="160" t="s">
        <v>1781</v>
      </c>
      <c r="D301" s="46" t="s">
        <v>90</v>
      </c>
      <c r="E301" s="891"/>
      <c r="F301" s="282">
        <v>1</v>
      </c>
      <c r="G301" s="261"/>
      <c r="H301" s="77">
        <f>F301*G301</f>
        <v>0</v>
      </c>
      <c r="I301" s="77"/>
      <c r="J301" s="77"/>
      <c r="K301" s="77"/>
      <c r="L301" s="77"/>
      <c r="M301" s="77">
        <f>H301+J301+L301</f>
        <v>0</v>
      </c>
    </row>
    <row r="302" spans="1:13">
      <c r="A302" s="1417"/>
      <c r="B302" s="469"/>
      <c r="C302" s="160" t="s">
        <v>26</v>
      </c>
      <c r="D302" s="66" t="s">
        <v>11</v>
      </c>
      <c r="E302" s="61">
        <v>3.24</v>
      </c>
      <c r="F302" s="205">
        <f>E302*F298</f>
        <v>3.24</v>
      </c>
      <c r="G302" s="261"/>
      <c r="H302" s="77">
        <f>F302*G302</f>
        <v>0</v>
      </c>
      <c r="I302" s="77"/>
      <c r="J302" s="77"/>
      <c r="K302" s="77"/>
      <c r="L302" s="77"/>
      <c r="M302" s="77">
        <f>H302+J302+L302</f>
        <v>0</v>
      </c>
    </row>
    <row r="303" spans="1:13">
      <c r="A303" s="1518">
        <v>6</v>
      </c>
      <c r="B303" s="471" t="s">
        <v>366</v>
      </c>
      <c r="C303" s="287" t="s">
        <v>592</v>
      </c>
      <c r="D303" s="447" t="s">
        <v>2</v>
      </c>
      <c r="E303" s="948"/>
      <c r="F303" s="299">
        <f>F306+F307</f>
        <v>2</v>
      </c>
      <c r="G303" s="80"/>
      <c r="H303" s="77"/>
      <c r="I303" s="77"/>
      <c r="J303" s="77"/>
      <c r="K303" s="77"/>
      <c r="L303" s="77"/>
      <c r="M303" s="77"/>
    </row>
    <row r="304" spans="1:13">
      <c r="A304" s="1519"/>
      <c r="B304" s="471"/>
      <c r="C304" s="160" t="s">
        <v>13</v>
      </c>
      <c r="D304" s="46" t="s">
        <v>15</v>
      </c>
      <c r="E304" s="216">
        <v>25.9</v>
      </c>
      <c r="F304" s="205">
        <f>E304*F303</f>
        <v>51.8</v>
      </c>
      <c r="G304" s="80"/>
      <c r="H304" s="77"/>
      <c r="I304" s="77"/>
      <c r="J304" s="77">
        <f>F304*I304</f>
        <v>0</v>
      </c>
      <c r="K304" s="77"/>
      <c r="L304" s="77"/>
      <c r="M304" s="77">
        <f>H304+J304+L304</f>
        <v>0</v>
      </c>
    </row>
    <row r="305" spans="1:14">
      <c r="A305" s="1519"/>
      <c r="B305" s="471"/>
      <c r="C305" s="148" t="s">
        <v>14</v>
      </c>
      <c r="D305" s="447" t="s">
        <v>11</v>
      </c>
      <c r="E305" s="948">
        <v>1.66</v>
      </c>
      <c r="F305" s="282">
        <f>F303*E305</f>
        <v>3.32</v>
      </c>
      <c r="G305" s="80"/>
      <c r="H305" s="77"/>
      <c r="I305" s="77"/>
      <c r="J305" s="77"/>
      <c r="K305" s="77"/>
      <c r="L305" s="77">
        <f>F305*K305</f>
        <v>0</v>
      </c>
      <c r="M305" s="77">
        <f>H305+J305+L305</f>
        <v>0</v>
      </c>
    </row>
    <row r="306" spans="1:14" ht="31.5">
      <c r="A306" s="1519"/>
      <c r="B306" s="471"/>
      <c r="C306" s="160" t="s">
        <v>1240</v>
      </c>
      <c r="D306" s="447" t="s">
        <v>2</v>
      </c>
      <c r="E306" s="948"/>
      <c r="F306" s="282">
        <v>1</v>
      </c>
      <c r="G306" s="80"/>
      <c r="H306" s="77">
        <f>F306*G306</f>
        <v>0</v>
      </c>
      <c r="I306" s="77"/>
      <c r="J306" s="77"/>
      <c r="K306" s="77"/>
      <c r="L306" s="77"/>
      <c r="M306" s="77">
        <f>H306+J306+L306</f>
        <v>0</v>
      </c>
    </row>
    <row r="307" spans="1:14" ht="31.5">
      <c r="A307" s="1519"/>
      <c r="B307" s="471"/>
      <c r="C307" s="160" t="s">
        <v>1241</v>
      </c>
      <c r="D307" s="447" t="s">
        <v>2</v>
      </c>
      <c r="E307" s="948"/>
      <c r="F307" s="282">
        <v>1</v>
      </c>
      <c r="G307" s="80"/>
      <c r="H307" s="77">
        <f>F307*G307</f>
        <v>0</v>
      </c>
      <c r="I307" s="77"/>
      <c r="J307" s="77"/>
      <c r="K307" s="77"/>
      <c r="L307" s="77"/>
      <c r="M307" s="77">
        <f>H307+J307+L307</f>
        <v>0</v>
      </c>
    </row>
    <row r="308" spans="1:14">
      <c r="A308" s="1520"/>
      <c r="B308" s="471"/>
      <c r="C308" s="148" t="s">
        <v>26</v>
      </c>
      <c r="D308" s="447" t="s">
        <v>11</v>
      </c>
      <c r="E308" s="948">
        <v>2.99</v>
      </c>
      <c r="F308" s="282">
        <f>F303*E308</f>
        <v>5.98</v>
      </c>
      <c r="G308" s="80"/>
      <c r="H308" s="77">
        <f>F308*G308</f>
        <v>0</v>
      </c>
      <c r="I308" s="77"/>
      <c r="J308" s="77"/>
      <c r="K308" s="77"/>
      <c r="L308" s="77"/>
      <c r="M308" s="77">
        <f>H308+J308+L308</f>
        <v>0</v>
      </c>
    </row>
    <row r="309" spans="1:14">
      <c r="A309" s="919"/>
      <c r="B309" s="471"/>
      <c r="C309" s="165"/>
      <c r="D309" s="928"/>
      <c r="E309" s="26"/>
      <c r="F309" s="282"/>
      <c r="G309" s="341"/>
      <c r="H309" s="77"/>
      <c r="I309" s="77"/>
      <c r="J309" s="77"/>
      <c r="K309" s="77"/>
      <c r="L309" s="77"/>
      <c r="M309" s="77"/>
    </row>
    <row r="310" spans="1:14">
      <c r="A310" s="101"/>
      <c r="B310" s="238"/>
      <c r="C310" s="104" t="s">
        <v>843</v>
      </c>
      <c r="D310" s="238" t="s">
        <v>11</v>
      </c>
      <c r="E310" s="421"/>
      <c r="F310" s="244"/>
      <c r="G310" s="99"/>
      <c r="H310" s="1044">
        <f>SUM(H285:H309)</f>
        <v>0</v>
      </c>
      <c r="I310" s="1044"/>
      <c r="J310" s="1044">
        <f>SUM(J285:J309)</f>
        <v>0</v>
      </c>
      <c r="K310" s="1044"/>
      <c r="L310" s="1044">
        <f>SUM(L285:L309)</f>
        <v>0</v>
      </c>
      <c r="M310" s="1044">
        <f>SUM(M285:M309)</f>
        <v>0</v>
      </c>
      <c r="N310" s="1026">
        <f>H310+J310+L310</f>
        <v>0</v>
      </c>
    </row>
    <row r="311" spans="1:14" ht="31.5">
      <c r="A311" s="413"/>
      <c r="B311" s="413"/>
      <c r="C311" s="414" t="s">
        <v>802</v>
      </c>
      <c r="D311" s="413"/>
      <c r="E311" s="415"/>
      <c r="F311" s="1383"/>
      <c r="G311" s="417"/>
      <c r="H311" s="417"/>
      <c r="I311" s="417"/>
      <c r="J311" s="417"/>
      <c r="K311" s="417"/>
      <c r="L311" s="417"/>
      <c r="M311" s="304">
        <f>H310*F311</f>
        <v>0</v>
      </c>
    </row>
    <row r="312" spans="1:14">
      <c r="A312" s="413"/>
      <c r="B312" s="413"/>
      <c r="C312" s="418" t="s">
        <v>54</v>
      </c>
      <c r="D312" s="413"/>
      <c r="E312" s="415"/>
      <c r="F312" s="94"/>
      <c r="G312" s="417"/>
      <c r="H312" s="417"/>
      <c r="I312" s="417"/>
      <c r="J312" s="419"/>
      <c r="K312" s="417"/>
      <c r="L312" s="417"/>
      <c r="M312" s="304">
        <f>M310+M311</f>
        <v>0</v>
      </c>
    </row>
    <row r="313" spans="1:14" ht="31.5">
      <c r="A313" s="942"/>
      <c r="B313" s="420"/>
      <c r="C313" s="945" t="s">
        <v>1775</v>
      </c>
      <c r="D313" s="447"/>
      <c r="E313" s="280"/>
      <c r="F313" s="1383"/>
      <c r="G313" s="448"/>
      <c r="H313" s="448"/>
      <c r="I313" s="448"/>
      <c r="J313" s="448"/>
      <c r="K313" s="448"/>
      <c r="L313" s="448"/>
      <c r="M313" s="448">
        <f>J310*F313</f>
        <v>0</v>
      </c>
    </row>
    <row r="314" spans="1:14">
      <c r="A314" s="447"/>
      <c r="B314" s="921"/>
      <c r="C314" s="483" t="s">
        <v>54</v>
      </c>
      <c r="D314" s="921"/>
      <c r="E314" s="948"/>
      <c r="F314" s="58"/>
      <c r="G314" s="87"/>
      <c r="H314" s="1049"/>
      <c r="I314" s="1050"/>
      <c r="J314" s="1050"/>
      <c r="K314" s="1049"/>
      <c r="L314" s="1049"/>
      <c r="M314" s="87">
        <f>M312+M313</f>
        <v>0</v>
      </c>
    </row>
    <row r="315" spans="1:14" ht="31.5">
      <c r="A315" s="447"/>
      <c r="B315" s="447"/>
      <c r="C315" s="964" t="s">
        <v>1780</v>
      </c>
      <c r="D315" s="447"/>
      <c r="E315" s="280"/>
      <c r="F315" s="1383"/>
      <c r="G315" s="448"/>
      <c r="H315" s="448">
        <f>(H289+H290+H291+H301+H306+H307)</f>
        <v>0</v>
      </c>
      <c r="I315" s="448"/>
      <c r="J315" s="448"/>
      <c r="K315" s="448"/>
      <c r="L315" s="448"/>
      <c r="M315" s="448">
        <f>(M314-H315)*F315</f>
        <v>0</v>
      </c>
    </row>
    <row r="316" spans="1:14">
      <c r="A316" s="101"/>
      <c r="B316" s="484"/>
      <c r="C316" s="237" t="s">
        <v>844</v>
      </c>
      <c r="D316" s="484"/>
      <c r="E316" s="485"/>
      <c r="F316" s="264"/>
      <c r="G316" s="486"/>
      <c r="H316" s="1051"/>
      <c r="I316" s="1051"/>
      <c r="J316" s="1051"/>
      <c r="K316" s="1051"/>
      <c r="L316" s="1051"/>
      <c r="M316" s="386">
        <f>M314+M315</f>
        <v>0</v>
      </c>
    </row>
    <row r="317" spans="1:14">
      <c r="A317" s="47" t="s">
        <v>845</v>
      </c>
      <c r="B317" s="325"/>
      <c r="C317" s="32" t="s">
        <v>846</v>
      </c>
      <c r="D317" s="30"/>
      <c r="E317" s="31"/>
      <c r="F317" s="29"/>
      <c r="G317" s="341"/>
      <c r="H317" s="77"/>
      <c r="I317" s="77"/>
      <c r="J317" s="77"/>
      <c r="K317" s="77"/>
      <c r="L317" s="77"/>
      <c r="M317" s="77"/>
    </row>
    <row r="318" spans="1:14">
      <c r="A318" s="1415">
        <v>4</v>
      </c>
      <c r="B318" s="469" t="s">
        <v>581</v>
      </c>
      <c r="C318" s="275" t="s">
        <v>582</v>
      </c>
      <c r="D318" s="40" t="s">
        <v>428</v>
      </c>
      <c r="E318" s="1031"/>
      <c r="F318" s="1052">
        <v>1</v>
      </c>
      <c r="G318" s="261"/>
      <c r="H318" s="77"/>
      <c r="I318" s="77"/>
      <c r="J318" s="77"/>
      <c r="K318" s="77"/>
      <c r="L318" s="77"/>
      <c r="M318" s="77"/>
    </row>
    <row r="319" spans="1:14">
      <c r="A319" s="1416"/>
      <c r="B319" s="469"/>
      <c r="C319" s="160" t="s">
        <v>13</v>
      </c>
      <c r="D319" s="66" t="s">
        <v>15</v>
      </c>
      <c r="E319" s="216">
        <v>4.0999999999999996</v>
      </c>
      <c r="F319" s="205">
        <f>E319*F318</f>
        <v>4.0999999999999996</v>
      </c>
      <c r="G319" s="261"/>
      <c r="H319" s="77"/>
      <c r="I319" s="77"/>
      <c r="J319" s="77">
        <f>F319*I319</f>
        <v>0</v>
      </c>
      <c r="K319" s="77"/>
      <c r="L319" s="77"/>
      <c r="M319" s="77">
        <f>H319+J319+L319</f>
        <v>0</v>
      </c>
    </row>
    <row r="320" spans="1:14">
      <c r="A320" s="1416"/>
      <c r="B320" s="469"/>
      <c r="C320" s="160" t="s">
        <v>14</v>
      </c>
      <c r="D320" s="66" t="s">
        <v>11</v>
      </c>
      <c r="E320" s="216">
        <v>0.03</v>
      </c>
      <c r="F320" s="205">
        <f>E320*F318</f>
        <v>0.03</v>
      </c>
      <c r="G320" s="261"/>
      <c r="H320" s="77"/>
      <c r="I320" s="77"/>
      <c r="J320" s="77"/>
      <c r="K320" s="77"/>
      <c r="L320" s="77">
        <f>F320*K320</f>
        <v>0</v>
      </c>
      <c r="M320" s="77">
        <f>H320+J320+L320</f>
        <v>0</v>
      </c>
    </row>
    <row r="321" spans="1:13">
      <c r="A321" s="1416"/>
      <c r="B321" s="469"/>
      <c r="C321" s="160" t="s">
        <v>583</v>
      </c>
      <c r="D321" s="46" t="s">
        <v>428</v>
      </c>
      <c r="E321" s="891">
        <v>1</v>
      </c>
      <c r="F321" s="282">
        <f>E321*F318</f>
        <v>1</v>
      </c>
      <c r="G321" s="261"/>
      <c r="H321" s="77">
        <f>F321*G321</f>
        <v>0</v>
      </c>
      <c r="I321" s="77"/>
      <c r="J321" s="77"/>
      <c r="K321" s="77"/>
      <c r="L321" s="77"/>
      <c r="M321" s="77">
        <f>H321+J321+L321</f>
        <v>0</v>
      </c>
    </row>
    <row r="322" spans="1:13">
      <c r="A322" s="1417"/>
      <c r="B322" s="469"/>
      <c r="C322" s="160" t="s">
        <v>26</v>
      </c>
      <c r="D322" s="66" t="s">
        <v>11</v>
      </c>
      <c r="E322" s="216">
        <v>0.08</v>
      </c>
      <c r="F322" s="205">
        <f>E322*F318</f>
        <v>0.08</v>
      </c>
      <c r="G322" s="261"/>
      <c r="H322" s="77">
        <f>F322*G322</f>
        <v>0</v>
      </c>
      <c r="I322" s="77"/>
      <c r="J322" s="77"/>
      <c r="K322" s="77"/>
      <c r="L322" s="77"/>
      <c r="M322" s="77">
        <f>H322+J322+L322</f>
        <v>0</v>
      </c>
    </row>
    <row r="323" spans="1:13">
      <c r="A323" s="1415">
        <v>5</v>
      </c>
      <c r="B323" s="469" t="s">
        <v>584</v>
      </c>
      <c r="C323" s="275" t="s">
        <v>585</v>
      </c>
      <c r="D323" s="1028" t="s">
        <v>2</v>
      </c>
      <c r="E323" s="1032"/>
      <c r="F323" s="299">
        <f>F326+F327+F328+F329+F330+F331+F332</f>
        <v>22</v>
      </c>
      <c r="G323" s="261"/>
      <c r="H323" s="77"/>
      <c r="I323" s="77"/>
      <c r="J323" s="77"/>
      <c r="K323" s="77"/>
      <c r="L323" s="77"/>
      <c r="M323" s="77"/>
    </row>
    <row r="324" spans="1:13">
      <c r="A324" s="1416"/>
      <c r="B324" s="469"/>
      <c r="C324" s="160" t="s">
        <v>13</v>
      </c>
      <c r="D324" s="66" t="s">
        <v>15</v>
      </c>
      <c r="E324" s="216">
        <v>1.51</v>
      </c>
      <c r="F324" s="205">
        <f>E324*F323</f>
        <v>33.22</v>
      </c>
      <c r="G324" s="261"/>
      <c r="H324" s="77"/>
      <c r="I324" s="77"/>
      <c r="J324" s="77">
        <f>F324*I324</f>
        <v>0</v>
      </c>
      <c r="K324" s="77"/>
      <c r="L324" s="77"/>
      <c r="M324" s="77">
        <f t="shared" ref="M324:M333" si="15">H324+J324+L324</f>
        <v>0</v>
      </c>
    </row>
    <row r="325" spans="1:13">
      <c r="A325" s="1416"/>
      <c r="B325" s="469"/>
      <c r="C325" s="160" t="s">
        <v>14</v>
      </c>
      <c r="D325" s="66" t="s">
        <v>11</v>
      </c>
      <c r="E325" s="216">
        <v>0.13</v>
      </c>
      <c r="F325" s="205">
        <f>E325*F323</f>
        <v>2.8600000000000003</v>
      </c>
      <c r="G325" s="261"/>
      <c r="H325" s="77"/>
      <c r="I325" s="77"/>
      <c r="J325" s="77"/>
      <c r="K325" s="77"/>
      <c r="L325" s="77">
        <f>F325*K325</f>
        <v>0</v>
      </c>
      <c r="M325" s="77">
        <f t="shared" si="15"/>
        <v>0</v>
      </c>
    </row>
    <row r="326" spans="1:13">
      <c r="A326" s="1416"/>
      <c r="B326" s="469"/>
      <c r="C326" s="160" t="s">
        <v>727</v>
      </c>
      <c r="D326" s="46" t="s">
        <v>2</v>
      </c>
      <c r="E326" s="891"/>
      <c r="F326" s="282">
        <v>2</v>
      </c>
      <c r="G326" s="261"/>
      <c r="H326" s="77">
        <f t="shared" ref="H326:H333" si="16">F326*G326</f>
        <v>0</v>
      </c>
      <c r="I326" s="77"/>
      <c r="J326" s="77"/>
      <c r="K326" s="77"/>
      <c r="L326" s="77"/>
      <c r="M326" s="77">
        <f t="shared" si="15"/>
        <v>0</v>
      </c>
    </row>
    <row r="327" spans="1:13">
      <c r="A327" s="1416"/>
      <c r="B327" s="469"/>
      <c r="C327" s="160" t="s">
        <v>586</v>
      </c>
      <c r="D327" s="46" t="s">
        <v>2</v>
      </c>
      <c r="E327" s="891"/>
      <c r="F327" s="282">
        <v>1</v>
      </c>
      <c r="G327" s="261"/>
      <c r="H327" s="77">
        <f t="shared" si="16"/>
        <v>0</v>
      </c>
      <c r="I327" s="77"/>
      <c r="J327" s="77"/>
      <c r="K327" s="77"/>
      <c r="L327" s="77"/>
      <c r="M327" s="77">
        <f t="shared" si="15"/>
        <v>0</v>
      </c>
    </row>
    <row r="328" spans="1:13">
      <c r="A328" s="1416"/>
      <c r="B328" s="469"/>
      <c r="C328" s="160" t="s">
        <v>587</v>
      </c>
      <c r="D328" s="46" t="s">
        <v>2</v>
      </c>
      <c r="E328" s="891"/>
      <c r="F328" s="282">
        <v>4</v>
      </c>
      <c r="G328" s="261"/>
      <c r="H328" s="77">
        <f t="shared" si="16"/>
        <v>0</v>
      </c>
      <c r="I328" s="77"/>
      <c r="J328" s="77"/>
      <c r="K328" s="77"/>
      <c r="L328" s="77"/>
      <c r="M328" s="77">
        <f t="shared" si="15"/>
        <v>0</v>
      </c>
    </row>
    <row r="329" spans="1:13">
      <c r="A329" s="1416"/>
      <c r="B329" s="469"/>
      <c r="C329" s="160" t="s">
        <v>588</v>
      </c>
      <c r="D329" s="46" t="s">
        <v>2</v>
      </c>
      <c r="E329" s="891" t="s">
        <v>788</v>
      </c>
      <c r="F329" s="282">
        <f>2+2</f>
        <v>4</v>
      </c>
      <c r="G329" s="261"/>
      <c r="H329" s="77">
        <f t="shared" si="16"/>
        <v>0</v>
      </c>
      <c r="I329" s="77"/>
      <c r="J329" s="77"/>
      <c r="K329" s="77"/>
      <c r="L329" s="77"/>
      <c r="M329" s="77">
        <f t="shared" si="15"/>
        <v>0</v>
      </c>
    </row>
    <row r="330" spans="1:13">
      <c r="A330" s="1416"/>
      <c r="B330" s="469"/>
      <c r="C330" s="160" t="s">
        <v>589</v>
      </c>
      <c r="D330" s="46" t="s">
        <v>2</v>
      </c>
      <c r="E330" s="891"/>
      <c r="F330" s="282">
        <v>1</v>
      </c>
      <c r="G330" s="261"/>
      <c r="H330" s="77">
        <f t="shared" si="16"/>
        <v>0</v>
      </c>
      <c r="I330" s="77"/>
      <c r="J330" s="77"/>
      <c r="K330" s="77"/>
      <c r="L330" s="77"/>
      <c r="M330" s="77">
        <f t="shared" si="15"/>
        <v>0</v>
      </c>
    </row>
    <row r="331" spans="1:13">
      <c r="A331" s="1416"/>
      <c r="B331" s="469"/>
      <c r="C331" s="160" t="s">
        <v>590</v>
      </c>
      <c r="D331" s="46" t="s">
        <v>2</v>
      </c>
      <c r="E331" s="891"/>
      <c r="F331" s="282">
        <v>8</v>
      </c>
      <c r="G331" s="261"/>
      <c r="H331" s="77">
        <f t="shared" si="16"/>
        <v>0</v>
      </c>
      <c r="I331" s="77"/>
      <c r="J331" s="77"/>
      <c r="K331" s="77"/>
      <c r="L331" s="77"/>
      <c r="M331" s="77">
        <f t="shared" si="15"/>
        <v>0</v>
      </c>
    </row>
    <row r="332" spans="1:13">
      <c r="A332" s="1416"/>
      <c r="B332" s="469"/>
      <c r="C332" s="160" t="s">
        <v>591</v>
      </c>
      <c r="D332" s="46" t="s">
        <v>2</v>
      </c>
      <c r="E332" s="891"/>
      <c r="F332" s="282">
        <v>2</v>
      </c>
      <c r="G332" s="261"/>
      <c r="H332" s="77">
        <f t="shared" si="16"/>
        <v>0</v>
      </c>
      <c r="I332" s="77"/>
      <c r="J332" s="77"/>
      <c r="K332" s="77"/>
      <c r="L332" s="77"/>
      <c r="M332" s="77">
        <f t="shared" si="15"/>
        <v>0</v>
      </c>
    </row>
    <row r="333" spans="1:13">
      <c r="A333" s="1417"/>
      <c r="B333" s="469"/>
      <c r="C333" s="160" t="s">
        <v>26</v>
      </c>
      <c r="D333" s="66" t="s">
        <v>11</v>
      </c>
      <c r="E333" s="216">
        <v>7.0000000000000007E-2</v>
      </c>
      <c r="F333" s="205">
        <f>E333*F323</f>
        <v>1.54</v>
      </c>
      <c r="G333" s="261"/>
      <c r="H333" s="77">
        <f t="shared" si="16"/>
        <v>0</v>
      </c>
      <c r="I333" s="77"/>
      <c r="J333" s="77"/>
      <c r="K333" s="77"/>
      <c r="L333" s="77"/>
      <c r="M333" s="77">
        <f t="shared" si="15"/>
        <v>0</v>
      </c>
    </row>
    <row r="334" spans="1:13">
      <c r="A334" s="1415">
        <f>A303+1</f>
        <v>7</v>
      </c>
      <c r="B334" s="469" t="s">
        <v>593</v>
      </c>
      <c r="C334" s="275" t="s">
        <v>594</v>
      </c>
      <c r="D334" s="40" t="s">
        <v>2</v>
      </c>
      <c r="E334" s="1031"/>
      <c r="F334" s="1052">
        <v>2</v>
      </c>
      <c r="G334" s="261"/>
      <c r="H334" s="77"/>
      <c r="I334" s="77"/>
      <c r="J334" s="77"/>
      <c r="K334" s="77"/>
      <c r="L334" s="77"/>
      <c r="M334" s="77"/>
    </row>
    <row r="335" spans="1:13">
      <c r="A335" s="1416"/>
      <c r="B335" s="469"/>
      <c r="C335" s="160" t="s">
        <v>13</v>
      </c>
      <c r="D335" s="66" t="s">
        <v>15</v>
      </c>
      <c r="E335" s="216">
        <v>0.31</v>
      </c>
      <c r="F335" s="205">
        <f>E335*F334</f>
        <v>0.62</v>
      </c>
      <c r="G335" s="261"/>
      <c r="H335" s="77"/>
      <c r="I335" s="77"/>
      <c r="J335" s="77">
        <f>F335*I335</f>
        <v>0</v>
      </c>
      <c r="K335" s="77"/>
      <c r="L335" s="77"/>
      <c r="M335" s="77">
        <f>H335+J335+L335</f>
        <v>0</v>
      </c>
    </row>
    <row r="336" spans="1:13">
      <c r="A336" s="1416"/>
      <c r="B336" s="469"/>
      <c r="C336" s="160" t="s">
        <v>1242</v>
      </c>
      <c r="D336" s="46" t="s">
        <v>90</v>
      </c>
      <c r="E336" s="891">
        <v>1</v>
      </c>
      <c r="F336" s="282">
        <f>F334*E336</f>
        <v>2</v>
      </c>
      <c r="G336" s="261"/>
      <c r="H336" s="77">
        <f>F336*G336</f>
        <v>0</v>
      </c>
      <c r="I336" s="77"/>
      <c r="J336" s="77"/>
      <c r="K336" s="77"/>
      <c r="L336" s="77"/>
      <c r="M336" s="77">
        <f>H336+J336+L336</f>
        <v>0</v>
      </c>
    </row>
    <row r="337" spans="1:13">
      <c r="A337" s="1417"/>
      <c r="B337" s="469"/>
      <c r="C337" s="160" t="s">
        <v>26</v>
      </c>
      <c r="D337" s="66" t="s">
        <v>11</v>
      </c>
      <c r="E337" s="216">
        <v>0.04</v>
      </c>
      <c r="F337" s="205">
        <f>E337*F334</f>
        <v>0.08</v>
      </c>
      <c r="G337" s="261"/>
      <c r="H337" s="77">
        <f>F337*G337</f>
        <v>0</v>
      </c>
      <c r="I337" s="77"/>
      <c r="J337" s="77"/>
      <c r="K337" s="77"/>
      <c r="L337" s="77"/>
      <c r="M337" s="77">
        <f>H337+J337+L337</f>
        <v>0</v>
      </c>
    </row>
    <row r="338" spans="1:13">
      <c r="A338" s="1415">
        <f>A334+1</f>
        <v>8</v>
      </c>
      <c r="B338" s="469" t="s">
        <v>363</v>
      </c>
      <c r="C338" s="275" t="s">
        <v>364</v>
      </c>
      <c r="D338" s="40" t="s">
        <v>2</v>
      </c>
      <c r="E338" s="1031"/>
      <c r="F338" s="1052">
        <v>2</v>
      </c>
      <c r="G338" s="261"/>
      <c r="H338" s="77"/>
      <c r="I338" s="77"/>
      <c r="J338" s="77"/>
      <c r="K338" s="77"/>
      <c r="L338" s="77"/>
      <c r="M338" s="77"/>
    </row>
    <row r="339" spans="1:13">
      <c r="A339" s="1416"/>
      <c r="B339" s="469"/>
      <c r="C339" s="160" t="s">
        <v>13</v>
      </c>
      <c r="D339" s="66" t="s">
        <v>15</v>
      </c>
      <c r="E339" s="216">
        <v>0.22</v>
      </c>
      <c r="F339" s="205">
        <f>E339*F338</f>
        <v>0.44</v>
      </c>
      <c r="G339" s="261"/>
      <c r="H339" s="77"/>
      <c r="I339" s="77"/>
      <c r="J339" s="77">
        <f>F339*I339</f>
        <v>0</v>
      </c>
      <c r="K339" s="77"/>
      <c r="L339" s="77"/>
      <c r="M339" s="77">
        <f>H339+J339+L339</f>
        <v>0</v>
      </c>
    </row>
    <row r="340" spans="1:13">
      <c r="A340" s="1416"/>
      <c r="B340" s="469"/>
      <c r="C340" s="160" t="s">
        <v>25</v>
      </c>
      <c r="D340" s="66" t="s">
        <v>11</v>
      </c>
      <c r="E340" s="216">
        <v>0.01</v>
      </c>
      <c r="F340" s="205">
        <f>F338*E340</f>
        <v>0.02</v>
      </c>
      <c r="G340" s="261"/>
      <c r="H340" s="77"/>
      <c r="I340" s="77"/>
      <c r="J340" s="77"/>
      <c r="K340" s="77"/>
      <c r="L340" s="77">
        <f>F340*K340</f>
        <v>0</v>
      </c>
      <c r="M340" s="77">
        <f>H340+J340+L340</f>
        <v>0</v>
      </c>
    </row>
    <row r="341" spans="1:13">
      <c r="A341" s="1416"/>
      <c r="B341" s="469"/>
      <c r="C341" s="160" t="s">
        <v>365</v>
      </c>
      <c r="D341" s="46" t="s">
        <v>2</v>
      </c>
      <c r="E341" s="891">
        <v>1</v>
      </c>
      <c r="F341" s="205">
        <f>F338*E341</f>
        <v>2</v>
      </c>
      <c r="G341" s="261"/>
      <c r="H341" s="77">
        <f>F341*G341</f>
        <v>0</v>
      </c>
      <c r="I341" s="77"/>
      <c r="J341" s="77"/>
      <c r="K341" s="77"/>
      <c r="L341" s="77"/>
      <c r="M341" s="77">
        <f>H341+J341+L341</f>
        <v>0</v>
      </c>
    </row>
    <row r="342" spans="1:13">
      <c r="A342" s="1417"/>
      <c r="B342" s="469"/>
      <c r="C342" s="160" t="s">
        <v>26</v>
      </c>
      <c r="D342" s="66" t="s">
        <v>2</v>
      </c>
      <c r="E342" s="216">
        <v>0.02</v>
      </c>
      <c r="F342" s="205">
        <f>E342*F338</f>
        <v>0.04</v>
      </c>
      <c r="G342" s="261"/>
      <c r="H342" s="77">
        <f>F342*G342</f>
        <v>0</v>
      </c>
      <c r="I342" s="77"/>
      <c r="J342" s="77"/>
      <c r="K342" s="77"/>
      <c r="L342" s="77"/>
      <c r="M342" s="77">
        <f>H342+J342+L342</f>
        <v>0</v>
      </c>
    </row>
    <row r="343" spans="1:13">
      <c r="A343" s="1514" t="s">
        <v>433</v>
      </c>
      <c r="B343" s="372"/>
      <c r="C343" s="152" t="s">
        <v>596</v>
      </c>
      <c r="D343" s="943" t="s">
        <v>2</v>
      </c>
      <c r="E343" s="57"/>
      <c r="F343" s="20">
        <v>1</v>
      </c>
      <c r="G343" s="261"/>
      <c r="H343" s="77"/>
      <c r="I343" s="77"/>
      <c r="J343" s="77"/>
      <c r="K343" s="77"/>
      <c r="L343" s="77"/>
      <c r="M343" s="77"/>
    </row>
    <row r="344" spans="1:13">
      <c r="A344" s="1515"/>
      <c r="B344" s="372"/>
      <c r="C344" s="153" t="s">
        <v>13</v>
      </c>
      <c r="D344" s="942" t="s">
        <v>2</v>
      </c>
      <c r="E344" s="26">
        <v>1</v>
      </c>
      <c r="F344" s="282">
        <f>F343*E344</f>
        <v>1</v>
      </c>
      <c r="G344" s="261"/>
      <c r="H344" s="77"/>
      <c r="I344" s="77"/>
      <c r="J344" s="77">
        <f>F344*I344</f>
        <v>0</v>
      </c>
      <c r="K344" s="77"/>
      <c r="L344" s="77"/>
      <c r="M344" s="77">
        <f>H344+J344+L344</f>
        <v>0</v>
      </c>
    </row>
    <row r="345" spans="1:13">
      <c r="A345" s="1516"/>
      <c r="B345" s="372"/>
      <c r="C345" s="153" t="s">
        <v>729</v>
      </c>
      <c r="D345" s="942" t="s">
        <v>2</v>
      </c>
      <c r="E345" s="26">
        <v>1</v>
      </c>
      <c r="F345" s="282">
        <f>F343*E345</f>
        <v>1</v>
      </c>
      <c r="G345" s="261"/>
      <c r="H345" s="77">
        <f>F345*G345</f>
        <v>0</v>
      </c>
      <c r="I345" s="77"/>
      <c r="J345" s="77"/>
      <c r="K345" s="77"/>
      <c r="L345" s="77"/>
      <c r="M345" s="77">
        <f>H345+J345+L345</f>
        <v>0</v>
      </c>
    </row>
    <row r="346" spans="1:13">
      <c r="A346" s="1514" t="s">
        <v>434</v>
      </c>
      <c r="B346" s="372" t="s">
        <v>369</v>
      </c>
      <c r="C346" s="152" t="s">
        <v>730</v>
      </c>
      <c r="D346" s="942" t="s">
        <v>90</v>
      </c>
      <c r="E346" s="26"/>
      <c r="F346" s="282">
        <v>2</v>
      </c>
      <c r="G346" s="261"/>
      <c r="H346" s="77"/>
      <c r="I346" s="77"/>
      <c r="J346" s="77"/>
      <c r="K346" s="77"/>
      <c r="L346" s="77"/>
      <c r="M346" s="77"/>
    </row>
    <row r="347" spans="1:13">
      <c r="A347" s="1515"/>
      <c r="B347" s="372"/>
      <c r="C347" s="153" t="s">
        <v>189</v>
      </c>
      <c r="D347" s="942" t="s">
        <v>15</v>
      </c>
      <c r="E347" s="26">
        <v>1.51</v>
      </c>
      <c r="F347" s="282">
        <f>F346*E347</f>
        <v>3.02</v>
      </c>
      <c r="G347" s="261"/>
      <c r="H347" s="77"/>
      <c r="I347" s="77"/>
      <c r="J347" s="77">
        <f>F347*I347</f>
        <v>0</v>
      </c>
      <c r="K347" s="77"/>
      <c r="L347" s="77"/>
      <c r="M347" s="77">
        <f>H347+J347+L347</f>
        <v>0</v>
      </c>
    </row>
    <row r="348" spans="1:13">
      <c r="A348" s="1515"/>
      <c r="B348" s="372"/>
      <c r="C348" s="153" t="s">
        <v>25</v>
      </c>
      <c r="D348" s="942" t="s">
        <v>11</v>
      </c>
      <c r="E348" s="26">
        <v>0.13</v>
      </c>
      <c r="F348" s="282">
        <f>F346*E348</f>
        <v>0.26</v>
      </c>
      <c r="G348" s="261"/>
      <c r="H348" s="77"/>
      <c r="I348" s="77"/>
      <c r="J348" s="77"/>
      <c r="K348" s="77"/>
      <c r="L348" s="77">
        <f>F348*K348</f>
        <v>0</v>
      </c>
      <c r="M348" s="77">
        <f>H348+J348+L348</f>
        <v>0</v>
      </c>
    </row>
    <row r="349" spans="1:13">
      <c r="A349" s="1515"/>
      <c r="B349" s="372"/>
      <c r="C349" s="153" t="s">
        <v>731</v>
      </c>
      <c r="D349" s="942" t="s">
        <v>65</v>
      </c>
      <c r="E349" s="26"/>
      <c r="F349" s="282">
        <v>4</v>
      </c>
      <c r="G349" s="261"/>
      <c r="H349" s="77">
        <f>F349*G349</f>
        <v>0</v>
      </c>
      <c r="I349" s="77"/>
      <c r="J349" s="77"/>
      <c r="K349" s="77"/>
      <c r="L349" s="77"/>
      <c r="M349" s="77">
        <f>H349+J349+L349</f>
        <v>0</v>
      </c>
    </row>
    <row r="350" spans="1:13">
      <c r="A350" s="1515"/>
      <c r="B350" s="372"/>
      <c r="C350" s="153" t="s">
        <v>732</v>
      </c>
      <c r="D350" s="942" t="s">
        <v>90</v>
      </c>
      <c r="E350" s="26"/>
      <c r="F350" s="282">
        <v>2</v>
      </c>
      <c r="G350" s="261"/>
      <c r="H350" s="77">
        <f>F350*G350</f>
        <v>0</v>
      </c>
      <c r="I350" s="77"/>
      <c r="J350" s="77"/>
      <c r="K350" s="77"/>
      <c r="L350" s="77"/>
      <c r="M350" s="77">
        <f>H350+J350+L350</f>
        <v>0</v>
      </c>
    </row>
    <row r="351" spans="1:13">
      <c r="A351" s="1516"/>
      <c r="B351" s="372"/>
      <c r="C351" s="153" t="s">
        <v>204</v>
      </c>
      <c r="D351" s="942" t="s">
        <v>11</v>
      </c>
      <c r="E351" s="26">
        <v>7.0000000000000007E-2</v>
      </c>
      <c r="F351" s="282">
        <f>F346*E351</f>
        <v>0.14000000000000001</v>
      </c>
      <c r="G351" s="261"/>
      <c r="H351" s="77">
        <f>F351*G351</f>
        <v>0</v>
      </c>
      <c r="I351" s="77"/>
      <c r="J351" s="77"/>
      <c r="K351" s="77"/>
      <c r="L351" s="77"/>
      <c r="M351" s="77">
        <f>H351+J351+L351</f>
        <v>0</v>
      </c>
    </row>
    <row r="352" spans="1:13">
      <c r="A352" s="1518" t="s">
        <v>69</v>
      </c>
      <c r="B352" s="460" t="s">
        <v>128</v>
      </c>
      <c r="C352" s="287" t="s">
        <v>540</v>
      </c>
      <c r="D352" s="447" t="s">
        <v>1</v>
      </c>
      <c r="E352" s="982"/>
      <c r="F352" s="20">
        <v>15</v>
      </c>
      <c r="G352" s="80"/>
      <c r="H352" s="77"/>
      <c r="I352" s="77"/>
      <c r="J352" s="77"/>
      <c r="K352" s="77"/>
      <c r="L352" s="77"/>
      <c r="M352" s="77"/>
    </row>
    <row r="353" spans="1:13">
      <c r="A353" s="1519"/>
      <c r="B353" s="460"/>
      <c r="C353" s="249" t="s">
        <v>133</v>
      </c>
      <c r="D353" s="248" t="s">
        <v>120</v>
      </c>
      <c r="E353" s="948">
        <v>1.17</v>
      </c>
      <c r="F353" s="282">
        <f>F352*E353</f>
        <v>17.549999999999997</v>
      </c>
      <c r="G353" s="80"/>
      <c r="H353" s="77"/>
      <c r="I353" s="77"/>
      <c r="J353" s="77">
        <f>F353*I353</f>
        <v>0</v>
      </c>
      <c r="K353" s="77"/>
      <c r="L353" s="77"/>
      <c r="M353" s="77">
        <f>H353+J353+L353</f>
        <v>0</v>
      </c>
    </row>
    <row r="354" spans="1:13">
      <c r="A354" s="1519"/>
      <c r="B354" s="460"/>
      <c r="C354" s="249" t="s">
        <v>134</v>
      </c>
      <c r="D354" s="248" t="s">
        <v>121</v>
      </c>
      <c r="E354" s="948">
        <v>1.72E-2</v>
      </c>
      <c r="F354" s="282">
        <f>F352*E354</f>
        <v>0.25800000000000001</v>
      </c>
      <c r="G354" s="80"/>
      <c r="H354" s="77"/>
      <c r="I354" s="77"/>
      <c r="J354" s="77"/>
      <c r="K354" s="77"/>
      <c r="L354" s="77">
        <f>F354*K354</f>
        <v>0</v>
      </c>
      <c r="M354" s="77">
        <f>H354+J354+L354</f>
        <v>0</v>
      </c>
    </row>
    <row r="355" spans="1:13">
      <c r="A355" s="1519"/>
      <c r="B355" s="460"/>
      <c r="C355" s="148" t="s">
        <v>541</v>
      </c>
      <c r="D355" s="248" t="s">
        <v>127</v>
      </c>
      <c r="E355" s="948">
        <v>1</v>
      </c>
      <c r="F355" s="282">
        <f>F352*E355</f>
        <v>15</v>
      </c>
      <c r="G355" s="80"/>
      <c r="H355" s="77">
        <f>F355*G355</f>
        <v>0</v>
      </c>
      <c r="I355" s="77"/>
      <c r="J355" s="77"/>
      <c r="K355" s="77"/>
      <c r="L355" s="77"/>
      <c r="M355" s="77">
        <f>H355+J355+L355</f>
        <v>0</v>
      </c>
    </row>
    <row r="356" spans="1:13">
      <c r="A356" s="1520"/>
      <c r="B356" s="460"/>
      <c r="C356" s="249" t="s">
        <v>122</v>
      </c>
      <c r="D356" s="248" t="s">
        <v>121</v>
      </c>
      <c r="E356" s="948">
        <v>3.9300000000000002E-2</v>
      </c>
      <c r="F356" s="282">
        <f>F352*E356</f>
        <v>0.58950000000000002</v>
      </c>
      <c r="G356" s="80"/>
      <c r="H356" s="77">
        <f>F356*G356</f>
        <v>0</v>
      </c>
      <c r="I356" s="77"/>
      <c r="J356" s="77"/>
      <c r="K356" s="77"/>
      <c r="L356" s="77"/>
      <c r="M356" s="77">
        <f>H356+J356+L356</f>
        <v>0</v>
      </c>
    </row>
    <row r="357" spans="1:13">
      <c r="A357" s="1521" t="s">
        <v>118</v>
      </c>
      <c r="B357" s="460" t="s">
        <v>129</v>
      </c>
      <c r="C357" s="287" t="s">
        <v>542</v>
      </c>
      <c r="D357" s="447" t="s">
        <v>1</v>
      </c>
      <c r="E357" s="982"/>
      <c r="F357" s="20">
        <v>12</v>
      </c>
      <c r="G357" s="80"/>
      <c r="H357" s="77"/>
      <c r="I357" s="77"/>
      <c r="J357" s="77"/>
      <c r="K357" s="77"/>
      <c r="L357" s="77"/>
      <c r="M357" s="77"/>
    </row>
    <row r="358" spans="1:13">
      <c r="A358" s="1522"/>
      <c r="B358" s="460"/>
      <c r="C358" s="249" t="s">
        <v>133</v>
      </c>
      <c r="D358" s="248" t="s">
        <v>120</v>
      </c>
      <c r="E358" s="948">
        <v>1.56</v>
      </c>
      <c r="F358" s="282">
        <f>F357*E358</f>
        <v>18.72</v>
      </c>
      <c r="G358" s="80"/>
      <c r="H358" s="77"/>
      <c r="I358" s="77"/>
      <c r="J358" s="77">
        <f>F358*I358</f>
        <v>0</v>
      </c>
      <c r="K358" s="77"/>
      <c r="L358" s="77"/>
      <c r="M358" s="77">
        <f>H358+J358+L358</f>
        <v>0</v>
      </c>
    </row>
    <row r="359" spans="1:13">
      <c r="A359" s="1522"/>
      <c r="B359" s="460"/>
      <c r="C359" s="249" t="s">
        <v>134</v>
      </c>
      <c r="D359" s="248" t="s">
        <v>121</v>
      </c>
      <c r="E359" s="948">
        <v>2.1700000000000001E-2</v>
      </c>
      <c r="F359" s="282">
        <f>F357*E359</f>
        <v>0.26040000000000002</v>
      </c>
      <c r="G359" s="80"/>
      <c r="H359" s="77"/>
      <c r="I359" s="77"/>
      <c r="J359" s="77"/>
      <c r="K359" s="77"/>
      <c r="L359" s="77">
        <f>F359*K359</f>
        <v>0</v>
      </c>
      <c r="M359" s="77">
        <f>H359+J359+L359</f>
        <v>0</v>
      </c>
    </row>
    <row r="360" spans="1:13">
      <c r="A360" s="1522"/>
      <c r="B360" s="460"/>
      <c r="C360" s="148" t="s">
        <v>543</v>
      </c>
      <c r="D360" s="248" t="s">
        <v>127</v>
      </c>
      <c r="E360" s="948">
        <v>1</v>
      </c>
      <c r="F360" s="282">
        <f>F357*E360</f>
        <v>12</v>
      </c>
      <c r="G360" s="80"/>
      <c r="H360" s="77">
        <f>F360*G360</f>
        <v>0</v>
      </c>
      <c r="I360" s="77"/>
      <c r="J360" s="77"/>
      <c r="K360" s="77"/>
      <c r="L360" s="77"/>
      <c r="M360" s="77">
        <f>H360+J360+L360</f>
        <v>0</v>
      </c>
    </row>
    <row r="361" spans="1:13">
      <c r="A361" s="1523"/>
      <c r="B361" s="460"/>
      <c r="C361" s="249" t="s">
        <v>122</v>
      </c>
      <c r="D361" s="248" t="s">
        <v>121</v>
      </c>
      <c r="E361" s="948">
        <v>7.0800000000000002E-2</v>
      </c>
      <c r="F361" s="282">
        <f>F357*E361</f>
        <v>0.84960000000000002</v>
      </c>
      <c r="G361" s="80"/>
      <c r="H361" s="77">
        <f>F361*G361</f>
        <v>0</v>
      </c>
      <c r="I361" s="77"/>
      <c r="J361" s="77"/>
      <c r="K361" s="77"/>
      <c r="L361" s="77"/>
      <c r="M361" s="77">
        <f>H361+J361+L361</f>
        <v>0</v>
      </c>
    </row>
    <row r="362" spans="1:13">
      <c r="A362" s="1521" t="s">
        <v>272</v>
      </c>
      <c r="B362" s="460" t="s">
        <v>129</v>
      </c>
      <c r="C362" s="287" t="s">
        <v>544</v>
      </c>
      <c r="D362" s="447" t="s">
        <v>1</v>
      </c>
      <c r="E362" s="982"/>
      <c r="F362" s="20">
        <v>12</v>
      </c>
      <c r="G362" s="80"/>
      <c r="H362" s="77"/>
      <c r="I362" s="77"/>
      <c r="J362" s="77"/>
      <c r="K362" s="77"/>
      <c r="L362" s="77"/>
      <c r="M362" s="77"/>
    </row>
    <row r="363" spans="1:13">
      <c r="A363" s="1522"/>
      <c r="B363" s="460"/>
      <c r="C363" s="249" t="s">
        <v>133</v>
      </c>
      <c r="D363" s="248" t="s">
        <v>120</v>
      </c>
      <c r="E363" s="948">
        <v>1.56</v>
      </c>
      <c r="F363" s="282">
        <f>F362*E363</f>
        <v>18.72</v>
      </c>
      <c r="G363" s="80"/>
      <c r="H363" s="77"/>
      <c r="I363" s="77"/>
      <c r="J363" s="77">
        <f>F363*I363</f>
        <v>0</v>
      </c>
      <c r="K363" s="77"/>
      <c r="L363" s="77"/>
      <c r="M363" s="77">
        <f>H363+J363+L363</f>
        <v>0</v>
      </c>
    </row>
    <row r="364" spans="1:13">
      <c r="A364" s="1522"/>
      <c r="B364" s="460"/>
      <c r="C364" s="249" t="s">
        <v>134</v>
      </c>
      <c r="D364" s="248" t="s">
        <v>121</v>
      </c>
      <c r="E364" s="948">
        <v>2.1700000000000001E-2</v>
      </c>
      <c r="F364" s="282">
        <f>F362*E364</f>
        <v>0.26040000000000002</v>
      </c>
      <c r="G364" s="80"/>
      <c r="H364" s="77"/>
      <c r="I364" s="77"/>
      <c r="J364" s="77"/>
      <c r="K364" s="77"/>
      <c r="L364" s="77">
        <f>F364*K364</f>
        <v>0</v>
      </c>
      <c r="M364" s="77">
        <f>H364+J364+L364</f>
        <v>0</v>
      </c>
    </row>
    <row r="365" spans="1:13">
      <c r="A365" s="1522"/>
      <c r="B365" s="460"/>
      <c r="C365" s="148" t="s">
        <v>545</v>
      </c>
      <c r="D365" s="248" t="s">
        <v>127</v>
      </c>
      <c r="E365" s="948">
        <v>1</v>
      </c>
      <c r="F365" s="282">
        <f>F362*E365</f>
        <v>12</v>
      </c>
      <c r="G365" s="80"/>
      <c r="H365" s="77">
        <f>F365*G365</f>
        <v>0</v>
      </c>
      <c r="I365" s="77"/>
      <c r="J365" s="77"/>
      <c r="K365" s="77"/>
      <c r="L365" s="77"/>
      <c r="M365" s="77">
        <f>H365+J365+L365</f>
        <v>0</v>
      </c>
    </row>
    <row r="366" spans="1:13">
      <c r="A366" s="1523"/>
      <c r="B366" s="460"/>
      <c r="C366" s="249" t="s">
        <v>122</v>
      </c>
      <c r="D366" s="248" t="s">
        <v>121</v>
      </c>
      <c r="E366" s="948">
        <v>7.0800000000000002E-2</v>
      </c>
      <c r="F366" s="282">
        <f>F362*E366</f>
        <v>0.84960000000000002</v>
      </c>
      <c r="G366" s="80"/>
      <c r="H366" s="77">
        <f>F366*G366</f>
        <v>0</v>
      </c>
      <c r="I366" s="77"/>
      <c r="J366" s="77"/>
      <c r="K366" s="77"/>
      <c r="L366" s="77"/>
      <c r="M366" s="77">
        <f>H366+J366+L366</f>
        <v>0</v>
      </c>
    </row>
    <row r="367" spans="1:13">
      <c r="A367" s="1521" t="s">
        <v>435</v>
      </c>
      <c r="B367" s="460" t="s">
        <v>129</v>
      </c>
      <c r="C367" s="287" t="s">
        <v>546</v>
      </c>
      <c r="D367" s="447" t="s">
        <v>1</v>
      </c>
      <c r="E367" s="982"/>
      <c r="F367" s="20">
        <v>25</v>
      </c>
      <c r="G367" s="80"/>
      <c r="H367" s="77"/>
      <c r="I367" s="77"/>
      <c r="J367" s="77"/>
      <c r="K367" s="77"/>
      <c r="L367" s="77"/>
      <c r="M367" s="77"/>
    </row>
    <row r="368" spans="1:13">
      <c r="A368" s="1522"/>
      <c r="B368" s="460"/>
      <c r="C368" s="249" t="s">
        <v>133</v>
      </c>
      <c r="D368" s="248" t="s">
        <v>120</v>
      </c>
      <c r="E368" s="948">
        <v>1.56</v>
      </c>
      <c r="F368" s="282">
        <f>F367*E368</f>
        <v>39</v>
      </c>
      <c r="G368" s="80"/>
      <c r="H368" s="77"/>
      <c r="I368" s="77"/>
      <c r="J368" s="77">
        <f>F368*I368</f>
        <v>0</v>
      </c>
      <c r="K368" s="77"/>
      <c r="L368" s="77"/>
      <c r="M368" s="77">
        <f>H368+J368+L368</f>
        <v>0</v>
      </c>
    </row>
    <row r="369" spans="1:13">
      <c r="A369" s="1522"/>
      <c r="B369" s="460"/>
      <c r="C369" s="249" t="s">
        <v>134</v>
      </c>
      <c r="D369" s="248" t="s">
        <v>121</v>
      </c>
      <c r="E369" s="948">
        <v>2.1700000000000001E-2</v>
      </c>
      <c r="F369" s="282">
        <f>F367*E369</f>
        <v>0.54249999999999998</v>
      </c>
      <c r="G369" s="80"/>
      <c r="H369" s="77"/>
      <c r="I369" s="77"/>
      <c r="J369" s="77"/>
      <c r="K369" s="77"/>
      <c r="L369" s="77">
        <f>F369*K369</f>
        <v>0</v>
      </c>
      <c r="M369" s="77">
        <f>H369+J369+L369</f>
        <v>0</v>
      </c>
    </row>
    <row r="370" spans="1:13">
      <c r="A370" s="1522"/>
      <c r="B370" s="460"/>
      <c r="C370" s="148" t="s">
        <v>547</v>
      </c>
      <c r="D370" s="248" t="s">
        <v>127</v>
      </c>
      <c r="E370" s="948">
        <v>1</v>
      </c>
      <c r="F370" s="282">
        <f>F367*E370</f>
        <v>25</v>
      </c>
      <c r="G370" s="80"/>
      <c r="H370" s="77">
        <f>F370*G370</f>
        <v>0</v>
      </c>
      <c r="I370" s="77"/>
      <c r="J370" s="77"/>
      <c r="K370" s="77"/>
      <c r="L370" s="77"/>
      <c r="M370" s="77">
        <f>H370+J370+L370</f>
        <v>0</v>
      </c>
    </row>
    <row r="371" spans="1:13">
      <c r="A371" s="1523"/>
      <c r="B371" s="460"/>
      <c r="C371" s="249" t="s">
        <v>122</v>
      </c>
      <c r="D371" s="248" t="s">
        <v>121</v>
      </c>
      <c r="E371" s="948">
        <v>7.0800000000000002E-2</v>
      </c>
      <c r="F371" s="282">
        <f>F367*E371</f>
        <v>1.77</v>
      </c>
      <c r="G371" s="80"/>
      <c r="H371" s="77">
        <f>F371*G371</f>
        <v>0</v>
      </c>
      <c r="I371" s="77"/>
      <c r="J371" s="77"/>
      <c r="K371" s="77"/>
      <c r="L371" s="77"/>
      <c r="M371" s="77">
        <f>H371+J371+L371</f>
        <v>0</v>
      </c>
    </row>
    <row r="372" spans="1:13">
      <c r="A372" s="1418" t="s">
        <v>421</v>
      </c>
      <c r="B372" s="1518" t="s">
        <v>370</v>
      </c>
      <c r="C372" s="1529" t="s">
        <v>733</v>
      </c>
      <c r="D372" s="942" t="s">
        <v>5</v>
      </c>
      <c r="E372" s="57"/>
      <c r="F372" s="20">
        <v>12</v>
      </c>
      <c r="G372" s="80"/>
      <c r="H372" s="77"/>
      <c r="I372" s="77"/>
      <c r="J372" s="77"/>
      <c r="K372" s="77"/>
      <c r="L372" s="77"/>
      <c r="M372" s="77"/>
    </row>
    <row r="373" spans="1:13">
      <c r="A373" s="1419"/>
      <c r="B373" s="1520"/>
      <c r="C373" s="1530"/>
      <c r="D373" s="942" t="s">
        <v>4</v>
      </c>
      <c r="E373" s="57"/>
      <c r="F373" s="20">
        <f>F372*0.05</f>
        <v>0.60000000000000009</v>
      </c>
      <c r="G373" s="80"/>
      <c r="H373" s="77"/>
      <c r="I373" s="77"/>
      <c r="J373" s="77"/>
      <c r="K373" s="77"/>
      <c r="L373" s="77"/>
      <c r="M373" s="77"/>
    </row>
    <row r="374" spans="1:13">
      <c r="A374" s="1419"/>
      <c r="B374" s="460"/>
      <c r="C374" s="249" t="s">
        <v>119</v>
      </c>
      <c r="D374" s="248" t="s">
        <v>120</v>
      </c>
      <c r="E374" s="948">
        <v>18.600000000000001</v>
      </c>
      <c r="F374" s="282">
        <f>E374*F373</f>
        <v>11.160000000000002</v>
      </c>
      <c r="G374" s="80"/>
      <c r="H374" s="77"/>
      <c r="I374" s="77"/>
      <c r="J374" s="77">
        <f>F374*I374</f>
        <v>0</v>
      </c>
      <c r="K374" s="77"/>
      <c r="L374" s="77"/>
      <c r="M374" s="77">
        <f>H374+J374+L374</f>
        <v>0</v>
      </c>
    </row>
    <row r="375" spans="1:13">
      <c r="A375" s="1419"/>
      <c r="B375" s="460"/>
      <c r="C375" s="249" t="s">
        <v>125</v>
      </c>
      <c r="D375" s="248" t="s">
        <v>121</v>
      </c>
      <c r="E375" s="948">
        <v>0.38</v>
      </c>
      <c r="F375" s="282">
        <f>E375*F373</f>
        <v>0.22800000000000004</v>
      </c>
      <c r="G375" s="80"/>
      <c r="H375" s="77"/>
      <c r="I375" s="77"/>
      <c r="J375" s="77"/>
      <c r="K375" s="77"/>
      <c r="L375" s="77">
        <f>F375*K375</f>
        <v>0</v>
      </c>
      <c r="M375" s="77">
        <f>H375+J375+L375</f>
        <v>0</v>
      </c>
    </row>
    <row r="376" spans="1:13">
      <c r="A376" s="1419"/>
      <c r="B376" s="460"/>
      <c r="C376" s="148" t="s">
        <v>734</v>
      </c>
      <c r="D376" s="447" t="s">
        <v>5</v>
      </c>
      <c r="E376" s="948">
        <v>1.03</v>
      </c>
      <c r="F376" s="282">
        <f>F372*E376</f>
        <v>12.36</v>
      </c>
      <c r="G376" s="80"/>
      <c r="H376" s="77">
        <f>F376*G376</f>
        <v>0</v>
      </c>
      <c r="I376" s="77"/>
      <c r="J376" s="77"/>
      <c r="K376" s="77"/>
      <c r="L376" s="77"/>
      <c r="M376" s="77">
        <f>H376+J376+L376</f>
        <v>0</v>
      </c>
    </row>
    <row r="377" spans="1:13">
      <c r="A377" s="1420"/>
      <c r="B377" s="460"/>
      <c r="C377" s="249" t="s">
        <v>122</v>
      </c>
      <c r="D377" s="248" t="s">
        <v>121</v>
      </c>
      <c r="E377" s="948">
        <v>3.06</v>
      </c>
      <c r="F377" s="282">
        <f>E377*F373</f>
        <v>1.8360000000000003</v>
      </c>
      <c r="G377" s="80"/>
      <c r="H377" s="77">
        <f>F377*G377</f>
        <v>0</v>
      </c>
      <c r="I377" s="77"/>
      <c r="J377" s="77"/>
      <c r="K377" s="77"/>
      <c r="L377" s="77"/>
      <c r="M377" s="77">
        <f>H377+J377+L377</f>
        <v>0</v>
      </c>
    </row>
    <row r="378" spans="1:13" s="1380" customFormat="1" ht="63">
      <c r="A378" s="1374" t="s">
        <v>436</v>
      </c>
      <c r="B378" s="1375" t="s">
        <v>132</v>
      </c>
      <c r="C378" s="1376" t="s">
        <v>1915</v>
      </c>
      <c r="D378" s="1377" t="s">
        <v>65</v>
      </c>
      <c r="E378" s="1008" t="s">
        <v>93</v>
      </c>
      <c r="F378" s="276">
        <v>1</v>
      </c>
      <c r="G378" s="1384">
        <f>(H355+H356+H360+H361+H365+H366+H370+H371)*20%</f>
        <v>0</v>
      </c>
      <c r="H378" s="1379">
        <f>F378*G378</f>
        <v>0</v>
      </c>
      <c r="I378" s="1379"/>
      <c r="J378" s="1379"/>
      <c r="K378" s="1379"/>
      <c r="L378" s="1379"/>
      <c r="M378" s="1379">
        <f>H378+J378+L378</f>
        <v>0</v>
      </c>
    </row>
    <row r="379" spans="1:13">
      <c r="A379" s="937"/>
      <c r="B379" s="460"/>
      <c r="C379" s="298" t="s">
        <v>847</v>
      </c>
      <c r="D379" s="42"/>
      <c r="E379" s="982"/>
      <c r="F379" s="20"/>
      <c r="G379" s="341"/>
      <c r="H379" s="77"/>
      <c r="I379" s="77"/>
      <c r="J379" s="77"/>
      <c r="K379" s="77"/>
      <c r="L379" s="77"/>
      <c r="M379" s="77"/>
    </row>
    <row r="380" spans="1:13">
      <c r="A380" s="1514" t="s">
        <v>560</v>
      </c>
      <c r="B380" s="372" t="s">
        <v>566</v>
      </c>
      <c r="C380" s="152" t="s">
        <v>568</v>
      </c>
      <c r="D380" s="942" t="s">
        <v>1</v>
      </c>
      <c r="E380" s="26"/>
      <c r="F380" s="282">
        <v>13</v>
      </c>
      <c r="G380" s="261"/>
      <c r="H380" s="77"/>
      <c r="I380" s="77"/>
      <c r="J380" s="77"/>
      <c r="K380" s="77"/>
      <c r="L380" s="77"/>
      <c r="M380" s="77"/>
    </row>
    <row r="381" spans="1:13">
      <c r="A381" s="1515"/>
      <c r="B381" s="372" t="s">
        <v>34</v>
      </c>
      <c r="C381" s="153" t="s">
        <v>13</v>
      </c>
      <c r="D381" s="942" t="s">
        <v>1</v>
      </c>
      <c r="E381" s="26">
        <v>1</v>
      </c>
      <c r="F381" s="282">
        <f>F380*E381</f>
        <v>13</v>
      </c>
      <c r="G381" s="261"/>
      <c r="H381" s="77"/>
      <c r="I381" s="77"/>
      <c r="J381" s="77">
        <f>F381*I381</f>
        <v>0</v>
      </c>
      <c r="K381" s="77"/>
      <c r="L381" s="77"/>
      <c r="M381" s="77">
        <f>H381+J381+L381</f>
        <v>0</v>
      </c>
    </row>
    <row r="382" spans="1:13">
      <c r="A382" s="1515"/>
      <c r="B382" s="372"/>
      <c r="C382" s="153" t="s">
        <v>25</v>
      </c>
      <c r="D382" s="942" t="s">
        <v>11</v>
      </c>
      <c r="E382" s="26">
        <v>0.217</v>
      </c>
      <c r="F382" s="282">
        <f>F380*E382</f>
        <v>2.8210000000000002</v>
      </c>
      <c r="G382" s="261"/>
      <c r="H382" s="77"/>
      <c r="I382" s="77"/>
      <c r="J382" s="77"/>
      <c r="K382" s="77"/>
      <c r="L382" s="77">
        <f>F382*K382</f>
        <v>0</v>
      </c>
      <c r="M382" s="77">
        <f>H382+J382+L382</f>
        <v>0</v>
      </c>
    </row>
    <row r="383" spans="1:13">
      <c r="A383" s="1515"/>
      <c r="B383" s="372"/>
      <c r="C383" s="153" t="s">
        <v>567</v>
      </c>
      <c r="D383" s="942" t="s">
        <v>1</v>
      </c>
      <c r="E383" s="26" t="s">
        <v>93</v>
      </c>
      <c r="F383" s="282">
        <v>13</v>
      </c>
      <c r="G383" s="261"/>
      <c r="H383" s="77">
        <f>F383*G383</f>
        <v>0</v>
      </c>
      <c r="I383" s="77"/>
      <c r="J383" s="77"/>
      <c r="K383" s="77"/>
      <c r="L383" s="77"/>
      <c r="M383" s="77">
        <f>H383+J383+L383</f>
        <v>0</v>
      </c>
    </row>
    <row r="384" spans="1:13">
      <c r="A384" s="1516"/>
      <c r="B384" s="372"/>
      <c r="C384" s="153" t="s">
        <v>19</v>
      </c>
      <c r="D384" s="942" t="s">
        <v>11</v>
      </c>
      <c r="E384" s="26">
        <v>0.109</v>
      </c>
      <c r="F384" s="282">
        <f>F380*E384</f>
        <v>1.417</v>
      </c>
      <c r="G384" s="261"/>
      <c r="H384" s="77">
        <f>F384*G384</f>
        <v>0</v>
      </c>
      <c r="I384" s="77"/>
      <c r="J384" s="77"/>
      <c r="K384" s="77"/>
      <c r="L384" s="77"/>
      <c r="M384" s="77">
        <f>H384+J384+L384</f>
        <v>0</v>
      </c>
    </row>
    <row r="385" spans="1:13">
      <c r="A385" s="1514" t="s">
        <v>561</v>
      </c>
      <c r="B385" s="372" t="s">
        <v>338</v>
      </c>
      <c r="C385" s="152" t="s">
        <v>572</v>
      </c>
      <c r="D385" s="942" t="s">
        <v>5</v>
      </c>
      <c r="E385" s="26"/>
      <c r="F385" s="20">
        <v>21</v>
      </c>
      <c r="G385" s="261"/>
      <c r="H385" s="77"/>
      <c r="I385" s="77"/>
      <c r="J385" s="77"/>
      <c r="K385" s="77"/>
      <c r="L385" s="77"/>
      <c r="M385" s="77"/>
    </row>
    <row r="386" spans="1:13">
      <c r="A386" s="1515"/>
      <c r="B386" s="372"/>
      <c r="C386" s="153" t="s">
        <v>13</v>
      </c>
      <c r="D386" s="942" t="s">
        <v>15</v>
      </c>
      <c r="E386" s="26">
        <v>0.38800000000000001</v>
      </c>
      <c r="F386" s="282">
        <f>F385*E386</f>
        <v>8.1479999999999997</v>
      </c>
      <c r="G386" s="261"/>
      <c r="H386" s="77"/>
      <c r="I386" s="77"/>
      <c r="J386" s="77">
        <f>F386*I386</f>
        <v>0</v>
      </c>
      <c r="K386" s="77"/>
      <c r="L386" s="77"/>
      <c r="M386" s="77">
        <f>H386+J386+L386</f>
        <v>0</v>
      </c>
    </row>
    <row r="387" spans="1:13">
      <c r="A387" s="1515"/>
      <c r="B387" s="372"/>
      <c r="C387" s="153" t="s">
        <v>25</v>
      </c>
      <c r="D387" s="942" t="s">
        <v>11</v>
      </c>
      <c r="E387" s="26">
        <v>2.9999999999999997E-4</v>
      </c>
      <c r="F387" s="282">
        <f>F385*E387</f>
        <v>6.2999999999999992E-3</v>
      </c>
      <c r="G387" s="261"/>
      <c r="H387" s="77"/>
      <c r="I387" s="77"/>
      <c r="J387" s="77"/>
      <c r="K387" s="77"/>
      <c r="L387" s="77">
        <f>F387*K387</f>
        <v>0</v>
      </c>
      <c r="M387" s="77">
        <f>H387+J387+L387</f>
        <v>0</v>
      </c>
    </row>
    <row r="388" spans="1:13">
      <c r="A388" s="1515"/>
      <c r="B388" s="372"/>
      <c r="C388" s="153" t="s">
        <v>573</v>
      </c>
      <c r="D388" s="942" t="s">
        <v>6</v>
      </c>
      <c r="E388" s="26">
        <v>0.35</v>
      </c>
      <c r="F388" s="282">
        <f>F385*E388</f>
        <v>7.35</v>
      </c>
      <c r="G388" s="261"/>
      <c r="H388" s="77">
        <f>F388*G388</f>
        <v>0</v>
      </c>
      <c r="I388" s="77"/>
      <c r="J388" s="77"/>
      <c r="K388" s="77"/>
      <c r="L388" s="77"/>
      <c r="M388" s="77">
        <f>H388+J388+L388</f>
        <v>0</v>
      </c>
    </row>
    <row r="389" spans="1:13">
      <c r="A389" s="1515"/>
      <c r="B389" s="372"/>
      <c r="C389" s="153" t="s">
        <v>574</v>
      </c>
      <c r="D389" s="942" t="s">
        <v>6</v>
      </c>
      <c r="E389" s="26">
        <v>2.7E-2</v>
      </c>
      <c r="F389" s="282">
        <f>F385*E389</f>
        <v>0.56699999999999995</v>
      </c>
      <c r="G389" s="261"/>
      <c r="H389" s="77">
        <f>F389*G389</f>
        <v>0</v>
      </c>
      <c r="I389" s="77"/>
      <c r="J389" s="77"/>
      <c r="K389" s="77"/>
      <c r="L389" s="77"/>
      <c r="M389" s="77">
        <f>H389+J389+L389</f>
        <v>0</v>
      </c>
    </row>
    <row r="390" spans="1:13">
      <c r="A390" s="1516"/>
      <c r="B390" s="372"/>
      <c r="C390" s="153" t="s">
        <v>19</v>
      </c>
      <c r="D390" s="942" t="s">
        <v>11</v>
      </c>
      <c r="E390" s="26">
        <v>1.9E-3</v>
      </c>
      <c r="F390" s="282">
        <f>F385*E390</f>
        <v>3.9899999999999998E-2</v>
      </c>
      <c r="G390" s="261"/>
      <c r="H390" s="77">
        <f>F390*G390</f>
        <v>0</v>
      </c>
      <c r="I390" s="77"/>
      <c r="J390" s="77"/>
      <c r="K390" s="77"/>
      <c r="L390" s="77"/>
      <c r="M390" s="77">
        <f>H390+J390+L390</f>
        <v>0</v>
      </c>
    </row>
    <row r="391" spans="1:13" ht="31.5">
      <c r="A391" s="1418" t="s">
        <v>571</v>
      </c>
      <c r="B391" s="460" t="s">
        <v>370</v>
      </c>
      <c r="C391" s="152" t="s">
        <v>569</v>
      </c>
      <c r="D391" s="942" t="s">
        <v>4</v>
      </c>
      <c r="E391" s="57"/>
      <c r="F391" s="20">
        <f>13*0.05</f>
        <v>0.65</v>
      </c>
      <c r="G391" s="80"/>
      <c r="H391" s="77"/>
      <c r="I391" s="77"/>
      <c r="J391" s="77"/>
      <c r="K391" s="77"/>
      <c r="L391" s="77"/>
      <c r="M391" s="77"/>
    </row>
    <row r="392" spans="1:13">
      <c r="A392" s="1419"/>
      <c r="B392" s="460"/>
      <c r="C392" s="249" t="s">
        <v>119</v>
      </c>
      <c r="D392" s="248" t="s">
        <v>120</v>
      </c>
      <c r="E392" s="948">
        <v>18.600000000000001</v>
      </c>
      <c r="F392" s="282">
        <f>F391*E392</f>
        <v>12.090000000000002</v>
      </c>
      <c r="G392" s="80"/>
      <c r="H392" s="77"/>
      <c r="I392" s="77"/>
      <c r="J392" s="77">
        <f>F392*I392</f>
        <v>0</v>
      </c>
      <c r="K392" s="77"/>
      <c r="L392" s="77"/>
      <c r="M392" s="77">
        <f>H392+J392+L392</f>
        <v>0</v>
      </c>
    </row>
    <row r="393" spans="1:13">
      <c r="A393" s="1419"/>
      <c r="B393" s="460"/>
      <c r="C393" s="249" t="s">
        <v>125</v>
      </c>
      <c r="D393" s="248" t="s">
        <v>121</v>
      </c>
      <c r="E393" s="948">
        <v>0.38</v>
      </c>
      <c r="F393" s="282">
        <f>F391*E393</f>
        <v>0.24700000000000003</v>
      </c>
      <c r="G393" s="80"/>
      <c r="H393" s="77"/>
      <c r="I393" s="77"/>
      <c r="J393" s="77"/>
      <c r="K393" s="77"/>
      <c r="L393" s="77">
        <f>F393*K393</f>
        <v>0</v>
      </c>
      <c r="M393" s="77">
        <f>H393+J393+L393</f>
        <v>0</v>
      </c>
    </row>
    <row r="394" spans="1:13" ht="31.5">
      <c r="A394" s="1419"/>
      <c r="B394" s="460"/>
      <c r="C394" s="251" t="s">
        <v>570</v>
      </c>
      <c r="D394" s="447" t="s">
        <v>5</v>
      </c>
      <c r="E394" s="948">
        <v>1.1000000000000001</v>
      </c>
      <c r="F394" s="282">
        <f>F391*E394</f>
        <v>0.71500000000000008</v>
      </c>
      <c r="G394" s="80"/>
      <c r="H394" s="77">
        <f>F394*G394</f>
        <v>0</v>
      </c>
      <c r="I394" s="77"/>
      <c r="J394" s="77"/>
      <c r="K394" s="77"/>
      <c r="L394" s="77"/>
      <c r="M394" s="77">
        <f>H394+J394+L394</f>
        <v>0</v>
      </c>
    </row>
    <row r="395" spans="1:13">
      <c r="A395" s="1420"/>
      <c r="B395" s="460"/>
      <c r="C395" s="249" t="s">
        <v>122</v>
      </c>
      <c r="D395" s="248" t="s">
        <v>121</v>
      </c>
      <c r="E395" s="948">
        <v>3.06</v>
      </c>
      <c r="F395" s="282">
        <f>F391*E395</f>
        <v>1.9890000000000001</v>
      </c>
      <c r="G395" s="80"/>
      <c r="H395" s="77">
        <f>F395*G395</f>
        <v>0</v>
      </c>
      <c r="I395" s="77"/>
      <c r="J395" s="77"/>
      <c r="K395" s="77"/>
      <c r="L395" s="77"/>
      <c r="M395" s="77">
        <f>H395+J395+L395</f>
        <v>0</v>
      </c>
    </row>
    <row r="396" spans="1:13" ht="31.5">
      <c r="A396" s="1524" t="s">
        <v>577</v>
      </c>
      <c r="B396" s="467" t="s">
        <v>558</v>
      </c>
      <c r="C396" s="297" t="s">
        <v>575</v>
      </c>
      <c r="D396" s="262" t="s">
        <v>279</v>
      </c>
      <c r="E396" s="1038"/>
      <c r="F396" s="1053">
        <v>17</v>
      </c>
      <c r="G396" s="313"/>
      <c r="H396" s="77"/>
      <c r="I396" s="77"/>
      <c r="J396" s="77"/>
      <c r="K396" s="77"/>
      <c r="L396" s="77"/>
      <c r="M396" s="77"/>
    </row>
    <row r="397" spans="1:13">
      <c r="A397" s="1525"/>
      <c r="B397" s="467"/>
      <c r="C397" s="160" t="s">
        <v>13</v>
      </c>
      <c r="D397" s="46" t="s">
        <v>15</v>
      </c>
      <c r="E397" s="216">
        <f>119*0.01</f>
        <v>1.19</v>
      </c>
      <c r="F397" s="205">
        <f>E397*F396</f>
        <v>20.23</v>
      </c>
      <c r="G397" s="313"/>
      <c r="H397" s="77"/>
      <c r="I397" s="77"/>
      <c r="J397" s="77">
        <f>F397*I397</f>
        <v>0</v>
      </c>
      <c r="K397" s="77"/>
      <c r="L397" s="77"/>
      <c r="M397" s="77">
        <f t="shared" ref="M397:M402" si="17">H397+J397+L397</f>
        <v>0</v>
      </c>
    </row>
    <row r="398" spans="1:13">
      <c r="A398" s="1525"/>
      <c r="B398" s="467"/>
      <c r="C398" s="160" t="s">
        <v>14</v>
      </c>
      <c r="D398" s="46" t="s">
        <v>11</v>
      </c>
      <c r="E398" s="216">
        <f>3.59/100</f>
        <v>3.5900000000000001E-2</v>
      </c>
      <c r="F398" s="205">
        <f>E398*F396</f>
        <v>0.61030000000000006</v>
      </c>
      <c r="G398" s="313"/>
      <c r="H398" s="77"/>
      <c r="I398" s="77"/>
      <c r="J398" s="77"/>
      <c r="K398" s="77"/>
      <c r="L398" s="77">
        <f>F398*K398</f>
        <v>0</v>
      </c>
      <c r="M398" s="77">
        <f t="shared" si="17"/>
        <v>0</v>
      </c>
    </row>
    <row r="399" spans="1:13" ht="23.25" customHeight="1">
      <c r="A399" s="1525"/>
      <c r="B399" s="468"/>
      <c r="C399" s="263" t="s">
        <v>576</v>
      </c>
      <c r="D399" s="24" t="s">
        <v>234</v>
      </c>
      <c r="E399" s="61">
        <v>1</v>
      </c>
      <c r="F399" s="282">
        <f>F396*E399</f>
        <v>17</v>
      </c>
      <c r="G399" s="313"/>
      <c r="H399" s="77">
        <f>F399*G399</f>
        <v>0</v>
      </c>
      <c r="I399" s="77"/>
      <c r="J399" s="77"/>
      <c r="K399" s="77"/>
      <c r="L399" s="77"/>
      <c r="M399" s="77">
        <f t="shared" si="17"/>
        <v>0</v>
      </c>
    </row>
    <row r="400" spans="1:13">
      <c r="A400" s="1525"/>
      <c r="B400" s="470"/>
      <c r="C400" s="263" t="s">
        <v>829</v>
      </c>
      <c r="D400" s="24" t="s">
        <v>6</v>
      </c>
      <c r="E400" s="216" t="s">
        <v>93</v>
      </c>
      <c r="F400" s="205">
        <v>6</v>
      </c>
      <c r="G400" s="313"/>
      <c r="H400" s="77">
        <f>F400*G400</f>
        <v>0</v>
      </c>
      <c r="I400" s="77"/>
      <c r="J400" s="77"/>
      <c r="K400" s="77"/>
      <c r="L400" s="77"/>
      <c r="M400" s="77">
        <f t="shared" si="17"/>
        <v>0</v>
      </c>
    </row>
    <row r="401" spans="1:14">
      <c r="A401" s="1525"/>
      <c r="B401" s="469"/>
      <c r="C401" s="160" t="s">
        <v>559</v>
      </c>
      <c r="D401" s="46" t="s">
        <v>6</v>
      </c>
      <c r="E401" s="216">
        <f>122*0.01</f>
        <v>1.22</v>
      </c>
      <c r="F401" s="205">
        <f>E401*F396</f>
        <v>20.74</v>
      </c>
      <c r="G401" s="313"/>
      <c r="H401" s="77">
        <f>F401*G401</f>
        <v>0</v>
      </c>
      <c r="I401" s="77"/>
      <c r="J401" s="77"/>
      <c r="K401" s="77"/>
      <c r="L401" s="77"/>
      <c r="M401" s="77">
        <f t="shared" si="17"/>
        <v>0</v>
      </c>
    </row>
    <row r="402" spans="1:14">
      <c r="A402" s="1526"/>
      <c r="B402" s="467"/>
      <c r="C402" s="160" t="s">
        <v>26</v>
      </c>
      <c r="D402" s="46" t="s">
        <v>11</v>
      </c>
      <c r="E402" s="216">
        <f>14.8/100</f>
        <v>0.14800000000000002</v>
      </c>
      <c r="F402" s="205">
        <f>E402*F396</f>
        <v>2.5160000000000005</v>
      </c>
      <c r="G402" s="313"/>
      <c r="H402" s="77">
        <f>F402*G402</f>
        <v>0</v>
      </c>
      <c r="I402" s="77"/>
      <c r="J402" s="77"/>
      <c r="K402" s="77"/>
      <c r="L402" s="77"/>
      <c r="M402" s="77">
        <f t="shared" si="17"/>
        <v>0</v>
      </c>
    </row>
    <row r="403" spans="1:14">
      <c r="A403" s="937"/>
      <c r="B403" s="460"/>
      <c r="C403" s="287"/>
      <c r="D403" s="42"/>
      <c r="E403" s="982"/>
      <c r="F403" s="20"/>
      <c r="G403" s="341"/>
      <c r="H403" s="77"/>
      <c r="I403" s="77"/>
      <c r="J403" s="77"/>
      <c r="K403" s="77"/>
      <c r="L403" s="77"/>
      <c r="M403" s="77"/>
    </row>
    <row r="404" spans="1:14">
      <c r="A404" s="101"/>
      <c r="B404" s="238"/>
      <c r="C404" s="104" t="s">
        <v>848</v>
      </c>
      <c r="D404" s="238"/>
      <c r="E404" s="421"/>
      <c r="F404" s="244"/>
      <c r="G404" s="99"/>
      <c r="H404" s="1044">
        <f>SUM(H317:H403)</f>
        <v>0</v>
      </c>
      <c r="I404" s="1044"/>
      <c r="J404" s="1044">
        <f>SUM(J317:J403)</f>
        <v>0</v>
      </c>
      <c r="K404" s="1044"/>
      <c r="L404" s="1044">
        <f>SUM(L317:L403)</f>
        <v>0</v>
      </c>
      <c r="M404" s="1044">
        <f>SUM(M317:M403)</f>
        <v>0</v>
      </c>
      <c r="N404" s="1026">
        <f>H404+J404+L404</f>
        <v>0</v>
      </c>
    </row>
    <row r="405" spans="1:14">
      <c r="A405" s="928"/>
      <c r="B405" s="338"/>
      <c r="C405" s="352" t="s">
        <v>785</v>
      </c>
      <c r="D405" s="338"/>
      <c r="E405" s="353"/>
      <c r="F405" s="354"/>
      <c r="G405" s="355"/>
      <c r="H405" s="355"/>
      <c r="I405" s="355"/>
      <c r="J405" s="355"/>
      <c r="K405" s="355"/>
      <c r="L405" s="355"/>
      <c r="M405" s="356">
        <f>H404*F405</f>
        <v>0</v>
      </c>
    </row>
    <row r="406" spans="1:14">
      <c r="A406" s="928"/>
      <c r="B406" s="338"/>
      <c r="C406" s="335" t="s">
        <v>54</v>
      </c>
      <c r="D406" s="338"/>
      <c r="E406" s="353"/>
      <c r="F406" s="357"/>
      <c r="G406" s="355"/>
      <c r="H406" s="355"/>
      <c r="I406" s="355"/>
      <c r="J406" s="355"/>
      <c r="K406" s="355"/>
      <c r="L406" s="355"/>
      <c r="M406" s="356">
        <f>M404+M405</f>
        <v>0</v>
      </c>
    </row>
    <row r="407" spans="1:14">
      <c r="A407" s="478"/>
      <c r="B407" s="359"/>
      <c r="C407" s="52" t="s">
        <v>63</v>
      </c>
      <c r="D407" s="36"/>
      <c r="E407" s="360"/>
      <c r="F407" s="479"/>
      <c r="G407" s="88"/>
      <c r="H407" s="88"/>
      <c r="I407" s="88"/>
      <c r="J407" s="88"/>
      <c r="K407" s="88"/>
      <c r="L407" s="88"/>
      <c r="M407" s="88">
        <f>M406*F407</f>
        <v>0</v>
      </c>
    </row>
    <row r="408" spans="1:14">
      <c r="A408" s="439"/>
      <c r="B408" s="363"/>
      <c r="C408" s="335" t="s">
        <v>54</v>
      </c>
      <c r="D408" s="37"/>
      <c r="E408" s="218"/>
      <c r="F408" s="364"/>
      <c r="G408" s="89"/>
      <c r="H408" s="89"/>
      <c r="I408" s="89"/>
      <c r="J408" s="89"/>
      <c r="K408" s="89"/>
      <c r="L408" s="89"/>
      <c r="M408" s="89">
        <f>M406+M407</f>
        <v>0</v>
      </c>
    </row>
    <row r="409" spans="1:14">
      <c r="A409" s="439"/>
      <c r="B409" s="363"/>
      <c r="C409" s="53" t="s">
        <v>46</v>
      </c>
      <c r="D409" s="37"/>
      <c r="E409" s="218"/>
      <c r="F409" s="365"/>
      <c r="G409" s="89"/>
      <c r="H409" s="89"/>
      <c r="I409" s="89"/>
      <c r="J409" s="89"/>
      <c r="K409" s="89"/>
      <c r="L409" s="89"/>
      <c r="M409" s="89">
        <f>M408*F409</f>
        <v>0</v>
      </c>
    </row>
    <row r="410" spans="1:14">
      <c r="A410" s="480"/>
      <c r="B410" s="366"/>
      <c r="C410" s="481" t="s">
        <v>849</v>
      </c>
      <c r="D410" s="367"/>
      <c r="E410" s="368"/>
      <c r="F410" s="369"/>
      <c r="G410" s="370"/>
      <c r="H410" s="370"/>
      <c r="I410" s="370"/>
      <c r="J410" s="370"/>
      <c r="K410" s="370"/>
      <c r="L410" s="370"/>
      <c r="M410" s="1054">
        <f>M408+M409</f>
        <v>0</v>
      </c>
    </row>
    <row r="411" spans="1:14">
      <c r="A411" s="47" t="s">
        <v>850</v>
      </c>
      <c r="B411" s="325"/>
      <c r="C411" s="32" t="s">
        <v>735</v>
      </c>
      <c r="D411" s="30"/>
      <c r="E411" s="31"/>
      <c r="F411" s="29"/>
      <c r="G411" s="261"/>
      <c r="H411" s="77"/>
      <c r="I411" s="77"/>
      <c r="J411" s="77"/>
      <c r="K411" s="77"/>
      <c r="L411" s="77"/>
      <c r="M411" s="77"/>
    </row>
    <row r="412" spans="1:14">
      <c r="A412" s="1521" t="s">
        <v>429</v>
      </c>
      <c r="B412" s="460" t="s">
        <v>129</v>
      </c>
      <c r="C412" s="137" t="s">
        <v>542</v>
      </c>
      <c r="D412" s="447" t="s">
        <v>1</v>
      </c>
      <c r="E412" s="982"/>
      <c r="F412" s="20">
        <v>12</v>
      </c>
      <c r="G412" s="80"/>
      <c r="H412" s="77"/>
      <c r="I412" s="77"/>
      <c r="J412" s="77"/>
      <c r="K412" s="77"/>
      <c r="L412" s="77"/>
      <c r="M412" s="77"/>
    </row>
    <row r="413" spans="1:14">
      <c r="A413" s="1522"/>
      <c r="B413" s="460"/>
      <c r="C413" s="403" t="s">
        <v>133</v>
      </c>
      <c r="D413" s="248" t="s">
        <v>120</v>
      </c>
      <c r="E413" s="948">
        <v>1.56</v>
      </c>
      <c r="F413" s="282">
        <f>F412*E413</f>
        <v>18.72</v>
      </c>
      <c r="G413" s="80"/>
      <c r="H413" s="77"/>
      <c r="I413" s="77">
        <v>4.5999999999999996</v>
      </c>
      <c r="J413" s="77"/>
      <c r="K413" s="77"/>
      <c r="L413" s="77"/>
      <c r="M413" s="77">
        <f>H413+J413+L413</f>
        <v>0</v>
      </c>
    </row>
    <row r="414" spans="1:14">
      <c r="A414" s="1522"/>
      <c r="B414" s="460"/>
      <c r="C414" s="403" t="s">
        <v>134</v>
      </c>
      <c r="D414" s="248" t="s">
        <v>121</v>
      </c>
      <c r="E414" s="948">
        <v>2.1700000000000001E-2</v>
      </c>
      <c r="F414" s="282">
        <f>F412*E414</f>
        <v>0.26040000000000002</v>
      </c>
      <c r="G414" s="80"/>
      <c r="H414" s="77"/>
      <c r="I414" s="77"/>
      <c r="J414" s="77"/>
      <c r="K414" s="77"/>
      <c r="L414" s="77">
        <f>F414*K414</f>
        <v>0</v>
      </c>
      <c r="M414" s="77">
        <f>H414+J414+L414</f>
        <v>0</v>
      </c>
    </row>
    <row r="415" spans="1:14">
      <c r="A415" s="1522"/>
      <c r="B415" s="460"/>
      <c r="C415" s="138" t="s">
        <v>543</v>
      </c>
      <c r="D415" s="248" t="s">
        <v>127</v>
      </c>
      <c r="E415" s="948">
        <v>1</v>
      </c>
      <c r="F415" s="282">
        <f>F412*E415</f>
        <v>12</v>
      </c>
      <c r="G415" s="80"/>
      <c r="H415" s="77">
        <f>F415*G415</f>
        <v>0</v>
      </c>
      <c r="I415" s="77"/>
      <c r="J415" s="77"/>
      <c r="K415" s="77"/>
      <c r="L415" s="77"/>
      <c r="M415" s="77">
        <f>H415+J415+L415</f>
        <v>0</v>
      </c>
    </row>
    <row r="416" spans="1:14">
      <c r="A416" s="1523"/>
      <c r="B416" s="460"/>
      <c r="C416" s="403" t="s">
        <v>122</v>
      </c>
      <c r="D416" s="248" t="s">
        <v>121</v>
      </c>
      <c r="E416" s="948">
        <v>7.0800000000000002E-2</v>
      </c>
      <c r="F416" s="282">
        <f>F412*E416</f>
        <v>0.84960000000000002</v>
      </c>
      <c r="G416" s="80"/>
      <c r="H416" s="77">
        <f>F416*G416</f>
        <v>0</v>
      </c>
      <c r="I416" s="77"/>
      <c r="J416" s="77"/>
      <c r="K416" s="77"/>
      <c r="L416" s="77"/>
      <c r="M416" s="77">
        <f>H416+J416+L416</f>
        <v>0</v>
      </c>
    </row>
    <row r="417" spans="1:13" hidden="1">
      <c r="A417" s="1521" t="s">
        <v>430</v>
      </c>
      <c r="B417" s="460" t="s">
        <v>129</v>
      </c>
      <c r="C417" s="137" t="s">
        <v>544</v>
      </c>
      <c r="D417" s="447" t="s">
        <v>1</v>
      </c>
      <c r="E417" s="982"/>
      <c r="F417" s="20">
        <v>0</v>
      </c>
      <c r="G417" s="80"/>
      <c r="H417" s="77"/>
      <c r="I417" s="77"/>
      <c r="J417" s="77"/>
      <c r="K417" s="77"/>
      <c r="L417" s="77"/>
      <c r="M417" s="77"/>
    </row>
    <row r="418" spans="1:13" hidden="1">
      <c r="A418" s="1522"/>
      <c r="B418" s="460"/>
      <c r="C418" s="403" t="s">
        <v>133</v>
      </c>
      <c r="D418" s="248" t="s">
        <v>120</v>
      </c>
      <c r="E418" s="948">
        <v>1.56</v>
      </c>
      <c r="F418" s="282">
        <f>F417*E418</f>
        <v>0</v>
      </c>
      <c r="G418" s="80"/>
      <c r="H418" s="77"/>
      <c r="I418" s="77">
        <v>4.5999999999999996</v>
      </c>
      <c r="J418" s="77">
        <f>F418*I418</f>
        <v>0</v>
      </c>
      <c r="K418" s="77"/>
      <c r="L418" s="77"/>
      <c r="M418" s="77">
        <f>H418+J418+L418</f>
        <v>0</v>
      </c>
    </row>
    <row r="419" spans="1:13" hidden="1">
      <c r="A419" s="1522"/>
      <c r="B419" s="460"/>
      <c r="C419" s="403" t="s">
        <v>134</v>
      </c>
      <c r="D419" s="248" t="s">
        <v>121</v>
      </c>
      <c r="E419" s="948">
        <v>2.1700000000000001E-2</v>
      </c>
      <c r="F419" s="282">
        <f>F417*E419</f>
        <v>0</v>
      </c>
      <c r="G419" s="80"/>
      <c r="H419" s="77"/>
      <c r="I419" s="77"/>
      <c r="J419" s="77"/>
      <c r="K419" s="77">
        <v>4</v>
      </c>
      <c r="L419" s="77">
        <f>F419*K419</f>
        <v>0</v>
      </c>
      <c r="M419" s="77">
        <f>H419+J419+L419</f>
        <v>0</v>
      </c>
    </row>
    <row r="420" spans="1:13" hidden="1">
      <c r="A420" s="1522"/>
      <c r="B420" s="460"/>
      <c r="C420" s="138" t="s">
        <v>545</v>
      </c>
      <c r="D420" s="248" t="s">
        <v>127</v>
      </c>
      <c r="E420" s="948">
        <v>1</v>
      </c>
      <c r="F420" s="282">
        <f>F417*E420</f>
        <v>0</v>
      </c>
      <c r="G420" s="80">
        <v>8.5</v>
      </c>
      <c r="H420" s="77">
        <f>F420*G420</f>
        <v>0</v>
      </c>
      <c r="I420" s="77"/>
      <c r="J420" s="77"/>
      <c r="K420" s="77"/>
      <c r="L420" s="77"/>
      <c r="M420" s="77">
        <f>H420+J420+L420</f>
        <v>0</v>
      </c>
    </row>
    <row r="421" spans="1:13" hidden="1">
      <c r="A421" s="1523"/>
      <c r="B421" s="460"/>
      <c r="C421" s="403" t="s">
        <v>122</v>
      </c>
      <c r="D421" s="248" t="s">
        <v>121</v>
      </c>
      <c r="E421" s="948">
        <v>7.0800000000000002E-2</v>
      </c>
      <c r="F421" s="282">
        <f>F417*E421</f>
        <v>0</v>
      </c>
      <c r="G421" s="80">
        <v>4</v>
      </c>
      <c r="H421" s="77">
        <f>F421*G421</f>
        <v>0</v>
      </c>
      <c r="I421" s="77"/>
      <c r="J421" s="77"/>
      <c r="K421" s="77"/>
      <c r="L421" s="77"/>
      <c r="M421" s="77">
        <f t="shared" ref="M421:M454" si="18">H421+J421+L421</f>
        <v>0</v>
      </c>
    </row>
    <row r="422" spans="1:13">
      <c r="A422" s="1521" t="s">
        <v>83</v>
      </c>
      <c r="B422" s="460" t="s">
        <v>129</v>
      </c>
      <c r="C422" s="137" t="s">
        <v>546</v>
      </c>
      <c r="D422" s="447" t="s">
        <v>1</v>
      </c>
      <c r="E422" s="982"/>
      <c r="F422" s="20">
        <v>55</v>
      </c>
      <c r="G422" s="80"/>
      <c r="H422" s="77"/>
      <c r="I422" s="77"/>
      <c r="J422" s="77"/>
      <c r="K422" s="77"/>
      <c r="L422" s="77"/>
      <c r="M422" s="77"/>
    </row>
    <row r="423" spans="1:13">
      <c r="A423" s="1522"/>
      <c r="B423" s="460"/>
      <c r="C423" s="403" t="s">
        <v>133</v>
      </c>
      <c r="D423" s="248" t="s">
        <v>120</v>
      </c>
      <c r="E423" s="948">
        <v>1.56</v>
      </c>
      <c r="F423" s="282">
        <f>F422*E423</f>
        <v>85.8</v>
      </c>
      <c r="G423" s="80"/>
      <c r="H423" s="77"/>
      <c r="I423" s="77"/>
      <c r="J423" s="77">
        <f>F423*I423</f>
        <v>0</v>
      </c>
      <c r="K423" s="77"/>
      <c r="L423" s="77"/>
      <c r="M423" s="77">
        <f t="shared" si="18"/>
        <v>0</v>
      </c>
    </row>
    <row r="424" spans="1:13">
      <c r="A424" s="1522"/>
      <c r="B424" s="460"/>
      <c r="C424" s="403" t="s">
        <v>134</v>
      </c>
      <c r="D424" s="248" t="s">
        <v>121</v>
      </c>
      <c r="E424" s="948">
        <v>2.1700000000000001E-2</v>
      </c>
      <c r="F424" s="282">
        <f>F422*E424</f>
        <v>1.1935</v>
      </c>
      <c r="G424" s="80"/>
      <c r="H424" s="77"/>
      <c r="I424" s="77"/>
      <c r="J424" s="77"/>
      <c r="K424" s="77"/>
      <c r="L424" s="77">
        <f>F424*K424</f>
        <v>0</v>
      </c>
      <c r="M424" s="77">
        <f t="shared" si="18"/>
        <v>0</v>
      </c>
    </row>
    <row r="425" spans="1:13">
      <c r="A425" s="1522"/>
      <c r="B425" s="460"/>
      <c r="C425" s="138" t="s">
        <v>547</v>
      </c>
      <c r="D425" s="248" t="s">
        <v>127</v>
      </c>
      <c r="E425" s="948">
        <v>1</v>
      </c>
      <c r="F425" s="282">
        <f>F422*E425</f>
        <v>55</v>
      </c>
      <c r="G425" s="80"/>
      <c r="H425" s="77">
        <f>F425*G425</f>
        <v>0</v>
      </c>
      <c r="I425" s="77"/>
      <c r="J425" s="77"/>
      <c r="K425" s="77"/>
      <c r="L425" s="77"/>
      <c r="M425" s="77">
        <f t="shared" si="18"/>
        <v>0</v>
      </c>
    </row>
    <row r="426" spans="1:13">
      <c r="A426" s="1523"/>
      <c r="B426" s="460"/>
      <c r="C426" s="403" t="s">
        <v>122</v>
      </c>
      <c r="D426" s="248" t="s">
        <v>121</v>
      </c>
      <c r="E426" s="948">
        <v>7.0800000000000002E-2</v>
      </c>
      <c r="F426" s="282">
        <f>F422*E426</f>
        <v>3.8940000000000001</v>
      </c>
      <c r="G426" s="80"/>
      <c r="H426" s="77">
        <f>F426*G426</f>
        <v>0</v>
      </c>
      <c r="I426" s="77"/>
      <c r="J426" s="77"/>
      <c r="K426" s="77"/>
      <c r="L426" s="77"/>
      <c r="M426" s="77">
        <f t="shared" si="18"/>
        <v>0</v>
      </c>
    </row>
    <row r="427" spans="1:13">
      <c r="A427" s="1418" t="s">
        <v>431</v>
      </c>
      <c r="B427" s="1518" t="s">
        <v>370</v>
      </c>
      <c r="C427" s="1527" t="s">
        <v>736</v>
      </c>
      <c r="D427" s="942" t="s">
        <v>5</v>
      </c>
      <c r="E427" s="57"/>
      <c r="F427" s="20">
        <v>45</v>
      </c>
      <c r="G427" s="80"/>
      <c r="H427" s="77"/>
      <c r="I427" s="77"/>
      <c r="J427" s="77"/>
      <c r="K427" s="77"/>
      <c r="L427" s="77"/>
      <c r="M427" s="77"/>
    </row>
    <row r="428" spans="1:13">
      <c r="A428" s="1419"/>
      <c r="B428" s="1520"/>
      <c r="C428" s="1528"/>
      <c r="D428" s="942" t="s">
        <v>4</v>
      </c>
      <c r="E428" s="57"/>
      <c r="F428" s="20">
        <f>F427*0.05</f>
        <v>2.25</v>
      </c>
      <c r="G428" s="80"/>
      <c r="H428" s="77"/>
      <c r="I428" s="77"/>
      <c r="J428" s="77"/>
      <c r="K428" s="77"/>
      <c r="L428" s="77"/>
      <c r="M428" s="77"/>
    </row>
    <row r="429" spans="1:13">
      <c r="A429" s="1419"/>
      <c r="B429" s="460"/>
      <c r="C429" s="403" t="s">
        <v>119</v>
      </c>
      <c r="D429" s="248" t="s">
        <v>120</v>
      </c>
      <c r="E429" s="948">
        <v>18.600000000000001</v>
      </c>
      <c r="F429" s="282">
        <f>E429*F428</f>
        <v>41.85</v>
      </c>
      <c r="G429" s="80"/>
      <c r="H429" s="77"/>
      <c r="I429" s="77"/>
      <c r="J429" s="77">
        <f>F429*I429</f>
        <v>0</v>
      </c>
      <c r="K429" s="77"/>
      <c r="L429" s="77"/>
      <c r="M429" s="77">
        <f t="shared" si="18"/>
        <v>0</v>
      </c>
    </row>
    <row r="430" spans="1:13">
      <c r="A430" s="1419"/>
      <c r="B430" s="460"/>
      <c r="C430" s="403" t="s">
        <v>125</v>
      </c>
      <c r="D430" s="248" t="s">
        <v>121</v>
      </c>
      <c r="E430" s="948">
        <v>0.38</v>
      </c>
      <c r="F430" s="282">
        <f>E430*F428</f>
        <v>0.85499999999999998</v>
      </c>
      <c r="G430" s="80"/>
      <c r="H430" s="77"/>
      <c r="I430" s="77"/>
      <c r="J430" s="77"/>
      <c r="K430" s="77"/>
      <c r="L430" s="77">
        <f>F430*K430</f>
        <v>0</v>
      </c>
      <c r="M430" s="77">
        <f t="shared" si="18"/>
        <v>0</v>
      </c>
    </row>
    <row r="431" spans="1:13">
      <c r="A431" s="1419"/>
      <c r="B431" s="460"/>
      <c r="C431" s="138" t="s">
        <v>734</v>
      </c>
      <c r="D431" s="447" t="s">
        <v>5</v>
      </c>
      <c r="E431" s="948">
        <v>1.03</v>
      </c>
      <c r="F431" s="282">
        <f>F427*E431</f>
        <v>46.35</v>
      </c>
      <c r="G431" s="80"/>
      <c r="H431" s="77">
        <f>F431*G431</f>
        <v>0</v>
      </c>
      <c r="I431" s="77"/>
      <c r="J431" s="77"/>
      <c r="K431" s="77"/>
      <c r="L431" s="77"/>
      <c r="M431" s="77">
        <f t="shared" si="18"/>
        <v>0</v>
      </c>
    </row>
    <row r="432" spans="1:13">
      <c r="A432" s="1420"/>
      <c r="B432" s="460"/>
      <c r="C432" s="403" t="s">
        <v>122</v>
      </c>
      <c r="D432" s="248" t="s">
        <v>121</v>
      </c>
      <c r="E432" s="948">
        <v>3.06</v>
      </c>
      <c r="F432" s="282">
        <f>E432*F428</f>
        <v>6.8849999999999998</v>
      </c>
      <c r="G432" s="80"/>
      <c r="H432" s="77">
        <f>F432*G432</f>
        <v>0</v>
      </c>
      <c r="I432" s="77"/>
      <c r="J432" s="77"/>
      <c r="K432" s="77"/>
      <c r="L432" s="77"/>
      <c r="M432" s="77">
        <f t="shared" si="18"/>
        <v>0</v>
      </c>
    </row>
    <row r="433" spans="1:13" ht="31.5">
      <c r="A433" s="1418" t="s">
        <v>38</v>
      </c>
      <c r="B433" s="472" t="s">
        <v>171</v>
      </c>
      <c r="C433" s="404" t="s">
        <v>737</v>
      </c>
      <c r="D433" s="22" t="s">
        <v>1</v>
      </c>
      <c r="E433" s="243"/>
      <c r="F433" s="122">
        <v>70</v>
      </c>
      <c r="G433" s="79"/>
      <c r="H433" s="77"/>
      <c r="I433" s="79"/>
      <c r="J433" s="77"/>
      <c r="K433" s="79"/>
      <c r="L433" s="77"/>
      <c r="M433" s="77"/>
    </row>
    <row r="434" spans="1:13">
      <c r="A434" s="1419"/>
      <c r="B434" s="472"/>
      <c r="C434" s="127" t="s">
        <v>13</v>
      </c>
      <c r="D434" s="942" t="s">
        <v>109</v>
      </c>
      <c r="E434" s="26">
        <f>58.3*0.01</f>
        <v>0.58299999999999996</v>
      </c>
      <c r="F434" s="282">
        <f>F433*E434</f>
        <v>40.809999999999995</v>
      </c>
      <c r="G434" s="80"/>
      <c r="H434" s="77"/>
      <c r="I434" s="80"/>
      <c r="J434" s="77">
        <f>F434*I434</f>
        <v>0</v>
      </c>
      <c r="K434" s="80"/>
      <c r="L434" s="77"/>
      <c r="M434" s="77">
        <f t="shared" si="18"/>
        <v>0</v>
      </c>
    </row>
    <row r="435" spans="1:13">
      <c r="A435" s="1419"/>
      <c r="B435" s="472"/>
      <c r="C435" s="127" t="s">
        <v>139</v>
      </c>
      <c r="D435" s="942" t="s">
        <v>156</v>
      </c>
      <c r="E435" s="26">
        <f>0.46*0.01</f>
        <v>4.5999999999999999E-3</v>
      </c>
      <c r="F435" s="282">
        <f>F433*E435</f>
        <v>0.32200000000000001</v>
      </c>
      <c r="G435" s="80"/>
      <c r="H435" s="77"/>
      <c r="I435" s="80"/>
      <c r="J435" s="77"/>
      <c r="K435" s="80"/>
      <c r="L435" s="77">
        <f>F435*K435</f>
        <v>0</v>
      </c>
      <c r="M435" s="77">
        <f t="shared" si="18"/>
        <v>0</v>
      </c>
    </row>
    <row r="436" spans="1:13">
      <c r="A436" s="1419"/>
      <c r="B436" s="472"/>
      <c r="C436" s="127" t="s">
        <v>738</v>
      </c>
      <c r="D436" s="942" t="s">
        <v>167</v>
      </c>
      <c r="E436" s="26">
        <v>1</v>
      </c>
      <c r="F436" s="282">
        <f>F433*E436</f>
        <v>70</v>
      </c>
      <c r="G436" s="80"/>
      <c r="H436" s="77">
        <f>F436*G436</f>
        <v>0</v>
      </c>
      <c r="I436" s="80"/>
      <c r="J436" s="77"/>
      <c r="K436" s="80"/>
      <c r="L436" s="77"/>
      <c r="M436" s="77">
        <f t="shared" si="18"/>
        <v>0</v>
      </c>
    </row>
    <row r="437" spans="1:13">
      <c r="A437" s="1419"/>
      <c r="B437" s="472"/>
      <c r="C437" s="405" t="s">
        <v>168</v>
      </c>
      <c r="D437" s="235" t="s">
        <v>169</v>
      </c>
      <c r="E437" s="1013">
        <f>23*0.01</f>
        <v>0.23</v>
      </c>
      <c r="F437" s="1014">
        <f>E437*F433</f>
        <v>16.100000000000001</v>
      </c>
      <c r="G437" s="1015"/>
      <c r="H437" s="77">
        <f>F437*G437</f>
        <v>0</v>
      </c>
      <c r="I437" s="1015"/>
      <c r="J437" s="77"/>
      <c r="K437" s="1015"/>
      <c r="L437" s="77"/>
      <c r="M437" s="77">
        <f t="shared" si="18"/>
        <v>0</v>
      </c>
    </row>
    <row r="438" spans="1:13">
      <c r="A438" s="1420"/>
      <c r="B438" s="472"/>
      <c r="C438" s="127" t="s">
        <v>19</v>
      </c>
      <c r="D438" s="942" t="s">
        <v>156</v>
      </c>
      <c r="E438" s="26">
        <f>20.8*0.01</f>
        <v>0.20800000000000002</v>
      </c>
      <c r="F438" s="282">
        <f>F433*E438</f>
        <v>14.56</v>
      </c>
      <c r="G438" s="80"/>
      <c r="H438" s="77">
        <f>F438*G438</f>
        <v>0</v>
      </c>
      <c r="I438" s="80"/>
      <c r="J438" s="77"/>
      <c r="K438" s="80"/>
      <c r="L438" s="77"/>
      <c r="M438" s="77">
        <f t="shared" si="18"/>
        <v>0</v>
      </c>
    </row>
    <row r="439" spans="1:13">
      <c r="A439" s="1514" t="s">
        <v>409</v>
      </c>
      <c r="B439" s="372"/>
      <c r="C439" s="946" t="s">
        <v>739</v>
      </c>
      <c r="D439" s="942" t="s">
        <v>495</v>
      </c>
      <c r="E439" s="26"/>
      <c r="F439" s="20">
        <f>25/1000</f>
        <v>2.5000000000000001E-2</v>
      </c>
      <c r="G439" s="261"/>
      <c r="H439" s="77"/>
      <c r="I439" s="77"/>
      <c r="J439" s="77"/>
      <c r="K439" s="77"/>
      <c r="L439" s="77"/>
      <c r="M439" s="77"/>
    </row>
    <row r="440" spans="1:13">
      <c r="A440" s="1515"/>
      <c r="B440" s="473"/>
      <c r="C440" s="268" t="s">
        <v>13</v>
      </c>
      <c r="D440" s="184" t="s">
        <v>319</v>
      </c>
      <c r="E440" s="312">
        <v>20</v>
      </c>
      <c r="F440" s="269">
        <f>E440*F439</f>
        <v>0.5</v>
      </c>
      <c r="G440" s="245"/>
      <c r="H440" s="77"/>
      <c r="I440" s="245"/>
      <c r="J440" s="77">
        <f>F440*I440</f>
        <v>0</v>
      </c>
      <c r="K440" s="180"/>
      <c r="L440" s="77"/>
      <c r="M440" s="77">
        <f t="shared" si="18"/>
        <v>0</v>
      </c>
    </row>
    <row r="441" spans="1:13">
      <c r="A441" s="1515"/>
      <c r="B441" s="473" t="s">
        <v>384</v>
      </c>
      <c r="C441" s="268" t="s">
        <v>641</v>
      </c>
      <c r="D441" s="184" t="s">
        <v>16</v>
      </c>
      <c r="E441" s="312">
        <v>44.8</v>
      </c>
      <c r="F441" s="269">
        <f>F439*E441</f>
        <v>1.1199999999999999</v>
      </c>
      <c r="G441" s="245"/>
      <c r="H441" s="77"/>
      <c r="I441" s="80"/>
      <c r="J441" s="77"/>
      <c r="K441" s="180"/>
      <c r="L441" s="77">
        <f>F441*K441</f>
        <v>0</v>
      </c>
      <c r="M441" s="77">
        <f t="shared" si="18"/>
        <v>0</v>
      </c>
    </row>
    <row r="442" spans="1:13">
      <c r="A442" s="1515"/>
      <c r="B442" s="473"/>
      <c r="C442" s="268" t="s">
        <v>14</v>
      </c>
      <c r="D442" s="184" t="s">
        <v>11</v>
      </c>
      <c r="E442" s="312">
        <v>2.1</v>
      </c>
      <c r="F442" s="269">
        <f>F439*E442</f>
        <v>5.2500000000000005E-2</v>
      </c>
      <c r="G442" s="245"/>
      <c r="H442" s="77"/>
      <c r="I442" s="80"/>
      <c r="J442" s="77"/>
      <c r="K442" s="180"/>
      <c r="L442" s="77">
        <f>F442*K442</f>
        <v>0</v>
      </c>
      <c r="M442" s="77">
        <f t="shared" si="18"/>
        <v>0</v>
      </c>
    </row>
    <row r="443" spans="1:13">
      <c r="A443" s="1516"/>
      <c r="B443" s="473"/>
      <c r="C443" s="268" t="s">
        <v>220</v>
      </c>
      <c r="D443" s="184" t="s">
        <v>4</v>
      </c>
      <c r="E443" s="312">
        <v>0.05</v>
      </c>
      <c r="F443" s="269">
        <f>F439*E443</f>
        <v>1.2500000000000002E-3</v>
      </c>
      <c r="G443" s="245"/>
      <c r="H443" s="77">
        <f>F443*G443</f>
        <v>0</v>
      </c>
      <c r="I443" s="80"/>
      <c r="J443" s="77"/>
      <c r="K443" s="180"/>
      <c r="L443" s="77"/>
      <c r="M443" s="77">
        <f t="shared" si="18"/>
        <v>0</v>
      </c>
    </row>
    <row r="444" spans="1:13" ht="31.5">
      <c r="A444" s="1492" t="s">
        <v>432</v>
      </c>
      <c r="B444" s="474" t="s">
        <v>503</v>
      </c>
      <c r="C444" s="406" t="s">
        <v>740</v>
      </c>
      <c r="D444" s="40" t="s">
        <v>318</v>
      </c>
      <c r="E444" s="1009"/>
      <c r="F444" s="20">
        <v>25</v>
      </c>
      <c r="G444" s="188"/>
      <c r="H444" s="77"/>
      <c r="I444" s="188"/>
      <c r="J444" s="77"/>
      <c r="K444" s="188"/>
      <c r="L444" s="77"/>
      <c r="M444" s="77"/>
    </row>
    <row r="445" spans="1:13">
      <c r="A445" s="1492"/>
      <c r="B445" s="467"/>
      <c r="C445" s="131" t="s">
        <v>189</v>
      </c>
      <c r="D445" s="46" t="s">
        <v>15</v>
      </c>
      <c r="E445" s="61">
        <v>1.21</v>
      </c>
      <c r="F445" s="282">
        <f>E445*F444</f>
        <v>30.25</v>
      </c>
      <c r="G445" s="180"/>
      <c r="H445" s="77"/>
      <c r="I445" s="180"/>
      <c r="J445" s="77">
        <f>F445*I445</f>
        <v>0</v>
      </c>
      <c r="K445" s="180"/>
      <c r="L445" s="77"/>
      <c r="M445" s="77">
        <f t="shared" si="18"/>
        <v>0</v>
      </c>
    </row>
    <row r="446" spans="1:13">
      <c r="A446" s="1418" t="s">
        <v>39</v>
      </c>
      <c r="B446" s="472" t="s">
        <v>136</v>
      </c>
      <c r="C446" s="404" t="s">
        <v>137</v>
      </c>
      <c r="D446" s="22" t="s">
        <v>138</v>
      </c>
      <c r="E446" s="243"/>
      <c r="F446" s="122">
        <v>50</v>
      </c>
      <c r="G446" s="80"/>
      <c r="H446" s="77"/>
      <c r="I446" s="77"/>
      <c r="J446" s="77"/>
      <c r="K446" s="77"/>
      <c r="L446" s="77"/>
      <c r="M446" s="77"/>
    </row>
    <row r="447" spans="1:13">
      <c r="A447" s="1419"/>
      <c r="B447" s="472"/>
      <c r="C447" s="407" t="s">
        <v>13</v>
      </c>
      <c r="D447" s="253" t="s">
        <v>109</v>
      </c>
      <c r="E447" s="256">
        <v>1.002</v>
      </c>
      <c r="F447" s="257">
        <f>F446*E447</f>
        <v>50.1</v>
      </c>
      <c r="G447" s="80"/>
      <c r="H447" s="77"/>
      <c r="I447" s="77"/>
      <c r="J447" s="77">
        <f>F447*I447</f>
        <v>0</v>
      </c>
      <c r="K447" s="77"/>
      <c r="L447" s="77"/>
      <c r="M447" s="77">
        <f t="shared" si="18"/>
        <v>0</v>
      </c>
    </row>
    <row r="448" spans="1:13">
      <c r="A448" s="1420"/>
      <c r="B448" s="472"/>
      <c r="C448" s="407" t="s">
        <v>139</v>
      </c>
      <c r="D448" s="253" t="s">
        <v>11</v>
      </c>
      <c r="E448" s="256">
        <v>0.49340000000000001</v>
      </c>
      <c r="F448" s="257">
        <f>F446*E448</f>
        <v>24.67</v>
      </c>
      <c r="G448" s="80"/>
      <c r="H448" s="77"/>
      <c r="I448" s="77"/>
      <c r="J448" s="77"/>
      <c r="K448" s="77"/>
      <c r="L448" s="77">
        <f>F448*K448</f>
        <v>0</v>
      </c>
      <c r="M448" s="77">
        <f t="shared" si="18"/>
        <v>0</v>
      </c>
    </row>
    <row r="449" spans="1:14">
      <c r="A449" s="1418" t="s">
        <v>64</v>
      </c>
      <c r="B449" s="472" t="s">
        <v>143</v>
      </c>
      <c r="C449" s="404" t="s">
        <v>140</v>
      </c>
      <c r="D449" s="942" t="s">
        <v>5</v>
      </c>
      <c r="E449" s="243">
        <f>0.12*0.12</f>
        <v>1.44E-2</v>
      </c>
      <c r="F449" s="122">
        <f>13*E449</f>
        <v>0.18720000000000001</v>
      </c>
      <c r="G449" s="80"/>
      <c r="H449" s="77"/>
      <c r="I449" s="77"/>
      <c r="J449" s="77"/>
      <c r="K449" s="77"/>
      <c r="L449" s="77"/>
      <c r="M449" s="77"/>
    </row>
    <row r="450" spans="1:14">
      <c r="A450" s="1419"/>
      <c r="B450" s="472"/>
      <c r="C450" s="408" t="s">
        <v>20</v>
      </c>
      <c r="D450" s="255" t="s">
        <v>15</v>
      </c>
      <c r="E450" s="73">
        <v>74.2</v>
      </c>
      <c r="F450" s="78">
        <f>F449*E450</f>
        <v>13.89024</v>
      </c>
      <c r="G450" s="146"/>
      <c r="H450" s="77"/>
      <c r="I450" s="77"/>
      <c r="J450" s="77">
        <f>F450*I450</f>
        <v>0</v>
      </c>
      <c r="K450" s="77"/>
      <c r="L450" s="77"/>
      <c r="M450" s="77">
        <f t="shared" si="18"/>
        <v>0</v>
      </c>
    </row>
    <row r="451" spans="1:14">
      <c r="A451" s="1419"/>
      <c r="B451" s="472"/>
      <c r="C451" s="408" t="s">
        <v>24</v>
      </c>
      <c r="D451" s="63" t="s">
        <v>11</v>
      </c>
      <c r="E451" s="73">
        <v>1.1000000000000001</v>
      </c>
      <c r="F451" s="78">
        <f>F449*E451</f>
        <v>0.20592000000000002</v>
      </c>
      <c r="G451" s="146"/>
      <c r="H451" s="77"/>
      <c r="I451" s="77"/>
      <c r="J451" s="77"/>
      <c r="K451" s="77"/>
      <c r="L451" s="77">
        <f>F451*K451</f>
        <v>0</v>
      </c>
      <c r="M451" s="77">
        <f t="shared" si="18"/>
        <v>0</v>
      </c>
    </row>
    <row r="452" spans="1:14">
      <c r="A452" s="1419"/>
      <c r="B452" s="472"/>
      <c r="C452" s="107" t="s">
        <v>853</v>
      </c>
      <c r="D452" s="255" t="s">
        <v>4</v>
      </c>
      <c r="E452" s="73">
        <v>1.04</v>
      </c>
      <c r="F452" s="78">
        <f>F449*E452</f>
        <v>0.194688</v>
      </c>
      <c r="G452" s="146"/>
      <c r="H452" s="77">
        <f>F452*G452</f>
        <v>0</v>
      </c>
      <c r="I452" s="77"/>
      <c r="J452" s="77"/>
      <c r="K452" s="77"/>
      <c r="L452" s="77"/>
      <c r="M452" s="77">
        <f t="shared" si="18"/>
        <v>0</v>
      </c>
    </row>
    <row r="453" spans="1:14">
      <c r="A453" s="1419"/>
      <c r="B453" s="472"/>
      <c r="C453" s="408" t="s">
        <v>144</v>
      </c>
      <c r="D453" s="255" t="s">
        <v>6</v>
      </c>
      <c r="E453" s="73">
        <v>5.9</v>
      </c>
      <c r="F453" s="78">
        <f>F449*E453</f>
        <v>1.1044800000000001</v>
      </c>
      <c r="G453" s="146"/>
      <c r="H453" s="77">
        <f>F453*G453</f>
        <v>0</v>
      </c>
      <c r="I453" s="77"/>
      <c r="J453" s="77"/>
      <c r="K453" s="77"/>
      <c r="L453" s="77"/>
      <c r="M453" s="77">
        <f t="shared" si="18"/>
        <v>0</v>
      </c>
    </row>
    <row r="454" spans="1:14">
      <c r="A454" s="1419"/>
      <c r="B454" s="472"/>
      <c r="C454" s="142" t="s">
        <v>222</v>
      </c>
      <c r="D454" s="284" t="s">
        <v>4</v>
      </c>
      <c r="E454" s="1006">
        <f>0.21+0.18</f>
        <v>0.39</v>
      </c>
      <c r="F454" s="1000">
        <v>0.11232</v>
      </c>
      <c r="G454" s="304"/>
      <c r="H454" s="77">
        <f>F454*G454</f>
        <v>0</v>
      </c>
      <c r="I454" s="77"/>
      <c r="J454" s="77"/>
      <c r="K454" s="77"/>
      <c r="L454" s="77"/>
      <c r="M454" s="77">
        <f t="shared" si="18"/>
        <v>0</v>
      </c>
    </row>
    <row r="455" spans="1:14">
      <c r="A455" s="919"/>
      <c r="B455" s="933"/>
      <c r="C455" s="260"/>
      <c r="D455" s="850"/>
      <c r="E455" s="59"/>
      <c r="F455" s="78"/>
      <c r="G455" s="261"/>
      <c r="H455" s="77"/>
      <c r="I455" s="77"/>
      <c r="J455" s="77"/>
      <c r="K455" s="77"/>
      <c r="L455" s="77"/>
      <c r="M455" s="448"/>
    </row>
    <row r="456" spans="1:14">
      <c r="A456" s="101"/>
      <c r="B456" s="238"/>
      <c r="C456" s="104" t="s">
        <v>851</v>
      </c>
      <c r="D456" s="238"/>
      <c r="E456" s="421"/>
      <c r="F456" s="244"/>
      <c r="G456" s="99"/>
      <c r="H456" s="1044">
        <f>SUM(H411:H455)</f>
        <v>0</v>
      </c>
      <c r="I456" s="1044"/>
      <c r="J456" s="1044">
        <f>SUM(J411:J455)</f>
        <v>0</v>
      </c>
      <c r="K456" s="1044"/>
      <c r="L456" s="1044">
        <f>SUM(L411:L455)</f>
        <v>0</v>
      </c>
      <c r="M456" s="1044">
        <f>SUM(M411:M455)</f>
        <v>0</v>
      </c>
      <c r="N456" s="1026">
        <f>H456+J456+L456</f>
        <v>0</v>
      </c>
    </row>
    <row r="457" spans="1:14">
      <c r="A457" s="928"/>
      <c r="B457" s="338"/>
      <c r="C457" s="352" t="s">
        <v>785</v>
      </c>
      <c r="D457" s="338"/>
      <c r="E457" s="353"/>
      <c r="F457" s="354"/>
      <c r="G457" s="355"/>
      <c r="H457" s="355"/>
      <c r="I457" s="355"/>
      <c r="J457" s="355"/>
      <c r="K457" s="355"/>
      <c r="L457" s="355"/>
      <c r="M457" s="356">
        <f>H456*F457</f>
        <v>0</v>
      </c>
    </row>
    <row r="458" spans="1:14">
      <c r="A458" s="928"/>
      <c r="B458" s="338"/>
      <c r="C458" s="335" t="s">
        <v>54</v>
      </c>
      <c r="D458" s="338"/>
      <c r="E458" s="353"/>
      <c r="F458" s="357"/>
      <c r="G458" s="355"/>
      <c r="H458" s="355"/>
      <c r="I458" s="355"/>
      <c r="J458" s="355"/>
      <c r="K458" s="355"/>
      <c r="L458" s="355"/>
      <c r="M458" s="356">
        <f>M456+M457</f>
        <v>0</v>
      </c>
    </row>
    <row r="459" spans="1:14">
      <c r="A459" s="478"/>
      <c r="B459" s="359"/>
      <c r="C459" s="52" t="s">
        <v>63</v>
      </c>
      <c r="D459" s="36"/>
      <c r="E459" s="360"/>
      <c r="F459" s="479"/>
      <c r="G459" s="88"/>
      <c r="H459" s="88"/>
      <c r="I459" s="88"/>
      <c r="J459" s="88"/>
      <c r="K459" s="88"/>
      <c r="L459" s="88"/>
      <c r="M459" s="88">
        <f>M458*F459</f>
        <v>0</v>
      </c>
    </row>
    <row r="460" spans="1:14">
      <c r="A460" s="439"/>
      <c r="B460" s="363"/>
      <c r="C460" s="335" t="s">
        <v>54</v>
      </c>
      <c r="D460" s="37"/>
      <c r="E460" s="218"/>
      <c r="F460" s="364"/>
      <c r="G460" s="89"/>
      <c r="H460" s="89"/>
      <c r="I460" s="89"/>
      <c r="J460" s="89"/>
      <c r="K460" s="89"/>
      <c r="L460" s="89"/>
      <c r="M460" s="89">
        <f>M458+M459</f>
        <v>0</v>
      </c>
    </row>
    <row r="461" spans="1:14">
      <c r="A461" s="439"/>
      <c r="B461" s="363"/>
      <c r="C461" s="53" t="s">
        <v>46</v>
      </c>
      <c r="D461" s="37"/>
      <c r="E461" s="218"/>
      <c r="F461" s="365"/>
      <c r="G461" s="89"/>
      <c r="H461" s="89"/>
      <c r="I461" s="89"/>
      <c r="J461" s="89"/>
      <c r="K461" s="89"/>
      <c r="L461" s="89"/>
      <c r="M461" s="89">
        <f>M460*F461</f>
        <v>0</v>
      </c>
    </row>
    <row r="462" spans="1:14">
      <c r="A462" s="480"/>
      <c r="B462" s="366"/>
      <c r="C462" s="481" t="s">
        <v>852</v>
      </c>
      <c r="D462" s="367"/>
      <c r="E462" s="368"/>
      <c r="F462" s="369"/>
      <c r="G462" s="370"/>
      <c r="H462" s="370"/>
      <c r="I462" s="370"/>
      <c r="J462" s="370"/>
      <c r="K462" s="370"/>
      <c r="L462" s="370"/>
      <c r="M462" s="1044">
        <f>M460+M461</f>
        <v>0</v>
      </c>
    </row>
    <row r="463" spans="1:14" s="33" customFormat="1">
      <c r="A463" s="615"/>
      <c r="B463" s="611"/>
      <c r="C463" s="616"/>
      <c r="D463" s="612"/>
      <c r="E463" s="613"/>
      <c r="F463" s="364"/>
      <c r="G463" s="614"/>
      <c r="H463" s="614"/>
      <c r="I463" s="614"/>
      <c r="J463" s="614"/>
      <c r="K463" s="614"/>
      <c r="L463" s="614"/>
      <c r="M463" s="1055"/>
    </row>
    <row r="464" spans="1:14" ht="43.5" customHeight="1">
      <c r="A464" s="1354"/>
      <c r="B464" s="1355"/>
      <c r="C464" s="1366" t="s">
        <v>1905</v>
      </c>
      <c r="D464" s="1355"/>
      <c r="E464" s="1356"/>
      <c r="F464" s="1359"/>
      <c r="G464" s="1367"/>
      <c r="H464" s="1368"/>
      <c r="I464" s="1368"/>
      <c r="J464" s="1368"/>
      <c r="K464" s="1368"/>
      <c r="L464" s="1368"/>
      <c r="M464" s="1360">
        <f>M110+M132+M284+M316+M410+M462</f>
        <v>0</v>
      </c>
    </row>
    <row r="466" spans="3:5">
      <c r="C466" s="1328"/>
      <c r="D466" s="271"/>
      <c r="E466" s="446"/>
    </row>
    <row r="467" spans="3:5">
      <c r="C467" s="273"/>
      <c r="D467" s="274"/>
      <c r="E467" s="1056"/>
    </row>
    <row r="468" spans="3:5">
      <c r="C468" s="489"/>
      <c r="D468" s="1034"/>
      <c r="E468" s="1039"/>
    </row>
  </sheetData>
  <mergeCells count="80">
    <mergeCell ref="A396:A402"/>
    <mergeCell ref="E4:F4"/>
    <mergeCell ref="B427:B428"/>
    <mergeCell ref="C427:C428"/>
    <mergeCell ref="A298:A302"/>
    <mergeCell ref="A293:A297"/>
    <mergeCell ref="A286:A292"/>
    <mergeCell ref="A31:A37"/>
    <mergeCell ref="C372:C373"/>
    <mergeCell ref="B372:B373"/>
    <mergeCell ref="A303:A308"/>
    <mergeCell ref="A334:A337"/>
    <mergeCell ref="A338:A342"/>
    <mergeCell ref="A343:A345"/>
    <mergeCell ref="A318:A322"/>
    <mergeCell ref="A323:A333"/>
    <mergeCell ref="A446:A448"/>
    <mergeCell ref="A449:A454"/>
    <mergeCell ref="A346:A351"/>
    <mergeCell ref="A352:A356"/>
    <mergeCell ref="A357:A361"/>
    <mergeCell ref="A362:A366"/>
    <mergeCell ref="A367:A371"/>
    <mergeCell ref="A372:A377"/>
    <mergeCell ref="A417:A421"/>
    <mergeCell ref="A422:A426"/>
    <mergeCell ref="A427:A432"/>
    <mergeCell ref="A439:A443"/>
    <mergeCell ref="A444:A445"/>
    <mergeCell ref="A385:A390"/>
    <mergeCell ref="A433:A438"/>
    <mergeCell ref="A412:A416"/>
    <mergeCell ref="A38:A42"/>
    <mergeCell ref="A43:A47"/>
    <mergeCell ref="A48:A52"/>
    <mergeCell ref="A73:A97"/>
    <mergeCell ref="A53:A57"/>
    <mergeCell ref="A58:A62"/>
    <mergeCell ref="A63:A72"/>
    <mergeCell ref="M4:M5"/>
    <mergeCell ref="K4:L4"/>
    <mergeCell ref="A380:A384"/>
    <mergeCell ref="A391:A395"/>
    <mergeCell ref="A1:M1"/>
    <mergeCell ref="A2:M2"/>
    <mergeCell ref="A3:M3"/>
    <mergeCell ref="A4:A5"/>
    <mergeCell ref="B4:B5"/>
    <mergeCell ref="C4:C5"/>
    <mergeCell ref="D4:D5"/>
    <mergeCell ref="G4:H4"/>
    <mergeCell ref="I4:J4"/>
    <mergeCell ref="A98:A102"/>
    <mergeCell ref="A112:A124"/>
    <mergeCell ref="A9:A30"/>
    <mergeCell ref="A135:A139"/>
    <mergeCell ref="A140:A144"/>
    <mergeCell ref="A145:A149"/>
    <mergeCell ref="A150:A156"/>
    <mergeCell ref="A158:A162"/>
    <mergeCell ref="A163:A167"/>
    <mergeCell ref="A168:A172"/>
    <mergeCell ref="A173:A179"/>
    <mergeCell ref="A181:A185"/>
    <mergeCell ref="A186:A190"/>
    <mergeCell ref="A191:A195"/>
    <mergeCell ref="A196:A202"/>
    <mergeCell ref="A204:A208"/>
    <mergeCell ref="A209:A213"/>
    <mergeCell ref="A214:A218"/>
    <mergeCell ref="A219:A225"/>
    <mergeCell ref="A227:A231"/>
    <mergeCell ref="A232:A236"/>
    <mergeCell ref="A237:A241"/>
    <mergeCell ref="A242:A248"/>
    <mergeCell ref="A250:A254"/>
    <mergeCell ref="A256:A260"/>
    <mergeCell ref="A261:A265"/>
    <mergeCell ref="A267:A271"/>
    <mergeCell ref="A272:A276"/>
  </mergeCells>
  <pageMargins left="0.55118110236220474" right="0.11" top="0.66" bottom="0.31496062992125984" header="0.4" footer="0.27559055118110237"/>
  <pageSetup paperSize="9" scale="80" orientation="landscape" r:id="rId1"/>
  <headerFooter>
    <oddHeader>&amp;R&amp;P--&amp;N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</sheetPr>
  <dimension ref="A1:N148"/>
  <sheetViews>
    <sheetView zoomScale="110" zoomScaleNormal="110" workbookViewId="0">
      <pane xSplit="3" ySplit="7" topLeftCell="D133" activePane="bottomRight" state="frozen"/>
      <selection pane="topRight" activeCell="D1" sqref="D1"/>
      <selection pane="bottomLeft" activeCell="A8" sqref="A8"/>
      <selection pane="bottomRight" activeCell="M143" sqref="M143"/>
    </sheetView>
  </sheetViews>
  <sheetFormatPr defaultColWidth="8.875" defaultRowHeight="18"/>
  <cols>
    <col min="1" max="1" width="6.375" style="19" customWidth="1"/>
    <col min="2" max="2" width="10.25" style="19" customWidth="1"/>
    <col min="3" max="3" width="52.625" style="54" customWidth="1"/>
    <col min="4" max="4" width="8.75" style="19" customWidth="1"/>
    <col min="5" max="5" width="13.75" style="28" customWidth="1"/>
    <col min="6" max="6" width="10.375" style="206" customWidth="1"/>
    <col min="7" max="13" width="14.75" style="923" customWidth="1"/>
    <col min="14" max="14" width="18.75" style="15" hidden="1" customWidth="1"/>
    <col min="15" max="15" width="25.875" style="15" customWidth="1"/>
    <col min="16" max="16384" width="8.875" style="15"/>
  </cols>
  <sheetData>
    <row r="1" spans="1:14" s="9" customFormat="1" ht="30" customHeight="1">
      <c r="A1" s="1437" t="str">
        <f>krebsiti!A3</f>
        <v>q.borjomi fexburTis centraluri stadioni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042"/>
    </row>
    <row r="2" spans="1:14" s="9" customFormat="1" ht="26.25" customHeight="1">
      <c r="A2" s="1437" t="s">
        <v>74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</row>
    <row r="3" spans="1:14" s="9" customFormat="1" ht="24.75" customHeight="1">
      <c r="A3" s="1531" t="s">
        <v>1193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042" t="s">
        <v>1482</v>
      </c>
    </row>
    <row r="4" spans="1:14" s="9" customFormat="1" ht="29.25" customHeight="1">
      <c r="A4" s="1437" t="s">
        <v>795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</row>
    <row r="5" spans="1:14" s="9" customFormat="1" ht="27.75" customHeight="1">
      <c r="A5" s="1470" t="s">
        <v>0</v>
      </c>
      <c r="B5" s="1472" t="s">
        <v>789</v>
      </c>
      <c r="C5" s="1472" t="s">
        <v>790</v>
      </c>
      <c r="D5" s="1472" t="s">
        <v>791</v>
      </c>
      <c r="E5" s="1444" t="s">
        <v>209</v>
      </c>
      <c r="F5" s="1445"/>
      <c r="G5" s="1440" t="s">
        <v>208</v>
      </c>
      <c r="H5" s="1441"/>
      <c r="I5" s="1440" t="s">
        <v>792</v>
      </c>
      <c r="J5" s="1441"/>
      <c r="K5" s="1440" t="s">
        <v>17</v>
      </c>
      <c r="L5" s="1441"/>
      <c r="M5" s="1474" t="s">
        <v>425</v>
      </c>
      <c r="N5" s="332"/>
    </row>
    <row r="6" spans="1:14" s="9" customFormat="1" ht="26.25" customHeight="1">
      <c r="A6" s="1471"/>
      <c r="B6" s="1473"/>
      <c r="C6" s="1473"/>
      <c r="D6" s="1473"/>
      <c r="E6" s="949" t="s">
        <v>210</v>
      </c>
      <c r="F6" s="949" t="s">
        <v>9</v>
      </c>
      <c r="G6" s="448" t="s">
        <v>793</v>
      </c>
      <c r="H6" s="448" t="s">
        <v>9</v>
      </c>
      <c r="I6" s="448" t="s">
        <v>793</v>
      </c>
      <c r="J6" s="448" t="s">
        <v>9</v>
      </c>
      <c r="K6" s="448" t="s">
        <v>793</v>
      </c>
      <c r="L6" s="448" t="s">
        <v>9</v>
      </c>
      <c r="M6" s="1475"/>
      <c r="N6" s="332"/>
    </row>
    <row r="7" spans="1:14" s="9" customFormat="1" ht="15.75">
      <c r="A7" s="929">
        <v>1</v>
      </c>
      <c r="B7" s="281">
        <v>2</v>
      </c>
      <c r="C7" s="945">
        <v>3</v>
      </c>
      <c r="D7" s="945">
        <v>4</v>
      </c>
      <c r="E7" s="949">
        <v>5</v>
      </c>
      <c r="F7" s="949">
        <v>6</v>
      </c>
      <c r="G7" s="949">
        <v>7</v>
      </c>
      <c r="H7" s="949">
        <v>8</v>
      </c>
      <c r="I7" s="949">
        <v>9</v>
      </c>
      <c r="J7" s="949">
        <v>10</v>
      </c>
      <c r="K7" s="949">
        <v>11</v>
      </c>
      <c r="L7" s="949">
        <v>12</v>
      </c>
      <c r="M7" s="949">
        <v>13</v>
      </c>
      <c r="N7" s="332"/>
    </row>
    <row r="8" spans="1:14" ht="47.25">
      <c r="A8" s="377" t="s">
        <v>794</v>
      </c>
      <c r="B8" s="377"/>
      <c r="C8" s="375" t="s">
        <v>795</v>
      </c>
      <c r="D8" s="377"/>
      <c r="E8" s="378"/>
      <c r="F8" s="379"/>
      <c r="G8" s="448"/>
      <c r="H8" s="448"/>
      <c r="I8" s="448"/>
      <c r="J8" s="448"/>
      <c r="K8" s="448"/>
      <c r="L8" s="448"/>
      <c r="M8" s="448"/>
      <c r="N8" s="409"/>
    </row>
    <row r="9" spans="1:14" ht="31.5">
      <c r="A9" s="47" t="s">
        <v>856</v>
      </c>
      <c r="B9" s="30"/>
      <c r="C9" s="32" t="s">
        <v>79</v>
      </c>
      <c r="D9" s="30"/>
      <c r="E9" s="31"/>
      <c r="F9" s="29"/>
      <c r="G9" s="106"/>
      <c r="H9" s="106"/>
      <c r="I9" s="106"/>
      <c r="J9" s="106"/>
      <c r="K9" s="106"/>
      <c r="L9" s="106"/>
      <c r="M9" s="106"/>
      <c r="N9" s="409"/>
    </row>
    <row r="10" spans="1:14" ht="45">
      <c r="A10" s="1532">
        <v>1</v>
      </c>
      <c r="B10" s="1532" t="s">
        <v>346</v>
      </c>
      <c r="C10" s="1040" t="s">
        <v>1389</v>
      </c>
      <c r="D10" s="942" t="s">
        <v>180</v>
      </c>
      <c r="E10" s="26"/>
      <c r="F10" s="20">
        <v>1</v>
      </c>
      <c r="G10" s="77"/>
      <c r="H10" s="77"/>
      <c r="I10" s="77"/>
      <c r="J10" s="77"/>
      <c r="K10" s="77"/>
      <c r="L10" s="77"/>
      <c r="M10" s="77"/>
      <c r="N10" s="409"/>
    </row>
    <row r="11" spans="1:14">
      <c r="A11" s="1532"/>
      <c r="B11" s="1532"/>
      <c r="C11" s="153" t="s">
        <v>28</v>
      </c>
      <c r="D11" s="942" t="s">
        <v>179</v>
      </c>
      <c r="E11" s="26">
        <v>26</v>
      </c>
      <c r="F11" s="282">
        <f>E11*F10</f>
        <v>26</v>
      </c>
      <c r="G11" s="77"/>
      <c r="H11" s="77"/>
      <c r="I11" s="77"/>
      <c r="J11" s="77">
        <f>F11*I11</f>
        <v>0</v>
      </c>
      <c r="K11" s="77"/>
      <c r="L11" s="77"/>
      <c r="M11" s="77">
        <f t="shared" ref="M11:M54" si="0">H11+J11+L11</f>
        <v>0</v>
      </c>
      <c r="N11" s="409"/>
    </row>
    <row r="12" spans="1:14">
      <c r="A12" s="1532"/>
      <c r="B12" s="1532"/>
      <c r="C12" s="153" t="s">
        <v>19</v>
      </c>
      <c r="D12" s="942" t="s">
        <v>121</v>
      </c>
      <c r="E12" s="26">
        <v>2.5</v>
      </c>
      <c r="F12" s="282">
        <f>E12*F10</f>
        <v>2.5</v>
      </c>
      <c r="G12" s="77"/>
      <c r="H12" s="77">
        <f t="shared" ref="H12:H54" si="1">F12*G12</f>
        <v>0</v>
      </c>
      <c r="I12" s="77"/>
      <c r="J12" s="77"/>
      <c r="K12" s="77"/>
      <c r="L12" s="77"/>
      <c r="M12" s="77">
        <f t="shared" si="0"/>
        <v>0</v>
      </c>
      <c r="N12" s="409"/>
    </row>
    <row r="13" spans="1:14">
      <c r="A13" s="1532"/>
      <c r="B13" s="1532"/>
      <c r="C13" s="153" t="s">
        <v>796</v>
      </c>
      <c r="D13" s="942" t="s">
        <v>180</v>
      </c>
      <c r="E13" s="26"/>
      <c r="F13" s="282">
        <v>1</v>
      </c>
      <c r="G13" s="77"/>
      <c r="H13" s="77">
        <f t="shared" si="1"/>
        <v>0</v>
      </c>
      <c r="I13" s="77"/>
      <c r="J13" s="77"/>
      <c r="K13" s="77"/>
      <c r="L13" s="77"/>
      <c r="M13" s="77">
        <f t="shared" si="0"/>
        <v>0</v>
      </c>
      <c r="N13" s="409"/>
    </row>
    <row r="14" spans="1:14" ht="31.5">
      <c r="A14" s="1533">
        <v>2</v>
      </c>
      <c r="B14" s="1533" t="s">
        <v>347</v>
      </c>
      <c r="C14" s="152" t="s">
        <v>349</v>
      </c>
      <c r="D14" s="943" t="s">
        <v>348</v>
      </c>
      <c r="E14" s="57"/>
      <c r="F14" s="20">
        <v>43</v>
      </c>
      <c r="G14" s="77"/>
      <c r="H14" s="77"/>
      <c r="I14" s="77"/>
      <c r="J14" s="77"/>
      <c r="K14" s="77"/>
      <c r="L14" s="77"/>
      <c r="M14" s="77"/>
      <c r="N14" s="409"/>
    </row>
    <row r="15" spans="1:14">
      <c r="A15" s="1534"/>
      <c r="B15" s="1534"/>
      <c r="C15" s="153" t="s">
        <v>28</v>
      </c>
      <c r="D15" s="942" t="s">
        <v>179</v>
      </c>
      <c r="E15" s="26">
        <v>2</v>
      </c>
      <c r="F15" s="282">
        <f>E15*F14</f>
        <v>86</v>
      </c>
      <c r="G15" s="77"/>
      <c r="H15" s="77"/>
      <c r="I15" s="77"/>
      <c r="J15" s="77">
        <f>F15*I15</f>
        <v>0</v>
      </c>
      <c r="K15" s="77"/>
      <c r="L15" s="77"/>
      <c r="M15" s="77">
        <f t="shared" si="0"/>
        <v>0</v>
      </c>
      <c r="N15" s="409"/>
    </row>
    <row r="16" spans="1:14">
      <c r="A16" s="1534"/>
      <c r="B16" s="1534"/>
      <c r="C16" s="153" t="s">
        <v>19</v>
      </c>
      <c r="D16" s="942" t="s">
        <v>121</v>
      </c>
      <c r="E16" s="26">
        <v>0.28000000000000003</v>
      </c>
      <c r="F16" s="282">
        <f>E16*F14</f>
        <v>12.040000000000001</v>
      </c>
      <c r="G16" s="77"/>
      <c r="H16" s="77">
        <f t="shared" si="1"/>
        <v>0</v>
      </c>
      <c r="I16" s="77"/>
      <c r="J16" s="77"/>
      <c r="K16" s="77"/>
      <c r="L16" s="77"/>
      <c r="M16" s="77">
        <f t="shared" si="0"/>
        <v>0</v>
      </c>
      <c r="N16" s="409"/>
    </row>
    <row r="17" spans="1:14">
      <c r="A17" s="1535"/>
      <c r="B17" s="1535"/>
      <c r="C17" s="153" t="s">
        <v>354</v>
      </c>
      <c r="D17" s="942" t="s">
        <v>348</v>
      </c>
      <c r="E17" s="26"/>
      <c r="F17" s="282">
        <f>F14</f>
        <v>43</v>
      </c>
      <c r="G17" s="77"/>
      <c r="H17" s="77">
        <f t="shared" si="1"/>
        <v>0</v>
      </c>
      <c r="I17" s="77"/>
      <c r="J17" s="77"/>
      <c r="K17" s="77"/>
      <c r="L17" s="77"/>
      <c r="M17" s="77">
        <f t="shared" si="0"/>
        <v>0</v>
      </c>
      <c r="N17" s="409"/>
    </row>
    <row r="18" spans="1:14">
      <c r="A18" s="1533">
        <v>3</v>
      </c>
      <c r="B18" s="1533" t="s">
        <v>347</v>
      </c>
      <c r="C18" s="152" t="s">
        <v>350</v>
      </c>
      <c r="D18" s="943" t="s">
        <v>348</v>
      </c>
      <c r="E18" s="57"/>
      <c r="F18" s="20">
        <v>1</v>
      </c>
      <c r="G18" s="77"/>
      <c r="H18" s="77"/>
      <c r="I18" s="77"/>
      <c r="J18" s="77"/>
      <c r="K18" s="77"/>
      <c r="L18" s="77"/>
      <c r="M18" s="77"/>
      <c r="N18" s="409"/>
    </row>
    <row r="19" spans="1:14">
      <c r="A19" s="1534"/>
      <c r="B19" s="1534"/>
      <c r="C19" s="153" t="s">
        <v>28</v>
      </c>
      <c r="D19" s="942" t="s">
        <v>179</v>
      </c>
      <c r="E19" s="26">
        <v>2</v>
      </c>
      <c r="F19" s="282">
        <f>E19*F18</f>
        <v>2</v>
      </c>
      <c r="G19" s="77"/>
      <c r="H19" s="77"/>
      <c r="I19" s="77"/>
      <c r="J19" s="77">
        <f>F19*I19</f>
        <v>0</v>
      </c>
      <c r="K19" s="77"/>
      <c r="L19" s="77"/>
      <c r="M19" s="77">
        <f t="shared" si="0"/>
        <v>0</v>
      </c>
      <c r="N19" s="409"/>
    </row>
    <row r="20" spans="1:14">
      <c r="A20" s="1534"/>
      <c r="B20" s="1534"/>
      <c r="C20" s="153" t="s">
        <v>19</v>
      </c>
      <c r="D20" s="942" t="s">
        <v>121</v>
      </c>
      <c r="E20" s="26">
        <v>0.28000000000000003</v>
      </c>
      <c r="F20" s="282">
        <f>E20*F18</f>
        <v>0.28000000000000003</v>
      </c>
      <c r="G20" s="77"/>
      <c r="H20" s="77"/>
      <c r="I20" s="77"/>
      <c r="J20" s="77"/>
      <c r="K20" s="77"/>
      <c r="L20" s="77"/>
      <c r="M20" s="77"/>
      <c r="N20" s="409"/>
    </row>
    <row r="21" spans="1:14">
      <c r="A21" s="1535"/>
      <c r="B21" s="1535"/>
      <c r="C21" s="153" t="s">
        <v>355</v>
      </c>
      <c r="D21" s="942" t="s">
        <v>348</v>
      </c>
      <c r="E21" s="26"/>
      <c r="F21" s="282">
        <f>F18</f>
        <v>1</v>
      </c>
      <c r="G21" s="77"/>
      <c r="H21" s="77">
        <f t="shared" si="1"/>
        <v>0</v>
      </c>
      <c r="I21" s="77"/>
      <c r="J21" s="77"/>
      <c r="K21" s="77"/>
      <c r="L21" s="77"/>
      <c r="M21" s="77">
        <f t="shared" si="0"/>
        <v>0</v>
      </c>
      <c r="N21" s="409"/>
    </row>
    <row r="22" spans="1:14">
      <c r="A22" s="1532">
        <v>4</v>
      </c>
      <c r="B22" s="1532" t="s">
        <v>351</v>
      </c>
      <c r="C22" s="152" t="s">
        <v>352</v>
      </c>
      <c r="D22" s="942"/>
      <c r="E22" s="26"/>
      <c r="F22" s="20">
        <v>9</v>
      </c>
      <c r="G22" s="77"/>
      <c r="H22" s="77"/>
      <c r="I22" s="77"/>
      <c r="J22" s="77"/>
      <c r="K22" s="77"/>
      <c r="L22" s="77"/>
      <c r="M22" s="77"/>
      <c r="N22" s="409"/>
    </row>
    <row r="23" spans="1:14">
      <c r="A23" s="1532"/>
      <c r="B23" s="1532"/>
      <c r="C23" s="153" t="s">
        <v>28</v>
      </c>
      <c r="D23" s="942" t="s">
        <v>179</v>
      </c>
      <c r="E23" s="26">
        <v>2</v>
      </c>
      <c r="F23" s="282">
        <f>E23*F22</f>
        <v>18</v>
      </c>
      <c r="G23" s="77"/>
      <c r="H23" s="77"/>
      <c r="I23" s="77"/>
      <c r="J23" s="77">
        <f>F23*I23</f>
        <v>0</v>
      </c>
      <c r="K23" s="77"/>
      <c r="L23" s="77"/>
      <c r="M23" s="77">
        <f t="shared" si="0"/>
        <v>0</v>
      </c>
      <c r="N23" s="409"/>
    </row>
    <row r="24" spans="1:14">
      <c r="A24" s="1532"/>
      <c r="B24" s="1532"/>
      <c r="C24" s="166" t="s">
        <v>19</v>
      </c>
      <c r="D24" s="942" t="s">
        <v>121</v>
      </c>
      <c r="E24" s="26">
        <v>0.14000000000000001</v>
      </c>
      <c r="F24" s="282">
        <f>E24*F22</f>
        <v>1.2600000000000002</v>
      </c>
      <c r="G24" s="77"/>
      <c r="H24" s="77">
        <f t="shared" si="1"/>
        <v>0</v>
      </c>
      <c r="I24" s="77"/>
      <c r="J24" s="77"/>
      <c r="K24" s="77"/>
      <c r="L24" s="77"/>
      <c r="M24" s="77">
        <f t="shared" si="0"/>
        <v>0</v>
      </c>
      <c r="N24" s="409"/>
    </row>
    <row r="25" spans="1:14">
      <c r="A25" s="1532"/>
      <c r="B25" s="1532"/>
      <c r="C25" s="153" t="s">
        <v>353</v>
      </c>
      <c r="D25" s="942" t="s">
        <v>348</v>
      </c>
      <c r="E25" s="26"/>
      <c r="F25" s="282">
        <f>F22</f>
        <v>9</v>
      </c>
      <c r="G25" s="77"/>
      <c r="H25" s="77">
        <f t="shared" si="1"/>
        <v>0</v>
      </c>
      <c r="I25" s="77"/>
      <c r="J25" s="77"/>
      <c r="K25" s="77"/>
      <c r="L25" s="77"/>
      <c r="M25" s="77">
        <f t="shared" si="0"/>
        <v>0</v>
      </c>
      <c r="N25" s="409"/>
    </row>
    <row r="26" spans="1:14">
      <c r="A26" s="1532">
        <v>5</v>
      </c>
      <c r="B26" s="1532" t="s">
        <v>356</v>
      </c>
      <c r="C26" s="152" t="s">
        <v>797</v>
      </c>
      <c r="D26" s="942" t="s">
        <v>2</v>
      </c>
      <c r="E26" s="26"/>
      <c r="F26" s="20">
        <v>8</v>
      </c>
      <c r="G26" s="77"/>
      <c r="H26" s="77"/>
      <c r="I26" s="77"/>
      <c r="J26" s="77"/>
      <c r="K26" s="77"/>
      <c r="L26" s="77"/>
      <c r="M26" s="77"/>
      <c r="N26" s="409"/>
    </row>
    <row r="27" spans="1:14">
      <c r="A27" s="1532"/>
      <c r="B27" s="1532"/>
      <c r="C27" s="153" t="s">
        <v>28</v>
      </c>
      <c r="D27" s="942" t="s">
        <v>179</v>
      </c>
      <c r="E27" s="26">
        <v>3</v>
      </c>
      <c r="F27" s="282">
        <f>E27*F26</f>
        <v>24</v>
      </c>
      <c r="G27" s="77"/>
      <c r="H27" s="77"/>
      <c r="I27" s="77"/>
      <c r="J27" s="77">
        <f>F27*I27</f>
        <v>0</v>
      </c>
      <c r="K27" s="77"/>
      <c r="L27" s="77"/>
      <c r="M27" s="77">
        <f t="shared" si="0"/>
        <v>0</v>
      </c>
      <c r="N27" s="409"/>
    </row>
    <row r="28" spans="1:14">
      <c r="A28" s="1532"/>
      <c r="B28" s="1532"/>
      <c r="C28" s="166" t="s">
        <v>19</v>
      </c>
      <c r="D28" s="942" t="s">
        <v>121</v>
      </c>
      <c r="E28" s="26">
        <v>0.14000000000000001</v>
      </c>
      <c r="F28" s="282">
        <f>E28*F26</f>
        <v>1.1200000000000001</v>
      </c>
      <c r="G28" s="77"/>
      <c r="H28" s="77"/>
      <c r="I28" s="77"/>
      <c r="J28" s="77"/>
      <c r="K28" s="77"/>
      <c r="L28" s="77"/>
      <c r="M28" s="77"/>
      <c r="N28" s="409"/>
    </row>
    <row r="29" spans="1:14">
      <c r="A29" s="1532"/>
      <c r="B29" s="1532"/>
      <c r="C29" s="153" t="s">
        <v>357</v>
      </c>
      <c r="D29" s="942" t="s">
        <v>348</v>
      </c>
      <c r="E29" s="26"/>
      <c r="F29" s="282">
        <f>F26</f>
        <v>8</v>
      </c>
      <c r="G29" s="77"/>
      <c r="H29" s="77">
        <f t="shared" si="1"/>
        <v>0</v>
      </c>
      <c r="I29" s="77"/>
      <c r="J29" s="77"/>
      <c r="K29" s="77"/>
      <c r="L29" s="77"/>
      <c r="M29" s="77">
        <f t="shared" si="0"/>
        <v>0</v>
      </c>
      <c r="N29" s="409"/>
    </row>
    <row r="30" spans="1:14">
      <c r="A30" s="1533">
        <v>6</v>
      </c>
      <c r="B30" s="1533" t="s">
        <v>358</v>
      </c>
      <c r="C30" s="152" t="s">
        <v>359</v>
      </c>
      <c r="D30" s="942"/>
      <c r="E30" s="26"/>
      <c r="F30" s="20">
        <f>F34+F35+F36</f>
        <v>1210</v>
      </c>
      <c r="G30" s="77"/>
      <c r="H30" s="77"/>
      <c r="I30" s="77"/>
      <c r="J30" s="77"/>
      <c r="K30" s="77"/>
      <c r="L30" s="77"/>
      <c r="M30" s="77"/>
      <c r="N30" s="409"/>
    </row>
    <row r="31" spans="1:14">
      <c r="A31" s="1534"/>
      <c r="B31" s="1534"/>
      <c r="C31" s="153" t="s">
        <v>28</v>
      </c>
      <c r="D31" s="942" t="s">
        <v>179</v>
      </c>
      <c r="E31" s="26">
        <f>40*0.01</f>
        <v>0.4</v>
      </c>
      <c r="F31" s="282">
        <f>E31*F30</f>
        <v>484</v>
      </c>
      <c r="G31" s="77"/>
      <c r="H31" s="77"/>
      <c r="I31" s="77"/>
      <c r="J31" s="77">
        <f>F31*I31</f>
        <v>0</v>
      </c>
      <c r="K31" s="77"/>
      <c r="L31" s="77"/>
      <c r="M31" s="77">
        <f t="shared" si="0"/>
        <v>0</v>
      </c>
      <c r="N31" s="409"/>
    </row>
    <row r="32" spans="1:14">
      <c r="A32" s="1534"/>
      <c r="B32" s="1534"/>
      <c r="C32" s="153" t="s">
        <v>14</v>
      </c>
      <c r="D32" s="942" t="s">
        <v>121</v>
      </c>
      <c r="E32" s="26">
        <v>6.8099999999999994E-2</v>
      </c>
      <c r="F32" s="282">
        <f>E32*F30</f>
        <v>82.400999999999996</v>
      </c>
      <c r="G32" s="77"/>
      <c r="H32" s="77"/>
      <c r="I32" s="77"/>
      <c r="J32" s="77"/>
      <c r="K32" s="77"/>
      <c r="L32" s="77">
        <f>F32*K32</f>
        <v>0</v>
      </c>
      <c r="M32" s="77">
        <f t="shared" si="0"/>
        <v>0</v>
      </c>
      <c r="N32" s="409"/>
    </row>
    <row r="33" spans="1:14">
      <c r="A33" s="1534"/>
      <c r="B33" s="1534"/>
      <c r="C33" s="153" t="s">
        <v>26</v>
      </c>
      <c r="D33" s="942" t="s">
        <v>11</v>
      </c>
      <c r="E33" s="26">
        <v>6.9900000000000004E-2</v>
      </c>
      <c r="F33" s="282">
        <f>E33*F30</f>
        <v>84.579000000000008</v>
      </c>
      <c r="G33" s="77"/>
      <c r="H33" s="77">
        <f t="shared" si="1"/>
        <v>0</v>
      </c>
      <c r="I33" s="77"/>
      <c r="J33" s="77"/>
      <c r="K33" s="77"/>
      <c r="L33" s="77"/>
      <c r="M33" s="77">
        <f t="shared" si="0"/>
        <v>0</v>
      </c>
      <c r="N33" s="409"/>
    </row>
    <row r="34" spans="1:14" ht="30">
      <c r="A34" s="1534"/>
      <c r="B34" s="1534"/>
      <c r="C34" s="977" t="s">
        <v>1390</v>
      </c>
      <c r="D34" s="942" t="s">
        <v>1</v>
      </c>
      <c r="E34" s="26"/>
      <c r="F34" s="282">
        <v>450</v>
      </c>
      <c r="G34" s="77"/>
      <c r="H34" s="77">
        <f t="shared" si="1"/>
        <v>0</v>
      </c>
      <c r="I34" s="77"/>
      <c r="J34" s="77"/>
      <c r="K34" s="77"/>
      <c r="L34" s="77"/>
      <c r="M34" s="77">
        <f t="shared" si="0"/>
        <v>0</v>
      </c>
      <c r="N34" s="409"/>
    </row>
    <row r="35" spans="1:14" ht="30">
      <c r="A35" s="1534"/>
      <c r="B35" s="1534"/>
      <c r="C35" s="977" t="s">
        <v>1391</v>
      </c>
      <c r="D35" s="942" t="s">
        <v>1</v>
      </c>
      <c r="E35" s="26"/>
      <c r="F35" s="282">
        <v>160</v>
      </c>
      <c r="G35" s="77"/>
      <c r="H35" s="77">
        <f>F35*G35</f>
        <v>0</v>
      </c>
      <c r="I35" s="77"/>
      <c r="J35" s="77"/>
      <c r="K35" s="77"/>
      <c r="L35" s="77"/>
      <c r="M35" s="77">
        <f>H35+J35+L35</f>
        <v>0</v>
      </c>
      <c r="N35" s="409"/>
    </row>
    <row r="36" spans="1:14">
      <c r="A36" s="1534"/>
      <c r="B36" s="1534"/>
      <c r="C36" s="977" t="s">
        <v>1392</v>
      </c>
      <c r="D36" s="942" t="s">
        <v>1</v>
      </c>
      <c r="E36" s="26"/>
      <c r="F36" s="282">
        <v>600</v>
      </c>
      <c r="G36" s="77"/>
      <c r="H36" s="77">
        <f>F36*G36</f>
        <v>0</v>
      </c>
      <c r="I36" s="77"/>
      <c r="J36" s="77"/>
      <c r="K36" s="77"/>
      <c r="L36" s="77"/>
      <c r="M36" s="77">
        <f>H36+J36+L36</f>
        <v>0</v>
      </c>
      <c r="N36" s="409"/>
    </row>
    <row r="37" spans="1:14">
      <c r="A37" s="1534"/>
      <c r="B37" s="1534"/>
      <c r="C37" s="977" t="s">
        <v>1393</v>
      </c>
      <c r="D37" s="942" t="s">
        <v>2</v>
      </c>
      <c r="E37" s="26"/>
      <c r="F37" s="282">
        <v>500</v>
      </c>
      <c r="G37" s="77"/>
      <c r="H37" s="77">
        <f>F37*G37</f>
        <v>0</v>
      </c>
      <c r="I37" s="77"/>
      <c r="J37" s="77"/>
      <c r="K37" s="77"/>
      <c r="L37" s="77"/>
      <c r="M37" s="77">
        <f>H37+J37+L37</f>
        <v>0</v>
      </c>
      <c r="N37" s="409"/>
    </row>
    <row r="38" spans="1:14">
      <c r="A38" s="1535"/>
      <c r="B38" s="1535"/>
      <c r="C38" s="977" t="s">
        <v>1306</v>
      </c>
      <c r="D38" s="942" t="s">
        <v>65</v>
      </c>
      <c r="E38" s="26"/>
      <c r="F38" s="282">
        <v>1</v>
      </c>
      <c r="G38" s="77"/>
      <c r="H38" s="77">
        <f t="shared" si="1"/>
        <v>0</v>
      </c>
      <c r="I38" s="77"/>
      <c r="J38" s="77"/>
      <c r="K38" s="77"/>
      <c r="L38" s="77"/>
      <c r="M38" s="77">
        <f t="shared" si="0"/>
        <v>0</v>
      </c>
      <c r="N38" s="409"/>
    </row>
    <row r="39" spans="1:14">
      <c r="A39" s="1533">
        <v>7</v>
      </c>
      <c r="B39" s="1533" t="s">
        <v>347</v>
      </c>
      <c r="C39" s="152" t="s">
        <v>361</v>
      </c>
      <c r="D39" s="943" t="s">
        <v>348</v>
      </c>
      <c r="E39" s="57"/>
      <c r="F39" s="20">
        <f>F42+F43</f>
        <v>25</v>
      </c>
      <c r="G39" s="77"/>
      <c r="H39" s="77"/>
      <c r="I39" s="77"/>
      <c r="J39" s="77"/>
      <c r="K39" s="77"/>
      <c r="L39" s="77"/>
      <c r="M39" s="77"/>
      <c r="N39" s="409"/>
    </row>
    <row r="40" spans="1:14">
      <c r="A40" s="1534"/>
      <c r="B40" s="1534"/>
      <c r="C40" s="153" t="s">
        <v>28</v>
      </c>
      <c r="D40" s="942" t="s">
        <v>179</v>
      </c>
      <c r="E40" s="26">
        <v>2</v>
      </c>
      <c r="F40" s="282">
        <f>E40*F39</f>
        <v>50</v>
      </c>
      <c r="G40" s="77"/>
      <c r="H40" s="77"/>
      <c r="I40" s="77"/>
      <c r="J40" s="77">
        <f>F40*I40</f>
        <v>0</v>
      </c>
      <c r="K40" s="77"/>
      <c r="L40" s="77"/>
      <c r="M40" s="77">
        <f t="shared" si="0"/>
        <v>0</v>
      </c>
      <c r="N40" s="409"/>
    </row>
    <row r="41" spans="1:14">
      <c r="A41" s="1534"/>
      <c r="B41" s="1534"/>
      <c r="C41" s="166" t="s">
        <v>19</v>
      </c>
      <c r="D41" s="942" t="s">
        <v>121</v>
      </c>
      <c r="E41" s="26">
        <v>0.28000000000000003</v>
      </c>
      <c r="F41" s="282">
        <f>E41*F39</f>
        <v>7.0000000000000009</v>
      </c>
      <c r="G41" s="77"/>
      <c r="H41" s="77">
        <f t="shared" si="1"/>
        <v>0</v>
      </c>
      <c r="I41" s="77"/>
      <c r="J41" s="77"/>
      <c r="K41" s="77"/>
      <c r="L41" s="77"/>
      <c r="M41" s="77">
        <f t="shared" si="0"/>
        <v>0</v>
      </c>
      <c r="N41" s="409"/>
    </row>
    <row r="42" spans="1:14">
      <c r="A42" s="1534"/>
      <c r="B42" s="1534"/>
      <c r="C42" s="977" t="s">
        <v>1394</v>
      </c>
      <c r="D42" s="942" t="s">
        <v>65</v>
      </c>
      <c r="E42" s="26"/>
      <c r="F42" s="282">
        <v>10</v>
      </c>
      <c r="G42" s="77"/>
      <c r="H42" s="77">
        <f t="shared" si="1"/>
        <v>0</v>
      </c>
      <c r="I42" s="77"/>
      <c r="J42" s="77"/>
      <c r="K42" s="77"/>
      <c r="L42" s="77"/>
      <c r="M42" s="77">
        <f t="shared" si="0"/>
        <v>0</v>
      </c>
      <c r="N42" s="409"/>
    </row>
    <row r="43" spans="1:14">
      <c r="A43" s="1535"/>
      <c r="B43" s="1535"/>
      <c r="C43" s="977" t="s">
        <v>1395</v>
      </c>
      <c r="D43" s="942" t="s">
        <v>65</v>
      </c>
      <c r="E43" s="26"/>
      <c r="F43" s="282">
        <v>15</v>
      </c>
      <c r="G43" s="77"/>
      <c r="H43" s="77">
        <f t="shared" si="1"/>
        <v>0</v>
      </c>
      <c r="I43" s="77"/>
      <c r="J43" s="77"/>
      <c r="K43" s="77"/>
      <c r="L43" s="77"/>
      <c r="M43" s="77">
        <f t="shared" si="0"/>
        <v>0</v>
      </c>
      <c r="N43" s="409"/>
    </row>
    <row r="44" spans="1:14" ht="31.5">
      <c r="A44" s="1533">
        <v>8</v>
      </c>
      <c r="B44" s="1536" t="s">
        <v>360</v>
      </c>
      <c r="C44" s="152" t="s">
        <v>1397</v>
      </c>
      <c r="D44" s="942" t="s">
        <v>65</v>
      </c>
      <c r="E44" s="26"/>
      <c r="F44" s="20">
        <v>1</v>
      </c>
      <c r="G44" s="77"/>
      <c r="H44" s="77"/>
      <c r="I44" s="77"/>
      <c r="J44" s="77"/>
      <c r="K44" s="77"/>
      <c r="L44" s="77"/>
      <c r="M44" s="77"/>
      <c r="N44" s="409"/>
    </row>
    <row r="45" spans="1:14">
      <c r="A45" s="1534"/>
      <c r="B45" s="1537"/>
      <c r="C45" s="153" t="s">
        <v>28</v>
      </c>
      <c r="D45" s="942" t="s">
        <v>179</v>
      </c>
      <c r="E45" s="26">
        <v>1</v>
      </c>
      <c r="F45" s="282">
        <f>E45*F44</f>
        <v>1</v>
      </c>
      <c r="G45" s="77"/>
      <c r="H45" s="77"/>
      <c r="I45" s="77"/>
      <c r="J45" s="77">
        <f>F45*I45</f>
        <v>0</v>
      </c>
      <c r="K45" s="77"/>
      <c r="L45" s="77"/>
      <c r="M45" s="77">
        <f t="shared" si="0"/>
        <v>0</v>
      </c>
      <c r="N45" s="409"/>
    </row>
    <row r="46" spans="1:14">
      <c r="A46" s="1534"/>
      <c r="B46" s="1537"/>
      <c r="C46" s="166" t="s">
        <v>19</v>
      </c>
      <c r="D46" s="942" t="s">
        <v>121</v>
      </c>
      <c r="E46" s="26">
        <v>0.23</v>
      </c>
      <c r="F46" s="282">
        <f>E46*F44</f>
        <v>0.23</v>
      </c>
      <c r="G46" s="77"/>
      <c r="H46" s="77">
        <f t="shared" si="1"/>
        <v>0</v>
      </c>
      <c r="I46" s="77"/>
      <c r="J46" s="77"/>
      <c r="K46" s="77"/>
      <c r="L46" s="77"/>
      <c r="M46" s="77">
        <f t="shared" si="0"/>
        <v>0</v>
      </c>
      <c r="N46" s="409"/>
    </row>
    <row r="47" spans="1:14" ht="30">
      <c r="A47" s="1535"/>
      <c r="B47" s="1538"/>
      <c r="C47" s="977" t="s">
        <v>1396</v>
      </c>
      <c r="D47" s="942" t="s">
        <v>348</v>
      </c>
      <c r="E47" s="26"/>
      <c r="F47" s="282">
        <f>F44</f>
        <v>1</v>
      </c>
      <c r="G47" s="77"/>
      <c r="H47" s="77">
        <f t="shared" si="1"/>
        <v>0</v>
      </c>
      <c r="I47" s="77"/>
      <c r="J47" s="77"/>
      <c r="K47" s="77"/>
      <c r="L47" s="77"/>
      <c r="M47" s="77">
        <f t="shared" si="0"/>
        <v>0</v>
      </c>
      <c r="N47" s="409"/>
    </row>
    <row r="48" spans="1:14" hidden="1">
      <c r="A48" s="1533" t="s">
        <v>64</v>
      </c>
      <c r="B48" s="410"/>
      <c r="C48" s="153" t="s">
        <v>798</v>
      </c>
      <c r="D48" s="942" t="s">
        <v>2</v>
      </c>
      <c r="E48" s="26"/>
      <c r="F48" s="282"/>
      <c r="G48" s="77">
        <v>33</v>
      </c>
      <c r="H48" s="77">
        <f t="shared" si="1"/>
        <v>0</v>
      </c>
      <c r="I48" s="77"/>
      <c r="J48" s="77"/>
      <c r="K48" s="77"/>
      <c r="L48" s="77"/>
      <c r="M48" s="77">
        <f t="shared" si="0"/>
        <v>0</v>
      </c>
      <c r="N48" s="409"/>
    </row>
    <row r="49" spans="1:14" hidden="1">
      <c r="A49" s="1534"/>
      <c r="B49" s="410"/>
      <c r="C49" s="247" t="s">
        <v>799</v>
      </c>
      <c r="D49" s="942" t="s">
        <v>2</v>
      </c>
      <c r="E49" s="26"/>
      <c r="F49" s="282"/>
      <c r="G49" s="77">
        <v>20</v>
      </c>
      <c r="H49" s="77">
        <f t="shared" si="1"/>
        <v>0</v>
      </c>
      <c r="I49" s="77"/>
      <c r="J49" s="77"/>
      <c r="K49" s="77"/>
      <c r="L49" s="77"/>
      <c r="M49" s="77">
        <f t="shared" si="0"/>
        <v>0</v>
      </c>
      <c r="N49" s="409"/>
    </row>
    <row r="50" spans="1:14" hidden="1">
      <c r="A50" s="1534"/>
      <c r="B50" s="410"/>
      <c r="C50" s="153" t="s">
        <v>800</v>
      </c>
      <c r="D50" s="942" t="s">
        <v>2</v>
      </c>
      <c r="E50" s="26"/>
      <c r="F50" s="282"/>
      <c r="G50" s="77">
        <v>50</v>
      </c>
      <c r="H50" s="77">
        <f t="shared" si="1"/>
        <v>0</v>
      </c>
      <c r="I50" s="77"/>
      <c r="J50" s="77"/>
      <c r="K50" s="77"/>
      <c r="L50" s="77"/>
      <c r="M50" s="77">
        <f t="shared" si="0"/>
        <v>0</v>
      </c>
      <c r="N50" s="409"/>
    </row>
    <row r="51" spans="1:14" ht="47.25">
      <c r="A51" s="1438" t="s">
        <v>433</v>
      </c>
      <c r="B51" s="447" t="s">
        <v>34</v>
      </c>
      <c r="C51" s="287" t="s">
        <v>417</v>
      </c>
      <c r="D51" s="447" t="s">
        <v>65</v>
      </c>
      <c r="E51" s="280"/>
      <c r="F51" s="20">
        <v>2</v>
      </c>
      <c r="G51" s="77"/>
      <c r="H51" s="77">
        <f t="shared" si="1"/>
        <v>0</v>
      </c>
      <c r="I51" s="77"/>
      <c r="J51" s="77"/>
      <c r="K51" s="77"/>
      <c r="L51" s="77"/>
      <c r="M51" s="77">
        <f t="shared" si="0"/>
        <v>0</v>
      </c>
      <c r="N51" s="409"/>
    </row>
    <row r="52" spans="1:14" ht="47.25" hidden="1">
      <c r="A52" s="1439"/>
      <c r="B52" s="447"/>
      <c r="C52" s="148" t="s">
        <v>801</v>
      </c>
      <c r="D52" s="447"/>
      <c r="E52" s="280"/>
      <c r="F52" s="282"/>
      <c r="G52" s="77"/>
      <c r="H52" s="77"/>
      <c r="I52" s="77"/>
      <c r="J52" s="77"/>
      <c r="K52" s="77"/>
      <c r="L52" s="77"/>
      <c r="M52" s="77"/>
      <c r="N52" s="409"/>
    </row>
    <row r="53" spans="1:14" ht="26.25" customHeight="1">
      <c r="A53" s="447"/>
      <c r="B53" s="447"/>
      <c r="C53" s="148" t="s">
        <v>416</v>
      </c>
      <c r="D53" s="447" t="s">
        <v>2</v>
      </c>
      <c r="E53" s="280"/>
      <c r="F53" s="282">
        <v>4</v>
      </c>
      <c r="G53" s="77"/>
      <c r="H53" s="77">
        <f t="shared" si="1"/>
        <v>0</v>
      </c>
      <c r="I53" s="77"/>
      <c r="J53" s="77"/>
      <c r="K53" s="77"/>
      <c r="L53" s="77"/>
      <c r="M53" s="77">
        <f t="shared" si="0"/>
        <v>0</v>
      </c>
      <c r="N53" s="409"/>
    </row>
    <row r="54" spans="1:14" ht="31.5">
      <c r="A54" s="447" t="s">
        <v>434</v>
      </c>
      <c r="B54" s="447"/>
      <c r="C54" s="287" t="s">
        <v>1398</v>
      </c>
      <c r="D54" s="447" t="s">
        <v>2</v>
      </c>
      <c r="E54" s="280"/>
      <c r="F54" s="20">
        <v>8</v>
      </c>
      <c r="G54" s="77"/>
      <c r="H54" s="77">
        <f t="shared" si="1"/>
        <v>0</v>
      </c>
      <c r="I54" s="77"/>
      <c r="J54" s="77"/>
      <c r="K54" s="77"/>
      <c r="L54" s="77"/>
      <c r="M54" s="77">
        <f t="shared" si="0"/>
        <v>0</v>
      </c>
      <c r="N54" s="409"/>
    </row>
    <row r="55" spans="1:14">
      <c r="A55" s="447"/>
      <c r="B55" s="447"/>
      <c r="C55" s="148"/>
      <c r="D55" s="447"/>
      <c r="E55" s="280"/>
      <c r="F55" s="950"/>
      <c r="G55" s="77"/>
      <c r="H55" s="448"/>
      <c r="I55" s="448"/>
      <c r="J55" s="448"/>
      <c r="K55" s="448"/>
      <c r="L55" s="448"/>
      <c r="M55" s="448"/>
      <c r="N55" s="409"/>
    </row>
    <row r="56" spans="1:14" ht="20.25" customHeight="1">
      <c r="A56" s="101"/>
      <c r="B56" s="101"/>
      <c r="C56" s="104" t="s">
        <v>859</v>
      </c>
      <c r="D56" s="101"/>
      <c r="E56" s="411"/>
      <c r="F56" s="264"/>
      <c r="G56" s="102"/>
      <c r="H56" s="100">
        <f>SUM(H9:H55)</f>
        <v>0</v>
      </c>
      <c r="I56" s="100"/>
      <c r="J56" s="100">
        <f>SUM(J9:J55)</f>
        <v>0</v>
      </c>
      <c r="K56" s="100"/>
      <c r="L56" s="100">
        <f>SUM(L9:L55)</f>
        <v>0</v>
      </c>
      <c r="M56" s="100">
        <f>SUM(M9:M55)</f>
        <v>0</v>
      </c>
      <c r="N56" s="412">
        <f>H56+J56+L56</f>
        <v>0</v>
      </c>
    </row>
    <row r="57" spans="1:14" ht="31.5">
      <c r="A57" s="413"/>
      <c r="B57" s="413"/>
      <c r="C57" s="414" t="s">
        <v>802</v>
      </c>
      <c r="D57" s="413"/>
      <c r="E57" s="415"/>
      <c r="F57" s="416"/>
      <c r="G57" s="417"/>
      <c r="H57" s="417"/>
      <c r="I57" s="417"/>
      <c r="J57" s="417"/>
      <c r="K57" s="417"/>
      <c r="L57" s="417"/>
      <c r="M57" s="304">
        <f>H56*F57</f>
        <v>0</v>
      </c>
      <c r="N57" s="409"/>
    </row>
    <row r="58" spans="1:14">
      <c r="A58" s="413"/>
      <c r="B58" s="413"/>
      <c r="C58" s="418" t="s">
        <v>54</v>
      </c>
      <c r="D58" s="413"/>
      <c r="E58" s="415"/>
      <c r="F58" s="94"/>
      <c r="G58" s="417"/>
      <c r="H58" s="417"/>
      <c r="I58" s="417"/>
      <c r="J58" s="419"/>
      <c r="K58" s="417"/>
      <c r="L58" s="417"/>
      <c r="M58" s="304">
        <f>M56+M57</f>
        <v>0</v>
      </c>
      <c r="N58" s="409"/>
    </row>
    <row r="59" spans="1:14" ht="31.5">
      <c r="A59" s="942"/>
      <c r="B59" s="420"/>
      <c r="C59" s="945" t="s">
        <v>1776</v>
      </c>
      <c r="D59" s="447"/>
      <c r="E59" s="280"/>
      <c r="F59" s="416"/>
      <c r="G59" s="448"/>
      <c r="H59" s="448"/>
      <c r="I59" s="448"/>
      <c r="J59" s="448"/>
      <c r="K59" s="448"/>
      <c r="L59" s="448"/>
      <c r="M59" s="448">
        <f>J56*F59</f>
        <v>0</v>
      </c>
      <c r="N59" s="409"/>
    </row>
    <row r="60" spans="1:14">
      <c r="A60" s="942"/>
      <c r="B60" s="942"/>
      <c r="C60" s="418" t="s">
        <v>54</v>
      </c>
      <c r="D60" s="942"/>
      <c r="E60" s="26"/>
      <c r="F60" s="282"/>
      <c r="G60" s="80"/>
      <c r="H60" s="80"/>
      <c r="I60" s="80"/>
      <c r="J60" s="80"/>
      <c r="K60" s="80"/>
      <c r="L60" s="80"/>
      <c r="M60" s="80">
        <f>M58+M59</f>
        <v>0</v>
      </c>
      <c r="N60" s="409"/>
    </row>
    <row r="61" spans="1:14" ht="31.5">
      <c r="A61" s="942"/>
      <c r="B61" s="942"/>
      <c r="C61" s="947" t="s">
        <v>803</v>
      </c>
      <c r="D61" s="942"/>
      <c r="E61" s="26"/>
      <c r="F61" s="416"/>
      <c r="G61" s="80"/>
      <c r="H61" s="80"/>
      <c r="I61" s="80"/>
      <c r="J61" s="80"/>
      <c r="K61" s="80"/>
      <c r="L61" s="80"/>
      <c r="M61" s="80">
        <f>M60*F61</f>
        <v>0</v>
      </c>
      <c r="N61" s="409"/>
    </row>
    <row r="62" spans="1:14">
      <c r="A62" s="238"/>
      <c r="B62" s="238"/>
      <c r="C62" s="237" t="s">
        <v>858</v>
      </c>
      <c r="D62" s="238"/>
      <c r="E62" s="421"/>
      <c r="F62" s="244"/>
      <c r="G62" s="99"/>
      <c r="H62" s="99"/>
      <c r="I62" s="99"/>
      <c r="J62" s="99"/>
      <c r="K62" s="99"/>
      <c r="L62" s="99"/>
      <c r="M62" s="386">
        <f>M60+M61</f>
        <v>0</v>
      </c>
      <c r="N62" s="409"/>
    </row>
    <row r="63" spans="1:14">
      <c r="N63" s="409"/>
    </row>
    <row r="64" spans="1:14">
      <c r="N64" s="409"/>
    </row>
    <row r="65" spans="1:14">
      <c r="A65" s="47" t="s">
        <v>855</v>
      </c>
      <c r="B65" s="30"/>
      <c r="C65" s="32" t="s">
        <v>804</v>
      </c>
      <c r="D65" s="30"/>
      <c r="E65" s="31"/>
      <c r="F65" s="29"/>
      <c r="G65" s="106"/>
      <c r="H65" s="106"/>
      <c r="I65" s="106"/>
      <c r="J65" s="106"/>
      <c r="K65" s="106"/>
      <c r="L65" s="106"/>
      <c r="M65" s="106"/>
      <c r="N65" s="409"/>
    </row>
    <row r="66" spans="1:14" ht="105">
      <c r="A66" s="942">
        <v>1</v>
      </c>
      <c r="B66" s="422" t="s">
        <v>34</v>
      </c>
      <c r="C66" s="977" t="s">
        <v>1400</v>
      </c>
      <c r="D66" s="942" t="s">
        <v>2</v>
      </c>
      <c r="E66" s="26"/>
      <c r="F66" s="20">
        <v>4</v>
      </c>
      <c r="G66" s="80"/>
      <c r="H66" s="77">
        <f t="shared" ref="H66:H81" si="2">F66*G66</f>
        <v>0</v>
      </c>
      <c r="I66" s="77"/>
      <c r="J66" s="448">
        <f t="shared" ref="J66:J72" si="3">F66*I66</f>
        <v>0</v>
      </c>
      <c r="K66" s="448"/>
      <c r="L66" s="448"/>
      <c r="M66" s="448">
        <f t="shared" ref="M66:M81" si="4">H66+J66+L66</f>
        <v>0</v>
      </c>
      <c r="N66" s="409"/>
    </row>
    <row r="67" spans="1:14" ht="90">
      <c r="A67" s="942">
        <v>2</v>
      </c>
      <c r="B67" s="422" t="s">
        <v>34</v>
      </c>
      <c r="C67" s="977" t="s">
        <v>1399</v>
      </c>
      <c r="D67" s="942" t="s">
        <v>2</v>
      </c>
      <c r="E67" s="26"/>
      <c r="F67" s="20">
        <v>7</v>
      </c>
      <c r="G67" s="80"/>
      <c r="H67" s="77">
        <f t="shared" si="2"/>
        <v>0</v>
      </c>
      <c r="I67" s="77"/>
      <c r="J67" s="448">
        <f t="shared" si="3"/>
        <v>0</v>
      </c>
      <c r="K67" s="448"/>
      <c r="L67" s="448"/>
      <c r="M67" s="448">
        <f t="shared" si="4"/>
        <v>0</v>
      </c>
      <c r="N67" s="409"/>
    </row>
    <row r="68" spans="1:14" ht="120">
      <c r="A68" s="942"/>
      <c r="B68" s="422"/>
      <c r="C68" s="977" t="s">
        <v>1401</v>
      </c>
      <c r="D68" s="942" t="s">
        <v>65</v>
      </c>
      <c r="E68" s="26"/>
      <c r="F68" s="20">
        <v>1</v>
      </c>
      <c r="G68" s="80"/>
      <c r="H68" s="77">
        <f t="shared" si="2"/>
        <v>0</v>
      </c>
      <c r="I68" s="77"/>
      <c r="J68" s="448">
        <f t="shared" si="3"/>
        <v>0</v>
      </c>
      <c r="K68" s="448"/>
      <c r="L68" s="448"/>
      <c r="M68" s="448">
        <f t="shared" si="4"/>
        <v>0</v>
      </c>
      <c r="N68" s="409"/>
    </row>
    <row r="69" spans="1:14">
      <c r="A69" s="942"/>
      <c r="B69" s="422"/>
      <c r="C69" s="977" t="s">
        <v>1402</v>
      </c>
      <c r="D69" s="942" t="s">
        <v>2</v>
      </c>
      <c r="E69" s="26"/>
      <c r="F69" s="20">
        <v>1</v>
      </c>
      <c r="G69" s="80"/>
      <c r="H69" s="77">
        <f t="shared" si="2"/>
        <v>0</v>
      </c>
      <c r="I69" s="77"/>
      <c r="J69" s="448"/>
      <c r="K69" s="448"/>
      <c r="L69" s="448"/>
      <c r="M69" s="448">
        <f t="shared" si="4"/>
        <v>0</v>
      </c>
      <c r="N69" s="409"/>
    </row>
    <row r="70" spans="1:14" ht="30">
      <c r="A70" s="942">
        <v>3</v>
      </c>
      <c r="B70" s="422"/>
      <c r="C70" s="977" t="s">
        <v>1403</v>
      </c>
      <c r="D70" s="942" t="s">
        <v>65</v>
      </c>
      <c r="E70" s="26"/>
      <c r="F70" s="20">
        <v>4</v>
      </c>
      <c r="G70" s="80"/>
      <c r="H70" s="77">
        <f t="shared" si="2"/>
        <v>0</v>
      </c>
      <c r="I70" s="77"/>
      <c r="J70" s="448"/>
      <c r="K70" s="448"/>
      <c r="L70" s="448"/>
      <c r="M70" s="448">
        <f t="shared" si="4"/>
        <v>0</v>
      </c>
      <c r="N70" s="409"/>
    </row>
    <row r="71" spans="1:14" hidden="1">
      <c r="A71" s="1536">
        <v>5</v>
      </c>
      <c r="B71" s="422" t="s">
        <v>360</v>
      </c>
      <c r="C71" s="152" t="s">
        <v>956</v>
      </c>
      <c r="D71" s="942" t="s">
        <v>2</v>
      </c>
      <c r="E71" s="26"/>
      <c r="F71" s="20">
        <v>0</v>
      </c>
      <c r="G71" s="80"/>
      <c r="H71" s="77"/>
      <c r="I71" s="77"/>
      <c r="J71" s="448"/>
      <c r="K71" s="448"/>
      <c r="L71" s="448"/>
      <c r="M71" s="448"/>
      <c r="N71" s="409"/>
    </row>
    <row r="72" spans="1:14" hidden="1">
      <c r="A72" s="1537"/>
      <c r="B72" s="422" t="s">
        <v>34</v>
      </c>
      <c r="C72" s="153" t="s">
        <v>28</v>
      </c>
      <c r="D72" s="942" t="s">
        <v>2</v>
      </c>
      <c r="E72" s="26">
        <v>1</v>
      </c>
      <c r="F72" s="282">
        <f>E72*F71</f>
        <v>0</v>
      </c>
      <c r="G72" s="80"/>
      <c r="H72" s="80"/>
      <c r="I72" s="80">
        <v>30</v>
      </c>
      <c r="J72" s="80">
        <f t="shared" si="3"/>
        <v>0</v>
      </c>
      <c r="K72" s="80"/>
      <c r="L72" s="80"/>
      <c r="M72" s="80">
        <f t="shared" si="4"/>
        <v>0</v>
      </c>
      <c r="N72" s="409"/>
    </row>
    <row r="73" spans="1:14" ht="30.75" hidden="1">
      <c r="A73" s="1538"/>
      <c r="B73" s="422"/>
      <c r="C73" s="153" t="s">
        <v>826</v>
      </c>
      <c r="D73" s="942" t="s">
        <v>348</v>
      </c>
      <c r="E73" s="26"/>
      <c r="F73" s="282">
        <f>F71</f>
        <v>0</v>
      </c>
      <c r="G73" s="80"/>
      <c r="H73" s="80">
        <f>F73*G73</f>
        <v>0</v>
      </c>
      <c r="I73" s="80"/>
      <c r="J73" s="80"/>
      <c r="K73" s="80"/>
      <c r="L73" s="80"/>
      <c r="M73" s="80">
        <f t="shared" si="4"/>
        <v>0</v>
      </c>
      <c r="N73" s="409"/>
    </row>
    <row r="74" spans="1:14">
      <c r="A74" s="1536">
        <v>6</v>
      </c>
      <c r="B74" s="423"/>
      <c r="C74" s="977" t="s">
        <v>1404</v>
      </c>
      <c r="D74" s="942" t="s">
        <v>1</v>
      </c>
      <c r="E74" s="26"/>
      <c r="F74" s="282">
        <v>680</v>
      </c>
      <c r="G74" s="80"/>
      <c r="H74" s="77">
        <f t="shared" si="2"/>
        <v>0</v>
      </c>
      <c r="I74" s="77"/>
      <c r="J74" s="448"/>
      <c r="K74" s="448"/>
      <c r="L74" s="448"/>
      <c r="M74" s="448">
        <f t="shared" si="4"/>
        <v>0</v>
      </c>
      <c r="N74" s="409"/>
    </row>
    <row r="75" spans="1:14">
      <c r="A75" s="1537"/>
      <c r="B75" s="423"/>
      <c r="C75" s="977" t="s">
        <v>1405</v>
      </c>
      <c r="D75" s="942" t="s">
        <v>1</v>
      </c>
      <c r="E75" s="26"/>
      <c r="F75" s="282">
        <v>620</v>
      </c>
      <c r="G75" s="80"/>
      <c r="H75" s="77">
        <f t="shared" si="2"/>
        <v>0</v>
      </c>
      <c r="I75" s="77"/>
      <c r="J75" s="448"/>
      <c r="K75" s="448"/>
      <c r="L75" s="448"/>
      <c r="M75" s="448">
        <f t="shared" si="4"/>
        <v>0</v>
      </c>
      <c r="N75" s="409"/>
    </row>
    <row r="76" spans="1:14">
      <c r="A76" s="1537"/>
      <c r="B76" s="423"/>
      <c r="C76" s="977" t="s">
        <v>1406</v>
      </c>
      <c r="D76" s="942" t="s">
        <v>2</v>
      </c>
      <c r="E76" s="26"/>
      <c r="F76" s="282">
        <v>580</v>
      </c>
      <c r="G76" s="80"/>
      <c r="H76" s="77">
        <f t="shared" ref="H76" si="5">F76*G76</f>
        <v>0</v>
      </c>
      <c r="I76" s="77"/>
      <c r="J76" s="448"/>
      <c r="K76" s="448"/>
      <c r="L76" s="448"/>
      <c r="M76" s="448">
        <f t="shared" ref="M76" si="6">H76+J76+L76</f>
        <v>0</v>
      </c>
      <c r="N76" s="409"/>
    </row>
    <row r="77" spans="1:14" ht="31.5" hidden="1">
      <c r="A77" s="911"/>
      <c r="B77" s="910"/>
      <c r="C77" s="870" t="s">
        <v>1478</v>
      </c>
      <c r="D77" s="867" t="s">
        <v>1</v>
      </c>
      <c r="E77" s="880"/>
      <c r="F77" s="618"/>
      <c r="G77" s="861">
        <v>2.6</v>
      </c>
      <c r="H77" s="859">
        <f t="shared" si="2"/>
        <v>0</v>
      </c>
      <c r="I77" s="859"/>
      <c r="J77" s="859"/>
      <c r="K77" s="859"/>
      <c r="L77" s="859"/>
      <c r="M77" s="859">
        <f t="shared" si="4"/>
        <v>0</v>
      </c>
      <c r="N77" s="409"/>
    </row>
    <row r="78" spans="1:14" hidden="1">
      <c r="A78" s="911"/>
      <c r="B78" s="910"/>
      <c r="C78" s="870" t="s">
        <v>805</v>
      </c>
      <c r="D78" s="867" t="s">
        <v>1</v>
      </c>
      <c r="E78" s="880"/>
      <c r="F78" s="618"/>
      <c r="G78" s="861">
        <v>2.29</v>
      </c>
      <c r="H78" s="859">
        <f t="shared" si="2"/>
        <v>0</v>
      </c>
      <c r="I78" s="859"/>
      <c r="J78" s="859"/>
      <c r="K78" s="859"/>
      <c r="L78" s="859"/>
      <c r="M78" s="859">
        <f t="shared" si="4"/>
        <v>0</v>
      </c>
      <c r="N78" s="409"/>
    </row>
    <row r="79" spans="1:14" hidden="1">
      <c r="A79" s="911"/>
      <c r="B79" s="910"/>
      <c r="C79" s="870" t="s">
        <v>806</v>
      </c>
      <c r="D79" s="867" t="s">
        <v>2</v>
      </c>
      <c r="E79" s="881"/>
      <c r="F79" s="1041"/>
      <c r="G79" s="859">
        <v>25</v>
      </c>
      <c r="H79" s="859">
        <f t="shared" si="2"/>
        <v>0</v>
      </c>
      <c r="I79" s="859"/>
      <c r="J79" s="859"/>
      <c r="K79" s="859"/>
      <c r="L79" s="859"/>
      <c r="M79" s="859">
        <f t="shared" si="4"/>
        <v>0</v>
      </c>
      <c r="N79" s="409"/>
    </row>
    <row r="80" spans="1:14" hidden="1">
      <c r="A80" s="911"/>
      <c r="B80" s="910"/>
      <c r="C80" s="870" t="s">
        <v>807</v>
      </c>
      <c r="D80" s="867" t="s">
        <v>2</v>
      </c>
      <c r="E80" s="881"/>
      <c r="F80" s="1041"/>
      <c r="G80" s="859">
        <v>50</v>
      </c>
      <c r="H80" s="859">
        <f t="shared" si="2"/>
        <v>0</v>
      </c>
      <c r="I80" s="859"/>
      <c r="J80" s="859"/>
      <c r="K80" s="859"/>
      <c r="L80" s="859"/>
      <c r="M80" s="859">
        <f t="shared" si="4"/>
        <v>0</v>
      </c>
      <c r="N80" s="409"/>
    </row>
    <row r="81" spans="1:14" hidden="1">
      <c r="A81" s="912"/>
      <c r="B81" s="910"/>
      <c r="C81" s="870" t="s">
        <v>808</v>
      </c>
      <c r="D81" s="867" t="s">
        <v>2</v>
      </c>
      <c r="E81" s="880"/>
      <c r="F81" s="618"/>
      <c r="G81" s="861">
        <v>200</v>
      </c>
      <c r="H81" s="859">
        <f t="shared" si="2"/>
        <v>0</v>
      </c>
      <c r="I81" s="859"/>
      <c r="J81" s="859"/>
      <c r="K81" s="859"/>
      <c r="L81" s="859"/>
      <c r="M81" s="859">
        <f t="shared" si="4"/>
        <v>0</v>
      </c>
      <c r="N81" s="409"/>
    </row>
    <row r="82" spans="1:14">
      <c r="A82" s="447"/>
      <c r="B82" s="447"/>
      <c r="C82" s="945"/>
      <c r="D82" s="447"/>
      <c r="E82" s="280"/>
      <c r="F82" s="950"/>
      <c r="G82" s="448"/>
      <c r="H82" s="448"/>
      <c r="I82" s="448"/>
      <c r="J82" s="448"/>
      <c r="K82" s="448"/>
      <c r="L82" s="448"/>
      <c r="M82" s="448"/>
      <c r="N82" s="409"/>
    </row>
    <row r="83" spans="1:14">
      <c r="A83" s="105"/>
      <c r="B83" s="105"/>
      <c r="C83" s="104" t="s">
        <v>860</v>
      </c>
      <c r="D83" s="105"/>
      <c r="E83" s="373"/>
      <c r="F83" s="244"/>
      <c r="G83" s="100"/>
      <c r="H83" s="100">
        <f>SUM(H65:H82)</f>
        <v>0</v>
      </c>
      <c r="I83" s="100"/>
      <c r="J83" s="100">
        <f>SUM(J65:J82)</f>
        <v>0</v>
      </c>
      <c r="K83" s="100"/>
      <c r="L83" s="100">
        <f>SUM(L65:L82)</f>
        <v>0</v>
      </c>
      <c r="M83" s="100">
        <f>SUM(M65:M82)</f>
        <v>0</v>
      </c>
      <c r="N83" s="412">
        <f>H83+J83+L83</f>
        <v>0</v>
      </c>
    </row>
    <row r="84" spans="1:14" ht="31.5">
      <c r="A84" s="413"/>
      <c r="B84" s="413"/>
      <c r="C84" s="414" t="s">
        <v>802</v>
      </c>
      <c r="D84" s="413"/>
      <c r="E84" s="415"/>
      <c r="F84" s="416"/>
      <c r="G84" s="417"/>
      <c r="H84" s="417"/>
      <c r="I84" s="417"/>
      <c r="J84" s="417"/>
      <c r="K84" s="417"/>
      <c r="L84" s="417"/>
      <c r="M84" s="304">
        <f>H83*F84</f>
        <v>0</v>
      </c>
      <c r="N84" s="409"/>
    </row>
    <row r="85" spans="1:14">
      <c r="A85" s="413"/>
      <c r="B85" s="413"/>
      <c r="C85" s="418" t="s">
        <v>54</v>
      </c>
      <c r="D85" s="413"/>
      <c r="E85" s="415"/>
      <c r="F85" s="94"/>
      <c r="G85" s="417"/>
      <c r="H85" s="417"/>
      <c r="I85" s="417"/>
      <c r="J85" s="419"/>
      <c r="K85" s="417"/>
      <c r="L85" s="417"/>
      <c r="M85" s="304">
        <f>M83+M84</f>
        <v>0</v>
      </c>
      <c r="N85" s="409"/>
    </row>
    <row r="86" spans="1:14" ht="31.5">
      <c r="A86" s="942"/>
      <c r="B86" s="420"/>
      <c r="C86" s="945" t="s">
        <v>1777</v>
      </c>
      <c r="D86" s="447"/>
      <c r="E86" s="280"/>
      <c r="F86" s="416"/>
      <c r="G86" s="448"/>
      <c r="H86" s="448"/>
      <c r="I86" s="448"/>
      <c r="J86" s="448"/>
      <c r="K86" s="448"/>
      <c r="L86" s="448"/>
      <c r="M86" s="448">
        <f>J83*F86</f>
        <v>0</v>
      </c>
      <c r="N86" s="409"/>
    </row>
    <row r="87" spans="1:14">
      <c r="A87" s="942"/>
      <c r="B87" s="942"/>
      <c r="C87" s="418" t="s">
        <v>54</v>
      </c>
      <c r="D87" s="942"/>
      <c r="E87" s="26"/>
      <c r="F87" s="282"/>
      <c r="G87" s="80"/>
      <c r="H87" s="80"/>
      <c r="I87" s="80"/>
      <c r="J87" s="80"/>
      <c r="K87" s="80"/>
      <c r="L87" s="80"/>
      <c r="M87" s="80">
        <f>M85+M86</f>
        <v>0</v>
      </c>
      <c r="N87" s="409"/>
    </row>
    <row r="88" spans="1:14" ht="31.5">
      <c r="A88" s="942"/>
      <c r="B88" s="942"/>
      <c r="C88" s="947" t="s">
        <v>803</v>
      </c>
      <c r="D88" s="942"/>
      <c r="E88" s="26"/>
      <c r="F88" s="416"/>
      <c r="G88" s="80"/>
      <c r="H88" s="80"/>
      <c r="I88" s="80"/>
      <c r="J88" s="80"/>
      <c r="K88" s="80"/>
      <c r="L88" s="80"/>
      <c r="M88" s="80">
        <f>M87*F88</f>
        <v>0</v>
      </c>
      <c r="N88" s="409"/>
    </row>
    <row r="89" spans="1:14">
      <c r="A89" s="536"/>
      <c r="B89" s="536"/>
      <c r="C89" s="155" t="s">
        <v>857</v>
      </c>
      <c r="D89" s="536"/>
      <c r="E89" s="879"/>
      <c r="F89" s="97"/>
      <c r="G89" s="785"/>
      <c r="H89" s="785"/>
      <c r="I89" s="785"/>
      <c r="J89" s="785"/>
      <c r="K89" s="785"/>
      <c r="L89" s="785"/>
      <c r="M89" s="785">
        <f>M87+M88</f>
        <v>0</v>
      </c>
      <c r="N89" s="409"/>
    </row>
    <row r="90" spans="1:14">
      <c r="N90" s="409"/>
    </row>
    <row r="91" spans="1:14" ht="31.5">
      <c r="A91" s="47" t="s">
        <v>854</v>
      </c>
      <c r="B91" s="30"/>
      <c r="C91" s="32" t="s">
        <v>1913</v>
      </c>
      <c r="D91" s="30"/>
      <c r="E91" s="31"/>
      <c r="F91" s="29"/>
      <c r="G91" s="106"/>
      <c r="H91" s="106"/>
      <c r="I91" s="106"/>
      <c r="J91" s="106"/>
      <c r="K91" s="106"/>
      <c r="L91" s="106"/>
      <c r="M91" s="106"/>
      <c r="N91" s="409"/>
    </row>
    <row r="92" spans="1:14" ht="31.5">
      <c r="A92" s="1461">
        <v>1</v>
      </c>
      <c r="B92" s="43" t="s">
        <v>809</v>
      </c>
      <c r="C92" s="425" t="s">
        <v>1413</v>
      </c>
      <c r="D92" s="928" t="s">
        <v>65</v>
      </c>
      <c r="E92" s="56"/>
      <c r="F92" s="20">
        <v>1</v>
      </c>
      <c r="G92" s="77"/>
      <c r="H92" s="77"/>
      <c r="I92" s="77"/>
      <c r="J92" s="77"/>
      <c r="K92" s="77"/>
      <c r="L92" s="77"/>
      <c r="M92" s="77"/>
      <c r="N92" s="409"/>
    </row>
    <row r="93" spans="1:14">
      <c r="A93" s="1462"/>
      <c r="B93" s="928" t="s">
        <v>34</v>
      </c>
      <c r="C93" s="153" t="s">
        <v>28</v>
      </c>
      <c r="D93" s="928" t="s">
        <v>65</v>
      </c>
      <c r="E93" s="26">
        <v>1</v>
      </c>
      <c r="F93" s="282">
        <f>F92*E93</f>
        <v>1</v>
      </c>
      <c r="G93" s="77"/>
      <c r="H93" s="77"/>
      <c r="I93" s="77"/>
      <c r="J93" s="77">
        <f>F93*I93</f>
        <v>0</v>
      </c>
      <c r="K93" s="77"/>
      <c r="L93" s="77"/>
      <c r="M93" s="77">
        <f t="shared" ref="M93:M137" si="7">H93+J93+L93</f>
        <v>0</v>
      </c>
      <c r="N93" s="409"/>
    </row>
    <row r="94" spans="1:14">
      <c r="A94" s="1462"/>
      <c r="B94" s="928"/>
      <c r="C94" s="977" t="s">
        <v>1414</v>
      </c>
      <c r="D94" s="928" t="s">
        <v>65</v>
      </c>
      <c r="E94" s="56"/>
      <c r="F94" s="282">
        <v>1</v>
      </c>
      <c r="G94" s="77"/>
      <c r="H94" s="77">
        <f t="shared" ref="H94:H137" si="8">F94*G94</f>
        <v>0</v>
      </c>
      <c r="I94" s="77"/>
      <c r="J94" s="77"/>
      <c r="K94" s="77"/>
      <c r="L94" s="77"/>
      <c r="M94" s="77">
        <f t="shared" si="7"/>
        <v>0</v>
      </c>
      <c r="N94" s="409"/>
    </row>
    <row r="95" spans="1:14">
      <c r="A95" s="1462"/>
      <c r="B95" s="928"/>
      <c r="C95" s="166" t="s">
        <v>827</v>
      </c>
      <c r="D95" s="928" t="s">
        <v>2</v>
      </c>
      <c r="E95" s="56"/>
      <c r="F95" s="282">
        <v>2</v>
      </c>
      <c r="G95" s="77"/>
      <c r="H95" s="77">
        <f t="shared" si="8"/>
        <v>0</v>
      </c>
      <c r="I95" s="77"/>
      <c r="J95" s="77"/>
      <c r="K95" s="77"/>
      <c r="L95" s="77"/>
      <c r="M95" s="77">
        <f t="shared" si="7"/>
        <v>0</v>
      </c>
      <c r="N95" s="409"/>
    </row>
    <row r="96" spans="1:14">
      <c r="A96" s="1462"/>
      <c r="B96" s="928"/>
      <c r="C96" s="977" t="s">
        <v>1411</v>
      </c>
      <c r="D96" s="928" t="s">
        <v>65</v>
      </c>
      <c r="E96" s="56"/>
      <c r="F96" s="282">
        <v>1</v>
      </c>
      <c r="G96" s="77"/>
      <c r="H96" s="77">
        <f t="shared" si="8"/>
        <v>0</v>
      </c>
      <c r="I96" s="77"/>
      <c r="J96" s="77"/>
      <c r="K96" s="77"/>
      <c r="L96" s="77"/>
      <c r="M96" s="77">
        <f t="shared" si="7"/>
        <v>0</v>
      </c>
      <c r="N96" s="409"/>
    </row>
    <row r="97" spans="1:14" hidden="1">
      <c r="A97" s="1462"/>
      <c r="B97" s="928"/>
      <c r="C97" s="977" t="s">
        <v>1416</v>
      </c>
      <c r="D97" s="426" t="s">
        <v>65</v>
      </c>
      <c r="E97" s="26"/>
      <c r="F97" s="282"/>
      <c r="G97" s="80"/>
      <c r="H97" s="77">
        <f>F97*G97</f>
        <v>0</v>
      </c>
      <c r="I97" s="429"/>
      <c r="J97" s="77"/>
      <c r="K97" s="308"/>
      <c r="L97" s="77"/>
      <c r="M97" s="77">
        <f>H97+J97+L97</f>
        <v>0</v>
      </c>
      <c r="N97" s="409"/>
    </row>
    <row r="98" spans="1:14" hidden="1">
      <c r="A98" s="1462"/>
      <c r="B98" s="928"/>
      <c r="C98" s="165" t="s">
        <v>1479</v>
      </c>
      <c r="D98" s="928" t="s">
        <v>2</v>
      </c>
      <c r="E98" s="56"/>
      <c r="F98" s="282"/>
      <c r="G98" s="77">
        <v>20</v>
      </c>
      <c r="H98" s="77">
        <f>F98*G98</f>
        <v>0</v>
      </c>
      <c r="I98" s="77"/>
      <c r="J98" s="77"/>
      <c r="K98" s="77"/>
      <c r="L98" s="77"/>
      <c r="M98" s="77">
        <f>H98+J98+L98</f>
        <v>0</v>
      </c>
      <c r="N98" s="409"/>
    </row>
    <row r="99" spans="1:14" hidden="1">
      <c r="A99" s="1462"/>
      <c r="B99" s="928"/>
      <c r="C99" s="165" t="s">
        <v>1480</v>
      </c>
      <c r="D99" s="928" t="s">
        <v>2</v>
      </c>
      <c r="E99" s="56"/>
      <c r="F99" s="282"/>
      <c r="G99" s="77">
        <v>5</v>
      </c>
      <c r="H99" s="77">
        <f t="shared" si="8"/>
        <v>0</v>
      </c>
      <c r="I99" s="77"/>
      <c r="J99" s="77"/>
      <c r="K99" s="77"/>
      <c r="L99" s="77"/>
      <c r="M99" s="77">
        <f t="shared" si="7"/>
        <v>0</v>
      </c>
      <c r="N99" s="409"/>
    </row>
    <row r="100" spans="1:14" hidden="1">
      <c r="A100" s="1463"/>
      <c r="B100" s="928"/>
      <c r="C100" s="165" t="s">
        <v>1481</v>
      </c>
      <c r="D100" s="928" t="s">
        <v>2</v>
      </c>
      <c r="E100" s="56"/>
      <c r="F100" s="282"/>
      <c r="G100" s="77">
        <v>12</v>
      </c>
      <c r="H100" s="77">
        <f t="shared" si="8"/>
        <v>0</v>
      </c>
      <c r="I100" s="77"/>
      <c r="J100" s="77"/>
      <c r="K100" s="77"/>
      <c r="L100" s="77"/>
      <c r="M100" s="77">
        <f t="shared" si="7"/>
        <v>0</v>
      </c>
      <c r="N100" s="409"/>
    </row>
    <row r="101" spans="1:14">
      <c r="A101" s="1461">
        <v>2</v>
      </c>
      <c r="B101" s="43" t="s">
        <v>810</v>
      </c>
      <c r="C101" s="425" t="s">
        <v>811</v>
      </c>
      <c r="D101" s="928" t="s">
        <v>1</v>
      </c>
      <c r="E101" s="56"/>
      <c r="F101" s="20">
        <f>F104</f>
        <v>1000</v>
      </c>
      <c r="G101" s="77"/>
      <c r="H101" s="77"/>
      <c r="I101" s="77"/>
      <c r="J101" s="77"/>
      <c r="K101" s="77"/>
      <c r="L101" s="77"/>
      <c r="M101" s="77">
        <f t="shared" si="7"/>
        <v>0</v>
      </c>
      <c r="N101" s="409"/>
    </row>
    <row r="102" spans="1:14">
      <c r="A102" s="1462"/>
      <c r="B102" s="928"/>
      <c r="C102" s="153" t="s">
        <v>20</v>
      </c>
      <c r="D102" s="928" t="s">
        <v>1</v>
      </c>
      <c r="E102" s="26">
        <v>0.22</v>
      </c>
      <c r="F102" s="282">
        <f>E102*F101</f>
        <v>220</v>
      </c>
      <c r="G102" s="80"/>
      <c r="H102" s="77"/>
      <c r="I102" s="429"/>
      <c r="J102" s="77">
        <f>F102*I102</f>
        <v>0</v>
      </c>
      <c r="K102" s="429"/>
      <c r="L102" s="77"/>
      <c r="M102" s="77">
        <f t="shared" si="7"/>
        <v>0</v>
      </c>
      <c r="N102" s="409"/>
    </row>
    <row r="103" spans="1:14">
      <c r="A103" s="1462"/>
      <c r="B103" s="928"/>
      <c r="C103" s="153" t="s">
        <v>25</v>
      </c>
      <c r="D103" s="942" t="s">
        <v>11</v>
      </c>
      <c r="E103" s="26">
        <v>3.8199999999999998E-2</v>
      </c>
      <c r="F103" s="282">
        <f>E103*F101</f>
        <v>38.199999999999996</v>
      </c>
      <c r="G103" s="80"/>
      <c r="H103" s="77"/>
      <c r="I103" s="77"/>
      <c r="J103" s="77"/>
      <c r="K103" s="429"/>
      <c r="L103" s="77">
        <f>F103*K103</f>
        <v>0</v>
      </c>
      <c r="M103" s="77">
        <f t="shared" si="7"/>
        <v>0</v>
      </c>
      <c r="N103" s="409"/>
    </row>
    <row r="104" spans="1:14" ht="24" customHeight="1">
      <c r="A104" s="1462"/>
      <c r="B104" s="928"/>
      <c r="C104" s="977" t="s">
        <v>1407</v>
      </c>
      <c r="D104" s="426" t="str">
        <f>D101</f>
        <v>g/m</v>
      </c>
      <c r="E104" s="26">
        <v>1</v>
      </c>
      <c r="F104" s="282">
        <v>1000</v>
      </c>
      <c r="G104" s="80"/>
      <c r="H104" s="77">
        <f t="shared" si="8"/>
        <v>0</v>
      </c>
      <c r="I104" s="429"/>
      <c r="J104" s="77"/>
      <c r="K104" s="308"/>
      <c r="L104" s="77"/>
      <c r="M104" s="77">
        <f t="shared" si="7"/>
        <v>0</v>
      </c>
      <c r="N104" s="409"/>
    </row>
    <row r="105" spans="1:14">
      <c r="A105" s="1462"/>
      <c r="B105" s="928"/>
      <c r="C105" s="977" t="s">
        <v>1408</v>
      </c>
      <c r="D105" s="426" t="str">
        <f>D102</f>
        <v>g/m</v>
      </c>
      <c r="E105" s="26"/>
      <c r="F105" s="282">
        <v>500</v>
      </c>
      <c r="G105" s="80"/>
      <c r="H105" s="77">
        <f>F105*G105</f>
        <v>0</v>
      </c>
      <c r="I105" s="429"/>
      <c r="J105" s="77"/>
      <c r="K105" s="308"/>
      <c r="L105" s="77"/>
      <c r="M105" s="77">
        <f>H105+J105+L105</f>
        <v>0</v>
      </c>
      <c r="N105" s="409"/>
    </row>
    <row r="106" spans="1:14" hidden="1">
      <c r="A106" s="1462"/>
      <c r="B106" s="928"/>
      <c r="C106" s="153" t="s">
        <v>812</v>
      </c>
      <c r="D106" s="426" t="s">
        <v>2</v>
      </c>
      <c r="E106" s="26"/>
      <c r="F106" s="282"/>
      <c r="G106" s="80">
        <v>0.12</v>
      </c>
      <c r="H106" s="77">
        <f t="shared" si="8"/>
        <v>0</v>
      </c>
      <c r="I106" s="429"/>
      <c r="J106" s="77"/>
      <c r="K106" s="308"/>
      <c r="L106" s="77"/>
      <c r="M106" s="77">
        <f t="shared" si="7"/>
        <v>0</v>
      </c>
      <c r="N106" s="409"/>
    </row>
    <row r="107" spans="1:14" hidden="1">
      <c r="A107" s="1462"/>
      <c r="B107" s="928"/>
      <c r="C107" s="153" t="s">
        <v>813</v>
      </c>
      <c r="D107" s="426" t="s">
        <v>2</v>
      </c>
      <c r="E107" s="26"/>
      <c r="F107" s="282"/>
      <c r="G107" s="80">
        <v>6</v>
      </c>
      <c r="H107" s="77">
        <f t="shared" si="8"/>
        <v>0</v>
      </c>
      <c r="I107" s="429"/>
      <c r="J107" s="77"/>
      <c r="K107" s="308"/>
      <c r="L107" s="77"/>
      <c r="M107" s="77">
        <f t="shared" si="7"/>
        <v>0</v>
      </c>
      <c r="N107" s="409"/>
    </row>
    <row r="108" spans="1:14" hidden="1">
      <c r="A108" s="1462"/>
      <c r="B108" s="928"/>
      <c r="C108" s="153" t="s">
        <v>814</v>
      </c>
      <c r="D108" s="426" t="s">
        <v>2</v>
      </c>
      <c r="E108" s="26"/>
      <c r="F108" s="282"/>
      <c r="G108" s="80">
        <v>20</v>
      </c>
      <c r="H108" s="77">
        <f t="shared" si="8"/>
        <v>0</v>
      </c>
      <c r="I108" s="429"/>
      <c r="J108" s="77"/>
      <c r="K108" s="308"/>
      <c r="L108" s="77"/>
      <c r="M108" s="77">
        <f t="shared" si="7"/>
        <v>0</v>
      </c>
      <c r="N108" s="409"/>
    </row>
    <row r="109" spans="1:14" hidden="1">
      <c r="A109" s="1462"/>
      <c r="B109" s="928"/>
      <c r="C109" s="153" t="s">
        <v>815</v>
      </c>
      <c r="D109" s="426" t="s">
        <v>2</v>
      </c>
      <c r="E109" s="26"/>
      <c r="F109" s="282"/>
      <c r="G109" s="80">
        <v>75</v>
      </c>
      <c r="H109" s="77">
        <f t="shared" si="8"/>
        <v>0</v>
      </c>
      <c r="I109" s="429"/>
      <c r="J109" s="77"/>
      <c r="K109" s="308"/>
      <c r="L109" s="77"/>
      <c r="M109" s="77">
        <f t="shared" si="7"/>
        <v>0</v>
      </c>
      <c r="N109" s="409"/>
    </row>
    <row r="110" spans="1:14" hidden="1">
      <c r="A110" s="1462"/>
      <c r="B110" s="928"/>
      <c r="C110" s="153" t="s">
        <v>816</v>
      </c>
      <c r="D110" s="426" t="s">
        <v>2</v>
      </c>
      <c r="E110" s="26"/>
      <c r="F110" s="282"/>
      <c r="G110" s="80">
        <v>1</v>
      </c>
      <c r="H110" s="77">
        <f t="shared" si="8"/>
        <v>0</v>
      </c>
      <c r="I110" s="429"/>
      <c r="J110" s="77"/>
      <c r="K110" s="308"/>
      <c r="L110" s="77"/>
      <c r="M110" s="77">
        <f t="shared" si="7"/>
        <v>0</v>
      </c>
      <c r="N110" s="409"/>
    </row>
    <row r="111" spans="1:14" hidden="1">
      <c r="A111" s="1462"/>
      <c r="B111" s="928"/>
      <c r="C111" s="153" t="s">
        <v>817</v>
      </c>
      <c r="D111" s="426" t="s">
        <v>2</v>
      </c>
      <c r="E111" s="26"/>
      <c r="F111" s="282"/>
      <c r="G111" s="80">
        <v>0.2</v>
      </c>
      <c r="H111" s="77">
        <f t="shared" si="8"/>
        <v>0</v>
      </c>
      <c r="I111" s="429"/>
      <c r="J111" s="77"/>
      <c r="K111" s="308"/>
      <c r="L111" s="77"/>
      <c r="M111" s="77">
        <f t="shared" si="7"/>
        <v>0</v>
      </c>
      <c r="N111" s="409"/>
    </row>
    <row r="112" spans="1:14" ht="45">
      <c r="A112" s="1462"/>
      <c r="B112" s="928"/>
      <c r="C112" s="249" t="s">
        <v>1415</v>
      </c>
      <c r="D112" s="426" t="s">
        <v>11</v>
      </c>
      <c r="E112" s="26"/>
      <c r="F112" s="282">
        <v>1</v>
      </c>
      <c r="G112" s="80"/>
      <c r="H112" s="77">
        <f t="shared" si="8"/>
        <v>0</v>
      </c>
      <c r="I112" s="429"/>
      <c r="J112" s="77"/>
      <c r="K112" s="308"/>
      <c r="L112" s="77"/>
      <c r="M112" s="77">
        <f t="shared" si="7"/>
        <v>0</v>
      </c>
      <c r="N112" s="409"/>
    </row>
    <row r="113" spans="1:14">
      <c r="A113" s="1463"/>
      <c r="B113" s="928"/>
      <c r="C113" s="153" t="s">
        <v>19</v>
      </c>
      <c r="D113" s="942" t="s">
        <v>11</v>
      </c>
      <c r="E113" s="26">
        <v>6.5799999999999997E-2</v>
      </c>
      <c r="F113" s="282">
        <f>E113*F101</f>
        <v>65.8</v>
      </c>
      <c r="G113" s="80"/>
      <c r="H113" s="77">
        <f t="shared" si="8"/>
        <v>0</v>
      </c>
      <c r="I113" s="429"/>
      <c r="J113" s="77"/>
      <c r="K113" s="308"/>
      <c r="L113" s="77"/>
      <c r="M113" s="77">
        <f t="shared" si="7"/>
        <v>0</v>
      </c>
      <c r="N113" s="409"/>
    </row>
    <row r="114" spans="1:14" ht="27">
      <c r="A114" s="1460">
        <v>3</v>
      </c>
      <c r="B114" s="942" t="s">
        <v>818</v>
      </c>
      <c r="C114" s="152" t="s">
        <v>819</v>
      </c>
      <c r="D114" s="943" t="s">
        <v>90</v>
      </c>
      <c r="E114" s="427"/>
      <c r="F114" s="299">
        <f>F116+F117</f>
        <v>30</v>
      </c>
      <c r="G114" s="79"/>
      <c r="H114" s="77"/>
      <c r="I114" s="174"/>
      <c r="J114" s="77"/>
      <c r="K114" s="79"/>
      <c r="L114" s="77"/>
      <c r="M114" s="77"/>
      <c r="N114" s="409"/>
    </row>
    <row r="115" spans="1:14">
      <c r="A115" s="1460"/>
      <c r="B115" s="942"/>
      <c r="C115" s="153" t="s">
        <v>13</v>
      </c>
      <c r="D115" s="426" t="s">
        <v>15</v>
      </c>
      <c r="E115" s="428">
        <v>0.39200000000000002</v>
      </c>
      <c r="F115" s="317">
        <f>F114*E115</f>
        <v>11.76</v>
      </c>
      <c r="G115" s="429"/>
      <c r="H115" s="77"/>
      <c r="I115" s="80"/>
      <c r="J115" s="77">
        <f>F115*I115</f>
        <v>0</v>
      </c>
      <c r="K115" s="80"/>
      <c r="L115" s="77"/>
      <c r="M115" s="77">
        <f t="shared" si="7"/>
        <v>0</v>
      </c>
      <c r="N115" s="409"/>
    </row>
    <row r="116" spans="1:14">
      <c r="A116" s="1460"/>
      <c r="B116" s="942"/>
      <c r="C116" s="977" t="s">
        <v>1409</v>
      </c>
      <c r="D116" s="426" t="s">
        <v>65</v>
      </c>
      <c r="E116" s="428"/>
      <c r="F116" s="317">
        <v>30</v>
      </c>
      <c r="G116" s="429"/>
      <c r="H116" s="77">
        <f t="shared" si="8"/>
        <v>0</v>
      </c>
      <c r="I116" s="77"/>
      <c r="J116" s="77"/>
      <c r="K116" s="80"/>
      <c r="L116" s="77"/>
      <c r="M116" s="77">
        <f t="shared" si="7"/>
        <v>0</v>
      </c>
      <c r="N116" s="409"/>
    </row>
    <row r="117" spans="1:14" hidden="1">
      <c r="A117" s="1460"/>
      <c r="B117" s="942"/>
      <c r="C117" s="148" t="s">
        <v>820</v>
      </c>
      <c r="D117" s="426" t="s">
        <v>2</v>
      </c>
      <c r="E117" s="430"/>
      <c r="F117" s="431"/>
      <c r="G117" s="429">
        <v>15</v>
      </c>
      <c r="H117" s="77">
        <f t="shared" si="8"/>
        <v>0</v>
      </c>
      <c r="I117" s="77"/>
      <c r="J117" s="77"/>
      <c r="K117" s="80"/>
      <c r="L117" s="77"/>
      <c r="M117" s="77">
        <f t="shared" si="7"/>
        <v>0</v>
      </c>
      <c r="N117" s="409"/>
    </row>
    <row r="118" spans="1:14">
      <c r="A118" s="1460"/>
      <c r="B118" s="942"/>
      <c r="C118" s="977" t="s">
        <v>1412</v>
      </c>
      <c r="D118" s="426" t="s">
        <v>2</v>
      </c>
      <c r="E118" s="430"/>
      <c r="F118" s="431">
        <v>30</v>
      </c>
      <c r="G118" s="429"/>
      <c r="H118" s="77">
        <f t="shared" si="8"/>
        <v>0</v>
      </c>
      <c r="I118" s="77"/>
      <c r="J118" s="77"/>
      <c r="K118" s="80"/>
      <c r="L118" s="77"/>
      <c r="M118" s="77">
        <f t="shared" si="7"/>
        <v>0</v>
      </c>
      <c r="N118" s="409"/>
    </row>
    <row r="119" spans="1:14">
      <c r="A119" s="1460"/>
      <c r="B119" s="942"/>
      <c r="C119" s="153" t="s">
        <v>26</v>
      </c>
      <c r="D119" s="426" t="s">
        <v>11</v>
      </c>
      <c r="E119" s="430">
        <f>9.4/100</f>
        <v>9.4E-2</v>
      </c>
      <c r="F119" s="205">
        <f>F114*E119</f>
        <v>2.82</v>
      </c>
      <c r="G119" s="80"/>
      <c r="H119" s="77">
        <f t="shared" si="8"/>
        <v>0</v>
      </c>
      <c r="I119" s="80"/>
      <c r="J119" s="77"/>
      <c r="K119" s="80"/>
      <c r="L119" s="77"/>
      <c r="M119" s="77">
        <f t="shared" si="7"/>
        <v>0</v>
      </c>
      <c r="N119" s="409"/>
    </row>
    <row r="120" spans="1:14">
      <c r="A120" s="928">
        <v>4</v>
      </c>
      <c r="B120" s="928" t="s">
        <v>34</v>
      </c>
      <c r="C120" s="425" t="s">
        <v>821</v>
      </c>
      <c r="D120" s="928" t="s">
        <v>65</v>
      </c>
      <c r="E120" s="56"/>
      <c r="F120" s="299">
        <v>7</v>
      </c>
      <c r="G120" s="77"/>
      <c r="H120" s="77"/>
      <c r="I120" s="77"/>
      <c r="J120" s="77"/>
      <c r="K120" s="77"/>
      <c r="L120" s="77"/>
      <c r="M120" s="77"/>
      <c r="N120" s="409"/>
    </row>
    <row r="121" spans="1:14">
      <c r="A121" s="939"/>
      <c r="B121" s="928"/>
      <c r="C121" s="433" t="s">
        <v>189</v>
      </c>
      <c r="D121" s="432" t="s">
        <v>15</v>
      </c>
      <c r="E121" s="110">
        <v>1</v>
      </c>
      <c r="F121" s="434">
        <f>F120*E121</f>
        <v>7</v>
      </c>
      <c r="G121" s="176"/>
      <c r="H121" s="77"/>
      <c r="I121" s="176"/>
      <c r="J121" s="77">
        <f>F121*I121</f>
        <v>0</v>
      </c>
      <c r="K121" s="77"/>
      <c r="L121" s="77"/>
      <c r="M121" s="77">
        <f t="shared" si="7"/>
        <v>0</v>
      </c>
      <c r="N121" s="409"/>
    </row>
    <row r="122" spans="1:14">
      <c r="A122" s="939"/>
      <c r="B122" s="928"/>
      <c r="C122" s="425" t="s">
        <v>821</v>
      </c>
      <c r="D122" s="432" t="s">
        <v>65</v>
      </c>
      <c r="E122" s="110">
        <v>1</v>
      </c>
      <c r="F122" s="434">
        <f>F120</f>
        <v>7</v>
      </c>
      <c r="G122" s="176"/>
      <c r="H122" s="77">
        <f t="shared" ref="H122" si="9">F122*G122</f>
        <v>0</v>
      </c>
      <c r="I122" s="77"/>
      <c r="J122" s="77"/>
      <c r="K122" s="77"/>
      <c r="L122" s="77"/>
      <c r="M122" s="77">
        <f t="shared" ref="M122" si="10">H122+J122+L122</f>
        <v>0</v>
      </c>
      <c r="N122" s="409"/>
    </row>
    <row r="123" spans="1:14">
      <c r="A123" s="1461">
        <v>5</v>
      </c>
      <c r="B123" s="432" t="s">
        <v>822</v>
      </c>
      <c r="C123" s="425" t="s">
        <v>823</v>
      </c>
      <c r="D123" s="432" t="s">
        <v>65</v>
      </c>
      <c r="E123" s="110"/>
      <c r="F123" s="20">
        <f>F125</f>
        <v>1</v>
      </c>
      <c r="G123" s="176"/>
      <c r="H123" s="77"/>
      <c r="I123" s="176"/>
      <c r="J123" s="77"/>
      <c r="K123" s="77"/>
      <c r="L123" s="77"/>
      <c r="M123" s="77"/>
      <c r="N123" s="409"/>
    </row>
    <row r="124" spans="1:14">
      <c r="A124" s="1462"/>
      <c r="B124" s="928" t="s">
        <v>34</v>
      </c>
      <c r="C124" s="433" t="s">
        <v>189</v>
      </c>
      <c r="D124" s="432" t="s">
        <v>15</v>
      </c>
      <c r="E124" s="110">
        <v>1</v>
      </c>
      <c r="F124" s="434">
        <f>F123*E124</f>
        <v>1</v>
      </c>
      <c r="G124" s="176"/>
      <c r="H124" s="77"/>
      <c r="I124" s="176"/>
      <c r="J124" s="77">
        <f>F124*I124</f>
        <v>0</v>
      </c>
      <c r="K124" s="77"/>
      <c r="L124" s="77"/>
      <c r="M124" s="77">
        <f t="shared" si="7"/>
        <v>0</v>
      </c>
      <c r="N124" s="409"/>
    </row>
    <row r="125" spans="1:14" ht="21" customHeight="1">
      <c r="A125" s="1462"/>
      <c r="B125" s="432"/>
      <c r="C125" s="977" t="s">
        <v>1410</v>
      </c>
      <c r="D125" s="436" t="s">
        <v>65</v>
      </c>
      <c r="E125" s="437"/>
      <c r="F125" s="114">
        <v>1</v>
      </c>
      <c r="G125" s="176"/>
      <c r="H125" s="77">
        <f t="shared" si="8"/>
        <v>0</v>
      </c>
      <c r="I125" s="176"/>
      <c r="J125" s="77"/>
      <c r="K125" s="77"/>
      <c r="L125" s="77"/>
      <c r="M125" s="77">
        <f t="shared" si="7"/>
        <v>0</v>
      </c>
      <c r="N125" s="409"/>
    </row>
    <row r="126" spans="1:14">
      <c r="A126" s="1463"/>
      <c r="B126" s="432"/>
      <c r="C126" s="153" t="s">
        <v>26</v>
      </c>
      <c r="D126" s="432" t="s">
        <v>11</v>
      </c>
      <c r="E126" s="110">
        <v>2.97</v>
      </c>
      <c r="F126" s="434">
        <f>F123*E126</f>
        <v>2.97</v>
      </c>
      <c r="G126" s="176"/>
      <c r="H126" s="77">
        <f t="shared" si="8"/>
        <v>0</v>
      </c>
      <c r="I126" s="176"/>
      <c r="J126" s="77"/>
      <c r="K126" s="77"/>
      <c r="L126" s="77"/>
      <c r="M126" s="77">
        <f t="shared" si="7"/>
        <v>0</v>
      </c>
      <c r="N126" s="409"/>
    </row>
    <row r="127" spans="1:14">
      <c r="A127" s="938" t="s">
        <v>409</v>
      </c>
      <c r="B127" s="913"/>
      <c r="C127" s="980" t="s">
        <v>1417</v>
      </c>
      <c r="D127" s="913" t="s">
        <v>65</v>
      </c>
      <c r="E127" s="914"/>
      <c r="F127" s="111">
        <v>2</v>
      </c>
      <c r="G127" s="176"/>
      <c r="H127" s="77">
        <f t="shared" si="8"/>
        <v>0</v>
      </c>
      <c r="I127" s="176"/>
      <c r="J127" s="77"/>
      <c r="K127" s="77"/>
      <c r="L127" s="77"/>
      <c r="M127" s="77">
        <f t="shared" si="7"/>
        <v>0</v>
      </c>
      <c r="N127" s="409"/>
    </row>
    <row r="128" spans="1:14">
      <c r="A128" s="938"/>
      <c r="B128" s="928"/>
      <c r="C128" s="433" t="s">
        <v>189</v>
      </c>
      <c r="D128" s="432" t="s">
        <v>15</v>
      </c>
      <c r="E128" s="110">
        <v>1</v>
      </c>
      <c r="F128" s="434">
        <f>F127*E128</f>
        <v>2</v>
      </c>
      <c r="G128" s="176"/>
      <c r="H128" s="77"/>
      <c r="I128" s="176"/>
      <c r="J128" s="77">
        <f>F128*I128</f>
        <v>0</v>
      </c>
      <c r="K128" s="77"/>
      <c r="L128" s="77"/>
      <c r="M128" s="77">
        <f t="shared" ref="M128" si="11">H128+J128+L128</f>
        <v>0</v>
      </c>
      <c r="N128" s="409"/>
    </row>
    <row r="129" spans="1:14">
      <c r="A129" s="1536">
        <v>6</v>
      </c>
      <c r="B129" s="22" t="s">
        <v>136</v>
      </c>
      <c r="C129" s="292" t="s">
        <v>824</v>
      </c>
      <c r="D129" s="22" t="s">
        <v>138</v>
      </c>
      <c r="E129" s="243"/>
      <c r="F129" s="122">
        <v>20</v>
      </c>
      <c r="G129" s="80"/>
      <c r="H129" s="77"/>
      <c r="I129" s="77"/>
      <c r="J129" s="77"/>
      <c r="K129" s="77"/>
      <c r="L129" s="77"/>
      <c r="M129" s="77">
        <f t="shared" si="7"/>
        <v>0</v>
      </c>
      <c r="N129" s="409"/>
    </row>
    <row r="130" spans="1:14">
      <c r="A130" s="1537"/>
      <c r="B130" s="22"/>
      <c r="C130" s="252" t="s">
        <v>13</v>
      </c>
      <c r="D130" s="253" t="s">
        <v>109</v>
      </c>
      <c r="E130" s="256">
        <v>1.002</v>
      </c>
      <c r="F130" s="257">
        <f>F129*E130</f>
        <v>20.04</v>
      </c>
      <c r="G130" s="80"/>
      <c r="H130" s="77"/>
      <c r="I130" s="77"/>
      <c r="J130" s="77">
        <f>F130*I130</f>
        <v>0</v>
      </c>
      <c r="K130" s="77"/>
      <c r="L130" s="77"/>
      <c r="M130" s="77">
        <f t="shared" si="7"/>
        <v>0</v>
      </c>
      <c r="N130" s="409"/>
    </row>
    <row r="131" spans="1:14">
      <c r="A131" s="1538"/>
      <c r="B131" s="22"/>
      <c r="C131" s="252" t="s">
        <v>139</v>
      </c>
      <c r="D131" s="253" t="s">
        <v>11</v>
      </c>
      <c r="E131" s="256">
        <v>0.49340000000000001</v>
      </c>
      <c r="F131" s="257">
        <f>F129*E131</f>
        <v>9.8680000000000003</v>
      </c>
      <c r="G131" s="80"/>
      <c r="H131" s="77"/>
      <c r="I131" s="77"/>
      <c r="J131" s="77"/>
      <c r="K131" s="77"/>
      <c r="L131" s="77">
        <f>F131*K131</f>
        <v>0</v>
      </c>
      <c r="M131" s="77">
        <f t="shared" si="7"/>
        <v>0</v>
      </c>
      <c r="N131" s="409"/>
    </row>
    <row r="132" spans="1:14">
      <c r="A132" s="1539">
        <v>7</v>
      </c>
      <c r="B132" s="22" t="s">
        <v>143</v>
      </c>
      <c r="C132" s="292" t="s">
        <v>140</v>
      </c>
      <c r="D132" s="942" t="s">
        <v>5</v>
      </c>
      <c r="E132" s="438">
        <f>0.12*0.12</f>
        <v>1.44E-2</v>
      </c>
      <c r="F132" s="122">
        <f>F129*E132</f>
        <v>0.28799999999999998</v>
      </c>
      <c r="G132" s="80"/>
      <c r="H132" s="77"/>
      <c r="I132" s="77"/>
      <c r="J132" s="77"/>
      <c r="K132" s="77"/>
      <c r="L132" s="77"/>
      <c r="M132" s="77"/>
      <c r="N132" s="409"/>
    </row>
    <row r="133" spans="1:14">
      <c r="A133" s="1539"/>
      <c r="B133" s="22"/>
      <c r="C133" s="154" t="s">
        <v>20</v>
      </c>
      <c r="D133" s="63" t="s">
        <v>15</v>
      </c>
      <c r="E133" s="74">
        <v>74.2</v>
      </c>
      <c r="F133" s="78">
        <f>F132*E133</f>
        <v>21.369599999999998</v>
      </c>
      <c r="G133" s="146"/>
      <c r="H133" s="77"/>
      <c r="I133" s="77"/>
      <c r="J133" s="77">
        <f>F133*I133</f>
        <v>0</v>
      </c>
      <c r="K133" s="77"/>
      <c r="L133" s="77"/>
      <c r="M133" s="77">
        <f t="shared" si="7"/>
        <v>0</v>
      </c>
      <c r="N133" s="409"/>
    </row>
    <row r="134" spans="1:14">
      <c r="A134" s="1539"/>
      <c r="B134" s="22"/>
      <c r="C134" s="154" t="s">
        <v>24</v>
      </c>
      <c r="D134" s="63" t="s">
        <v>11</v>
      </c>
      <c r="E134" s="74">
        <v>1.1000000000000001</v>
      </c>
      <c r="F134" s="78">
        <f>F132*E134</f>
        <v>0.31680000000000003</v>
      </c>
      <c r="G134" s="146"/>
      <c r="H134" s="77"/>
      <c r="I134" s="77"/>
      <c r="J134" s="77"/>
      <c r="K134" s="77"/>
      <c r="L134" s="77">
        <f>F134*K134</f>
        <v>0</v>
      </c>
      <c r="M134" s="77">
        <f t="shared" si="7"/>
        <v>0</v>
      </c>
      <c r="N134" s="409"/>
    </row>
    <row r="135" spans="1:14">
      <c r="A135" s="1539"/>
      <c r="B135" s="22"/>
      <c r="C135" s="165" t="s">
        <v>89</v>
      </c>
      <c r="D135" s="63" t="s">
        <v>4</v>
      </c>
      <c r="E135" s="74">
        <v>1.04</v>
      </c>
      <c r="F135" s="78">
        <f>F132*E135</f>
        <v>0.29952000000000001</v>
      </c>
      <c r="G135" s="146"/>
      <c r="H135" s="77">
        <f t="shared" si="8"/>
        <v>0</v>
      </c>
      <c r="I135" s="77"/>
      <c r="J135" s="77"/>
      <c r="K135" s="77"/>
      <c r="L135" s="77"/>
      <c r="M135" s="77">
        <f t="shared" si="7"/>
        <v>0</v>
      </c>
      <c r="N135" s="409"/>
    </row>
    <row r="136" spans="1:14">
      <c r="A136" s="1539"/>
      <c r="B136" s="22"/>
      <c r="C136" s="154" t="s">
        <v>144</v>
      </c>
      <c r="D136" s="63" t="s">
        <v>6</v>
      </c>
      <c r="E136" s="74">
        <v>5.9</v>
      </c>
      <c r="F136" s="78">
        <f>F132*E136</f>
        <v>1.6992</v>
      </c>
      <c r="G136" s="146"/>
      <c r="H136" s="77">
        <f t="shared" si="8"/>
        <v>0</v>
      </c>
      <c r="I136" s="77"/>
      <c r="J136" s="77"/>
      <c r="K136" s="77"/>
      <c r="L136" s="77"/>
      <c r="M136" s="77">
        <f t="shared" si="7"/>
        <v>0</v>
      </c>
      <c r="N136" s="409"/>
    </row>
    <row r="137" spans="1:14">
      <c r="A137" s="1539"/>
      <c r="B137" s="22"/>
      <c r="C137" s="154" t="s">
        <v>235</v>
      </c>
      <c r="D137" s="63" t="s">
        <v>4</v>
      </c>
      <c r="E137" s="74">
        <f>0.21+0.18</f>
        <v>0.39</v>
      </c>
      <c r="F137" s="78">
        <f>F132*E137</f>
        <v>0.11231999999999999</v>
      </c>
      <c r="G137" s="146"/>
      <c r="H137" s="77">
        <f t="shared" si="8"/>
        <v>0</v>
      </c>
      <c r="I137" s="77"/>
      <c r="J137" s="77"/>
      <c r="K137" s="77"/>
      <c r="L137" s="77"/>
      <c r="M137" s="77">
        <f t="shared" si="7"/>
        <v>0</v>
      </c>
      <c r="N137" s="409"/>
    </row>
    <row r="138" spans="1:14">
      <c r="A138" s="105"/>
      <c r="B138" s="105"/>
      <c r="C138" s="104" t="s">
        <v>862</v>
      </c>
      <c r="D138" s="105"/>
      <c r="E138" s="373"/>
      <c r="F138" s="374"/>
      <c r="G138" s="100"/>
      <c r="H138" s="100">
        <f>SUM(H91:H137)</f>
        <v>0</v>
      </c>
      <c r="I138" s="100"/>
      <c r="J138" s="100">
        <f>SUM(J91:J137)</f>
        <v>0</v>
      </c>
      <c r="K138" s="100"/>
      <c r="L138" s="100">
        <f>SUM(L91:L137)</f>
        <v>0</v>
      </c>
      <c r="M138" s="100">
        <f>SUM(M91:M137)</f>
        <v>0</v>
      </c>
      <c r="N138" s="412">
        <f>H138+J138+L138</f>
        <v>0</v>
      </c>
    </row>
    <row r="139" spans="1:14" ht="31.5">
      <c r="A139" s="413"/>
      <c r="B139" s="413"/>
      <c r="C139" s="414" t="s">
        <v>802</v>
      </c>
      <c r="D139" s="413"/>
      <c r="E139" s="415"/>
      <c r="F139" s="416"/>
      <c r="G139" s="417"/>
      <c r="H139" s="417"/>
      <c r="I139" s="417"/>
      <c r="J139" s="417"/>
      <c r="K139" s="417"/>
      <c r="L139" s="417"/>
      <c r="M139" s="304">
        <f>H138*F139</f>
        <v>0</v>
      </c>
      <c r="N139" s="409"/>
    </row>
    <row r="140" spans="1:14">
      <c r="A140" s="413"/>
      <c r="B140" s="413"/>
      <c r="C140" s="418" t="s">
        <v>54</v>
      </c>
      <c r="D140" s="413"/>
      <c r="E140" s="415"/>
      <c r="F140" s="94"/>
      <c r="G140" s="417"/>
      <c r="H140" s="417"/>
      <c r="I140" s="417"/>
      <c r="J140" s="419"/>
      <c r="K140" s="417"/>
      <c r="L140" s="417"/>
      <c r="M140" s="304">
        <f>M138+M139</f>
        <v>0</v>
      </c>
      <c r="N140" s="409"/>
    </row>
    <row r="141" spans="1:14" ht="31.5">
      <c r="A141" s="942"/>
      <c r="B141" s="420"/>
      <c r="C141" s="945" t="s">
        <v>1778</v>
      </c>
      <c r="D141" s="447"/>
      <c r="E141" s="280"/>
      <c r="F141" s="416"/>
      <c r="G141" s="448"/>
      <c r="H141" s="448"/>
      <c r="I141" s="448"/>
      <c r="J141" s="448"/>
      <c r="K141" s="448"/>
      <c r="L141" s="448"/>
      <c r="M141" s="448">
        <f>J138*F141</f>
        <v>0</v>
      </c>
      <c r="N141" s="409"/>
    </row>
    <row r="142" spans="1:14">
      <c r="A142" s="942"/>
      <c r="B142" s="942"/>
      <c r="C142" s="418" t="s">
        <v>54</v>
      </c>
      <c r="D142" s="942"/>
      <c r="E142" s="26"/>
      <c r="F142" s="282"/>
      <c r="G142" s="80"/>
      <c r="H142" s="80"/>
      <c r="I142" s="80"/>
      <c r="J142" s="80"/>
      <c r="K142" s="80"/>
      <c r="L142" s="80"/>
      <c r="M142" s="80">
        <f>M140+M141</f>
        <v>0</v>
      </c>
      <c r="N142" s="409"/>
    </row>
    <row r="143" spans="1:14" ht="20.25" customHeight="1">
      <c r="A143" s="942"/>
      <c r="B143" s="942"/>
      <c r="C143" s="947" t="s">
        <v>825</v>
      </c>
      <c r="D143" s="942"/>
      <c r="E143" s="26"/>
      <c r="F143" s="416"/>
      <c r="G143" s="80"/>
      <c r="H143" s="80"/>
      <c r="I143" s="80"/>
      <c r="J143" s="80"/>
      <c r="K143" s="80"/>
      <c r="L143" s="80"/>
      <c r="M143" s="80">
        <f>M142*F143</f>
        <v>0</v>
      </c>
      <c r="N143" s="409"/>
    </row>
    <row r="144" spans="1:14" ht="21" customHeight="1">
      <c r="A144" s="105"/>
      <c r="B144" s="105"/>
      <c r="C144" s="237" t="s">
        <v>861</v>
      </c>
      <c r="D144" s="105"/>
      <c r="E144" s="373"/>
      <c r="F144" s="374"/>
      <c r="G144" s="100"/>
      <c r="H144" s="100"/>
      <c r="I144" s="100"/>
      <c r="J144" s="100"/>
      <c r="K144" s="100"/>
      <c r="L144" s="100"/>
      <c r="M144" s="100">
        <f>M142+M143</f>
        <v>0</v>
      </c>
      <c r="N144" s="409"/>
    </row>
    <row r="145" spans="1:14">
      <c r="I145" s="923" t="s">
        <v>1779</v>
      </c>
      <c r="N145" s="409"/>
    </row>
    <row r="146" spans="1:14" ht="31.5">
      <c r="A146" s="1339"/>
      <c r="B146" s="1340"/>
      <c r="C146" s="1341" t="s">
        <v>1906</v>
      </c>
      <c r="D146" s="1340"/>
      <c r="E146" s="1342"/>
      <c r="F146" s="1343"/>
      <c r="G146" s="1344"/>
      <c r="H146" s="1345"/>
      <c r="I146" s="1345"/>
      <c r="J146" s="1345"/>
      <c r="K146" s="1345"/>
      <c r="L146" s="1345"/>
      <c r="M146" s="1346">
        <f>M62+M89+M144</f>
        <v>0</v>
      </c>
      <c r="N146" s="409"/>
    </row>
    <row r="147" spans="1:14">
      <c r="A147" s="230"/>
      <c r="B147" s="440"/>
      <c r="C147" s="441"/>
      <c r="D147" s="442"/>
      <c r="E147" s="443"/>
      <c r="F147" s="444"/>
      <c r="G147" s="445"/>
      <c r="H147" s="398"/>
      <c r="I147" s="398"/>
      <c r="J147" s="398"/>
      <c r="K147" s="398"/>
      <c r="L147" s="398"/>
      <c r="M147" s="398"/>
      <c r="N147" s="409"/>
    </row>
    <row r="148" spans="1:14">
      <c r="B148" s="38"/>
      <c r="C148" s="1328"/>
      <c r="D148" s="271"/>
      <c r="E148" s="446"/>
      <c r="I148" s="228"/>
      <c r="J148" s="228"/>
      <c r="N148" s="409"/>
    </row>
  </sheetData>
  <mergeCells count="39">
    <mergeCell ref="A114:A119"/>
    <mergeCell ref="A123:A126"/>
    <mergeCell ref="A129:A131"/>
    <mergeCell ref="A132:A137"/>
    <mergeCell ref="A51:A52"/>
    <mergeCell ref="A71:A73"/>
    <mergeCell ref="A92:A100"/>
    <mergeCell ref="A101:A113"/>
    <mergeCell ref="A74:A76"/>
    <mergeCell ref="B14:B17"/>
    <mergeCell ref="A48:A50"/>
    <mergeCell ref="A30:A38"/>
    <mergeCell ref="B30:B38"/>
    <mergeCell ref="A39:A43"/>
    <mergeCell ref="B39:B43"/>
    <mergeCell ref="A44:A47"/>
    <mergeCell ref="B44:B47"/>
    <mergeCell ref="A18:A21"/>
    <mergeCell ref="B18:B21"/>
    <mergeCell ref="A22:A25"/>
    <mergeCell ref="B22:B25"/>
    <mergeCell ref="A26:A29"/>
    <mergeCell ref="B26:B29"/>
    <mergeCell ref="A3:M3"/>
    <mergeCell ref="A10:A13"/>
    <mergeCell ref="B10:B13"/>
    <mergeCell ref="A14:A17"/>
    <mergeCell ref="A1:M1"/>
    <mergeCell ref="A2:M2"/>
    <mergeCell ref="A4:M4"/>
    <mergeCell ref="M5:M6"/>
    <mergeCell ref="A5:A6"/>
    <mergeCell ref="B5:B6"/>
    <mergeCell ref="C5:C6"/>
    <mergeCell ref="D5:D6"/>
    <mergeCell ref="G5:H5"/>
    <mergeCell ref="I5:J5"/>
    <mergeCell ref="K5:L5"/>
    <mergeCell ref="E5:F5"/>
  </mergeCells>
  <pageMargins left="0.61" right="0.23622047244094491" top="0.78740157480314965" bottom="0.59055118110236227" header="0.31496062992125984" footer="0.19685039370078741"/>
  <pageSetup paperSize="9" scale="80" orientation="landscape" r:id="rId1"/>
  <headerFooter>
    <oddHeader>&amp;R&amp;P--&amp;N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66FF"/>
  </sheetPr>
  <dimension ref="A1:O298"/>
  <sheetViews>
    <sheetView zoomScale="110" zoomScaleNormal="110" workbookViewId="0">
      <pane xSplit="3" ySplit="6" topLeftCell="D277" activePane="bottomRight" state="frozen"/>
      <selection pane="topRight" activeCell="D1" sqref="D1"/>
      <selection pane="bottomLeft" activeCell="A7" sqref="A7"/>
      <selection pane="bottomRight" activeCell="M293" sqref="M293"/>
    </sheetView>
  </sheetViews>
  <sheetFormatPr defaultColWidth="8.875" defaultRowHeight="15"/>
  <cols>
    <col min="1" max="1" width="7.25" style="19" customWidth="1"/>
    <col min="2" max="2" width="11" style="19" customWidth="1"/>
    <col min="3" max="3" width="50.75" style="54" customWidth="1"/>
    <col min="4" max="4" width="8.75" style="19" customWidth="1"/>
    <col min="5" max="5" width="12.625" style="27" customWidth="1"/>
    <col min="6" max="6" width="12" style="21" customWidth="1"/>
    <col min="7" max="7" width="11.625" style="212" customWidth="1"/>
    <col min="8" max="8" width="13.625" style="212" customWidth="1"/>
    <col min="9" max="9" width="11.625" style="212" customWidth="1"/>
    <col min="10" max="10" width="13.75" style="212" customWidth="1"/>
    <col min="11" max="11" width="11.625" style="212" customWidth="1"/>
    <col min="12" max="12" width="13.25" style="212" customWidth="1"/>
    <col min="13" max="13" width="14.625" style="1265" customWidth="1"/>
    <col min="14" max="14" width="2.875" style="1295" hidden="1" customWidth="1"/>
    <col min="15" max="15" width="55.875" style="1295" hidden="1" customWidth="1"/>
    <col min="16" max="16384" width="8.875" style="21"/>
  </cols>
  <sheetData>
    <row r="1" spans="1:15" ht="27.75" customHeight="1">
      <c r="A1" s="1437" t="str">
        <f>krebsiti!A3</f>
        <v>q.borjomi fexburTis centraluri stadioni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294" t="s">
        <v>1482</v>
      </c>
    </row>
    <row r="2" spans="1:15" ht="19.5" customHeight="1">
      <c r="A2" s="1437" t="s">
        <v>78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</row>
    <row r="3" spans="1:15" ht="20.25" customHeight="1">
      <c r="A3" s="1437" t="s">
        <v>362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</row>
    <row r="4" spans="1:15" ht="40.9" customHeight="1">
      <c r="A4" s="1470" t="s">
        <v>0</v>
      </c>
      <c r="B4" s="1472" t="s">
        <v>789</v>
      </c>
      <c r="C4" s="1472" t="s">
        <v>790</v>
      </c>
      <c r="D4" s="1472" t="s">
        <v>791</v>
      </c>
      <c r="E4" s="1444" t="s">
        <v>209</v>
      </c>
      <c r="F4" s="1445"/>
      <c r="G4" s="1440" t="s">
        <v>208</v>
      </c>
      <c r="H4" s="1441"/>
      <c r="I4" s="1440" t="s">
        <v>792</v>
      </c>
      <c r="J4" s="1441"/>
      <c r="K4" s="1440" t="s">
        <v>17</v>
      </c>
      <c r="L4" s="1441"/>
      <c r="M4" s="1553" t="s">
        <v>425</v>
      </c>
    </row>
    <row r="5" spans="1:15" ht="15.75">
      <c r="A5" s="1471"/>
      <c r="B5" s="1473"/>
      <c r="C5" s="1473"/>
      <c r="D5" s="1473"/>
      <c r="E5" s="1234" t="s">
        <v>210</v>
      </c>
      <c r="F5" s="1234" t="s">
        <v>9</v>
      </c>
      <c r="G5" s="448" t="s">
        <v>793</v>
      </c>
      <c r="H5" s="448" t="s">
        <v>9</v>
      </c>
      <c r="I5" s="448" t="s">
        <v>793</v>
      </c>
      <c r="J5" s="448" t="s">
        <v>9</v>
      </c>
      <c r="K5" s="448" t="s">
        <v>793</v>
      </c>
      <c r="L5" s="448" t="s">
        <v>9</v>
      </c>
      <c r="M5" s="1554"/>
    </row>
    <row r="6" spans="1:15" ht="15.75">
      <c r="A6" s="929">
        <v>1</v>
      </c>
      <c r="B6" s="281">
        <v>2</v>
      </c>
      <c r="C6" s="964">
        <v>3</v>
      </c>
      <c r="D6" s="964">
        <v>4</v>
      </c>
      <c r="E6" s="1234">
        <v>5</v>
      </c>
      <c r="F6" s="1234">
        <v>6</v>
      </c>
      <c r="G6" s="1347">
        <v>7</v>
      </c>
      <c r="H6" s="1347">
        <v>8</v>
      </c>
      <c r="I6" s="1347">
        <v>9</v>
      </c>
      <c r="J6" s="1347">
        <v>10</v>
      </c>
      <c r="K6" s="1347">
        <v>11</v>
      </c>
      <c r="L6" s="1347">
        <v>12</v>
      </c>
      <c r="M6" s="1347">
        <v>13</v>
      </c>
    </row>
    <row r="7" spans="1:15" ht="19.5" customHeight="1">
      <c r="A7" s="377" t="s">
        <v>885</v>
      </c>
      <c r="B7" s="377"/>
      <c r="C7" s="375" t="s">
        <v>362</v>
      </c>
      <c r="D7" s="377"/>
      <c r="E7" s="378"/>
      <c r="F7" s="379"/>
      <c r="G7" s="448"/>
      <c r="H7" s="448"/>
      <c r="I7" s="448"/>
      <c r="J7" s="448"/>
      <c r="K7" s="448"/>
      <c r="L7" s="448"/>
      <c r="M7" s="1251"/>
    </row>
    <row r="8" spans="1:15" s="596" customFormat="1" ht="40.5" customHeight="1">
      <c r="A8" s="1068"/>
      <c r="B8" s="1068"/>
      <c r="C8" s="561" t="s">
        <v>1501</v>
      </c>
      <c r="D8" s="536" t="s">
        <v>1</v>
      </c>
      <c r="E8" s="879"/>
      <c r="F8" s="97">
        <v>16.5</v>
      </c>
      <c r="G8" s="556"/>
      <c r="H8" s="80"/>
      <c r="I8" s="556"/>
      <c r="J8" s="80"/>
      <c r="K8" s="557"/>
      <c r="L8" s="80"/>
      <c r="M8" s="1272"/>
      <c r="N8" s="1296"/>
      <c r="O8" s="1296"/>
    </row>
    <row r="9" spans="1:15" s="596" customFormat="1" ht="31.5">
      <c r="A9" s="1540" t="s">
        <v>429</v>
      </c>
      <c r="B9" s="185" t="s">
        <v>1483</v>
      </c>
      <c r="C9" s="508" t="s">
        <v>1484</v>
      </c>
      <c r="D9" s="185" t="s">
        <v>4</v>
      </c>
      <c r="E9" s="1069"/>
      <c r="F9" s="1070">
        <f>0.7*0.7*F8</f>
        <v>8.0849999999999991</v>
      </c>
      <c r="G9" s="556"/>
      <c r="H9" s="80"/>
      <c r="I9" s="556"/>
      <c r="J9" s="80"/>
      <c r="K9" s="557"/>
      <c r="L9" s="80"/>
      <c r="M9" s="1251"/>
      <c r="N9" s="1296"/>
      <c r="O9" s="1296"/>
    </row>
    <row r="10" spans="1:15" s="596" customFormat="1" ht="16.5">
      <c r="A10" s="1541"/>
      <c r="B10" s="498"/>
      <c r="C10" s="497" t="s">
        <v>13</v>
      </c>
      <c r="D10" s="498" t="s">
        <v>15</v>
      </c>
      <c r="E10" s="1069">
        <v>6.15</v>
      </c>
      <c r="F10" s="555">
        <f>F9*E10</f>
        <v>49.722749999999998</v>
      </c>
      <c r="G10" s="556"/>
      <c r="H10" s="80"/>
      <c r="I10" s="556"/>
      <c r="J10" s="77">
        <f t="shared" ref="J10" si="0">F10*I10</f>
        <v>0</v>
      </c>
      <c r="K10" s="77"/>
      <c r="L10" s="448"/>
      <c r="M10" s="1251">
        <f t="shared" ref="M10" si="1">H10+J10+L10</f>
        <v>0</v>
      </c>
      <c r="N10" s="1296"/>
      <c r="O10" s="1296"/>
    </row>
    <row r="11" spans="1:15" s="596" customFormat="1" ht="16.5">
      <c r="A11" s="1540" t="s">
        <v>430</v>
      </c>
      <c r="B11" s="185" t="s">
        <v>252</v>
      </c>
      <c r="C11" s="508" t="s">
        <v>1485</v>
      </c>
      <c r="D11" s="498" t="s">
        <v>4</v>
      </c>
      <c r="E11" s="1069"/>
      <c r="F11" s="1070">
        <f>0.7*0.1*F8</f>
        <v>1.1549999999999998</v>
      </c>
      <c r="G11" s="556"/>
      <c r="H11" s="80"/>
      <c r="I11" s="556"/>
      <c r="J11" s="77"/>
      <c r="K11" s="77"/>
      <c r="L11" s="448"/>
      <c r="M11" s="1251"/>
      <c r="N11" s="1296"/>
      <c r="O11" s="1296"/>
    </row>
    <row r="12" spans="1:15" s="596" customFormat="1" ht="16.5">
      <c r="A12" s="1542"/>
      <c r="B12" s="498"/>
      <c r="C12" s="497" t="s">
        <v>410</v>
      </c>
      <c r="D12" s="498" t="s">
        <v>411</v>
      </c>
      <c r="E12" s="1069">
        <v>3.52</v>
      </c>
      <c r="F12" s="555">
        <f>F11*E12</f>
        <v>4.065599999999999</v>
      </c>
      <c r="G12" s="556"/>
      <c r="H12" s="80"/>
      <c r="I12" s="556"/>
      <c r="J12" s="80">
        <f>F12*I12</f>
        <v>0</v>
      </c>
      <c r="K12" s="557"/>
      <c r="L12" s="80"/>
      <c r="M12" s="1272">
        <f t="shared" ref="M12:M15" si="2">H12+J12+L12</f>
        <v>0</v>
      </c>
      <c r="N12" s="1296"/>
      <c r="O12" s="1296"/>
    </row>
    <row r="13" spans="1:15" s="596" customFormat="1" ht="16.5">
      <c r="A13" s="1542"/>
      <c r="B13" s="498"/>
      <c r="C13" s="497" t="s">
        <v>25</v>
      </c>
      <c r="D13" s="498" t="s">
        <v>11</v>
      </c>
      <c r="E13" s="1069">
        <v>1.06</v>
      </c>
      <c r="F13" s="555">
        <f>F11*E13</f>
        <v>1.2242999999999999</v>
      </c>
      <c r="G13" s="556"/>
      <c r="H13" s="80"/>
      <c r="I13" s="80"/>
      <c r="J13" s="80"/>
      <c r="K13" s="557"/>
      <c r="L13" s="80">
        <f>F13*K13</f>
        <v>0</v>
      </c>
      <c r="M13" s="1272">
        <f t="shared" si="2"/>
        <v>0</v>
      </c>
      <c r="N13" s="1296"/>
      <c r="O13" s="1296"/>
    </row>
    <row r="14" spans="1:15" s="596" customFormat="1" ht="16.5">
      <c r="A14" s="1542"/>
      <c r="B14" s="498"/>
      <c r="C14" s="497" t="s">
        <v>867</v>
      </c>
      <c r="D14" s="498" t="s">
        <v>4</v>
      </c>
      <c r="E14" s="1069">
        <f>0.18+0.09+0.97</f>
        <v>1.24</v>
      </c>
      <c r="F14" s="555">
        <f>F11*E14</f>
        <v>1.4321999999999997</v>
      </c>
      <c r="G14" s="556"/>
      <c r="H14" s="80">
        <f>F14*G14</f>
        <v>0</v>
      </c>
      <c r="I14" s="80"/>
      <c r="J14" s="80"/>
      <c r="K14" s="557"/>
      <c r="L14" s="80"/>
      <c r="M14" s="1272">
        <f t="shared" si="2"/>
        <v>0</v>
      </c>
      <c r="N14" s="1296"/>
      <c r="O14" s="1296"/>
    </row>
    <row r="15" spans="1:15" s="596" customFormat="1" ht="16.5">
      <c r="A15" s="1541"/>
      <c r="B15" s="498"/>
      <c r="C15" s="497" t="s">
        <v>19</v>
      </c>
      <c r="D15" s="498" t="s">
        <v>11</v>
      </c>
      <c r="E15" s="1069">
        <v>0.02</v>
      </c>
      <c r="F15" s="555">
        <f>F11*E15</f>
        <v>2.3099999999999996E-2</v>
      </c>
      <c r="G15" s="556"/>
      <c r="H15" s="80">
        <f>F15*G15</f>
        <v>0</v>
      </c>
      <c r="I15" s="80"/>
      <c r="J15" s="80"/>
      <c r="K15" s="557"/>
      <c r="L15" s="80"/>
      <c r="M15" s="1272">
        <f t="shared" si="2"/>
        <v>0</v>
      </c>
      <c r="N15" s="1296"/>
      <c r="O15" s="1296"/>
    </row>
    <row r="16" spans="1:15" s="596" customFormat="1" ht="16.5">
      <c r="A16" s="1540" t="s">
        <v>83</v>
      </c>
      <c r="B16" s="959" t="s">
        <v>395</v>
      </c>
      <c r="C16" s="508" t="s">
        <v>1486</v>
      </c>
      <c r="D16" s="185" t="s">
        <v>4</v>
      </c>
      <c r="E16" s="1069"/>
      <c r="F16" s="1070">
        <f>(0.3*(0.3+0.3)+0.3*0.6)*F8</f>
        <v>5.9399999999999995</v>
      </c>
      <c r="G16" s="556"/>
      <c r="H16" s="80"/>
      <c r="I16" s="556"/>
      <c r="J16" s="80"/>
      <c r="K16" s="557"/>
      <c r="L16" s="80"/>
      <c r="M16" s="1251"/>
      <c r="N16" s="1296"/>
      <c r="O16" s="1296"/>
    </row>
    <row r="17" spans="1:15" s="596" customFormat="1" ht="16.5">
      <c r="A17" s="1542"/>
      <c r="B17" s="959"/>
      <c r="C17" s="157" t="s">
        <v>1784</v>
      </c>
      <c r="D17" s="203" t="s">
        <v>4</v>
      </c>
      <c r="E17" s="510">
        <v>1</v>
      </c>
      <c r="F17" s="511">
        <f>E17*F16</f>
        <v>5.9399999999999995</v>
      </c>
      <c r="G17" s="491"/>
      <c r="H17" s="491"/>
      <c r="I17" s="491"/>
      <c r="J17" s="491">
        <f>F17*I17</f>
        <v>0</v>
      </c>
      <c r="K17" s="491"/>
      <c r="L17" s="491"/>
      <c r="M17" s="1271">
        <f t="shared" ref="M17:M24" si="3">H17+J17+L17</f>
        <v>0</v>
      </c>
      <c r="N17" s="1296"/>
      <c r="O17" s="1296"/>
    </row>
    <row r="18" spans="1:15" s="596" customFormat="1" ht="16.5">
      <c r="A18" s="1542"/>
      <c r="B18" s="959"/>
      <c r="C18" s="157" t="s">
        <v>14</v>
      </c>
      <c r="D18" s="203" t="s">
        <v>11</v>
      </c>
      <c r="E18" s="510">
        <v>0.92</v>
      </c>
      <c r="F18" s="511">
        <f>E18*F16</f>
        <v>5.4647999999999994</v>
      </c>
      <c r="G18" s="491"/>
      <c r="H18" s="491"/>
      <c r="I18" s="491"/>
      <c r="J18" s="491"/>
      <c r="K18" s="491"/>
      <c r="L18" s="491">
        <f>F18*K18</f>
        <v>0</v>
      </c>
      <c r="M18" s="1271">
        <f t="shared" si="3"/>
        <v>0</v>
      </c>
      <c r="N18" s="1296"/>
      <c r="O18" s="1296"/>
    </row>
    <row r="19" spans="1:15" s="596" customFormat="1" ht="16.5">
      <c r="A19" s="1542"/>
      <c r="B19" s="959"/>
      <c r="C19" s="157" t="s">
        <v>869</v>
      </c>
      <c r="D19" s="203" t="s">
        <v>319</v>
      </c>
      <c r="E19" s="510">
        <v>1.0149999999999999</v>
      </c>
      <c r="F19" s="511">
        <f>E19*F16</f>
        <v>6.0290999999999988</v>
      </c>
      <c r="G19" s="491"/>
      <c r="H19" s="491">
        <f t="shared" ref="H19:H24" si="4">F19*G19</f>
        <v>0</v>
      </c>
      <c r="I19" s="491"/>
      <c r="J19" s="491"/>
      <c r="K19" s="491"/>
      <c r="L19" s="491"/>
      <c r="M19" s="1271">
        <f t="shared" si="3"/>
        <v>0</v>
      </c>
      <c r="N19" s="1296"/>
      <c r="O19" s="1296"/>
    </row>
    <row r="20" spans="1:15" s="596" customFormat="1" ht="16.5">
      <c r="A20" s="1542"/>
      <c r="B20" s="959"/>
      <c r="C20" s="157" t="s">
        <v>870</v>
      </c>
      <c r="D20" s="203" t="s">
        <v>234</v>
      </c>
      <c r="E20" s="510">
        <v>0.70299999999999996</v>
      </c>
      <c r="F20" s="511">
        <f>E20*F16</f>
        <v>4.175819999999999</v>
      </c>
      <c r="G20" s="491"/>
      <c r="H20" s="491">
        <f t="shared" si="4"/>
        <v>0</v>
      </c>
      <c r="I20" s="491"/>
      <c r="J20" s="491"/>
      <c r="K20" s="491"/>
      <c r="L20" s="491"/>
      <c r="M20" s="1271">
        <f t="shared" si="3"/>
        <v>0</v>
      </c>
      <c r="N20" s="1296"/>
      <c r="O20" s="1296"/>
    </row>
    <row r="21" spans="1:15" s="596" customFormat="1" ht="16.5">
      <c r="A21" s="1542"/>
      <c r="B21" s="959"/>
      <c r="C21" s="157" t="s">
        <v>222</v>
      </c>
      <c r="D21" s="203" t="s">
        <v>319</v>
      </c>
      <c r="E21" s="510">
        <v>1.14E-2</v>
      </c>
      <c r="F21" s="511">
        <f>E21*F16</f>
        <v>6.7715999999999998E-2</v>
      </c>
      <c r="G21" s="491"/>
      <c r="H21" s="491">
        <f t="shared" si="4"/>
        <v>0</v>
      </c>
      <c r="I21" s="491"/>
      <c r="J21" s="491"/>
      <c r="K21" s="491"/>
      <c r="L21" s="491"/>
      <c r="M21" s="1271">
        <f t="shared" si="3"/>
        <v>0</v>
      </c>
      <c r="N21" s="1296"/>
      <c r="O21" s="1296"/>
    </row>
    <row r="22" spans="1:15" s="596" customFormat="1" ht="16.5">
      <c r="A22" s="1542"/>
      <c r="B22" s="959"/>
      <c r="C22" s="157" t="s">
        <v>26</v>
      </c>
      <c r="D22" s="203" t="s">
        <v>11</v>
      </c>
      <c r="E22" s="510">
        <v>0.6</v>
      </c>
      <c r="F22" s="511">
        <f>E22*F16</f>
        <v>3.5639999999999996</v>
      </c>
      <c r="G22" s="491"/>
      <c r="H22" s="491">
        <f>F22*G22</f>
        <v>0</v>
      </c>
      <c r="I22" s="491"/>
      <c r="J22" s="491"/>
      <c r="K22" s="491"/>
      <c r="L22" s="491"/>
      <c r="M22" s="1271">
        <f>H22+J22+L22</f>
        <v>0</v>
      </c>
      <c r="N22" s="1296"/>
      <c r="O22" s="1296"/>
    </row>
    <row r="23" spans="1:15" s="596" customFormat="1" ht="16.5">
      <c r="A23" s="1542"/>
      <c r="B23" s="959"/>
      <c r="C23" s="129" t="s">
        <v>871</v>
      </c>
      <c r="D23" s="75" t="s">
        <v>218</v>
      </c>
      <c r="E23" s="512"/>
      <c r="F23" s="513">
        <f>( ((F8/0.15)+1)*((0.9+0.1)*2+0.6)+F8*(5*2+5) )*1.03*0.395/1000</f>
        <v>0.21811228500000002</v>
      </c>
      <c r="G23" s="491"/>
      <c r="H23" s="491">
        <f t="shared" si="4"/>
        <v>0</v>
      </c>
      <c r="I23" s="491"/>
      <c r="J23" s="491"/>
      <c r="K23" s="491"/>
      <c r="L23" s="491"/>
      <c r="M23" s="1271">
        <f t="shared" si="3"/>
        <v>0</v>
      </c>
      <c r="N23" s="1296"/>
      <c r="O23" s="1296"/>
    </row>
    <row r="24" spans="1:15" s="596" customFormat="1" ht="16.5">
      <c r="A24" s="1542"/>
      <c r="B24" s="959"/>
      <c r="C24" s="129" t="s">
        <v>872</v>
      </c>
      <c r="D24" s="75" t="s">
        <v>218</v>
      </c>
      <c r="E24" s="512"/>
      <c r="F24" s="513">
        <f>((F8/0.15)+1)*3*0.4*1.03*0.222/1000</f>
        <v>3.0457512000000006E-2</v>
      </c>
      <c r="G24" s="491"/>
      <c r="H24" s="491">
        <f t="shared" si="4"/>
        <v>0</v>
      </c>
      <c r="I24" s="491"/>
      <c r="J24" s="491"/>
      <c r="K24" s="491"/>
      <c r="L24" s="491"/>
      <c r="M24" s="1271">
        <f t="shared" si="3"/>
        <v>0</v>
      </c>
      <c r="N24" s="1296"/>
      <c r="O24" s="1296"/>
    </row>
    <row r="25" spans="1:15" s="596" customFormat="1" ht="16.5">
      <c r="A25" s="1438" t="s">
        <v>431</v>
      </c>
      <c r="B25" s="42" t="s">
        <v>225</v>
      </c>
      <c r="C25" s="287" t="s">
        <v>873</v>
      </c>
      <c r="D25" s="1293" t="s">
        <v>5</v>
      </c>
      <c r="E25" s="280"/>
      <c r="F25" s="108">
        <f>(0.6*2+0.15*2)*F8</f>
        <v>24.75</v>
      </c>
      <c r="G25" s="448"/>
      <c r="H25" s="77"/>
      <c r="I25" s="448"/>
      <c r="J25" s="77"/>
      <c r="K25" s="448"/>
      <c r="L25" s="448"/>
      <c r="M25" s="1251"/>
      <c r="N25" s="1296"/>
      <c r="O25" s="1296"/>
    </row>
    <row r="26" spans="1:15" s="643" customFormat="1" ht="15.75">
      <c r="A26" s="1469"/>
      <c r="B26" s="75"/>
      <c r="C26" s="153" t="s">
        <v>13</v>
      </c>
      <c r="D26" s="1231" t="s">
        <v>109</v>
      </c>
      <c r="E26" s="282">
        <v>0.33600000000000002</v>
      </c>
      <c r="F26" s="282">
        <f>F25*E26</f>
        <v>8.3160000000000007</v>
      </c>
      <c r="G26" s="80"/>
      <c r="H26" s="77"/>
      <c r="I26" s="637"/>
      <c r="J26" s="77">
        <f>F26*I26</f>
        <v>0</v>
      </c>
      <c r="K26" s="81"/>
      <c r="L26" s="77"/>
      <c r="M26" s="1252">
        <f t="shared" ref="M26:M29" si="5">H26+J26+L26</f>
        <v>0</v>
      </c>
      <c r="N26" s="1255"/>
      <c r="O26" s="1256"/>
    </row>
    <row r="27" spans="1:15" s="643" customFormat="1" ht="15.75">
      <c r="A27" s="1469"/>
      <c r="B27" s="75"/>
      <c r="C27" s="149" t="s">
        <v>14</v>
      </c>
      <c r="D27" s="635" t="s">
        <v>11</v>
      </c>
      <c r="E27" s="282">
        <v>1.4999999999999999E-2</v>
      </c>
      <c r="F27" s="282">
        <f>F25*E27</f>
        <v>0.37124999999999997</v>
      </c>
      <c r="G27" s="80"/>
      <c r="H27" s="77"/>
      <c r="I27" s="81"/>
      <c r="J27" s="77"/>
      <c r="K27" s="81"/>
      <c r="L27" s="77">
        <f>F27*K27</f>
        <v>0</v>
      </c>
      <c r="M27" s="1252">
        <f t="shared" si="5"/>
        <v>0</v>
      </c>
      <c r="N27" s="1255"/>
      <c r="O27" s="1256"/>
    </row>
    <row r="28" spans="1:15" s="643" customFormat="1" ht="15.75">
      <c r="A28" s="1469"/>
      <c r="B28" s="203"/>
      <c r="C28" s="153" t="s">
        <v>226</v>
      </c>
      <c r="D28" s="1231" t="s">
        <v>113</v>
      </c>
      <c r="E28" s="282">
        <v>2.4</v>
      </c>
      <c r="F28" s="282">
        <f>F25*E28</f>
        <v>59.4</v>
      </c>
      <c r="G28" s="80"/>
      <c r="H28" s="77">
        <f>F28*G28</f>
        <v>0</v>
      </c>
      <c r="I28" s="81"/>
      <c r="J28" s="77"/>
      <c r="K28" s="81"/>
      <c r="L28" s="77"/>
      <c r="M28" s="1252">
        <f t="shared" si="5"/>
        <v>0</v>
      </c>
      <c r="N28" s="1255"/>
      <c r="O28" s="1256"/>
    </row>
    <row r="29" spans="1:15" s="643" customFormat="1" ht="15.75">
      <c r="A29" s="1469"/>
      <c r="B29" s="75"/>
      <c r="C29" s="149" t="s">
        <v>26</v>
      </c>
      <c r="D29" s="144" t="s">
        <v>11</v>
      </c>
      <c r="E29" s="282">
        <v>2.2800000000000001E-2</v>
      </c>
      <c r="F29" s="282">
        <f>E29*F25</f>
        <v>0.56430000000000002</v>
      </c>
      <c r="G29" s="80"/>
      <c r="H29" s="77">
        <f>F29*G29</f>
        <v>0</v>
      </c>
      <c r="I29" s="81"/>
      <c r="J29" s="77"/>
      <c r="K29" s="81"/>
      <c r="L29" s="77"/>
      <c r="M29" s="1252">
        <f t="shared" si="5"/>
        <v>0</v>
      </c>
      <c r="N29" s="1255"/>
      <c r="O29" s="1256"/>
    </row>
    <row r="30" spans="1:15" s="596" customFormat="1" ht="16.5">
      <c r="A30" s="1393" t="s">
        <v>38</v>
      </c>
      <c r="B30" s="42" t="s">
        <v>503</v>
      </c>
      <c r="C30" s="956" t="s">
        <v>874</v>
      </c>
      <c r="D30" s="447" t="s">
        <v>4</v>
      </c>
      <c r="E30" s="520"/>
      <c r="F30" s="521">
        <f>0.3*0.15*2*F8</f>
        <v>1.4849999999999999</v>
      </c>
      <c r="G30" s="517"/>
      <c r="H30" s="517"/>
      <c r="I30" s="517"/>
      <c r="J30" s="517"/>
      <c r="K30" s="517"/>
      <c r="L30" s="517"/>
      <c r="M30" s="1313"/>
      <c r="N30" s="1296"/>
      <c r="O30" s="1296"/>
    </row>
    <row r="31" spans="1:15" s="596" customFormat="1" ht="16.5">
      <c r="A31" s="1395"/>
      <c r="B31" s="42"/>
      <c r="C31" s="148" t="s">
        <v>13</v>
      </c>
      <c r="D31" s="447" t="s">
        <v>15</v>
      </c>
      <c r="E31" s="518">
        <v>1.21</v>
      </c>
      <c r="F31" s="519">
        <f>F30*E31</f>
        <v>1.7968499999999998</v>
      </c>
      <c r="G31" s="517"/>
      <c r="H31" s="517"/>
      <c r="I31" s="517"/>
      <c r="J31" s="517">
        <f>F31*I31</f>
        <v>0</v>
      </c>
      <c r="K31" s="517"/>
      <c r="L31" s="517"/>
      <c r="M31" s="1313">
        <f>H31+J31+L31</f>
        <v>0</v>
      </c>
      <c r="N31" s="1296"/>
      <c r="O31" s="1296"/>
    </row>
    <row r="32" spans="1:15" s="596" customFormat="1" ht="31.5">
      <c r="A32" s="1540" t="s">
        <v>409</v>
      </c>
      <c r="B32" s="543" t="s">
        <v>864</v>
      </c>
      <c r="C32" s="502" t="s">
        <v>865</v>
      </c>
      <c r="D32" s="959" t="s">
        <v>7</v>
      </c>
      <c r="E32" s="746"/>
      <c r="F32" s="109">
        <f>(F9-F30)*1.95</f>
        <v>12.87</v>
      </c>
      <c r="G32" s="146"/>
      <c r="H32" s="80"/>
      <c r="I32" s="146"/>
      <c r="J32" s="80"/>
      <c r="K32" s="146"/>
      <c r="L32" s="80"/>
      <c r="M32" s="1272"/>
      <c r="N32" s="1296"/>
      <c r="O32" s="1296"/>
    </row>
    <row r="33" spans="1:15" s="596" customFormat="1" ht="16.5">
      <c r="A33" s="1542"/>
      <c r="B33" s="34"/>
      <c r="C33" s="506" t="s">
        <v>28</v>
      </c>
      <c r="D33" s="64" t="s">
        <v>15</v>
      </c>
      <c r="E33" s="746">
        <v>0.53</v>
      </c>
      <c r="F33" s="78">
        <f>F32*E33</f>
        <v>6.8210999999999995</v>
      </c>
      <c r="G33" s="146"/>
      <c r="H33" s="80"/>
      <c r="I33" s="146"/>
      <c r="J33" s="80">
        <f>F33*I33</f>
        <v>0</v>
      </c>
      <c r="K33" s="146"/>
      <c r="L33" s="80"/>
      <c r="M33" s="1272">
        <f>H33+J33+L33</f>
        <v>0</v>
      </c>
      <c r="N33" s="1296"/>
      <c r="O33" s="1296"/>
    </row>
    <row r="34" spans="1:15" s="596" customFormat="1" ht="16.5">
      <c r="A34" s="1541"/>
      <c r="B34" s="963" t="s">
        <v>470</v>
      </c>
      <c r="C34" s="823" t="s">
        <v>1487</v>
      </c>
      <c r="D34" s="959" t="s">
        <v>7</v>
      </c>
      <c r="E34" s="746"/>
      <c r="F34" s="109">
        <f>F32</f>
        <v>12.87</v>
      </c>
      <c r="G34" s="146"/>
      <c r="H34" s="80"/>
      <c r="I34" s="146"/>
      <c r="J34" s="80"/>
      <c r="K34" s="146"/>
      <c r="L34" s="80">
        <f>F34*K34</f>
        <v>0</v>
      </c>
      <c r="M34" s="1272">
        <f>H34+J34+L34</f>
        <v>0</v>
      </c>
      <c r="N34" s="1296"/>
      <c r="O34" s="1296"/>
    </row>
    <row r="35" spans="1:15" s="596" customFormat="1" ht="31.5">
      <c r="A35" s="1461" t="s">
        <v>432</v>
      </c>
      <c r="B35" s="40" t="s">
        <v>1488</v>
      </c>
      <c r="C35" s="958" t="s">
        <v>1489</v>
      </c>
      <c r="D35" s="954"/>
      <c r="E35" s="56"/>
      <c r="F35" s="17"/>
      <c r="G35" s="339"/>
      <c r="H35" s="339"/>
      <c r="I35" s="339"/>
      <c r="J35" s="339"/>
      <c r="K35" s="339"/>
      <c r="L35" s="339"/>
      <c r="M35" s="1314"/>
      <c r="N35" s="1296"/>
      <c r="O35" s="1296"/>
    </row>
    <row r="36" spans="1:15" s="596" customFormat="1" ht="16.5">
      <c r="A36" s="1462"/>
      <c r="B36" s="954"/>
      <c r="C36" s="1090" t="s">
        <v>1490</v>
      </c>
      <c r="D36" s="1071" t="s">
        <v>1</v>
      </c>
      <c r="E36" s="1095">
        <f>(8)*(1.3)*1.1</f>
        <v>11.440000000000001</v>
      </c>
      <c r="F36" s="282"/>
      <c r="G36" s="80"/>
      <c r="H36" s="77"/>
      <c r="I36" s="77"/>
      <c r="J36" s="77"/>
      <c r="K36" s="77"/>
      <c r="L36" s="77"/>
      <c r="M36" s="1252"/>
      <c r="N36" s="1296"/>
      <c r="O36" s="1296"/>
    </row>
    <row r="37" spans="1:15" s="596" customFormat="1" ht="16.5">
      <c r="A37" s="1462"/>
      <c r="B37" s="954"/>
      <c r="C37" s="1091"/>
      <c r="D37" s="1071" t="s">
        <v>7</v>
      </c>
      <c r="E37" s="1095">
        <f>E36*0.00565</f>
        <v>6.4635999999999999E-2</v>
      </c>
      <c r="F37" s="282"/>
      <c r="G37" s="80"/>
      <c r="H37" s="77"/>
      <c r="I37" s="77"/>
      <c r="J37" s="77"/>
      <c r="K37" s="77"/>
      <c r="L37" s="77"/>
      <c r="M37" s="1252"/>
      <c r="N37" s="1296"/>
      <c r="O37" s="1296"/>
    </row>
    <row r="38" spans="1:15" s="596" customFormat="1" ht="16.5">
      <c r="A38" s="1462"/>
      <c r="B38" s="954"/>
      <c r="C38" s="1092" t="s">
        <v>1491</v>
      </c>
      <c r="D38" s="1071" t="s">
        <v>1</v>
      </c>
      <c r="E38" s="1096">
        <f>(2*F8)*1.1</f>
        <v>36.300000000000004</v>
      </c>
      <c r="F38" s="282"/>
      <c r="G38" s="80"/>
      <c r="H38" s="77"/>
      <c r="I38" s="77"/>
      <c r="J38" s="77"/>
      <c r="K38" s="77"/>
      <c r="L38" s="77"/>
      <c r="M38" s="1252"/>
      <c r="N38" s="1296"/>
      <c r="O38" s="1296"/>
    </row>
    <row r="39" spans="1:15" s="596" customFormat="1" ht="16.5">
      <c r="A39" s="1462"/>
      <c r="B39" s="954"/>
      <c r="C39" s="1093"/>
      <c r="D39" s="1071" t="s">
        <v>7</v>
      </c>
      <c r="E39" s="1096">
        <f>E38*0.00377</f>
        <v>0.136851</v>
      </c>
      <c r="F39" s="282"/>
      <c r="G39" s="80"/>
      <c r="H39" s="77"/>
      <c r="I39" s="77"/>
      <c r="J39" s="77"/>
      <c r="K39" s="77"/>
      <c r="L39" s="77"/>
      <c r="M39" s="1252"/>
      <c r="N39" s="1296"/>
      <c r="O39" s="1296"/>
    </row>
    <row r="40" spans="1:15" s="596" customFormat="1" ht="16.5">
      <c r="A40" s="1462"/>
      <c r="B40" s="954"/>
      <c r="C40" s="1090" t="s">
        <v>1503</v>
      </c>
      <c r="D40" s="1071" t="s">
        <v>5</v>
      </c>
      <c r="E40" s="1095">
        <f>0.2*0.2*8*1.1</f>
        <v>0.35200000000000009</v>
      </c>
      <c r="F40" s="282"/>
      <c r="G40" s="77"/>
      <c r="H40" s="77"/>
      <c r="I40" s="77"/>
      <c r="J40" s="77"/>
      <c r="K40" s="77"/>
      <c r="L40" s="77"/>
      <c r="M40" s="1252"/>
      <c r="N40" s="1296"/>
      <c r="O40" s="1296"/>
    </row>
    <row r="41" spans="1:15" s="596" customFormat="1" ht="16.5">
      <c r="A41" s="1462"/>
      <c r="B41" s="954"/>
      <c r="C41" s="1091"/>
      <c r="D41" s="1071" t="s">
        <v>7</v>
      </c>
      <c r="E41" s="1095">
        <f>E40*0.0735</f>
        <v>2.5872000000000006E-2</v>
      </c>
      <c r="F41" s="282"/>
      <c r="G41" s="77"/>
      <c r="H41" s="77"/>
      <c r="I41" s="77"/>
      <c r="J41" s="77"/>
      <c r="K41" s="77"/>
      <c r="L41" s="77"/>
      <c r="M41" s="1252"/>
      <c r="N41" s="1296"/>
      <c r="O41" s="1296"/>
    </row>
    <row r="42" spans="1:15" s="596" customFormat="1" ht="16.5">
      <c r="A42" s="1462"/>
      <c r="B42" s="954"/>
      <c r="C42" s="1091" t="s">
        <v>1492</v>
      </c>
      <c r="D42" s="1071" t="s">
        <v>2</v>
      </c>
      <c r="E42" s="1095">
        <f>4*8</f>
        <v>32</v>
      </c>
      <c r="F42" s="282"/>
      <c r="G42" s="77"/>
      <c r="H42" s="77"/>
      <c r="I42" s="77"/>
      <c r="J42" s="77"/>
      <c r="K42" s="77"/>
      <c r="L42" s="77"/>
      <c r="M42" s="1252"/>
      <c r="N42" s="1296"/>
      <c r="O42" s="1296"/>
    </row>
    <row r="43" spans="1:15" s="596" customFormat="1" ht="16.5">
      <c r="A43" s="1462"/>
      <c r="B43" s="1085"/>
      <c r="C43" s="1084" t="s">
        <v>1493</v>
      </c>
      <c r="D43" s="1072" t="s">
        <v>7</v>
      </c>
      <c r="E43" s="1097"/>
      <c r="F43" s="387">
        <f>E37+E39+E41</f>
        <v>0.22735900000000001</v>
      </c>
      <c r="G43" s="341"/>
      <c r="H43" s="340"/>
      <c r="I43" s="343"/>
      <c r="J43" s="340"/>
      <c r="K43" s="343"/>
      <c r="L43" s="340"/>
      <c r="M43" s="1315"/>
      <c r="N43" s="1296"/>
      <c r="O43" s="1296"/>
    </row>
    <row r="44" spans="1:15" s="596" customFormat="1" ht="16.5">
      <c r="A44" s="1462"/>
      <c r="B44" s="447"/>
      <c r="C44" s="148" t="s">
        <v>1881</v>
      </c>
      <c r="D44" s="447" t="s">
        <v>7</v>
      </c>
      <c r="E44" s="280">
        <v>1</v>
      </c>
      <c r="F44" s="17">
        <f>F43*E44</f>
        <v>0.22735900000000001</v>
      </c>
      <c r="G44" s="77"/>
      <c r="H44" s="77"/>
      <c r="I44" s="77"/>
      <c r="J44" s="77">
        <f t="shared" ref="J44" si="6">F44*I44</f>
        <v>0</v>
      </c>
      <c r="K44" s="77"/>
      <c r="L44" s="77"/>
      <c r="M44" s="1252">
        <f t="shared" ref="M44:M53" si="7">H44+J44+L44</f>
        <v>0</v>
      </c>
      <c r="N44" s="1296"/>
      <c r="O44" s="1296"/>
    </row>
    <row r="45" spans="1:15" s="596" customFormat="1" ht="16.5">
      <c r="A45" s="1462"/>
      <c r="B45" s="447"/>
      <c r="C45" s="148" t="s">
        <v>14</v>
      </c>
      <c r="D45" s="447" t="s">
        <v>11</v>
      </c>
      <c r="E45" s="280">
        <v>4.07</v>
      </c>
      <c r="F45" s="17">
        <f>F43*E45</f>
        <v>0.92535113000000013</v>
      </c>
      <c r="G45" s="77"/>
      <c r="H45" s="77"/>
      <c r="I45" s="77"/>
      <c r="J45" s="77"/>
      <c r="K45" s="77"/>
      <c r="L45" s="77">
        <f t="shared" ref="L45" si="8">F45*K45</f>
        <v>0</v>
      </c>
      <c r="M45" s="1252">
        <f t="shared" si="7"/>
        <v>0</v>
      </c>
      <c r="N45" s="1296"/>
      <c r="O45" s="1296"/>
    </row>
    <row r="46" spans="1:15" s="596" customFormat="1" ht="16.5">
      <c r="A46" s="1462"/>
      <c r="B46" s="447"/>
      <c r="C46" s="131" t="s">
        <v>1494</v>
      </c>
      <c r="D46" s="46" t="s">
        <v>7</v>
      </c>
      <c r="E46" s="61">
        <v>1</v>
      </c>
      <c r="F46" s="282">
        <f>F43*E46</f>
        <v>0.22735900000000001</v>
      </c>
      <c r="G46" s="77"/>
      <c r="H46" s="77"/>
      <c r="I46" s="77"/>
      <c r="J46" s="77"/>
      <c r="K46" s="77"/>
      <c r="L46" s="77"/>
      <c r="M46" s="1252">
        <f t="shared" si="7"/>
        <v>0</v>
      </c>
      <c r="N46" s="1296"/>
      <c r="O46" s="1296"/>
    </row>
    <row r="47" spans="1:15" s="596" customFormat="1" ht="16.5">
      <c r="A47" s="1462"/>
      <c r="B47" s="447"/>
      <c r="C47" s="107" t="s">
        <v>1490</v>
      </c>
      <c r="D47" s="954" t="s">
        <v>7</v>
      </c>
      <c r="E47" s="61"/>
      <c r="F47" s="282">
        <f>E37</f>
        <v>6.4635999999999999E-2</v>
      </c>
      <c r="G47" s="77"/>
      <c r="H47" s="77">
        <f t="shared" ref="H47:H53" si="9">F47*G47</f>
        <v>0</v>
      </c>
      <c r="I47" s="77"/>
      <c r="J47" s="77"/>
      <c r="K47" s="77"/>
      <c r="L47" s="77"/>
      <c r="M47" s="1252">
        <f t="shared" si="7"/>
        <v>0</v>
      </c>
      <c r="N47" s="1296"/>
      <c r="O47" s="1296"/>
    </row>
    <row r="48" spans="1:15" s="596" customFormat="1" ht="16.5">
      <c r="A48" s="1462"/>
      <c r="B48" s="447"/>
      <c r="C48" s="127" t="s">
        <v>1495</v>
      </c>
      <c r="D48" s="954" t="s">
        <v>7</v>
      </c>
      <c r="E48" s="61"/>
      <c r="F48" s="282">
        <f>E39</f>
        <v>0.136851</v>
      </c>
      <c r="G48" s="77"/>
      <c r="H48" s="77">
        <f t="shared" si="9"/>
        <v>0</v>
      </c>
      <c r="I48" s="77"/>
      <c r="J48" s="77"/>
      <c r="K48" s="77"/>
      <c r="L48" s="77"/>
      <c r="M48" s="1252">
        <f t="shared" si="7"/>
        <v>0</v>
      </c>
      <c r="N48" s="1296"/>
      <c r="O48" s="1296"/>
    </row>
    <row r="49" spans="1:15" s="596" customFormat="1" ht="16.5">
      <c r="A49" s="1462"/>
      <c r="B49" s="447"/>
      <c r="C49" s="1094" t="s">
        <v>1504</v>
      </c>
      <c r="D49" s="954" t="s">
        <v>7</v>
      </c>
      <c r="E49" s="280"/>
      <c r="F49" s="17">
        <f>E41</f>
        <v>2.5872000000000006E-2</v>
      </c>
      <c r="G49" s="77"/>
      <c r="H49" s="77">
        <f t="shared" si="9"/>
        <v>0</v>
      </c>
      <c r="I49" s="77"/>
      <c r="J49" s="77"/>
      <c r="K49" s="77"/>
      <c r="L49" s="77"/>
      <c r="M49" s="1252">
        <f t="shared" si="7"/>
        <v>0</v>
      </c>
      <c r="N49" s="1296"/>
      <c r="O49" s="1296"/>
    </row>
    <row r="50" spans="1:15" s="596" customFormat="1" ht="16.5">
      <c r="A50" s="1462"/>
      <c r="B50" s="447"/>
      <c r="C50" s="107" t="s">
        <v>1492</v>
      </c>
      <c r="D50" s="954" t="s">
        <v>2</v>
      </c>
      <c r="E50" s="56"/>
      <c r="F50" s="17">
        <f>E42</f>
        <v>32</v>
      </c>
      <c r="G50" s="77"/>
      <c r="H50" s="77">
        <f t="shared" si="9"/>
        <v>0</v>
      </c>
      <c r="I50" s="77"/>
      <c r="J50" s="77"/>
      <c r="K50" s="77"/>
      <c r="L50" s="77"/>
      <c r="M50" s="1252">
        <f t="shared" si="7"/>
        <v>0</v>
      </c>
      <c r="N50" s="1296"/>
      <c r="O50" s="1296"/>
    </row>
    <row r="51" spans="1:15" s="596" customFormat="1" ht="16.5">
      <c r="A51" s="1462"/>
      <c r="B51" s="184"/>
      <c r="C51" s="157" t="s">
        <v>754</v>
      </c>
      <c r="D51" s="203" t="s">
        <v>6</v>
      </c>
      <c r="E51" s="125">
        <v>3.3</v>
      </c>
      <c r="F51" s="45">
        <f>F43*E51</f>
        <v>0.75028470000000003</v>
      </c>
      <c r="G51" s="77"/>
      <c r="H51" s="77">
        <f>F51*G51</f>
        <v>0</v>
      </c>
      <c r="I51" s="77"/>
      <c r="J51" s="77"/>
      <c r="K51" s="77"/>
      <c r="L51" s="77"/>
      <c r="M51" s="1252">
        <f>H51+J51+L51</f>
        <v>0</v>
      </c>
      <c r="N51" s="1296"/>
      <c r="O51" s="1296"/>
    </row>
    <row r="52" spans="1:15" s="596" customFormat="1" ht="16.5">
      <c r="A52" s="1462"/>
      <c r="B52" s="184"/>
      <c r="C52" s="157" t="s">
        <v>70</v>
      </c>
      <c r="D52" s="203" t="s">
        <v>6</v>
      </c>
      <c r="E52" s="125">
        <v>15.2</v>
      </c>
      <c r="F52" s="45">
        <f>F43*E52</f>
        <v>3.4558567999999998</v>
      </c>
      <c r="G52" s="77"/>
      <c r="H52" s="77">
        <f t="shared" si="9"/>
        <v>0</v>
      </c>
      <c r="I52" s="77"/>
      <c r="J52" s="77"/>
      <c r="K52" s="77"/>
      <c r="L52" s="77"/>
      <c r="M52" s="1252">
        <f t="shared" si="7"/>
        <v>0</v>
      </c>
      <c r="N52" s="1296"/>
      <c r="O52" s="1296"/>
    </row>
    <row r="53" spans="1:15" s="596" customFormat="1" ht="16.5">
      <c r="A53" s="1463"/>
      <c r="B53" s="184"/>
      <c r="C53" s="157" t="s">
        <v>26</v>
      </c>
      <c r="D53" s="203" t="s">
        <v>11</v>
      </c>
      <c r="E53" s="125">
        <v>2.78</v>
      </c>
      <c r="F53" s="45">
        <f>F43*E53</f>
        <v>0.63205802</v>
      </c>
      <c r="G53" s="77"/>
      <c r="H53" s="77">
        <f t="shared" si="9"/>
        <v>0</v>
      </c>
      <c r="I53" s="77"/>
      <c r="J53" s="77"/>
      <c r="K53" s="77"/>
      <c r="L53" s="77"/>
      <c r="M53" s="1252">
        <f t="shared" si="7"/>
        <v>0</v>
      </c>
      <c r="N53" s="1296"/>
      <c r="O53" s="1296"/>
    </row>
    <row r="54" spans="1:15" s="596" customFormat="1" ht="31.5">
      <c r="A54" s="1558" t="s">
        <v>39</v>
      </c>
      <c r="B54" s="959" t="s">
        <v>343</v>
      </c>
      <c r="C54" s="156" t="s">
        <v>1496</v>
      </c>
      <c r="D54" s="75" t="s">
        <v>5</v>
      </c>
      <c r="E54" s="1073"/>
      <c r="F54" s="83">
        <f>(0.04+0.08)*2*E36/1.1+(0.04+0.06)*2*E38/1.1+E40</f>
        <v>9.4480000000000004</v>
      </c>
      <c r="G54" s="341"/>
      <c r="H54" s="77"/>
      <c r="I54" s="77"/>
      <c r="J54" s="77"/>
      <c r="K54" s="77"/>
      <c r="L54" s="77"/>
      <c r="M54" s="1252"/>
      <c r="N54" s="1296"/>
      <c r="O54" s="1296"/>
    </row>
    <row r="55" spans="1:15" s="596" customFormat="1" ht="16.5">
      <c r="A55" s="1559"/>
      <c r="B55" s="965"/>
      <c r="C55" s="527" t="s">
        <v>1802</v>
      </c>
      <c r="D55" s="528" t="s">
        <v>5</v>
      </c>
      <c r="E55" s="529">
        <v>1</v>
      </c>
      <c r="F55" s="530">
        <f>F54*E55</f>
        <v>9.4480000000000004</v>
      </c>
      <c r="G55" s="491"/>
      <c r="H55" s="491"/>
      <c r="I55" s="491"/>
      <c r="J55" s="491">
        <f>F55*I55</f>
        <v>0</v>
      </c>
      <c r="K55" s="491"/>
      <c r="L55" s="491"/>
      <c r="M55" s="1271">
        <f>H55+J55+L55</f>
        <v>0</v>
      </c>
      <c r="N55" s="1296"/>
      <c r="O55" s="1296"/>
    </row>
    <row r="56" spans="1:15" s="596" customFormat="1" ht="16.5">
      <c r="A56" s="1559"/>
      <c r="B56" s="266"/>
      <c r="C56" s="270" t="s">
        <v>14</v>
      </c>
      <c r="D56" s="184" t="s">
        <v>11</v>
      </c>
      <c r="E56" s="524">
        <f>0.03*0.01</f>
        <v>2.9999999999999997E-4</v>
      </c>
      <c r="F56" s="531">
        <f>F54*E56</f>
        <v>2.8343999999999999E-3</v>
      </c>
      <c r="G56" s="491"/>
      <c r="H56" s="491"/>
      <c r="I56" s="491"/>
      <c r="J56" s="491"/>
      <c r="K56" s="491"/>
      <c r="L56" s="491">
        <f>F56*K56</f>
        <v>0</v>
      </c>
      <c r="M56" s="1271">
        <f>H56+J56+L56</f>
        <v>0</v>
      </c>
      <c r="N56" s="1296"/>
      <c r="O56" s="1296"/>
    </row>
    <row r="57" spans="1:15" s="596" customFormat="1" ht="16.5">
      <c r="A57" s="1559"/>
      <c r="B57" s="266"/>
      <c r="C57" s="270" t="s">
        <v>345</v>
      </c>
      <c r="D57" s="523" t="s">
        <v>6</v>
      </c>
      <c r="E57" s="534">
        <v>0.35</v>
      </c>
      <c r="F57" s="533">
        <f>E57*F54</f>
        <v>3.3068</v>
      </c>
      <c r="G57" s="491"/>
      <c r="H57" s="491">
        <f>F57*G57</f>
        <v>0</v>
      </c>
      <c r="I57" s="491"/>
      <c r="J57" s="491"/>
      <c r="K57" s="491"/>
      <c r="L57" s="491"/>
      <c r="M57" s="1271">
        <f>H57+J57+L57</f>
        <v>0</v>
      </c>
      <c r="N57" s="1296"/>
      <c r="O57" s="1296"/>
    </row>
    <row r="58" spans="1:15" s="596" customFormat="1" ht="16.5">
      <c r="A58" s="1559"/>
      <c r="B58" s="266"/>
      <c r="C58" s="270" t="s">
        <v>1107</v>
      </c>
      <c r="D58" s="523" t="s">
        <v>6</v>
      </c>
      <c r="E58" s="534">
        <v>2.7E-2</v>
      </c>
      <c r="F58" s="533">
        <f>E58*F54</f>
        <v>0.25509599999999999</v>
      </c>
      <c r="G58" s="491"/>
      <c r="H58" s="491">
        <f>F58*G58</f>
        <v>0</v>
      </c>
      <c r="I58" s="491"/>
      <c r="J58" s="491"/>
      <c r="K58" s="491"/>
      <c r="L58" s="491"/>
      <c r="M58" s="1271">
        <f>H58+J58+L58</f>
        <v>0</v>
      </c>
      <c r="N58" s="1296"/>
      <c r="O58" s="1296"/>
    </row>
    <row r="59" spans="1:15" s="596" customFormat="1" ht="16.5">
      <c r="A59" s="1560"/>
      <c r="B59" s="266"/>
      <c r="C59" s="270" t="s">
        <v>26</v>
      </c>
      <c r="D59" s="184" t="s">
        <v>11</v>
      </c>
      <c r="E59" s="524">
        <v>1.9E-3</v>
      </c>
      <c r="F59" s="531">
        <f>F54*E59</f>
        <v>1.79512E-2</v>
      </c>
      <c r="G59" s="491"/>
      <c r="H59" s="491">
        <f>F59*G59</f>
        <v>0</v>
      </c>
      <c r="I59" s="491"/>
      <c r="J59" s="491"/>
      <c r="K59" s="491"/>
      <c r="L59" s="491"/>
      <c r="M59" s="1271">
        <f>H59+J59+L59</f>
        <v>0</v>
      </c>
      <c r="N59" s="1296"/>
      <c r="O59" s="1296"/>
    </row>
    <row r="60" spans="1:15" s="596" customFormat="1" ht="31.5">
      <c r="A60" s="1536" t="s">
        <v>64</v>
      </c>
      <c r="B60" s="1074"/>
      <c r="C60" s="956" t="s">
        <v>1497</v>
      </c>
      <c r="D60" s="959" t="s">
        <v>1</v>
      </c>
      <c r="E60" s="57"/>
      <c r="F60" s="20">
        <f>F8</f>
        <v>16.5</v>
      </c>
      <c r="G60" s="556"/>
      <c r="H60" s="80"/>
      <c r="I60" s="556"/>
      <c r="J60" s="80"/>
      <c r="K60" s="557"/>
      <c r="L60" s="80"/>
      <c r="M60" s="1272"/>
      <c r="N60" s="1296"/>
      <c r="O60" s="1296"/>
    </row>
    <row r="61" spans="1:15" s="596" customFormat="1" ht="16.5">
      <c r="A61" s="1537"/>
      <c r="B61" s="1075"/>
      <c r="C61" s="957"/>
      <c r="D61" s="959" t="s">
        <v>5</v>
      </c>
      <c r="E61" s="57"/>
      <c r="F61" s="20">
        <f>F60*1.22</f>
        <v>20.13</v>
      </c>
      <c r="G61" s="556"/>
      <c r="H61" s="80"/>
      <c r="I61" s="556"/>
      <c r="J61" s="80"/>
      <c r="K61" s="557"/>
      <c r="L61" s="80"/>
      <c r="M61" s="1272"/>
      <c r="N61" s="1296"/>
      <c r="O61" s="1296"/>
    </row>
    <row r="62" spans="1:15" s="596" customFormat="1" ht="16.5">
      <c r="A62" s="1537"/>
      <c r="B62" s="184"/>
      <c r="C62" s="270" t="s">
        <v>1857</v>
      </c>
      <c r="D62" s="963" t="s">
        <v>5</v>
      </c>
      <c r="E62" s="120">
        <v>1</v>
      </c>
      <c r="F62" s="118">
        <f>F60*E62</f>
        <v>16.5</v>
      </c>
      <c r="G62" s="80"/>
      <c r="H62" s="80"/>
      <c r="I62" s="80"/>
      <c r="J62" s="80">
        <f>F62*I62</f>
        <v>0</v>
      </c>
      <c r="K62" s="80"/>
      <c r="L62" s="80"/>
      <c r="M62" s="1272">
        <f t="shared" ref="M62:M70" si="10">H62+J62+L62</f>
        <v>0</v>
      </c>
      <c r="N62" s="1296"/>
      <c r="O62" s="1296"/>
    </row>
    <row r="63" spans="1:15" s="596" customFormat="1" ht="16.5">
      <c r="A63" s="1537"/>
      <c r="B63" s="963" t="s">
        <v>415</v>
      </c>
      <c r="C63" s="153" t="s">
        <v>396</v>
      </c>
      <c r="D63" s="963" t="s">
        <v>212</v>
      </c>
      <c r="E63" s="233">
        <f>20.5/100</f>
        <v>0.20499999999999999</v>
      </c>
      <c r="F63" s="205">
        <f>F60*E63</f>
        <v>3.3824999999999998</v>
      </c>
      <c r="G63" s="80"/>
      <c r="H63" s="80"/>
      <c r="I63" s="80"/>
      <c r="J63" s="80"/>
      <c r="K63" s="80"/>
      <c r="L63" s="80">
        <f>F63*K63</f>
        <v>0</v>
      </c>
      <c r="M63" s="1272">
        <f t="shared" si="10"/>
        <v>0</v>
      </c>
      <c r="N63" s="1296"/>
      <c r="O63" s="1296"/>
    </row>
    <row r="64" spans="1:15" s="596" customFormat="1" ht="16.5">
      <c r="A64" s="1537"/>
      <c r="B64" s="963"/>
      <c r="C64" s="153" t="s">
        <v>14</v>
      </c>
      <c r="D64" s="963" t="s">
        <v>11</v>
      </c>
      <c r="E64" s="233">
        <f>4*0.01</f>
        <v>0.04</v>
      </c>
      <c r="F64" s="205">
        <f>F60*E64</f>
        <v>0.66</v>
      </c>
      <c r="G64" s="80"/>
      <c r="H64" s="80"/>
      <c r="I64" s="80"/>
      <c r="J64" s="80"/>
      <c r="K64" s="80"/>
      <c r="L64" s="80">
        <f>F64*K64</f>
        <v>0</v>
      </c>
      <c r="M64" s="1272">
        <f t="shared" si="10"/>
        <v>0</v>
      </c>
      <c r="N64" s="1296"/>
      <c r="O64" s="1296"/>
    </row>
    <row r="65" spans="1:15" s="596" customFormat="1" ht="16.5">
      <c r="A65" s="1537"/>
      <c r="B65" s="963"/>
      <c r="C65" s="153" t="s">
        <v>1498</v>
      </c>
      <c r="D65" s="963" t="s">
        <v>2</v>
      </c>
      <c r="E65" s="233">
        <f>33.3*0.01</f>
        <v>0.33299999999999996</v>
      </c>
      <c r="F65" s="205">
        <f>F60*E65</f>
        <v>5.4944999999999995</v>
      </c>
      <c r="G65" s="80"/>
      <c r="H65" s="80"/>
      <c r="I65" s="80"/>
      <c r="J65" s="80"/>
      <c r="K65" s="80"/>
      <c r="L65" s="80"/>
      <c r="M65" s="1272"/>
      <c r="N65" s="1296"/>
      <c r="O65" s="1296"/>
    </row>
    <row r="66" spans="1:15" s="596" customFormat="1" ht="16.5">
      <c r="A66" s="1537"/>
      <c r="B66" s="963"/>
      <c r="C66" s="537" t="s">
        <v>1853</v>
      </c>
      <c r="D66" s="962" t="s">
        <v>319</v>
      </c>
      <c r="E66" s="233">
        <f>1.41*0.01</f>
        <v>1.41E-2</v>
      </c>
      <c r="F66" s="205">
        <f>F60*E66</f>
        <v>0.23265</v>
      </c>
      <c r="G66" s="80"/>
      <c r="H66" s="80">
        <f>F66*G66</f>
        <v>0</v>
      </c>
      <c r="I66" s="80"/>
      <c r="J66" s="80"/>
      <c r="K66" s="80"/>
      <c r="L66" s="80"/>
      <c r="M66" s="1272">
        <f t="shared" si="10"/>
        <v>0</v>
      </c>
      <c r="N66" s="1296"/>
      <c r="O66" s="1296"/>
    </row>
    <row r="67" spans="1:15" s="596" customFormat="1" ht="16.5">
      <c r="A67" s="1537"/>
      <c r="B67" s="184"/>
      <c r="C67" s="270" t="s">
        <v>1499</v>
      </c>
      <c r="D67" s="184" t="s">
        <v>5</v>
      </c>
      <c r="E67" s="312">
        <v>1</v>
      </c>
      <c r="F67" s="118">
        <f>F61*E67</f>
        <v>20.13</v>
      </c>
      <c r="G67" s="80"/>
      <c r="H67" s="80">
        <f>F67*G67</f>
        <v>0</v>
      </c>
      <c r="I67" s="80"/>
      <c r="J67" s="80"/>
      <c r="K67" s="80"/>
      <c r="L67" s="80"/>
      <c r="M67" s="1272">
        <f t="shared" si="10"/>
        <v>0</v>
      </c>
      <c r="N67" s="1296"/>
      <c r="O67" s="1296"/>
    </row>
    <row r="68" spans="1:15" s="596" customFormat="1" ht="16.5">
      <c r="A68" s="1537"/>
      <c r="B68" s="963"/>
      <c r="C68" s="537" t="s">
        <v>398</v>
      </c>
      <c r="D68" s="963" t="s">
        <v>113</v>
      </c>
      <c r="E68" s="233">
        <f>0.002*1000*0.01</f>
        <v>0.02</v>
      </c>
      <c r="F68" s="205">
        <f>F60*E68</f>
        <v>0.33</v>
      </c>
      <c r="G68" s="80"/>
      <c r="H68" s="80">
        <f>F68*G68</f>
        <v>0</v>
      </c>
      <c r="I68" s="80"/>
      <c r="J68" s="80"/>
      <c r="K68" s="80"/>
      <c r="L68" s="80"/>
      <c r="M68" s="1272">
        <f t="shared" si="10"/>
        <v>0</v>
      </c>
      <c r="N68" s="1296"/>
      <c r="O68" s="1296"/>
    </row>
    <row r="69" spans="1:15" s="596" customFormat="1" ht="16.5">
      <c r="A69" s="1538"/>
      <c r="B69" s="963"/>
      <c r="C69" s="153" t="s">
        <v>26</v>
      </c>
      <c r="D69" s="963" t="s">
        <v>11</v>
      </c>
      <c r="E69" s="233">
        <f>6*0.01</f>
        <v>0.06</v>
      </c>
      <c r="F69" s="205">
        <f>F60*E69</f>
        <v>0.99</v>
      </c>
      <c r="G69" s="80"/>
      <c r="H69" s="80">
        <f>F69*G69</f>
        <v>0</v>
      </c>
      <c r="I69" s="80"/>
      <c r="J69" s="80"/>
      <c r="K69" s="80"/>
      <c r="L69" s="80"/>
      <c r="M69" s="1272">
        <f t="shared" si="10"/>
        <v>0</v>
      </c>
      <c r="N69" s="1296"/>
      <c r="O69" s="1296"/>
    </row>
    <row r="70" spans="1:15" s="596" customFormat="1" ht="31.5">
      <c r="A70" s="1216" t="s">
        <v>433</v>
      </c>
      <c r="B70" s="184" t="s">
        <v>34</v>
      </c>
      <c r="C70" s="311" t="s">
        <v>1500</v>
      </c>
      <c r="D70" s="184" t="s">
        <v>5</v>
      </c>
      <c r="E70" s="312"/>
      <c r="F70" s="119">
        <f>F60*3</f>
        <v>49.5</v>
      </c>
      <c r="G70" s="80"/>
      <c r="H70" s="80">
        <f>F70*G70</f>
        <v>0</v>
      </c>
      <c r="I70" s="80"/>
      <c r="J70" s="80">
        <f>F70*I70</f>
        <v>0</v>
      </c>
      <c r="K70" s="80"/>
      <c r="L70" s="80"/>
      <c r="M70" s="1272">
        <f t="shared" si="10"/>
        <v>0</v>
      </c>
      <c r="N70" s="1296"/>
      <c r="O70" s="1296"/>
    </row>
    <row r="71" spans="1:15" s="540" customFormat="1" ht="31.5">
      <c r="A71" s="548"/>
      <c r="B71" s="484"/>
      <c r="C71" s="237" t="s">
        <v>889</v>
      </c>
      <c r="D71" s="238" t="s">
        <v>1</v>
      </c>
      <c r="E71" s="549"/>
      <c r="F71" s="550">
        <v>92</v>
      </c>
      <c r="G71" s="491"/>
      <c r="H71" s="491"/>
      <c r="I71" s="491"/>
      <c r="J71" s="491"/>
      <c r="K71" s="491"/>
      <c r="L71" s="491"/>
      <c r="M71" s="1271"/>
      <c r="N71" s="1297"/>
      <c r="O71" s="1298"/>
    </row>
    <row r="72" spans="1:15" s="540" customFormat="1" ht="31.5">
      <c r="A72" s="1418" t="s">
        <v>429</v>
      </c>
      <c r="B72" s="959" t="s">
        <v>247</v>
      </c>
      <c r="C72" s="152" t="s">
        <v>890</v>
      </c>
      <c r="D72" s="959" t="s">
        <v>4</v>
      </c>
      <c r="E72" s="509"/>
      <c r="F72" s="495">
        <f>0.2*(0.1+0.1)*F71</f>
        <v>3.6800000000000006</v>
      </c>
      <c r="G72" s="491"/>
      <c r="H72" s="491"/>
      <c r="I72" s="491"/>
      <c r="J72" s="491"/>
      <c r="K72" s="491"/>
      <c r="L72" s="491"/>
      <c r="M72" s="1271"/>
      <c r="N72" s="1297"/>
      <c r="O72" s="1298"/>
    </row>
    <row r="73" spans="1:15" s="540" customFormat="1" ht="15.75">
      <c r="A73" s="1420"/>
      <c r="B73" s="541"/>
      <c r="C73" s="270" t="s">
        <v>13</v>
      </c>
      <c r="D73" s="184" t="s">
        <v>15</v>
      </c>
      <c r="E73" s="524">
        <v>2.06</v>
      </c>
      <c r="F73" s="531">
        <f>E73*F72</f>
        <v>7.5808000000000018</v>
      </c>
      <c r="G73" s="542"/>
      <c r="H73" s="491"/>
      <c r="I73" s="542"/>
      <c r="J73" s="491">
        <f>F73*I73</f>
        <v>0</v>
      </c>
      <c r="K73" s="491"/>
      <c r="L73" s="491"/>
      <c r="M73" s="1271">
        <f>H73+J73+L73</f>
        <v>0</v>
      </c>
      <c r="N73" s="1297"/>
      <c r="O73" s="1298"/>
    </row>
    <row r="74" spans="1:15" s="540" customFormat="1" ht="31.5">
      <c r="A74" s="1546" t="s">
        <v>430</v>
      </c>
      <c r="B74" s="543" t="s">
        <v>864</v>
      </c>
      <c r="C74" s="502" t="s">
        <v>865</v>
      </c>
      <c r="D74" s="959" t="s">
        <v>7</v>
      </c>
      <c r="E74" s="503"/>
      <c r="F74" s="504">
        <f>F72*1.95</f>
        <v>7.176000000000001</v>
      </c>
      <c r="G74" s="505"/>
      <c r="H74" s="491"/>
      <c r="I74" s="505"/>
      <c r="J74" s="491"/>
      <c r="K74" s="505"/>
      <c r="L74" s="491"/>
      <c r="M74" s="1271"/>
      <c r="N74" s="1297"/>
      <c r="O74" s="1298"/>
    </row>
    <row r="75" spans="1:15" s="540" customFormat="1" ht="15.75">
      <c r="A75" s="1547"/>
      <c r="B75" s="39"/>
      <c r="C75" s="506" t="s">
        <v>28</v>
      </c>
      <c r="D75" s="64" t="s">
        <v>15</v>
      </c>
      <c r="E75" s="503">
        <v>0.53</v>
      </c>
      <c r="F75" s="507">
        <f>F74*E75</f>
        <v>3.8032800000000009</v>
      </c>
      <c r="G75" s="505"/>
      <c r="H75" s="491"/>
      <c r="I75" s="505"/>
      <c r="J75" s="491">
        <f>F75*I75</f>
        <v>0</v>
      </c>
      <c r="K75" s="505"/>
      <c r="L75" s="491"/>
      <c r="M75" s="1271">
        <f>H75+J75+L75</f>
        <v>0</v>
      </c>
      <c r="N75" s="1297"/>
      <c r="O75" s="1298"/>
    </row>
    <row r="76" spans="1:15" s="540" customFormat="1" ht="31.5">
      <c r="A76" s="1548"/>
      <c r="B76" s="959" t="s">
        <v>1560</v>
      </c>
      <c r="C76" s="956" t="s">
        <v>1418</v>
      </c>
      <c r="D76" s="959" t="s">
        <v>7</v>
      </c>
      <c r="E76" s="503"/>
      <c r="F76" s="504">
        <f>F74</f>
        <v>7.176000000000001</v>
      </c>
      <c r="G76" s="505"/>
      <c r="H76" s="491"/>
      <c r="I76" s="505"/>
      <c r="J76" s="491"/>
      <c r="K76" s="505"/>
      <c r="L76" s="491">
        <f>F76*K76</f>
        <v>0</v>
      </c>
      <c r="M76" s="1271">
        <f>H76+J76+L76</f>
        <v>0</v>
      </c>
      <c r="N76" s="1297"/>
      <c r="O76" s="1298"/>
    </row>
    <row r="77" spans="1:15" s="540" customFormat="1" ht="31.5">
      <c r="A77" s="1546" t="s">
        <v>83</v>
      </c>
      <c r="B77" s="959" t="s">
        <v>252</v>
      </c>
      <c r="C77" s="152" t="s">
        <v>892</v>
      </c>
      <c r="D77" s="959" t="s">
        <v>318</v>
      </c>
      <c r="E77" s="509"/>
      <c r="F77" s="495">
        <f>0.2*0.1*F71</f>
        <v>1.8400000000000003</v>
      </c>
      <c r="G77" s="491"/>
      <c r="H77" s="491"/>
      <c r="I77" s="491"/>
      <c r="J77" s="491"/>
      <c r="K77" s="491"/>
      <c r="L77" s="491"/>
      <c r="M77" s="1271"/>
      <c r="N77" s="1297"/>
      <c r="O77" s="1298"/>
    </row>
    <row r="78" spans="1:15" s="540" customFormat="1" ht="15.75">
      <c r="A78" s="1547"/>
      <c r="B78" s="963"/>
      <c r="C78" s="153" t="s">
        <v>189</v>
      </c>
      <c r="D78" s="963" t="s">
        <v>109</v>
      </c>
      <c r="E78" s="509">
        <v>3.52</v>
      </c>
      <c r="F78" s="544">
        <f>E78*F77</f>
        <v>6.4768000000000008</v>
      </c>
      <c r="G78" s="491"/>
      <c r="H78" s="491"/>
      <c r="I78" s="491"/>
      <c r="J78" s="491">
        <f>F78*I78</f>
        <v>0</v>
      </c>
      <c r="K78" s="491"/>
      <c r="L78" s="491"/>
      <c r="M78" s="1271">
        <f>H78+J78+L78</f>
        <v>0</v>
      </c>
      <c r="N78" s="1297"/>
      <c r="O78" s="1298"/>
    </row>
    <row r="79" spans="1:15" s="540" customFormat="1" ht="15.75">
      <c r="A79" s="1547"/>
      <c r="B79" s="963"/>
      <c r="C79" s="153" t="s">
        <v>25</v>
      </c>
      <c r="D79" s="963" t="s">
        <v>11</v>
      </c>
      <c r="E79" s="509">
        <v>1.06</v>
      </c>
      <c r="F79" s="544">
        <f>F77*E79</f>
        <v>1.9504000000000004</v>
      </c>
      <c r="G79" s="491"/>
      <c r="H79" s="491"/>
      <c r="I79" s="491"/>
      <c r="J79" s="491"/>
      <c r="K79" s="491"/>
      <c r="L79" s="491">
        <f>F79*K79</f>
        <v>0</v>
      </c>
      <c r="M79" s="1271">
        <f>H79+J79+L79</f>
        <v>0</v>
      </c>
      <c r="N79" s="1297"/>
      <c r="O79" s="1298"/>
    </row>
    <row r="80" spans="1:15" s="540" customFormat="1" ht="15.75">
      <c r="A80" s="1547"/>
      <c r="B80" s="963"/>
      <c r="C80" s="153" t="s">
        <v>893</v>
      </c>
      <c r="D80" s="963" t="s">
        <v>319</v>
      </c>
      <c r="E80" s="509">
        <f>0.18+0.09+0.97</f>
        <v>1.24</v>
      </c>
      <c r="F80" s="544">
        <f>E80*F77</f>
        <v>2.2816000000000005</v>
      </c>
      <c r="G80" s="491"/>
      <c r="H80" s="491">
        <f>F80*G80</f>
        <v>0</v>
      </c>
      <c r="I80" s="491"/>
      <c r="J80" s="491"/>
      <c r="K80" s="491"/>
      <c r="L80" s="491"/>
      <c r="M80" s="1271">
        <f>H80+J80+L80</f>
        <v>0</v>
      </c>
      <c r="N80" s="1297"/>
      <c r="O80" s="1298"/>
    </row>
    <row r="81" spans="1:15" s="540" customFormat="1" ht="15.75">
      <c r="A81" s="1548"/>
      <c r="B81" s="963"/>
      <c r="C81" s="545" t="s">
        <v>19</v>
      </c>
      <c r="D81" s="181" t="s">
        <v>11</v>
      </c>
      <c r="E81" s="509">
        <v>0.02</v>
      </c>
      <c r="F81" s="544">
        <f>F77*E81</f>
        <v>3.6800000000000006E-2</v>
      </c>
      <c r="G81" s="546"/>
      <c r="H81" s="491">
        <f>F81*G81</f>
        <v>0</v>
      </c>
      <c r="I81" s="490"/>
      <c r="J81" s="491"/>
      <c r="K81" s="492"/>
      <c r="L81" s="491"/>
      <c r="M81" s="1271">
        <f>H81+J81+L81</f>
        <v>0</v>
      </c>
      <c r="N81" s="1297"/>
      <c r="O81" s="1298"/>
    </row>
    <row r="82" spans="1:15" s="540" customFormat="1" ht="31.5">
      <c r="A82" s="1418" t="s">
        <v>431</v>
      </c>
      <c r="B82" s="959" t="s">
        <v>894</v>
      </c>
      <c r="C82" s="152" t="s">
        <v>895</v>
      </c>
      <c r="D82" s="959" t="s">
        <v>1</v>
      </c>
      <c r="E82" s="494"/>
      <c r="F82" s="495">
        <f>F71</f>
        <v>92</v>
      </c>
      <c r="G82" s="491"/>
      <c r="H82" s="491"/>
      <c r="I82" s="491"/>
      <c r="J82" s="491"/>
      <c r="K82" s="491"/>
      <c r="L82" s="491"/>
      <c r="M82" s="1271"/>
      <c r="N82" s="1297"/>
      <c r="O82" s="1298"/>
    </row>
    <row r="83" spans="1:15" s="540" customFormat="1" ht="15.75">
      <c r="A83" s="1419"/>
      <c r="B83" s="959"/>
      <c r="C83" s="153" t="s">
        <v>1885</v>
      </c>
      <c r="D83" s="963" t="s">
        <v>1</v>
      </c>
      <c r="E83" s="509">
        <v>1</v>
      </c>
      <c r="F83" s="539">
        <f>E83*F82</f>
        <v>92</v>
      </c>
      <c r="G83" s="491"/>
      <c r="H83" s="491"/>
      <c r="I83" s="491"/>
      <c r="J83" s="491">
        <f>F83*I83</f>
        <v>0</v>
      </c>
      <c r="K83" s="491"/>
      <c r="L83" s="491"/>
      <c r="M83" s="1271">
        <f t="shared" ref="M83:M89" si="11">H83+J83+L83</f>
        <v>0</v>
      </c>
      <c r="N83" s="1297"/>
      <c r="O83" s="1298"/>
    </row>
    <row r="84" spans="1:15" s="540" customFormat="1" ht="15.75">
      <c r="A84" s="1419"/>
      <c r="B84" s="959"/>
      <c r="C84" s="153" t="s">
        <v>14</v>
      </c>
      <c r="D84" s="963" t="s">
        <v>212</v>
      </c>
      <c r="E84" s="509">
        <f>0.71*0.01</f>
        <v>7.0999999999999995E-3</v>
      </c>
      <c r="F84" s="539">
        <f>E84*F82</f>
        <v>0.6532</v>
      </c>
      <c r="G84" s="491"/>
      <c r="H84" s="491"/>
      <c r="I84" s="491"/>
      <c r="J84" s="491"/>
      <c r="K84" s="491"/>
      <c r="L84" s="491">
        <f>F84*K84</f>
        <v>0</v>
      </c>
      <c r="M84" s="1271">
        <f t="shared" si="11"/>
        <v>0</v>
      </c>
      <c r="N84" s="1297"/>
      <c r="O84" s="1298"/>
    </row>
    <row r="85" spans="1:15" s="540" customFormat="1" ht="15.75" hidden="1">
      <c r="A85" s="1419"/>
      <c r="B85" s="959"/>
      <c r="C85" s="153" t="s">
        <v>896</v>
      </c>
      <c r="D85" s="963" t="s">
        <v>1</v>
      </c>
      <c r="E85" s="509">
        <v>1</v>
      </c>
      <c r="F85" s="495">
        <v>0</v>
      </c>
      <c r="G85" s="547">
        <v>0</v>
      </c>
      <c r="H85" s="491">
        <f>F85*G85</f>
        <v>0</v>
      </c>
      <c r="I85" s="491"/>
      <c r="J85" s="491"/>
      <c r="K85" s="491"/>
      <c r="L85" s="491"/>
      <c r="M85" s="1271">
        <f t="shared" si="11"/>
        <v>0</v>
      </c>
      <c r="N85" s="1297"/>
      <c r="O85" s="1298"/>
    </row>
    <row r="86" spans="1:15" s="540" customFormat="1" ht="15.75">
      <c r="A86" s="1419"/>
      <c r="B86" s="959"/>
      <c r="C86" s="153" t="s">
        <v>897</v>
      </c>
      <c r="D86" s="963" t="s">
        <v>1</v>
      </c>
      <c r="E86" s="509">
        <v>1</v>
      </c>
      <c r="F86" s="495">
        <f>F82-F85</f>
        <v>92</v>
      </c>
      <c r="G86" s="491"/>
      <c r="H86" s="491">
        <f>F86*G86</f>
        <v>0</v>
      </c>
      <c r="I86" s="491"/>
      <c r="J86" s="491"/>
      <c r="K86" s="491"/>
      <c r="L86" s="491"/>
      <c r="M86" s="1271">
        <f t="shared" si="11"/>
        <v>0</v>
      </c>
      <c r="N86" s="1297"/>
      <c r="O86" s="1298"/>
    </row>
    <row r="87" spans="1:15" s="540" customFormat="1" ht="15.75">
      <c r="A87" s="1419"/>
      <c r="B87" s="959"/>
      <c r="C87" s="222" t="s">
        <v>898</v>
      </c>
      <c r="D87" s="963" t="s">
        <v>319</v>
      </c>
      <c r="E87" s="509">
        <v>3.9E-2</v>
      </c>
      <c r="F87" s="539">
        <f>F82*E87</f>
        <v>3.5880000000000001</v>
      </c>
      <c r="G87" s="491"/>
      <c r="H87" s="491">
        <f>F87*G87</f>
        <v>0</v>
      </c>
      <c r="I87" s="491"/>
      <c r="J87" s="491"/>
      <c r="K87" s="491"/>
      <c r="L87" s="491"/>
      <c r="M87" s="1271">
        <f t="shared" si="11"/>
        <v>0</v>
      </c>
      <c r="N87" s="1297"/>
      <c r="O87" s="1298"/>
    </row>
    <row r="88" spans="1:15" s="540" customFormat="1" ht="15.75">
      <c r="A88" s="1419"/>
      <c r="B88" s="959"/>
      <c r="C88" s="153" t="s">
        <v>406</v>
      </c>
      <c r="D88" s="963" t="s">
        <v>319</v>
      </c>
      <c r="E88" s="509">
        <f>0.06*0.01</f>
        <v>5.9999999999999995E-4</v>
      </c>
      <c r="F88" s="539">
        <f>E88*F82</f>
        <v>5.5199999999999992E-2</v>
      </c>
      <c r="G88" s="491"/>
      <c r="H88" s="491">
        <f>F88*G88</f>
        <v>0</v>
      </c>
      <c r="I88" s="491"/>
      <c r="J88" s="491"/>
      <c r="K88" s="491"/>
      <c r="L88" s="491"/>
      <c r="M88" s="1271">
        <f t="shared" si="11"/>
        <v>0</v>
      </c>
      <c r="N88" s="1297"/>
      <c r="O88" s="1298"/>
    </row>
    <row r="89" spans="1:15" s="540" customFormat="1" ht="15.75">
      <c r="A89" s="1420"/>
      <c r="B89" s="959"/>
      <c r="C89" s="153" t="s">
        <v>26</v>
      </c>
      <c r="D89" s="963" t="s">
        <v>11</v>
      </c>
      <c r="E89" s="509">
        <f>9.6*0.01</f>
        <v>9.6000000000000002E-2</v>
      </c>
      <c r="F89" s="539">
        <f>E89*F82</f>
        <v>8.8320000000000007</v>
      </c>
      <c r="G89" s="491"/>
      <c r="H89" s="491">
        <f>F89*G89</f>
        <v>0</v>
      </c>
      <c r="I89" s="491"/>
      <c r="J89" s="491"/>
      <c r="K89" s="491"/>
      <c r="L89" s="491"/>
      <c r="M89" s="1271">
        <f t="shared" si="11"/>
        <v>0</v>
      </c>
      <c r="N89" s="1299"/>
      <c r="O89" s="1298"/>
    </row>
    <row r="90" spans="1:15" s="540" customFormat="1" ht="15.75" hidden="1">
      <c r="A90" s="1086"/>
      <c r="B90" s="1087"/>
      <c r="C90" s="609" t="s">
        <v>901</v>
      </c>
      <c r="D90" s="1087" t="s">
        <v>5</v>
      </c>
      <c r="E90" s="1099"/>
      <c r="F90" s="610">
        <v>0</v>
      </c>
      <c r="G90" s="80"/>
      <c r="H90" s="80"/>
      <c r="I90" s="80"/>
      <c r="J90" s="80"/>
      <c r="K90" s="80"/>
      <c r="L90" s="80"/>
      <c r="M90" s="1272"/>
      <c r="N90" s="1300"/>
      <c r="O90" s="1298"/>
    </row>
    <row r="91" spans="1:15" s="540" customFormat="1" ht="31.5" hidden="1">
      <c r="A91" s="1549" t="s">
        <v>429</v>
      </c>
      <c r="B91" s="178" t="s">
        <v>247</v>
      </c>
      <c r="C91" s="289" t="s">
        <v>899</v>
      </c>
      <c r="D91" s="178" t="s">
        <v>319</v>
      </c>
      <c r="E91" s="182"/>
      <c r="F91" s="380">
        <f>F90*0.2</f>
        <v>0</v>
      </c>
      <c r="G91" s="188"/>
      <c r="H91" s="180"/>
      <c r="I91" s="188"/>
      <c r="J91" s="180"/>
      <c r="K91" s="188"/>
      <c r="L91" s="180"/>
      <c r="M91" s="1316"/>
      <c r="N91" s="1300"/>
      <c r="O91" s="1298"/>
    </row>
    <row r="92" spans="1:15" s="540" customFormat="1" ht="15.75" hidden="1">
      <c r="A92" s="1549"/>
      <c r="B92" s="181"/>
      <c r="C92" s="195" t="s">
        <v>410</v>
      </c>
      <c r="D92" s="181" t="s">
        <v>15</v>
      </c>
      <c r="E92" s="182">
        <v>2.06</v>
      </c>
      <c r="F92" s="282">
        <f>F91*E92</f>
        <v>0</v>
      </c>
      <c r="G92" s="180"/>
      <c r="H92" s="180"/>
      <c r="I92" s="180">
        <v>6</v>
      </c>
      <c r="J92" s="180">
        <f>F92*I92</f>
        <v>0</v>
      </c>
      <c r="K92" s="180"/>
      <c r="L92" s="180"/>
      <c r="M92" s="1316">
        <f>H92+J92+L92</f>
        <v>0</v>
      </c>
      <c r="N92" s="1300"/>
      <c r="O92" s="1298"/>
    </row>
    <row r="93" spans="1:15" s="540" customFormat="1" ht="31.5" hidden="1">
      <c r="A93" s="1539" t="s">
        <v>430</v>
      </c>
      <c r="B93" s="1088" t="s">
        <v>864</v>
      </c>
      <c r="C93" s="135" t="s">
        <v>865</v>
      </c>
      <c r="D93" s="553" t="s">
        <v>250</v>
      </c>
      <c r="E93" s="597"/>
      <c r="F93" s="347">
        <f>F91*1.95</f>
        <v>0</v>
      </c>
      <c r="G93" s="80"/>
      <c r="H93" s="77"/>
      <c r="I93" s="80"/>
      <c r="J93" s="77"/>
      <c r="K93" s="80"/>
      <c r="L93" s="77"/>
      <c r="M93" s="1252"/>
      <c r="N93" s="1300"/>
      <c r="O93" s="1298"/>
    </row>
    <row r="94" spans="1:15" s="540" customFormat="1" ht="15.75" hidden="1">
      <c r="A94" s="1539"/>
      <c r="B94" s="963"/>
      <c r="C94" s="136" t="s">
        <v>20</v>
      </c>
      <c r="D94" s="63" t="s">
        <v>15</v>
      </c>
      <c r="E94" s="74">
        <v>0.53</v>
      </c>
      <c r="F94" s="283">
        <f>F93*E94</f>
        <v>0</v>
      </c>
      <c r="G94" s="80"/>
      <c r="H94" s="77"/>
      <c r="I94" s="80">
        <v>6</v>
      </c>
      <c r="J94" s="77">
        <f>F94*I94</f>
        <v>0</v>
      </c>
      <c r="K94" s="80"/>
      <c r="L94" s="77"/>
      <c r="M94" s="1252">
        <f>H94+J94+L94</f>
        <v>0</v>
      </c>
      <c r="N94" s="1300"/>
      <c r="O94" s="1298"/>
    </row>
    <row r="95" spans="1:15" s="540" customFormat="1" ht="31.5" hidden="1">
      <c r="A95" s="962" t="s">
        <v>83</v>
      </c>
      <c r="B95" s="963" t="s">
        <v>394</v>
      </c>
      <c r="C95" s="956" t="s">
        <v>1418</v>
      </c>
      <c r="D95" s="959" t="s">
        <v>7</v>
      </c>
      <c r="E95" s="598"/>
      <c r="F95" s="347">
        <f>F93</f>
        <v>0</v>
      </c>
      <c r="G95" s="80"/>
      <c r="H95" s="77"/>
      <c r="I95" s="80"/>
      <c r="J95" s="77"/>
      <c r="K95" s="146">
        <v>12.59</v>
      </c>
      <c r="L95" s="77">
        <f>F95*K95</f>
        <v>0</v>
      </c>
      <c r="M95" s="1252">
        <f>H95+J95+L95</f>
        <v>0</v>
      </c>
      <c r="N95" s="1300"/>
      <c r="O95" s="1298"/>
    </row>
    <row r="96" spans="1:15" s="540" customFormat="1" ht="31.5" hidden="1">
      <c r="A96" s="1561" t="s">
        <v>431</v>
      </c>
      <c r="B96" s="959" t="s">
        <v>219</v>
      </c>
      <c r="C96" s="289" t="s">
        <v>902</v>
      </c>
      <c r="D96" s="178" t="s">
        <v>318</v>
      </c>
      <c r="E96" s="179"/>
      <c r="F96" s="380">
        <f>F90*0.1</f>
        <v>0</v>
      </c>
      <c r="G96" s="188"/>
      <c r="H96" s="180"/>
      <c r="I96" s="188"/>
      <c r="J96" s="180"/>
      <c r="K96" s="188"/>
      <c r="L96" s="180"/>
      <c r="M96" s="1316"/>
      <c r="N96" s="1300"/>
      <c r="O96" s="1298"/>
    </row>
    <row r="97" spans="1:15" s="540" customFormat="1" ht="15.75" hidden="1">
      <c r="A97" s="1562"/>
      <c r="B97" s="498"/>
      <c r="C97" s="497" t="s">
        <v>410</v>
      </c>
      <c r="D97" s="498" t="s">
        <v>411</v>
      </c>
      <c r="E97" s="1069">
        <v>0.89</v>
      </c>
      <c r="F97" s="555">
        <f>F96*E97</f>
        <v>0</v>
      </c>
      <c r="G97" s="556"/>
      <c r="H97" s="80"/>
      <c r="I97" s="556">
        <v>7.8</v>
      </c>
      <c r="J97" s="80">
        <f>F97*I97</f>
        <v>0</v>
      </c>
      <c r="K97" s="557"/>
      <c r="L97" s="80"/>
      <c r="M97" s="1272">
        <f>H97+J97+L97</f>
        <v>0</v>
      </c>
      <c r="N97" s="1300"/>
      <c r="O97" s="1298"/>
    </row>
    <row r="98" spans="1:15" s="540" customFormat="1" ht="15.75" hidden="1">
      <c r="A98" s="1562"/>
      <c r="B98" s="498"/>
      <c r="C98" s="497" t="s">
        <v>25</v>
      </c>
      <c r="D98" s="498" t="s">
        <v>11</v>
      </c>
      <c r="E98" s="1069">
        <v>0.37</v>
      </c>
      <c r="F98" s="555">
        <f>F96*E98</f>
        <v>0</v>
      </c>
      <c r="G98" s="556"/>
      <c r="H98" s="80"/>
      <c r="I98" s="80"/>
      <c r="J98" s="80"/>
      <c r="K98" s="557">
        <v>4</v>
      </c>
      <c r="L98" s="80">
        <f>F98*K98</f>
        <v>0</v>
      </c>
      <c r="M98" s="1272">
        <f>H98+J98+L98</f>
        <v>0</v>
      </c>
      <c r="N98" s="1300"/>
      <c r="O98" s="1298"/>
    </row>
    <row r="99" spans="1:15" s="540" customFormat="1" ht="15.75" hidden="1">
      <c r="A99" s="1562"/>
      <c r="B99" s="498"/>
      <c r="C99" s="497" t="s">
        <v>867</v>
      </c>
      <c r="D99" s="498" t="s">
        <v>4</v>
      </c>
      <c r="E99" s="1069">
        <v>1.1499999999999999</v>
      </c>
      <c r="F99" s="555">
        <f>F96*E99</f>
        <v>0</v>
      </c>
      <c r="G99" s="556">
        <v>22</v>
      </c>
      <c r="H99" s="80">
        <f>F99*G99</f>
        <v>0</v>
      </c>
      <c r="I99" s="80"/>
      <c r="J99" s="80"/>
      <c r="K99" s="557"/>
      <c r="L99" s="80"/>
      <c r="M99" s="1272">
        <f>H99+J99+L99</f>
        <v>0</v>
      </c>
      <c r="N99" s="1300"/>
      <c r="O99" s="1298"/>
    </row>
    <row r="100" spans="1:15" s="540" customFormat="1" ht="15.75" hidden="1">
      <c r="A100" s="1563"/>
      <c r="B100" s="498"/>
      <c r="C100" s="497" t="s">
        <v>19</v>
      </c>
      <c r="D100" s="498" t="s">
        <v>11</v>
      </c>
      <c r="E100" s="1069">
        <v>0.02</v>
      </c>
      <c r="F100" s="555">
        <f>F96*E100</f>
        <v>0</v>
      </c>
      <c r="G100" s="556">
        <v>4</v>
      </c>
      <c r="H100" s="80">
        <f>F100*G100</f>
        <v>0</v>
      </c>
      <c r="I100" s="80"/>
      <c r="J100" s="80"/>
      <c r="K100" s="557"/>
      <c r="L100" s="80"/>
      <c r="M100" s="1272">
        <f>H100+J100+L100</f>
        <v>0</v>
      </c>
      <c r="N100" s="1300"/>
      <c r="O100" s="1298"/>
    </row>
    <row r="101" spans="1:15" s="540" customFormat="1" ht="15.75" hidden="1">
      <c r="A101" s="1561" t="s">
        <v>38</v>
      </c>
      <c r="B101" s="75" t="s">
        <v>407</v>
      </c>
      <c r="C101" s="289" t="s">
        <v>903</v>
      </c>
      <c r="D101" s="178" t="s">
        <v>4</v>
      </c>
      <c r="E101" s="182"/>
      <c r="F101" s="380">
        <f>F90*0.2</f>
        <v>0</v>
      </c>
      <c r="G101" s="180"/>
      <c r="H101" s="180"/>
      <c r="I101" s="180"/>
      <c r="J101" s="180"/>
      <c r="K101" s="180"/>
      <c r="L101" s="180"/>
      <c r="M101" s="1316"/>
      <c r="N101" s="1300"/>
      <c r="O101" s="1298"/>
    </row>
    <row r="102" spans="1:15" s="540" customFormat="1" ht="15.75" hidden="1">
      <c r="A102" s="1562"/>
      <c r="B102" s="203"/>
      <c r="C102" s="130" t="s">
        <v>67</v>
      </c>
      <c r="D102" s="963" t="s">
        <v>109</v>
      </c>
      <c r="E102" s="125">
        <v>1.37</v>
      </c>
      <c r="F102" s="45">
        <f>E102*F101</f>
        <v>0</v>
      </c>
      <c r="G102" s="180"/>
      <c r="H102" s="180"/>
      <c r="I102" s="180">
        <v>7.8</v>
      </c>
      <c r="J102" s="180">
        <f>F102*I102</f>
        <v>0</v>
      </c>
      <c r="K102" s="180"/>
      <c r="L102" s="180"/>
      <c r="M102" s="1316">
        <f t="shared" ref="M102:M107" si="12">H102+J102+L102</f>
        <v>0</v>
      </c>
      <c r="N102" s="1300"/>
      <c r="O102" s="1298"/>
    </row>
    <row r="103" spans="1:15" s="540" customFormat="1" ht="15.75" hidden="1">
      <c r="A103" s="1562"/>
      <c r="B103" s="203"/>
      <c r="C103" s="127" t="s">
        <v>14</v>
      </c>
      <c r="D103" s="963" t="s">
        <v>11</v>
      </c>
      <c r="E103" s="125">
        <v>0.28299999999999997</v>
      </c>
      <c r="F103" s="45">
        <f>E103*F101</f>
        <v>0</v>
      </c>
      <c r="G103" s="180"/>
      <c r="H103" s="180"/>
      <c r="I103" s="180"/>
      <c r="J103" s="180"/>
      <c r="K103" s="180">
        <v>4</v>
      </c>
      <c r="L103" s="180">
        <f>F103*K103</f>
        <v>0</v>
      </c>
      <c r="M103" s="1316">
        <f t="shared" si="12"/>
        <v>0</v>
      </c>
      <c r="N103" s="1300"/>
      <c r="O103" s="1298"/>
    </row>
    <row r="104" spans="1:15" s="540" customFormat="1" ht="15.75" hidden="1">
      <c r="A104" s="1562"/>
      <c r="B104" s="203"/>
      <c r="C104" s="130" t="s">
        <v>904</v>
      </c>
      <c r="D104" s="963" t="s">
        <v>319</v>
      </c>
      <c r="E104" s="125">
        <v>1.02</v>
      </c>
      <c r="F104" s="45">
        <f>E104*F101</f>
        <v>0</v>
      </c>
      <c r="G104" s="180">
        <v>136</v>
      </c>
      <c r="H104" s="180">
        <f>F104*G104</f>
        <v>0</v>
      </c>
      <c r="I104" s="180"/>
      <c r="J104" s="180"/>
      <c r="K104" s="180"/>
      <c r="L104" s="180"/>
      <c r="M104" s="1316">
        <f t="shared" si="12"/>
        <v>0</v>
      </c>
      <c r="N104" s="1300"/>
      <c r="O104" s="1298"/>
    </row>
    <row r="105" spans="1:15" s="540" customFormat="1" ht="15.75" hidden="1">
      <c r="A105" s="1562"/>
      <c r="B105" s="963"/>
      <c r="C105" s="966" t="s">
        <v>905</v>
      </c>
      <c r="D105" s="963" t="s">
        <v>7</v>
      </c>
      <c r="E105" s="26"/>
      <c r="F105" s="20">
        <f>F90*16*2*0.617*1.03/1000</f>
        <v>0</v>
      </c>
      <c r="G105" s="491">
        <v>2458</v>
      </c>
      <c r="H105" s="80">
        <f>F105*G105</f>
        <v>0</v>
      </c>
      <c r="I105" s="80"/>
      <c r="J105" s="80"/>
      <c r="K105" s="336"/>
      <c r="L105" s="80"/>
      <c r="M105" s="1272">
        <f t="shared" si="12"/>
        <v>0</v>
      </c>
      <c r="N105" s="1300"/>
      <c r="O105" s="1298"/>
    </row>
    <row r="106" spans="1:15" s="540" customFormat="1" ht="15.75" hidden="1">
      <c r="A106" s="1562"/>
      <c r="B106" s="963"/>
      <c r="C106" s="966" t="s">
        <v>906</v>
      </c>
      <c r="D106" s="963" t="s">
        <v>7</v>
      </c>
      <c r="E106" s="26"/>
      <c r="F106" s="20">
        <f>F90*3*3*0.25*1.03*0.395/1000</f>
        <v>0</v>
      </c>
      <c r="G106" s="491">
        <v>2560</v>
      </c>
      <c r="H106" s="80">
        <f>F106*G106</f>
        <v>0</v>
      </c>
      <c r="I106" s="80"/>
      <c r="J106" s="80"/>
      <c r="K106" s="336"/>
      <c r="L106" s="80"/>
      <c r="M106" s="1272">
        <f t="shared" si="12"/>
        <v>0</v>
      </c>
      <c r="N106" s="1300"/>
      <c r="O106" s="1298"/>
    </row>
    <row r="107" spans="1:15" s="540" customFormat="1" ht="15.75" hidden="1">
      <c r="A107" s="1563"/>
      <c r="B107" s="203"/>
      <c r="C107" s="153" t="s">
        <v>26</v>
      </c>
      <c r="D107" s="963" t="s">
        <v>11</v>
      </c>
      <c r="E107" s="125">
        <v>0.62</v>
      </c>
      <c r="F107" s="45">
        <f>E107*F101</f>
        <v>0</v>
      </c>
      <c r="G107" s="180">
        <v>4</v>
      </c>
      <c r="H107" s="180">
        <f>F107*G107</f>
        <v>0</v>
      </c>
      <c r="I107" s="180"/>
      <c r="J107" s="180"/>
      <c r="K107" s="180"/>
      <c r="L107" s="180"/>
      <c r="M107" s="1316">
        <f t="shared" si="12"/>
        <v>0</v>
      </c>
      <c r="N107" s="1300"/>
      <c r="O107" s="1298"/>
    </row>
    <row r="108" spans="1:15" s="540" customFormat="1" ht="31.5" hidden="1">
      <c r="A108" s="1438" t="s">
        <v>409</v>
      </c>
      <c r="B108" s="42" t="s">
        <v>907</v>
      </c>
      <c r="C108" s="558" t="s">
        <v>1157</v>
      </c>
      <c r="D108" s="68" t="s">
        <v>5</v>
      </c>
      <c r="E108" s="56"/>
      <c r="F108" s="108">
        <f>F90</f>
        <v>0</v>
      </c>
      <c r="G108" s="77"/>
      <c r="H108" s="77"/>
      <c r="I108" s="77"/>
      <c r="J108" s="77"/>
      <c r="K108" s="77"/>
      <c r="L108" s="77"/>
      <c r="M108" s="1252"/>
      <c r="N108" s="1300"/>
      <c r="O108" s="1298"/>
    </row>
    <row r="109" spans="1:15" s="540" customFormat="1" ht="15.75" hidden="1">
      <c r="A109" s="1469"/>
      <c r="B109" s="42"/>
      <c r="C109" s="154" t="s">
        <v>458</v>
      </c>
      <c r="D109" s="63" t="s">
        <v>5</v>
      </c>
      <c r="E109" s="74">
        <f>(19.2+5.97*1)/100</f>
        <v>0.25169999999999998</v>
      </c>
      <c r="F109" s="78">
        <f>F108*E109</f>
        <v>0</v>
      </c>
      <c r="G109" s="146"/>
      <c r="H109" s="77"/>
      <c r="I109" s="77">
        <v>7.8</v>
      </c>
      <c r="J109" s="77">
        <f>F109*I109</f>
        <v>0</v>
      </c>
      <c r="K109" s="77"/>
      <c r="L109" s="77"/>
      <c r="M109" s="1252">
        <f>H109+J109+L109</f>
        <v>0</v>
      </c>
      <c r="N109" s="1300"/>
      <c r="O109" s="1298"/>
    </row>
    <row r="110" spans="1:15" s="540" customFormat="1" ht="15.75" hidden="1">
      <c r="A110" s="1469"/>
      <c r="B110" s="42"/>
      <c r="C110" s="154" t="s">
        <v>25</v>
      </c>
      <c r="D110" s="63" t="s">
        <v>11</v>
      </c>
      <c r="E110" s="74">
        <f>(0.59+0.24*1)/100</f>
        <v>8.3000000000000001E-3</v>
      </c>
      <c r="F110" s="78"/>
      <c r="G110" s="146"/>
      <c r="H110" s="77"/>
      <c r="I110" s="77"/>
      <c r="J110" s="77"/>
      <c r="K110" s="77">
        <v>4</v>
      </c>
      <c r="L110" s="77">
        <f>F110*K110</f>
        <v>0</v>
      </c>
      <c r="M110" s="1252">
        <f>H110+J110+L110</f>
        <v>0</v>
      </c>
      <c r="N110" s="1300"/>
      <c r="O110" s="1298"/>
    </row>
    <row r="111" spans="1:15" s="540" customFormat="1" ht="15.75" hidden="1">
      <c r="A111" s="1469"/>
      <c r="B111" s="42"/>
      <c r="C111" s="154" t="s">
        <v>908</v>
      </c>
      <c r="D111" s="63" t="s">
        <v>6</v>
      </c>
      <c r="E111" s="74">
        <v>1</v>
      </c>
      <c r="F111" s="78">
        <f>F108*E111</f>
        <v>0</v>
      </c>
      <c r="G111" s="77">
        <v>10</v>
      </c>
      <c r="H111" s="77">
        <f>F111*G111</f>
        <v>0</v>
      </c>
      <c r="I111" s="77"/>
      <c r="J111" s="77"/>
      <c r="K111" s="77"/>
      <c r="L111" s="77"/>
      <c r="M111" s="1252">
        <f>H111+J111+L111</f>
        <v>0</v>
      </c>
      <c r="N111" s="1300"/>
      <c r="O111" s="1298"/>
    </row>
    <row r="112" spans="1:15" s="540" customFormat="1" ht="15.75" hidden="1">
      <c r="A112" s="1439"/>
      <c r="B112" s="42"/>
      <c r="C112" s="168" t="s">
        <v>26</v>
      </c>
      <c r="D112" s="68" t="s">
        <v>11</v>
      </c>
      <c r="E112" s="56">
        <f>0.19/100</f>
        <v>1.9E-3</v>
      </c>
      <c r="F112" s="17">
        <f>F108*E112</f>
        <v>0</v>
      </c>
      <c r="G112" s="77">
        <v>4</v>
      </c>
      <c r="H112" s="77">
        <f>F112*G112</f>
        <v>0</v>
      </c>
      <c r="I112" s="77"/>
      <c r="J112" s="77"/>
      <c r="K112" s="77"/>
      <c r="L112" s="77"/>
      <c r="M112" s="1252">
        <f>H112+J112+L112</f>
        <v>0</v>
      </c>
      <c r="N112" s="1300"/>
      <c r="O112" s="1298"/>
    </row>
    <row r="113" spans="1:15" s="309" customFormat="1" ht="31.5" hidden="1">
      <c r="A113" s="1550" t="s">
        <v>432</v>
      </c>
      <c r="B113" s="582" t="s">
        <v>937</v>
      </c>
      <c r="C113" s="581" t="s">
        <v>938</v>
      </c>
      <c r="D113" s="573" t="s">
        <v>1</v>
      </c>
      <c r="E113" s="588"/>
      <c r="F113" s="1080">
        <v>0</v>
      </c>
      <c r="G113" s="330"/>
      <c r="H113" s="80"/>
      <c r="I113" s="576"/>
      <c r="J113" s="80"/>
      <c r="K113" s="330"/>
      <c r="L113" s="80"/>
      <c r="M113" s="1272"/>
      <c r="N113" s="1301"/>
      <c r="O113" s="1301"/>
    </row>
    <row r="114" spans="1:15" s="309" customFormat="1" ht="15.75" hidden="1">
      <c r="A114" s="1551"/>
      <c r="B114" s="590"/>
      <c r="C114" s="130" t="s">
        <v>67</v>
      </c>
      <c r="D114" s="963" t="s">
        <v>109</v>
      </c>
      <c r="E114" s="125">
        <v>3.2499999999999999E-3</v>
      </c>
      <c r="F114" s="45">
        <f>E114*F113</f>
        <v>0</v>
      </c>
      <c r="G114" s="180"/>
      <c r="H114" s="180"/>
      <c r="I114" s="180">
        <v>6</v>
      </c>
      <c r="J114" s="180">
        <f>F114*I114</f>
        <v>0</v>
      </c>
      <c r="K114" s="180"/>
      <c r="L114" s="180"/>
      <c r="M114" s="1316">
        <f>H114+J114+L114</f>
        <v>0</v>
      </c>
      <c r="N114" s="1301"/>
      <c r="O114" s="1301"/>
    </row>
    <row r="115" spans="1:15" s="309" customFormat="1" ht="15.75" hidden="1">
      <c r="A115" s="1551"/>
      <c r="B115" s="582" t="s">
        <v>939</v>
      </c>
      <c r="C115" s="127" t="s">
        <v>940</v>
      </c>
      <c r="D115" s="963" t="s">
        <v>16</v>
      </c>
      <c r="E115" s="125">
        <v>8.8000000000000003E-4</v>
      </c>
      <c r="F115" s="45">
        <f>E115*F113</f>
        <v>0</v>
      </c>
      <c r="G115" s="180"/>
      <c r="H115" s="180"/>
      <c r="I115" s="180"/>
      <c r="J115" s="180"/>
      <c r="K115" s="180">
        <v>20.62</v>
      </c>
      <c r="L115" s="180">
        <f>F115*K115</f>
        <v>0</v>
      </c>
      <c r="M115" s="1316">
        <f>H115+J115+L115</f>
        <v>0</v>
      </c>
      <c r="N115" s="1301"/>
      <c r="O115" s="1301"/>
    </row>
    <row r="116" spans="1:15" s="309" customFormat="1" ht="15.75" hidden="1">
      <c r="A116" s="1551"/>
      <c r="B116" s="590"/>
      <c r="C116" s="591" t="s">
        <v>14</v>
      </c>
      <c r="D116" s="573" t="s">
        <v>11</v>
      </c>
      <c r="E116" s="588">
        <v>3.5200000000000001E-3</v>
      </c>
      <c r="F116" s="592">
        <f>F113*E116</f>
        <v>0</v>
      </c>
      <c r="G116" s="330"/>
      <c r="H116" s="80"/>
      <c r="I116" s="576"/>
      <c r="J116" s="80"/>
      <c r="K116" s="330">
        <v>4</v>
      </c>
      <c r="L116" s="180">
        <f>F116*K116</f>
        <v>0</v>
      </c>
      <c r="M116" s="1316">
        <f>H116+J116+L116</f>
        <v>0</v>
      </c>
      <c r="N116" s="1301"/>
      <c r="O116" s="1301"/>
    </row>
    <row r="117" spans="1:15" s="309" customFormat="1" ht="15.75" hidden="1">
      <c r="A117" s="1552"/>
      <c r="B117" s="590"/>
      <c r="C117" s="591" t="s">
        <v>941</v>
      </c>
      <c r="D117" s="573" t="s">
        <v>6</v>
      </c>
      <c r="E117" s="588">
        <v>4.2000000000000003E-2</v>
      </c>
      <c r="F117" s="592">
        <f>F113*E117</f>
        <v>0</v>
      </c>
      <c r="G117" s="330">
        <v>18</v>
      </c>
      <c r="H117" s="80">
        <f>F117*G117</f>
        <v>0</v>
      </c>
      <c r="I117" s="80"/>
      <c r="J117" s="80"/>
      <c r="K117" s="336"/>
      <c r="L117" s="80"/>
      <c r="M117" s="1316">
        <f>H117+J117+L117</f>
        <v>0</v>
      </c>
      <c r="N117" s="1301"/>
      <c r="O117" s="1301"/>
    </row>
    <row r="118" spans="1:15" s="540" customFormat="1" ht="31.5">
      <c r="A118" s="559"/>
      <c r="B118" s="560"/>
      <c r="C118" s="561" t="s">
        <v>1583</v>
      </c>
      <c r="D118" s="536" t="s">
        <v>5</v>
      </c>
      <c r="E118" s="562"/>
      <c r="F118" s="97">
        <v>1270</v>
      </c>
      <c r="G118" s="80"/>
      <c r="H118" s="80"/>
      <c r="I118" s="80"/>
      <c r="J118" s="80"/>
      <c r="K118" s="80"/>
      <c r="L118" s="80"/>
      <c r="M118" s="1272"/>
      <c r="N118" s="1302"/>
      <c r="O118" s="1298"/>
    </row>
    <row r="119" spans="1:15" s="540" customFormat="1" ht="31.5">
      <c r="A119" s="1143" t="s">
        <v>429</v>
      </c>
      <c r="B119" s="1130" t="s">
        <v>1560</v>
      </c>
      <c r="C119" s="1128" t="s">
        <v>1561</v>
      </c>
      <c r="D119" s="1129" t="s">
        <v>7</v>
      </c>
      <c r="E119" s="232"/>
      <c r="F119" s="20">
        <f>(388*2.2-500)*1.3*1.95</f>
        <v>896.37600000000009</v>
      </c>
      <c r="G119" s="80"/>
      <c r="H119" s="80"/>
      <c r="I119" s="80"/>
      <c r="J119" s="80"/>
      <c r="K119" s="80"/>
      <c r="L119" s="77">
        <f>F119*K119</f>
        <v>0</v>
      </c>
      <c r="M119" s="1252">
        <f t="shared" ref="M119" si="13">H119+J119+L119</f>
        <v>0</v>
      </c>
      <c r="N119" s="1302"/>
      <c r="O119" s="1298" t="s">
        <v>1559</v>
      </c>
    </row>
    <row r="120" spans="1:15" s="540" customFormat="1" ht="15.75">
      <c r="A120" s="1543" t="s">
        <v>430</v>
      </c>
      <c r="B120" s="1139" t="s">
        <v>1564</v>
      </c>
      <c r="C120" s="1128" t="s">
        <v>1566</v>
      </c>
      <c r="D120" s="1129" t="s">
        <v>4</v>
      </c>
      <c r="E120" s="232"/>
      <c r="F120" s="20">
        <f>(388*2-375)</f>
        <v>401</v>
      </c>
      <c r="G120" s="80"/>
      <c r="H120" s="80"/>
      <c r="I120" s="80"/>
      <c r="J120" s="80"/>
      <c r="K120" s="80"/>
      <c r="L120" s="80"/>
      <c r="M120" s="1272"/>
      <c r="N120" s="1302"/>
      <c r="O120" s="1298"/>
    </row>
    <row r="121" spans="1:15" s="540" customFormat="1" ht="15.75">
      <c r="A121" s="1544"/>
      <c r="B121" s="1130"/>
      <c r="C121" s="107" t="s">
        <v>20</v>
      </c>
      <c r="D121" s="1127" t="s">
        <v>15</v>
      </c>
      <c r="E121" s="17">
        <v>0.13400000000000001</v>
      </c>
      <c r="F121" s="17">
        <f>F120*E121</f>
        <v>53.734000000000002</v>
      </c>
      <c r="G121" s="77"/>
      <c r="H121" s="77"/>
      <c r="I121" s="77"/>
      <c r="J121" s="77">
        <f>F121*I121</f>
        <v>0</v>
      </c>
      <c r="K121" s="77"/>
      <c r="L121" s="77"/>
      <c r="M121" s="1317">
        <f>H121+J121+L121</f>
        <v>0</v>
      </c>
      <c r="N121" s="1302"/>
      <c r="O121" s="1298"/>
    </row>
    <row r="122" spans="1:15" s="540" customFormat="1" ht="15.75">
      <c r="A122" s="1545"/>
      <c r="B122" s="1130" t="s">
        <v>915</v>
      </c>
      <c r="C122" s="107" t="s">
        <v>1565</v>
      </c>
      <c r="D122" s="1127" t="s">
        <v>16</v>
      </c>
      <c r="E122" s="17">
        <v>0.13</v>
      </c>
      <c r="F122" s="17">
        <f>F120*E122</f>
        <v>52.13</v>
      </c>
      <c r="G122" s="77"/>
      <c r="H122" s="77"/>
      <c r="I122" s="77"/>
      <c r="J122" s="77"/>
      <c r="K122" s="77"/>
      <c r="L122" s="77">
        <f>F122*K122</f>
        <v>0</v>
      </c>
      <c r="M122" s="1317">
        <f>H122+J122+L122</f>
        <v>0</v>
      </c>
      <c r="N122" s="1302"/>
      <c r="O122" s="1298"/>
    </row>
    <row r="123" spans="1:15" s="540" customFormat="1" ht="15.75">
      <c r="A123" s="1543" t="s">
        <v>83</v>
      </c>
      <c r="B123" s="563" t="s">
        <v>909</v>
      </c>
      <c r="C123" s="152" t="s">
        <v>1563</v>
      </c>
      <c r="D123" s="959" t="s">
        <v>5</v>
      </c>
      <c r="E123" s="57"/>
      <c r="F123" s="20">
        <f>F118</f>
        <v>1270</v>
      </c>
      <c r="G123" s="80"/>
      <c r="H123" s="80"/>
      <c r="I123" s="80"/>
      <c r="J123" s="80"/>
      <c r="K123" s="80"/>
      <c r="L123" s="80"/>
      <c r="M123" s="1272"/>
      <c r="N123" s="1302"/>
      <c r="O123" s="1298"/>
    </row>
    <row r="124" spans="1:15" s="540" customFormat="1" ht="15.75" hidden="1">
      <c r="A124" s="1544"/>
      <c r="B124" s="963"/>
      <c r="C124" s="153" t="s">
        <v>67</v>
      </c>
      <c r="D124" s="961" t="s">
        <v>15</v>
      </c>
      <c r="E124" s="26">
        <v>0</v>
      </c>
      <c r="F124" s="282">
        <f>F123*E124</f>
        <v>0</v>
      </c>
      <c r="G124" s="80"/>
      <c r="H124" s="80"/>
      <c r="I124" s="80">
        <v>6</v>
      </c>
      <c r="J124" s="80">
        <f>F124*I124</f>
        <v>0</v>
      </c>
      <c r="K124" s="80"/>
      <c r="L124" s="80"/>
      <c r="M124" s="1272">
        <f>H124+J124+L124</f>
        <v>0</v>
      </c>
      <c r="N124" s="1302"/>
      <c r="O124" s="1298"/>
    </row>
    <row r="125" spans="1:15" s="540" customFormat="1" ht="15.75">
      <c r="A125" s="1544"/>
      <c r="B125" s="961" t="s">
        <v>910</v>
      </c>
      <c r="C125" s="564" t="s">
        <v>911</v>
      </c>
      <c r="D125" s="961" t="s">
        <v>16</v>
      </c>
      <c r="E125" s="565">
        <v>2.7999999999999998E-4</v>
      </c>
      <c r="F125" s="283">
        <f>F123*E125</f>
        <v>0.35559999999999997</v>
      </c>
      <c r="G125" s="477"/>
      <c r="H125" s="80"/>
      <c r="I125" s="477"/>
      <c r="J125" s="80"/>
      <c r="K125" s="659"/>
      <c r="L125" s="80">
        <f>F125*K125</f>
        <v>0</v>
      </c>
      <c r="M125" s="1272">
        <f>H125+J125+L125</f>
        <v>0</v>
      </c>
      <c r="N125" s="1302"/>
      <c r="O125" s="1298"/>
    </row>
    <row r="126" spans="1:15" s="540" customFormat="1" ht="31.5">
      <c r="A126" s="1543" t="s">
        <v>431</v>
      </c>
      <c r="B126" s="959" t="s">
        <v>912</v>
      </c>
      <c r="C126" s="152" t="s">
        <v>1562</v>
      </c>
      <c r="D126" s="959" t="s">
        <v>913</v>
      </c>
      <c r="E126" s="57"/>
      <c r="F126" s="20">
        <f>F118*0.2</f>
        <v>254</v>
      </c>
      <c r="G126" s="80"/>
      <c r="H126" s="80"/>
      <c r="I126" s="80"/>
      <c r="J126" s="80"/>
      <c r="K126" s="80"/>
      <c r="L126" s="80"/>
      <c r="M126" s="1272"/>
      <c r="N126" s="1302"/>
      <c r="O126" s="1298"/>
    </row>
    <row r="127" spans="1:15" s="540" customFormat="1" ht="15.75">
      <c r="A127" s="1544"/>
      <c r="B127" s="963"/>
      <c r="C127" s="153" t="s">
        <v>67</v>
      </c>
      <c r="D127" s="963" t="s">
        <v>15</v>
      </c>
      <c r="E127" s="26">
        <v>0.115</v>
      </c>
      <c r="F127" s="282">
        <f>E127*F126</f>
        <v>29.21</v>
      </c>
      <c r="G127" s="80"/>
      <c r="H127" s="80"/>
      <c r="I127" s="80"/>
      <c r="J127" s="80">
        <f>F127*I127</f>
        <v>0</v>
      </c>
      <c r="K127" s="80"/>
      <c r="L127" s="80"/>
      <c r="M127" s="1272">
        <f>H127+J127+L127</f>
        <v>0</v>
      </c>
      <c r="N127" s="1302"/>
      <c r="O127" s="1298"/>
    </row>
    <row r="128" spans="1:15" s="540" customFormat="1" ht="15.75">
      <c r="A128" s="1544"/>
      <c r="B128" s="963" t="s">
        <v>381</v>
      </c>
      <c r="C128" s="566" t="s">
        <v>914</v>
      </c>
      <c r="D128" s="567" t="s">
        <v>16</v>
      </c>
      <c r="E128" s="26">
        <v>2.4199999999999999E-2</v>
      </c>
      <c r="F128" s="282">
        <f>E128*F126</f>
        <v>6.1467999999999998</v>
      </c>
      <c r="G128" s="80"/>
      <c r="H128" s="80"/>
      <c r="I128" s="80"/>
      <c r="J128" s="80"/>
      <c r="K128" s="80"/>
      <c r="L128" s="80">
        <f t="shared" ref="L128:L133" si="14">F128*K128</f>
        <v>0</v>
      </c>
      <c r="M128" s="1272">
        <f t="shared" ref="M128:M135" si="15">H128+J128+L128</f>
        <v>0</v>
      </c>
      <c r="N128" s="1302"/>
      <c r="O128" s="1298"/>
    </row>
    <row r="129" spans="1:15" s="540" customFormat="1" ht="15.75">
      <c r="A129" s="1544"/>
      <c r="B129" s="963" t="s">
        <v>916</v>
      </c>
      <c r="C129" s="566" t="s">
        <v>917</v>
      </c>
      <c r="D129" s="567" t="s">
        <v>16</v>
      </c>
      <c r="E129" s="26">
        <v>4.1000000000000003E-3</v>
      </c>
      <c r="F129" s="282">
        <f>E129*F126</f>
        <v>1.0414000000000001</v>
      </c>
      <c r="G129" s="80"/>
      <c r="H129" s="80"/>
      <c r="I129" s="80"/>
      <c r="J129" s="80"/>
      <c r="K129" s="80"/>
      <c r="L129" s="80">
        <f t="shared" si="14"/>
        <v>0</v>
      </c>
      <c r="M129" s="1272">
        <f t="shared" si="15"/>
        <v>0</v>
      </c>
      <c r="N129" s="1302"/>
      <c r="O129" s="1298"/>
    </row>
    <row r="130" spans="1:15" s="540" customFormat="1" ht="15.75">
      <c r="A130" s="1544"/>
      <c r="B130" s="963" t="s">
        <v>915</v>
      </c>
      <c r="C130" s="566" t="s">
        <v>918</v>
      </c>
      <c r="D130" s="567" t="s">
        <v>16</v>
      </c>
      <c r="E130" s="26">
        <v>0.19</v>
      </c>
      <c r="F130" s="282">
        <f>E130*F126</f>
        <v>48.26</v>
      </c>
      <c r="G130" s="80"/>
      <c r="H130" s="80"/>
      <c r="I130" s="80"/>
      <c r="J130" s="80"/>
      <c r="K130" s="80"/>
      <c r="L130" s="80">
        <f t="shared" si="14"/>
        <v>0</v>
      </c>
      <c r="M130" s="1272">
        <f t="shared" si="15"/>
        <v>0</v>
      </c>
      <c r="N130" s="1302"/>
      <c r="O130" s="1298"/>
    </row>
    <row r="131" spans="1:15" s="540" customFormat="1" ht="15.75">
      <c r="A131" s="1544"/>
      <c r="B131" s="1063" t="s">
        <v>382</v>
      </c>
      <c r="C131" s="566" t="s">
        <v>1519</v>
      </c>
      <c r="D131" s="567" t="s">
        <v>16</v>
      </c>
      <c r="E131" s="26">
        <v>3.9E-2</v>
      </c>
      <c r="F131" s="282">
        <f>F126*E131</f>
        <v>9.9060000000000006</v>
      </c>
      <c r="G131" s="80"/>
      <c r="H131" s="80"/>
      <c r="I131" s="80"/>
      <c r="J131" s="80"/>
      <c r="K131" s="80"/>
      <c r="L131" s="80">
        <f t="shared" ref="L131" si="16">F131*K131</f>
        <v>0</v>
      </c>
      <c r="M131" s="1272">
        <f t="shared" ref="M131" si="17">H131+J131+L131</f>
        <v>0</v>
      </c>
      <c r="N131" s="1302"/>
      <c r="O131" s="1298"/>
    </row>
    <row r="132" spans="1:15" s="540" customFormat="1" ht="15.75">
      <c r="A132" s="1544"/>
      <c r="B132" s="963" t="s">
        <v>383</v>
      </c>
      <c r="C132" s="566" t="s">
        <v>919</v>
      </c>
      <c r="D132" s="567" t="s">
        <v>16</v>
      </c>
      <c r="E132" s="26">
        <v>2.07E-2</v>
      </c>
      <c r="F132" s="282">
        <f>E132*F126</f>
        <v>5.2577999999999996</v>
      </c>
      <c r="G132" s="80"/>
      <c r="H132" s="80"/>
      <c r="I132" s="80"/>
      <c r="J132" s="80"/>
      <c r="K132" s="80"/>
      <c r="L132" s="80">
        <f t="shared" si="14"/>
        <v>0</v>
      </c>
      <c r="M132" s="1272">
        <f t="shared" si="15"/>
        <v>0</v>
      </c>
      <c r="N132" s="1302"/>
      <c r="O132" s="1298"/>
    </row>
    <row r="133" spans="1:15" s="540" customFormat="1" ht="15.75">
      <c r="A133" s="1544"/>
      <c r="B133" s="963" t="s">
        <v>920</v>
      </c>
      <c r="C133" s="153" t="s">
        <v>921</v>
      </c>
      <c r="D133" s="567" t="s">
        <v>16</v>
      </c>
      <c r="E133" s="26">
        <v>5.2999999999999998E-4</v>
      </c>
      <c r="F133" s="282">
        <f>E133*F126</f>
        <v>0.13461999999999999</v>
      </c>
      <c r="G133" s="80"/>
      <c r="H133" s="80"/>
      <c r="I133" s="80"/>
      <c r="J133" s="80"/>
      <c r="K133" s="80"/>
      <c r="L133" s="80">
        <f t="shared" si="14"/>
        <v>0</v>
      </c>
      <c r="M133" s="1272">
        <f t="shared" si="15"/>
        <v>0</v>
      </c>
      <c r="N133" s="1302"/>
      <c r="O133" s="1298"/>
    </row>
    <row r="134" spans="1:15" s="540" customFormat="1" ht="15.75">
      <c r="A134" s="1544"/>
      <c r="B134" s="963"/>
      <c r="C134" s="153" t="s">
        <v>922</v>
      </c>
      <c r="D134" s="963" t="s">
        <v>4</v>
      </c>
      <c r="E134" s="26">
        <v>1.53</v>
      </c>
      <c r="F134" s="282">
        <f>E134*F126</f>
        <v>388.62</v>
      </c>
      <c r="G134" s="80"/>
      <c r="H134" s="80">
        <f>F134*G134</f>
        <v>0</v>
      </c>
      <c r="I134" s="80"/>
      <c r="J134" s="80"/>
      <c r="K134" s="80"/>
      <c r="L134" s="80"/>
      <c r="M134" s="1272">
        <f t="shared" si="15"/>
        <v>0</v>
      </c>
      <c r="N134" s="1302"/>
      <c r="O134" s="1298"/>
    </row>
    <row r="135" spans="1:15" s="540" customFormat="1" ht="15.75">
      <c r="A135" s="1545"/>
      <c r="B135" s="963"/>
      <c r="C135" s="153" t="s">
        <v>178</v>
      </c>
      <c r="D135" s="963" t="s">
        <v>4</v>
      </c>
      <c r="E135" s="26">
        <v>0.14899999999999999</v>
      </c>
      <c r="F135" s="282">
        <f>E135*F126</f>
        <v>37.845999999999997</v>
      </c>
      <c r="G135" s="80"/>
      <c r="H135" s="80">
        <f>F135*G135</f>
        <v>0</v>
      </c>
      <c r="I135" s="80"/>
      <c r="J135" s="80"/>
      <c r="K135" s="80"/>
      <c r="L135" s="80"/>
      <c r="M135" s="1272">
        <f t="shared" si="15"/>
        <v>0</v>
      </c>
      <c r="N135" s="1302"/>
      <c r="O135" s="1298"/>
    </row>
    <row r="136" spans="1:15" s="540" customFormat="1" ht="15.75">
      <c r="A136" s="1564" t="s">
        <v>38</v>
      </c>
      <c r="B136" s="568" t="s">
        <v>923</v>
      </c>
      <c r="C136" s="569" t="s">
        <v>924</v>
      </c>
      <c r="D136" s="570" t="s">
        <v>233</v>
      </c>
      <c r="E136" s="571"/>
      <c r="F136" s="20">
        <f>F118*0.0006</f>
        <v>0.7619999999999999</v>
      </c>
      <c r="G136" s="336"/>
      <c r="H136" s="80"/>
      <c r="I136" s="572"/>
      <c r="J136" s="80"/>
      <c r="K136" s="336"/>
      <c r="L136" s="80"/>
      <c r="M136" s="1272"/>
      <c r="N136" s="1302"/>
      <c r="O136" s="1298"/>
    </row>
    <row r="137" spans="1:15" s="540" customFormat="1" ht="15.75">
      <c r="A137" s="1565"/>
      <c r="B137" s="573">
        <v>1501</v>
      </c>
      <c r="C137" s="574" t="s">
        <v>925</v>
      </c>
      <c r="D137" s="570" t="s">
        <v>212</v>
      </c>
      <c r="E137" s="571">
        <v>0.3</v>
      </c>
      <c r="F137" s="575">
        <f>F136*E137</f>
        <v>0.22859999999999997</v>
      </c>
      <c r="G137" s="336"/>
      <c r="H137" s="80"/>
      <c r="I137" s="336"/>
      <c r="J137" s="80"/>
      <c r="K137" s="831"/>
      <c r="L137" s="80">
        <f>F137*K137</f>
        <v>0</v>
      </c>
      <c r="M137" s="1272">
        <f>H137+J137+L137</f>
        <v>0</v>
      </c>
      <c r="N137" s="1302"/>
      <c r="O137" s="1298"/>
    </row>
    <row r="138" spans="1:15" s="540" customFormat="1" ht="15.75">
      <c r="A138" s="1566"/>
      <c r="B138" s="577"/>
      <c r="C138" s="578" t="s">
        <v>926</v>
      </c>
      <c r="D138" s="577" t="s">
        <v>233</v>
      </c>
      <c r="E138" s="579">
        <v>1.03</v>
      </c>
      <c r="F138" s="580">
        <f>F136*E138</f>
        <v>0.78485999999999989</v>
      </c>
      <c r="G138" s="336"/>
      <c r="H138" s="80">
        <f>F138*G138</f>
        <v>0</v>
      </c>
      <c r="I138" s="572"/>
      <c r="J138" s="80"/>
      <c r="K138" s="336"/>
      <c r="L138" s="80"/>
      <c r="M138" s="1272">
        <f>H138+J138+L138</f>
        <v>0</v>
      </c>
      <c r="N138" s="1302"/>
      <c r="O138" s="1298"/>
    </row>
    <row r="139" spans="1:15" s="540" customFormat="1" ht="31.5">
      <c r="A139" s="1550" t="s">
        <v>409</v>
      </c>
      <c r="B139" s="582" t="s">
        <v>927</v>
      </c>
      <c r="C139" s="581" t="s">
        <v>928</v>
      </c>
      <c r="D139" s="582" t="s">
        <v>408</v>
      </c>
      <c r="E139" s="583"/>
      <c r="F139" s="20">
        <f>F118/100</f>
        <v>12.7</v>
      </c>
      <c r="G139" s="330"/>
      <c r="H139" s="80"/>
      <c r="I139" s="576"/>
      <c r="J139" s="80"/>
      <c r="K139" s="330"/>
      <c r="L139" s="80"/>
      <c r="M139" s="1272"/>
      <c r="N139" s="1302"/>
      <c r="O139" s="1298"/>
    </row>
    <row r="140" spans="1:15" s="540" customFormat="1" ht="15.75">
      <c r="A140" s="1551"/>
      <c r="B140" s="573"/>
      <c r="C140" s="584" t="s">
        <v>189</v>
      </c>
      <c r="D140" s="573" t="s">
        <v>15</v>
      </c>
      <c r="E140" s="583">
        <f>(3.75)</f>
        <v>3.75</v>
      </c>
      <c r="F140" s="585">
        <f>F139*E140</f>
        <v>47.625</v>
      </c>
      <c r="G140" s="576"/>
      <c r="H140" s="80"/>
      <c r="I140" s="330"/>
      <c r="J140" s="80">
        <f>F140*I140</f>
        <v>0</v>
      </c>
      <c r="K140" s="330"/>
      <c r="L140" s="80"/>
      <c r="M140" s="1272">
        <f t="shared" ref="M140:M146" si="18">H140+J140+L140</f>
        <v>0</v>
      </c>
      <c r="N140" s="1302"/>
      <c r="O140" s="1298"/>
    </row>
    <row r="141" spans="1:15" s="540" customFormat="1" ht="15.75">
      <c r="A141" s="1551"/>
      <c r="B141" s="573">
        <v>1564</v>
      </c>
      <c r="C141" s="584" t="s">
        <v>929</v>
      </c>
      <c r="D141" s="573" t="s">
        <v>212</v>
      </c>
      <c r="E141" s="583">
        <v>0.30199999999999999</v>
      </c>
      <c r="F141" s="585">
        <f>F139*E141</f>
        <v>3.8353999999999995</v>
      </c>
      <c r="G141" s="330"/>
      <c r="H141" s="80"/>
      <c r="I141" s="330"/>
      <c r="J141" s="80"/>
      <c r="K141" s="576"/>
      <c r="L141" s="80">
        <f>F141*K141</f>
        <v>0</v>
      </c>
      <c r="M141" s="1272">
        <f t="shared" si="18"/>
        <v>0</v>
      </c>
      <c r="N141" s="1302"/>
      <c r="O141" s="1298"/>
    </row>
    <row r="142" spans="1:15" s="540" customFormat="1" ht="15.75">
      <c r="A142" s="1551"/>
      <c r="B142" s="573">
        <v>1521</v>
      </c>
      <c r="C142" s="584" t="s">
        <v>930</v>
      </c>
      <c r="D142" s="573" t="s">
        <v>212</v>
      </c>
      <c r="E142" s="583">
        <v>0.37</v>
      </c>
      <c r="F142" s="585">
        <f>F139*E142</f>
        <v>4.6989999999999998</v>
      </c>
      <c r="G142" s="330"/>
      <c r="H142" s="80"/>
      <c r="I142" s="576"/>
      <c r="J142" s="80"/>
      <c r="K142" s="80"/>
      <c r="L142" s="80">
        <f>F142*K142</f>
        <v>0</v>
      </c>
      <c r="M142" s="1272">
        <f t="shared" si="18"/>
        <v>0</v>
      </c>
      <c r="N142" s="1302"/>
      <c r="O142" s="1298"/>
    </row>
    <row r="143" spans="1:15" s="540" customFormat="1" ht="15.75">
      <c r="A143" s="1551"/>
      <c r="B143" s="573">
        <v>1522</v>
      </c>
      <c r="C143" s="584" t="s">
        <v>931</v>
      </c>
      <c r="D143" s="573" t="s">
        <v>212</v>
      </c>
      <c r="E143" s="583">
        <v>1.1100000000000001</v>
      </c>
      <c r="F143" s="585">
        <f>F139*E143</f>
        <v>14.097000000000001</v>
      </c>
      <c r="G143" s="330"/>
      <c r="H143" s="80"/>
      <c r="I143" s="576"/>
      <c r="J143" s="80"/>
      <c r="K143" s="80"/>
      <c r="L143" s="80">
        <f>F143*K143</f>
        <v>0</v>
      </c>
      <c r="M143" s="1272">
        <f t="shared" si="18"/>
        <v>0</v>
      </c>
      <c r="N143" s="1302"/>
      <c r="O143" s="1298"/>
    </row>
    <row r="144" spans="1:15" s="540" customFormat="1" ht="15.75">
      <c r="A144" s="1551"/>
      <c r="B144" s="573"/>
      <c r="C144" s="584" t="s">
        <v>14</v>
      </c>
      <c r="D144" s="573" t="s">
        <v>11</v>
      </c>
      <c r="E144" s="583">
        <v>0.23</v>
      </c>
      <c r="F144" s="585">
        <f>F139*E144</f>
        <v>2.9209999999999998</v>
      </c>
      <c r="G144" s="330"/>
      <c r="H144" s="80"/>
      <c r="I144" s="576"/>
      <c r="J144" s="80"/>
      <c r="K144" s="576"/>
      <c r="L144" s="80">
        <f>F144*K144</f>
        <v>0</v>
      </c>
      <c r="M144" s="1272">
        <f t="shared" si="18"/>
        <v>0</v>
      </c>
      <c r="N144" s="1302"/>
      <c r="O144" s="1298"/>
    </row>
    <row r="145" spans="1:15" s="540" customFormat="1" ht="15.75">
      <c r="A145" s="1551"/>
      <c r="B145" s="573"/>
      <c r="C145" s="584" t="s">
        <v>932</v>
      </c>
      <c r="D145" s="573" t="s">
        <v>233</v>
      </c>
      <c r="E145" s="586">
        <f>(97.7+12.2*2)/10</f>
        <v>12.209999999999999</v>
      </c>
      <c r="F145" s="585">
        <f>F139*E145</f>
        <v>155.06699999999998</v>
      </c>
      <c r="G145" s="330"/>
      <c r="H145" s="80">
        <f>F145*G145</f>
        <v>0</v>
      </c>
      <c r="I145" s="576"/>
      <c r="J145" s="80"/>
      <c r="K145" s="330"/>
      <c r="L145" s="80"/>
      <c r="M145" s="1272">
        <f t="shared" si="18"/>
        <v>0</v>
      </c>
      <c r="N145" s="1302"/>
      <c r="O145" s="1298"/>
    </row>
    <row r="146" spans="1:15" s="540" customFormat="1" ht="15.75">
      <c r="A146" s="1552"/>
      <c r="B146" s="573"/>
      <c r="C146" s="584" t="s">
        <v>204</v>
      </c>
      <c r="D146" s="573" t="s">
        <v>11</v>
      </c>
      <c r="E146" s="583">
        <f>1.45</f>
        <v>1.45</v>
      </c>
      <c r="F146" s="585">
        <f>F139*E146</f>
        <v>18.414999999999999</v>
      </c>
      <c r="G146" s="330"/>
      <c r="H146" s="80">
        <f>F146*G146</f>
        <v>0</v>
      </c>
      <c r="I146" s="576"/>
      <c r="J146" s="80"/>
      <c r="K146" s="330"/>
      <c r="L146" s="80"/>
      <c r="M146" s="1272">
        <f t="shared" si="18"/>
        <v>0</v>
      </c>
      <c r="N146" s="1302"/>
      <c r="O146" s="1298"/>
    </row>
    <row r="147" spans="1:15" s="540" customFormat="1" ht="31.5" hidden="1">
      <c r="A147" s="1550" t="s">
        <v>1567</v>
      </c>
      <c r="B147" s="582" t="s">
        <v>927</v>
      </c>
      <c r="C147" s="581" t="s">
        <v>933</v>
      </c>
      <c r="D147" s="573" t="s">
        <v>408</v>
      </c>
      <c r="E147" s="583"/>
      <c r="F147" s="20">
        <f>0/100</f>
        <v>0</v>
      </c>
      <c r="G147" s="330"/>
      <c r="H147" s="80"/>
      <c r="I147" s="576"/>
      <c r="J147" s="80"/>
      <c r="K147" s="330"/>
      <c r="L147" s="80"/>
      <c r="M147" s="1272"/>
      <c r="N147" s="1302"/>
      <c r="O147" s="1298"/>
    </row>
    <row r="148" spans="1:15" s="540" customFormat="1" ht="15.75" hidden="1">
      <c r="A148" s="1551"/>
      <c r="B148" s="573"/>
      <c r="C148" s="584" t="s">
        <v>189</v>
      </c>
      <c r="D148" s="573" t="s">
        <v>15</v>
      </c>
      <c r="E148" s="583">
        <f>(3.75)</f>
        <v>3.75</v>
      </c>
      <c r="F148" s="585">
        <f>F147*E148</f>
        <v>0</v>
      </c>
      <c r="G148" s="576"/>
      <c r="H148" s="80"/>
      <c r="I148" s="330">
        <v>6</v>
      </c>
      <c r="J148" s="80">
        <f>F148*I148</f>
        <v>0</v>
      </c>
      <c r="K148" s="330"/>
      <c r="L148" s="80"/>
      <c r="M148" s="1272">
        <f t="shared" ref="M148:M154" si="19">H148+J148+L148</f>
        <v>0</v>
      </c>
      <c r="N148" s="1302"/>
      <c r="O148" s="1298"/>
    </row>
    <row r="149" spans="1:15" s="540" customFormat="1" ht="15.75" hidden="1">
      <c r="A149" s="1551"/>
      <c r="B149" s="573">
        <v>1564</v>
      </c>
      <c r="C149" s="584" t="s">
        <v>929</v>
      </c>
      <c r="D149" s="573" t="s">
        <v>212</v>
      </c>
      <c r="E149" s="583">
        <v>0.30199999999999999</v>
      </c>
      <c r="F149" s="585">
        <f>F147*E149</f>
        <v>0</v>
      </c>
      <c r="G149" s="330"/>
      <c r="H149" s="80"/>
      <c r="I149" s="330"/>
      <c r="J149" s="80"/>
      <c r="K149" s="576">
        <v>26.67</v>
      </c>
      <c r="L149" s="80">
        <f>F149*K149</f>
        <v>0</v>
      </c>
      <c r="M149" s="1272">
        <f t="shared" si="19"/>
        <v>0</v>
      </c>
      <c r="N149" s="1302"/>
      <c r="O149" s="1298"/>
    </row>
    <row r="150" spans="1:15" s="540" customFormat="1" ht="15.75" hidden="1">
      <c r="A150" s="1551"/>
      <c r="B150" s="573">
        <v>1521</v>
      </c>
      <c r="C150" s="584" t="s">
        <v>930</v>
      </c>
      <c r="D150" s="573" t="s">
        <v>212</v>
      </c>
      <c r="E150" s="583">
        <v>0.37</v>
      </c>
      <c r="F150" s="585">
        <f>F147*E150</f>
        <v>0</v>
      </c>
      <c r="G150" s="330"/>
      <c r="H150" s="80"/>
      <c r="I150" s="576"/>
      <c r="J150" s="80"/>
      <c r="K150" s="80">
        <v>21.3</v>
      </c>
      <c r="L150" s="80">
        <f>F150*K150</f>
        <v>0</v>
      </c>
      <c r="M150" s="1272">
        <f t="shared" si="19"/>
        <v>0</v>
      </c>
      <c r="N150" s="1302"/>
      <c r="O150" s="1298"/>
    </row>
    <row r="151" spans="1:15" s="540" customFormat="1" ht="15.75" hidden="1">
      <c r="A151" s="1551"/>
      <c r="B151" s="573">
        <v>1522</v>
      </c>
      <c r="C151" s="584" t="s">
        <v>931</v>
      </c>
      <c r="D151" s="573" t="s">
        <v>212</v>
      </c>
      <c r="E151" s="583">
        <v>1.1100000000000001</v>
      </c>
      <c r="F151" s="585">
        <f>F147*E151</f>
        <v>0</v>
      </c>
      <c r="G151" s="330"/>
      <c r="H151" s="80"/>
      <c r="I151" s="576"/>
      <c r="J151" s="80"/>
      <c r="K151" s="80">
        <v>25.31</v>
      </c>
      <c r="L151" s="80">
        <f>F151*K151</f>
        <v>0</v>
      </c>
      <c r="M151" s="1272">
        <f t="shared" si="19"/>
        <v>0</v>
      </c>
      <c r="N151" s="1302"/>
      <c r="O151" s="1298"/>
    </row>
    <row r="152" spans="1:15" s="540" customFormat="1" ht="15.75" hidden="1">
      <c r="A152" s="1551"/>
      <c r="B152" s="573"/>
      <c r="C152" s="584" t="s">
        <v>14</v>
      </c>
      <c r="D152" s="573" t="s">
        <v>11</v>
      </c>
      <c r="E152" s="583">
        <v>0.23</v>
      </c>
      <c r="F152" s="585">
        <f>F147*E152</f>
        <v>0</v>
      </c>
      <c r="G152" s="330"/>
      <c r="H152" s="80"/>
      <c r="I152" s="576"/>
      <c r="J152" s="80"/>
      <c r="K152" s="576">
        <v>4</v>
      </c>
      <c r="L152" s="80">
        <f>F152*K152</f>
        <v>0</v>
      </c>
      <c r="M152" s="1272">
        <f t="shared" si="19"/>
        <v>0</v>
      </c>
      <c r="N152" s="1302"/>
      <c r="O152" s="1298"/>
    </row>
    <row r="153" spans="1:15" s="540" customFormat="1" ht="15.75" hidden="1">
      <c r="A153" s="1551"/>
      <c r="B153" s="573"/>
      <c r="C153" s="584" t="s">
        <v>934</v>
      </c>
      <c r="D153" s="573" t="s">
        <v>233</v>
      </c>
      <c r="E153" s="583">
        <f>(97.7+12.2*2)/10</f>
        <v>12.209999999999999</v>
      </c>
      <c r="F153" s="585">
        <f>F147*E153</f>
        <v>0</v>
      </c>
      <c r="G153" s="330">
        <v>125</v>
      </c>
      <c r="H153" s="80">
        <f>F153*G153</f>
        <v>0</v>
      </c>
      <c r="I153" s="576"/>
      <c r="J153" s="80"/>
      <c r="K153" s="330"/>
      <c r="L153" s="80"/>
      <c r="M153" s="1272">
        <f t="shared" si="19"/>
        <v>0</v>
      </c>
      <c r="N153" s="1302"/>
      <c r="O153" s="1298"/>
    </row>
    <row r="154" spans="1:15" s="540" customFormat="1" ht="15.75" hidden="1">
      <c r="A154" s="1552"/>
      <c r="B154" s="573"/>
      <c r="C154" s="584" t="s">
        <v>204</v>
      </c>
      <c r="D154" s="573" t="s">
        <v>11</v>
      </c>
      <c r="E154" s="583">
        <f>1.45</f>
        <v>1.45</v>
      </c>
      <c r="F154" s="585">
        <f>F147*E154</f>
        <v>0</v>
      </c>
      <c r="G154" s="330">
        <v>4</v>
      </c>
      <c r="H154" s="80">
        <f>F154*G154</f>
        <v>0</v>
      </c>
      <c r="I154" s="576"/>
      <c r="J154" s="80"/>
      <c r="K154" s="330"/>
      <c r="L154" s="80"/>
      <c r="M154" s="1272">
        <f t="shared" si="19"/>
        <v>0</v>
      </c>
      <c r="N154" s="1303"/>
      <c r="O154" s="1298"/>
    </row>
    <row r="155" spans="1:15" s="540" customFormat="1" ht="15.75">
      <c r="A155" s="1564" t="s">
        <v>432</v>
      </c>
      <c r="B155" s="568" t="s">
        <v>923</v>
      </c>
      <c r="C155" s="569" t="s">
        <v>924</v>
      </c>
      <c r="D155" s="570" t="s">
        <v>233</v>
      </c>
      <c r="E155" s="571"/>
      <c r="F155" s="20">
        <f>F118*0.0006</f>
        <v>0.7619999999999999</v>
      </c>
      <c r="G155" s="336"/>
      <c r="H155" s="80"/>
      <c r="I155" s="572"/>
      <c r="J155" s="80"/>
      <c r="K155" s="336"/>
      <c r="L155" s="80"/>
      <c r="M155" s="1272"/>
      <c r="N155" s="1302"/>
      <c r="O155" s="1298"/>
    </row>
    <row r="156" spans="1:15" s="540" customFormat="1" ht="15.75">
      <c r="A156" s="1565"/>
      <c r="B156" s="573">
        <v>1501</v>
      </c>
      <c r="C156" s="574" t="s">
        <v>925</v>
      </c>
      <c r="D156" s="570" t="s">
        <v>212</v>
      </c>
      <c r="E156" s="571">
        <v>0.3</v>
      </c>
      <c r="F156" s="575">
        <f>F155*E156</f>
        <v>0.22859999999999997</v>
      </c>
      <c r="G156" s="336"/>
      <c r="H156" s="80"/>
      <c r="I156" s="336"/>
      <c r="J156" s="80"/>
      <c r="K156" s="831"/>
      <c r="L156" s="80">
        <f>F156*K156</f>
        <v>0</v>
      </c>
      <c r="M156" s="1272">
        <f>H156+J156+L156</f>
        <v>0</v>
      </c>
      <c r="N156" s="1302"/>
      <c r="O156" s="1298"/>
    </row>
    <row r="157" spans="1:15" s="540" customFormat="1" ht="15.75">
      <c r="A157" s="1566"/>
      <c r="B157" s="577"/>
      <c r="C157" s="578" t="s">
        <v>926</v>
      </c>
      <c r="D157" s="577" t="s">
        <v>233</v>
      </c>
      <c r="E157" s="579">
        <v>1.03</v>
      </c>
      <c r="F157" s="580">
        <f>F155*E157</f>
        <v>0.78485999999999989</v>
      </c>
      <c r="G157" s="336"/>
      <c r="H157" s="80">
        <f>F157*G157</f>
        <v>0</v>
      </c>
      <c r="I157" s="572"/>
      <c r="J157" s="80"/>
      <c r="K157" s="336"/>
      <c r="L157" s="80"/>
      <c r="M157" s="1272">
        <f>H157+J157+L157</f>
        <v>0</v>
      </c>
      <c r="N157" s="1302"/>
      <c r="O157" s="1298"/>
    </row>
    <row r="158" spans="1:15" s="540" customFormat="1" ht="31.5">
      <c r="A158" s="1550" t="s">
        <v>39</v>
      </c>
      <c r="B158" s="582" t="s">
        <v>927</v>
      </c>
      <c r="C158" s="581" t="s">
        <v>935</v>
      </c>
      <c r="D158" s="573" t="s">
        <v>408</v>
      </c>
      <c r="E158" s="583"/>
      <c r="F158" s="20">
        <f>F118/100</f>
        <v>12.7</v>
      </c>
      <c r="G158" s="330"/>
      <c r="H158" s="80"/>
      <c r="I158" s="576"/>
      <c r="J158" s="80"/>
      <c r="K158" s="330"/>
      <c r="L158" s="80"/>
      <c r="M158" s="1272"/>
      <c r="N158" s="1302"/>
      <c r="O158" s="1298"/>
    </row>
    <row r="159" spans="1:15" s="540" customFormat="1" ht="15.75">
      <c r="A159" s="1551"/>
      <c r="B159" s="573"/>
      <c r="C159" s="584" t="s">
        <v>189</v>
      </c>
      <c r="D159" s="573" t="s">
        <v>15</v>
      </c>
      <c r="E159" s="583">
        <f>(3.75)</f>
        <v>3.75</v>
      </c>
      <c r="F159" s="585">
        <f>F158*E159</f>
        <v>47.625</v>
      </c>
      <c r="G159" s="576"/>
      <c r="H159" s="80"/>
      <c r="I159" s="330"/>
      <c r="J159" s="80">
        <f>F159*I159</f>
        <v>0</v>
      </c>
      <c r="K159" s="330"/>
      <c r="L159" s="80"/>
      <c r="M159" s="1272">
        <f t="shared" ref="M159:M170" si="20">H159+J159+L159</f>
        <v>0</v>
      </c>
      <c r="N159" s="1302"/>
      <c r="O159" s="1298"/>
    </row>
    <row r="160" spans="1:15" s="540" customFormat="1" ht="15.75">
      <c r="A160" s="1551"/>
      <c r="B160" s="573">
        <v>1564</v>
      </c>
      <c r="C160" s="584" t="s">
        <v>929</v>
      </c>
      <c r="D160" s="573" t="s">
        <v>212</v>
      </c>
      <c r="E160" s="583">
        <v>0.30199999999999999</v>
      </c>
      <c r="F160" s="585">
        <f>F158*E160</f>
        <v>3.8353999999999995</v>
      </c>
      <c r="G160" s="330"/>
      <c r="H160" s="80"/>
      <c r="I160" s="330"/>
      <c r="J160" s="80"/>
      <c r="K160" s="576"/>
      <c r="L160" s="80">
        <f>F160*K160</f>
        <v>0</v>
      </c>
      <c r="M160" s="1272">
        <f t="shared" si="20"/>
        <v>0</v>
      </c>
      <c r="N160" s="1302"/>
      <c r="O160" s="1298"/>
    </row>
    <row r="161" spans="1:15" s="540" customFormat="1" ht="15.75">
      <c r="A161" s="1551"/>
      <c r="B161" s="573">
        <v>1521</v>
      </c>
      <c r="C161" s="584" t="s">
        <v>930</v>
      </c>
      <c r="D161" s="573" t="s">
        <v>212</v>
      </c>
      <c r="E161" s="583">
        <v>0.37</v>
      </c>
      <c r="F161" s="585">
        <f>F158*E161</f>
        <v>4.6989999999999998</v>
      </c>
      <c r="G161" s="330"/>
      <c r="H161" s="80"/>
      <c r="I161" s="576"/>
      <c r="J161" s="80"/>
      <c r="K161" s="80"/>
      <c r="L161" s="80">
        <f>F161*K161</f>
        <v>0</v>
      </c>
      <c r="M161" s="1272">
        <f t="shared" si="20"/>
        <v>0</v>
      </c>
      <c r="N161" s="1302"/>
      <c r="O161" s="1298"/>
    </row>
    <row r="162" spans="1:15" s="540" customFormat="1" ht="15.75">
      <c r="A162" s="1551"/>
      <c r="B162" s="573">
        <v>1522</v>
      </c>
      <c r="C162" s="584" t="s">
        <v>931</v>
      </c>
      <c r="D162" s="573" t="s">
        <v>212</v>
      </c>
      <c r="E162" s="583">
        <v>1.1100000000000001</v>
      </c>
      <c r="F162" s="585">
        <f>F158*E162</f>
        <v>14.097000000000001</v>
      </c>
      <c r="G162" s="330"/>
      <c r="H162" s="80"/>
      <c r="I162" s="576"/>
      <c r="J162" s="80"/>
      <c r="K162" s="80"/>
      <c r="L162" s="80">
        <f>F162*K162</f>
        <v>0</v>
      </c>
      <c r="M162" s="1272">
        <f t="shared" si="20"/>
        <v>0</v>
      </c>
      <c r="N162" s="1302"/>
      <c r="O162" s="1298"/>
    </row>
    <row r="163" spans="1:15" s="540" customFormat="1" ht="15.75">
      <c r="A163" s="1551"/>
      <c r="B163" s="573"/>
      <c r="C163" s="584" t="s">
        <v>14</v>
      </c>
      <c r="D163" s="573" t="s">
        <v>11</v>
      </c>
      <c r="E163" s="583">
        <v>0.23</v>
      </c>
      <c r="F163" s="585">
        <f>F158*E163</f>
        <v>2.9209999999999998</v>
      </c>
      <c r="G163" s="330"/>
      <c r="H163" s="80"/>
      <c r="I163" s="576"/>
      <c r="J163" s="80"/>
      <c r="K163" s="576"/>
      <c r="L163" s="80">
        <f>F163*K163</f>
        <v>0</v>
      </c>
      <c r="M163" s="1272">
        <f t="shared" si="20"/>
        <v>0</v>
      </c>
      <c r="N163" s="1302"/>
      <c r="O163" s="1298"/>
    </row>
    <row r="164" spans="1:15" s="540" customFormat="1" ht="15.75">
      <c r="A164" s="1551"/>
      <c r="B164" s="573"/>
      <c r="C164" s="584" t="s">
        <v>936</v>
      </c>
      <c r="D164" s="573" t="s">
        <v>233</v>
      </c>
      <c r="E164" s="583">
        <f>(97.7+12.2*0)/10</f>
        <v>9.77</v>
      </c>
      <c r="F164" s="585">
        <f>F158*E164</f>
        <v>124.07899999999999</v>
      </c>
      <c r="G164" s="330"/>
      <c r="H164" s="80">
        <f>F164*G164</f>
        <v>0</v>
      </c>
      <c r="I164" s="576"/>
      <c r="J164" s="80"/>
      <c r="K164" s="330"/>
      <c r="L164" s="80"/>
      <c r="M164" s="1272">
        <f t="shared" si="20"/>
        <v>0</v>
      </c>
      <c r="N164" s="1302"/>
      <c r="O164" s="1298"/>
    </row>
    <row r="165" spans="1:15" s="540" customFormat="1" ht="15.75">
      <c r="A165" s="1552"/>
      <c r="B165" s="573"/>
      <c r="C165" s="584" t="s">
        <v>204</v>
      </c>
      <c r="D165" s="573" t="s">
        <v>11</v>
      </c>
      <c r="E165" s="583">
        <f>1.45</f>
        <v>1.45</v>
      </c>
      <c r="F165" s="585">
        <f>F158*E165</f>
        <v>18.414999999999999</v>
      </c>
      <c r="G165" s="330"/>
      <c r="H165" s="80">
        <f>F165*G165</f>
        <v>0</v>
      </c>
      <c r="I165" s="576"/>
      <c r="J165" s="80"/>
      <c r="K165" s="330"/>
      <c r="L165" s="80"/>
      <c r="M165" s="1272">
        <f t="shared" si="20"/>
        <v>0</v>
      </c>
      <c r="N165" s="1302"/>
      <c r="O165" s="1298"/>
    </row>
    <row r="166" spans="1:15" s="540" customFormat="1" ht="31.5">
      <c r="A166" s="1550" t="s">
        <v>64</v>
      </c>
      <c r="B166" s="582" t="s">
        <v>937</v>
      </c>
      <c r="C166" s="581" t="s">
        <v>938</v>
      </c>
      <c r="D166" s="573" t="s">
        <v>1</v>
      </c>
      <c r="E166" s="588"/>
      <c r="F166" s="589">
        <v>100</v>
      </c>
      <c r="G166" s="330"/>
      <c r="H166" s="80"/>
      <c r="I166" s="576"/>
      <c r="J166" s="80"/>
      <c r="K166" s="330"/>
      <c r="L166" s="80"/>
      <c r="M166" s="1272"/>
      <c r="N166" s="1302"/>
      <c r="O166" s="1298"/>
    </row>
    <row r="167" spans="1:15" s="540" customFormat="1" ht="15.75">
      <c r="A167" s="1551"/>
      <c r="B167" s="590"/>
      <c r="C167" s="130" t="s">
        <v>67</v>
      </c>
      <c r="D167" s="963" t="s">
        <v>109</v>
      </c>
      <c r="E167" s="125">
        <v>3.2499999999999999E-3</v>
      </c>
      <c r="F167" s="45">
        <f>E167*F166</f>
        <v>0.32500000000000001</v>
      </c>
      <c r="G167" s="180"/>
      <c r="H167" s="180"/>
      <c r="I167" s="180"/>
      <c r="J167" s="180">
        <f>F167*I167</f>
        <v>0</v>
      </c>
      <c r="K167" s="180"/>
      <c r="L167" s="180"/>
      <c r="M167" s="1316">
        <f t="shared" si="20"/>
        <v>0</v>
      </c>
      <c r="N167" s="1302"/>
      <c r="O167" s="1298"/>
    </row>
    <row r="168" spans="1:15" s="540" customFormat="1" ht="15.75">
      <c r="A168" s="1551"/>
      <c r="B168" s="582" t="s">
        <v>939</v>
      </c>
      <c r="C168" s="127" t="s">
        <v>940</v>
      </c>
      <c r="D168" s="963" t="s">
        <v>16</v>
      </c>
      <c r="E168" s="125">
        <v>8.8000000000000003E-4</v>
      </c>
      <c r="F168" s="45">
        <f>E168*F166</f>
        <v>8.8000000000000009E-2</v>
      </c>
      <c r="G168" s="180"/>
      <c r="H168" s="180"/>
      <c r="I168" s="180"/>
      <c r="J168" s="180"/>
      <c r="K168" s="180"/>
      <c r="L168" s="180">
        <f>F168*K168</f>
        <v>0</v>
      </c>
      <c r="M168" s="1316">
        <f t="shared" si="20"/>
        <v>0</v>
      </c>
      <c r="N168" s="1302"/>
      <c r="O168" s="1298"/>
    </row>
    <row r="169" spans="1:15" s="540" customFormat="1" ht="15.75">
      <c r="A169" s="1551"/>
      <c r="B169" s="590"/>
      <c r="C169" s="591" t="s">
        <v>14</v>
      </c>
      <c r="D169" s="573" t="s">
        <v>11</v>
      </c>
      <c r="E169" s="588">
        <v>3.5200000000000001E-3</v>
      </c>
      <c r="F169" s="592">
        <f>F166*E169</f>
        <v>0.35200000000000004</v>
      </c>
      <c r="G169" s="330"/>
      <c r="H169" s="80"/>
      <c r="I169" s="576"/>
      <c r="J169" s="80"/>
      <c r="K169" s="330"/>
      <c r="L169" s="180">
        <f>F169*K169</f>
        <v>0</v>
      </c>
      <c r="M169" s="1316">
        <f t="shared" si="20"/>
        <v>0</v>
      </c>
      <c r="N169" s="1302"/>
      <c r="O169" s="1298"/>
    </row>
    <row r="170" spans="1:15" s="540" customFormat="1" ht="15.75">
      <c r="A170" s="1552"/>
      <c r="B170" s="590"/>
      <c r="C170" s="591" t="s">
        <v>941</v>
      </c>
      <c r="D170" s="573" t="s">
        <v>6</v>
      </c>
      <c r="E170" s="588">
        <v>4.2000000000000003E-2</v>
      </c>
      <c r="F170" s="592">
        <f>F166*E170</f>
        <v>4.2</v>
      </c>
      <c r="G170" s="330"/>
      <c r="H170" s="80">
        <f>F170*G170</f>
        <v>0</v>
      </c>
      <c r="I170" s="80"/>
      <c r="J170" s="80"/>
      <c r="K170" s="336"/>
      <c r="L170" s="80"/>
      <c r="M170" s="1316">
        <f t="shared" si="20"/>
        <v>0</v>
      </c>
      <c r="N170" s="1303"/>
      <c r="O170" s="1298"/>
    </row>
    <row r="171" spans="1:15" s="594" customFormat="1" ht="15.75" hidden="1">
      <c r="A171" s="487"/>
      <c r="B171" s="43"/>
      <c r="C171" s="126"/>
      <c r="D171" s="43"/>
      <c r="E171" s="116"/>
      <c r="F171" s="108"/>
      <c r="G171" s="593"/>
      <c r="H171" s="339"/>
      <c r="I171" s="339"/>
      <c r="J171" s="339"/>
      <c r="K171" s="339"/>
      <c r="L171" s="339"/>
      <c r="M171" s="1314"/>
      <c r="N171" s="1304"/>
      <c r="O171" s="1305"/>
    </row>
    <row r="172" spans="1:15" customFormat="1" ht="16.5" hidden="1">
      <c r="A172" s="605"/>
      <c r="B172" s="606"/>
      <c r="C172" s="607" t="s">
        <v>944</v>
      </c>
      <c r="D172" s="606"/>
      <c r="E172" s="1100"/>
      <c r="F172" s="608"/>
      <c r="G172" s="556"/>
      <c r="H172" s="80"/>
      <c r="I172" s="556"/>
      <c r="J172" s="80"/>
      <c r="K172" s="557"/>
      <c r="L172" s="80"/>
      <c r="M172" s="1272"/>
      <c r="N172" s="1306"/>
      <c r="O172" s="1296"/>
    </row>
    <row r="173" spans="1:15" customFormat="1" ht="31.5" hidden="1" customHeight="1">
      <c r="A173" s="1418" t="s">
        <v>429</v>
      </c>
      <c r="B173" s="959" t="s">
        <v>335</v>
      </c>
      <c r="C173" s="425" t="s">
        <v>942</v>
      </c>
      <c r="D173" s="43" t="s">
        <v>4</v>
      </c>
      <c r="E173" s="116"/>
      <c r="F173" s="707">
        <f>0.5*0.5*1.3*F172</f>
        <v>0</v>
      </c>
      <c r="G173" s="77"/>
      <c r="H173" s="77"/>
      <c r="I173" s="77"/>
      <c r="J173" s="77"/>
      <c r="K173" s="77"/>
      <c r="L173" s="77"/>
      <c r="M173" s="1252"/>
      <c r="N173" s="1306"/>
      <c r="O173" s="1296"/>
    </row>
    <row r="174" spans="1:15" customFormat="1" ht="16.5" hidden="1">
      <c r="A174" s="1420"/>
      <c r="B174" s="181"/>
      <c r="C174" s="195" t="s">
        <v>410</v>
      </c>
      <c r="D174" s="551" t="s">
        <v>15</v>
      </c>
      <c r="E174" s="182">
        <v>3.88</v>
      </c>
      <c r="F174" s="91">
        <f>F173*E174</f>
        <v>0</v>
      </c>
      <c r="G174" s="180"/>
      <c r="H174" s="180"/>
      <c r="I174" s="180">
        <v>6</v>
      </c>
      <c r="J174" s="180">
        <f>F174*I174</f>
        <v>0</v>
      </c>
      <c r="K174" s="180"/>
      <c r="L174" s="180"/>
      <c r="M174" s="1316">
        <f>H174+J174+L174</f>
        <v>0</v>
      </c>
      <c r="N174" s="1306"/>
      <c r="O174" s="1296"/>
    </row>
    <row r="175" spans="1:15" customFormat="1" ht="31.5" hidden="1">
      <c r="A175" s="1418" t="s">
        <v>430</v>
      </c>
      <c r="B175" s="552" t="s">
        <v>864</v>
      </c>
      <c r="C175" s="135" t="s">
        <v>865</v>
      </c>
      <c r="D175" s="553" t="s">
        <v>250</v>
      </c>
      <c r="E175" s="597"/>
      <c r="F175" s="347">
        <f>F173*1.95</f>
        <v>0</v>
      </c>
      <c r="G175" s="80"/>
      <c r="H175" s="80"/>
      <c r="I175" s="80"/>
      <c r="J175" s="80"/>
      <c r="K175" s="80"/>
      <c r="L175" s="80"/>
      <c r="M175" s="1272"/>
      <c r="N175" s="1306"/>
      <c r="O175" s="1296"/>
    </row>
    <row r="176" spans="1:15" customFormat="1" ht="16.5" hidden="1">
      <c r="A176" s="1420"/>
      <c r="B176" s="963"/>
      <c r="C176" s="136" t="s">
        <v>20</v>
      </c>
      <c r="D176" s="63" t="s">
        <v>15</v>
      </c>
      <c r="E176" s="74">
        <v>0.53</v>
      </c>
      <c r="F176" s="283">
        <f>F175*E176</f>
        <v>0</v>
      </c>
      <c r="G176" s="80"/>
      <c r="H176" s="80"/>
      <c r="I176" s="80">
        <v>6</v>
      </c>
      <c r="J176" s="80">
        <f>F176*I176</f>
        <v>0</v>
      </c>
      <c r="K176" s="80"/>
      <c r="L176" s="80"/>
      <c r="M176" s="1272">
        <f>H176+J176+L176</f>
        <v>0</v>
      </c>
      <c r="N176" s="1306"/>
      <c r="O176" s="1296"/>
    </row>
    <row r="177" spans="1:15" customFormat="1" ht="31.5" hidden="1">
      <c r="A177" s="952" t="s">
        <v>83</v>
      </c>
      <c r="B177" s="959" t="s">
        <v>891</v>
      </c>
      <c r="C177" s="956" t="s">
        <v>1418</v>
      </c>
      <c r="D177" s="959" t="s">
        <v>7</v>
      </c>
      <c r="E177" s="598"/>
      <c r="F177" s="347">
        <f>F175</f>
        <v>0</v>
      </c>
      <c r="G177" s="80"/>
      <c r="H177" s="80"/>
      <c r="I177" s="80"/>
      <c r="J177" s="80"/>
      <c r="K177" s="146">
        <v>12.59</v>
      </c>
      <c r="L177" s="80">
        <f>F177*K177</f>
        <v>0</v>
      </c>
      <c r="M177" s="1272">
        <f>H177+J177+L177</f>
        <v>0</v>
      </c>
      <c r="N177" s="1306"/>
      <c r="O177" s="1296"/>
    </row>
    <row r="178" spans="1:15" customFormat="1" ht="31.5" hidden="1">
      <c r="A178" s="1418" t="s">
        <v>431</v>
      </c>
      <c r="B178" s="959" t="s">
        <v>252</v>
      </c>
      <c r="C178" s="966" t="s">
        <v>900</v>
      </c>
      <c r="D178" s="959" t="s">
        <v>4</v>
      </c>
      <c r="E178" s="26"/>
      <c r="F178" s="380">
        <f>0.5*0.5*0.1*F172</f>
        <v>0</v>
      </c>
      <c r="G178" s="80"/>
      <c r="H178" s="80"/>
      <c r="I178" s="80"/>
      <c r="J178" s="80"/>
      <c r="K178" s="80"/>
      <c r="L178" s="80"/>
      <c r="M178" s="1272"/>
      <c r="N178" s="1306"/>
      <c r="O178" s="1296"/>
    </row>
    <row r="179" spans="1:15" customFormat="1" ht="16.5" hidden="1">
      <c r="A179" s="1419"/>
      <c r="B179" s="963"/>
      <c r="C179" s="153" t="s">
        <v>189</v>
      </c>
      <c r="D179" s="963" t="s">
        <v>109</v>
      </c>
      <c r="E179" s="26">
        <v>3.52</v>
      </c>
      <c r="F179" s="91">
        <f>E179*F178</f>
        <v>0</v>
      </c>
      <c r="G179" s="80"/>
      <c r="H179" s="80"/>
      <c r="I179" s="80">
        <v>6</v>
      </c>
      <c r="J179" s="80">
        <f>F179*I179</f>
        <v>0</v>
      </c>
      <c r="K179" s="80"/>
      <c r="L179" s="80"/>
      <c r="M179" s="1272">
        <f>H179+J179+L179</f>
        <v>0</v>
      </c>
      <c r="N179" s="1306"/>
      <c r="O179" s="1296"/>
    </row>
    <row r="180" spans="1:15" customFormat="1" ht="16.5" hidden="1">
      <c r="A180" s="1419"/>
      <c r="B180" s="963"/>
      <c r="C180" s="153" t="s">
        <v>25</v>
      </c>
      <c r="D180" s="963" t="s">
        <v>11</v>
      </c>
      <c r="E180" s="26">
        <v>1.06</v>
      </c>
      <c r="F180" s="91">
        <f>F178*E180</f>
        <v>0</v>
      </c>
      <c r="G180" s="80"/>
      <c r="H180" s="80"/>
      <c r="I180" s="80"/>
      <c r="J180" s="80"/>
      <c r="K180" s="80">
        <v>4</v>
      </c>
      <c r="L180" s="80">
        <f>F180*K180</f>
        <v>0</v>
      </c>
      <c r="M180" s="1272">
        <f>H180+J180+L180</f>
        <v>0</v>
      </c>
      <c r="N180" s="1306"/>
      <c r="O180" s="1296"/>
    </row>
    <row r="181" spans="1:15" customFormat="1" ht="16.5" hidden="1">
      <c r="A181" s="1419"/>
      <c r="B181" s="963"/>
      <c r="C181" s="153" t="s">
        <v>893</v>
      </c>
      <c r="D181" s="963" t="s">
        <v>319</v>
      </c>
      <c r="E181" s="26">
        <f>0.18+0.09+0.97</f>
        <v>1.24</v>
      </c>
      <c r="F181" s="91">
        <f>E181*F178</f>
        <v>0</v>
      </c>
      <c r="G181" s="80">
        <v>22</v>
      </c>
      <c r="H181" s="80">
        <f>F181*G181</f>
        <v>0</v>
      </c>
      <c r="I181" s="80"/>
      <c r="J181" s="80"/>
      <c r="K181" s="80"/>
      <c r="L181" s="80"/>
      <c r="M181" s="1272">
        <f>H181+J181+L181</f>
        <v>0</v>
      </c>
      <c r="N181" s="1306"/>
      <c r="O181" s="1296"/>
    </row>
    <row r="182" spans="1:15" customFormat="1" ht="16.5" hidden="1">
      <c r="A182" s="1420"/>
      <c r="B182" s="963"/>
      <c r="C182" s="545" t="s">
        <v>19</v>
      </c>
      <c r="D182" s="181" t="s">
        <v>11</v>
      </c>
      <c r="E182" s="26">
        <v>0.02</v>
      </c>
      <c r="F182" s="91">
        <f>F178*E182</f>
        <v>0</v>
      </c>
      <c r="G182" s="180">
        <v>4</v>
      </c>
      <c r="H182" s="80">
        <f>F182*G182</f>
        <v>0</v>
      </c>
      <c r="I182" s="556"/>
      <c r="J182" s="80"/>
      <c r="K182" s="557"/>
      <c r="L182" s="80"/>
      <c r="M182" s="1272">
        <f>H182+J182+L182</f>
        <v>0</v>
      </c>
      <c r="N182" s="1306"/>
      <c r="O182" s="1296"/>
    </row>
    <row r="183" spans="1:15" customFormat="1" ht="16.5" hidden="1">
      <c r="A183" s="1569" t="s">
        <v>38</v>
      </c>
      <c r="B183" s="599" t="s">
        <v>943</v>
      </c>
      <c r="C183" s="508" t="s">
        <v>944</v>
      </c>
      <c r="D183" s="599" t="s">
        <v>945</v>
      </c>
      <c r="E183" s="1101"/>
      <c r="F183" s="601">
        <f>0.5*0.5*1.2*F172</f>
        <v>0</v>
      </c>
      <c r="G183" s="556"/>
      <c r="H183" s="80"/>
      <c r="I183" s="556"/>
      <c r="J183" s="80"/>
      <c r="K183" s="557"/>
      <c r="L183" s="80"/>
      <c r="M183" s="1272"/>
      <c r="N183" s="1306"/>
      <c r="O183" s="1296"/>
    </row>
    <row r="184" spans="1:15" customFormat="1" ht="16.5" hidden="1">
      <c r="A184" s="1570"/>
      <c r="B184" s="183"/>
      <c r="C184" s="497" t="s">
        <v>946</v>
      </c>
      <c r="D184" s="183" t="s">
        <v>120</v>
      </c>
      <c r="E184" s="1101">
        <v>1.37</v>
      </c>
      <c r="F184" s="600">
        <f>F183*E184</f>
        <v>0</v>
      </c>
      <c r="G184" s="556"/>
      <c r="H184" s="80"/>
      <c r="I184" s="556">
        <v>7.8</v>
      </c>
      <c r="J184" s="80">
        <f>F184*I184</f>
        <v>0</v>
      </c>
      <c r="K184" s="557"/>
      <c r="L184" s="80"/>
      <c r="M184" s="1272">
        <f>H184+J184+L184</f>
        <v>0</v>
      </c>
      <c r="N184" s="1306"/>
      <c r="O184" s="1296"/>
    </row>
    <row r="185" spans="1:15" customFormat="1" ht="16.5" hidden="1">
      <c r="A185" s="1570"/>
      <c r="B185" s="183"/>
      <c r="C185" s="497" t="s">
        <v>947</v>
      </c>
      <c r="D185" s="183" t="s">
        <v>121</v>
      </c>
      <c r="E185" s="1101">
        <v>0.28299999999999997</v>
      </c>
      <c r="F185" s="600">
        <f>F183*E185</f>
        <v>0</v>
      </c>
      <c r="G185" s="556"/>
      <c r="H185" s="80"/>
      <c r="I185" s="556"/>
      <c r="J185" s="80"/>
      <c r="K185" s="557">
        <v>4</v>
      </c>
      <c r="L185" s="80">
        <f>F185*K185</f>
        <v>0</v>
      </c>
      <c r="M185" s="1272">
        <f>H185+J185+L185</f>
        <v>0</v>
      </c>
      <c r="N185" s="1306"/>
      <c r="O185" s="1296"/>
    </row>
    <row r="186" spans="1:15" customFormat="1" ht="16.5" hidden="1">
      <c r="A186" s="1570"/>
      <c r="B186" s="183"/>
      <c r="C186" s="497" t="s">
        <v>948</v>
      </c>
      <c r="D186" s="183" t="s">
        <v>945</v>
      </c>
      <c r="E186" s="1101">
        <v>1.02</v>
      </c>
      <c r="F186" s="600">
        <f>F183*E186</f>
        <v>0</v>
      </c>
      <c r="G186" s="556">
        <v>136</v>
      </c>
      <c r="H186" s="80">
        <f>F186*G186</f>
        <v>0</v>
      </c>
      <c r="I186" s="556"/>
      <c r="J186" s="80"/>
      <c r="K186" s="557"/>
      <c r="L186" s="80"/>
      <c r="M186" s="1272">
        <f>H186+J186+L186</f>
        <v>0</v>
      </c>
      <c r="N186" s="1306"/>
      <c r="O186" s="1296"/>
    </row>
    <row r="187" spans="1:15" customFormat="1" ht="16.5" hidden="1">
      <c r="A187" s="1570"/>
      <c r="B187" s="963"/>
      <c r="C187" s="153" t="s">
        <v>949</v>
      </c>
      <c r="D187" s="963" t="s">
        <v>950</v>
      </c>
      <c r="E187" s="1101">
        <v>1.03</v>
      </c>
      <c r="F187" s="755">
        <f>(0.5*4*2*1.03*0.395/1000)  *F172</f>
        <v>0</v>
      </c>
      <c r="G187" s="556">
        <v>2458</v>
      </c>
      <c r="H187" s="80">
        <f>F187*G187</f>
        <v>0</v>
      </c>
      <c r="I187" s="556"/>
      <c r="J187" s="80"/>
      <c r="K187" s="557"/>
      <c r="L187" s="80"/>
      <c r="M187" s="1272">
        <f>H187+J187+L187</f>
        <v>0</v>
      </c>
      <c r="N187" s="1306"/>
      <c r="O187" s="1296"/>
    </row>
    <row r="188" spans="1:15" customFormat="1" ht="16.5" hidden="1">
      <c r="A188" s="1570"/>
      <c r="B188" s="602"/>
      <c r="C188" s="603" t="s">
        <v>951</v>
      </c>
      <c r="D188" s="604" t="s">
        <v>121</v>
      </c>
      <c r="E188" s="987">
        <v>0.62</v>
      </c>
      <c r="F188" s="595">
        <f>F183*E188</f>
        <v>0</v>
      </c>
      <c r="G188" s="556">
        <v>4</v>
      </c>
      <c r="H188" s="80">
        <f>F188*G188</f>
        <v>0</v>
      </c>
      <c r="I188" s="80"/>
      <c r="J188" s="80"/>
      <c r="K188" s="557"/>
      <c r="L188" s="80"/>
      <c r="M188" s="1272">
        <f>H188+J188+L188</f>
        <v>0</v>
      </c>
      <c r="N188" s="1306"/>
      <c r="O188" s="1296"/>
    </row>
    <row r="189" spans="1:15" s="493" customFormat="1" ht="31.5">
      <c r="A189" s="548"/>
      <c r="B189" s="484"/>
      <c r="C189" s="237" t="s">
        <v>1502</v>
      </c>
      <c r="D189" s="238" t="s">
        <v>1</v>
      </c>
      <c r="E189" s="549"/>
      <c r="F189" s="550">
        <f>(78+120+78)</f>
        <v>276</v>
      </c>
      <c r="G189" s="490"/>
      <c r="H189" s="491"/>
      <c r="I189" s="490"/>
      <c r="J189" s="491"/>
      <c r="K189" s="492"/>
      <c r="L189" s="491"/>
      <c r="M189" s="1271"/>
      <c r="N189" s="1307"/>
      <c r="O189" s="1308"/>
    </row>
    <row r="190" spans="1:15" s="493" customFormat="1" ht="47.25">
      <c r="A190" s="1546" t="s">
        <v>429</v>
      </c>
      <c r="B190" s="185" t="s">
        <v>247</v>
      </c>
      <c r="C190" s="152" t="s">
        <v>863</v>
      </c>
      <c r="D190" s="959" t="s">
        <v>318</v>
      </c>
      <c r="E190" s="494"/>
      <c r="F190" s="495">
        <f>0.7*0.7*F189</f>
        <v>135.23999999999998</v>
      </c>
      <c r="G190" s="496"/>
      <c r="H190" s="491"/>
      <c r="I190" s="496"/>
      <c r="J190" s="491"/>
      <c r="K190" s="496"/>
      <c r="L190" s="491"/>
      <c r="M190" s="1271"/>
      <c r="N190" s="1309"/>
      <c r="O190" s="1308"/>
    </row>
    <row r="191" spans="1:15" s="493" customFormat="1" ht="15.75">
      <c r="A191" s="1548"/>
      <c r="B191" s="185"/>
      <c r="C191" s="497" t="s">
        <v>410</v>
      </c>
      <c r="D191" s="498" t="s">
        <v>411</v>
      </c>
      <c r="E191" s="499">
        <v>2.06</v>
      </c>
      <c r="F191" s="500">
        <f>F190*E191</f>
        <v>278.59439999999995</v>
      </c>
      <c r="G191" s="490"/>
      <c r="H191" s="491"/>
      <c r="I191" s="490"/>
      <c r="J191" s="491">
        <f>F191*I191</f>
        <v>0</v>
      </c>
      <c r="K191" s="492"/>
      <c r="L191" s="491"/>
      <c r="M191" s="1271">
        <f>H191+J191+L191</f>
        <v>0</v>
      </c>
      <c r="N191" s="1309"/>
      <c r="O191" s="1308"/>
    </row>
    <row r="192" spans="1:15" s="493" customFormat="1" ht="31.5">
      <c r="A192" s="1546" t="s">
        <v>430</v>
      </c>
      <c r="B192" s="501" t="s">
        <v>864</v>
      </c>
      <c r="C192" s="502" t="s">
        <v>865</v>
      </c>
      <c r="D192" s="959" t="s">
        <v>7</v>
      </c>
      <c r="E192" s="503"/>
      <c r="F192" s="504">
        <f>F190*1.95</f>
        <v>263.71799999999996</v>
      </c>
      <c r="G192" s="505"/>
      <c r="H192" s="491"/>
      <c r="I192" s="505"/>
      <c r="J192" s="491"/>
      <c r="K192" s="505"/>
      <c r="L192" s="491"/>
      <c r="M192" s="1271"/>
      <c r="N192" s="1309"/>
      <c r="O192" s="1308"/>
    </row>
    <row r="193" spans="1:15" s="493" customFormat="1" ht="15.75">
      <c r="A193" s="1547"/>
      <c r="B193" s="39"/>
      <c r="C193" s="506" t="s">
        <v>28</v>
      </c>
      <c r="D193" s="64" t="s">
        <v>15</v>
      </c>
      <c r="E193" s="503">
        <v>0.53</v>
      </c>
      <c r="F193" s="507">
        <f>F192*E193</f>
        <v>139.77053999999998</v>
      </c>
      <c r="G193" s="505"/>
      <c r="H193" s="491"/>
      <c r="I193" s="505"/>
      <c r="J193" s="491">
        <f>F193*I193</f>
        <v>0</v>
      </c>
      <c r="K193" s="505"/>
      <c r="L193" s="491"/>
      <c r="M193" s="1271">
        <f>H193+J193+L193</f>
        <v>0</v>
      </c>
      <c r="N193" s="1309"/>
      <c r="O193" s="1308"/>
    </row>
    <row r="194" spans="1:15" s="493" customFormat="1" ht="31.5">
      <c r="A194" s="1548"/>
      <c r="B194" s="959" t="s">
        <v>470</v>
      </c>
      <c r="C194" s="956" t="s">
        <v>1418</v>
      </c>
      <c r="D194" s="959" t="s">
        <v>7</v>
      </c>
      <c r="E194" s="503"/>
      <c r="F194" s="504">
        <f>F192</f>
        <v>263.71799999999996</v>
      </c>
      <c r="G194" s="505"/>
      <c r="H194" s="491"/>
      <c r="I194" s="505"/>
      <c r="J194" s="491"/>
      <c r="K194" s="505"/>
      <c r="L194" s="491">
        <f>F194*K194</f>
        <v>0</v>
      </c>
      <c r="M194" s="1271">
        <f>H194+J194+L194</f>
        <v>0</v>
      </c>
      <c r="N194" s="1309"/>
      <c r="O194" s="1308"/>
    </row>
    <row r="195" spans="1:15" s="493" customFormat="1" ht="31.5">
      <c r="A195" s="1546" t="s">
        <v>83</v>
      </c>
      <c r="B195" s="185" t="s">
        <v>252</v>
      </c>
      <c r="C195" s="508" t="s">
        <v>866</v>
      </c>
      <c r="D195" s="185" t="s">
        <v>4</v>
      </c>
      <c r="E195" s="499"/>
      <c r="F195" s="495">
        <f>0.7*0.1*F189</f>
        <v>19.319999999999997</v>
      </c>
      <c r="G195" s="490"/>
      <c r="H195" s="491"/>
      <c r="I195" s="491"/>
      <c r="J195" s="491"/>
      <c r="K195" s="492"/>
      <c r="L195" s="491"/>
      <c r="M195" s="1271"/>
      <c r="N195" s="1309"/>
      <c r="O195" s="1308"/>
    </row>
    <row r="196" spans="1:15" s="493" customFormat="1" ht="15.75">
      <c r="A196" s="1547"/>
      <c r="B196" s="185"/>
      <c r="C196" s="497" t="s">
        <v>410</v>
      </c>
      <c r="D196" s="498" t="s">
        <v>411</v>
      </c>
      <c r="E196" s="499">
        <v>3.52</v>
      </c>
      <c r="F196" s="500">
        <f>F195*E196</f>
        <v>68.006399999999985</v>
      </c>
      <c r="G196" s="490"/>
      <c r="H196" s="491"/>
      <c r="I196" s="490"/>
      <c r="J196" s="491">
        <f>F196*I196</f>
        <v>0</v>
      </c>
      <c r="K196" s="492"/>
      <c r="L196" s="491"/>
      <c r="M196" s="1271">
        <f>H196+J196+L196</f>
        <v>0</v>
      </c>
      <c r="N196" s="1309"/>
      <c r="O196" s="1308"/>
    </row>
    <row r="197" spans="1:15" s="493" customFormat="1" ht="15.75">
      <c r="A197" s="1547"/>
      <c r="B197" s="185"/>
      <c r="C197" s="497" t="s">
        <v>25</v>
      </c>
      <c r="D197" s="498" t="s">
        <v>11</v>
      </c>
      <c r="E197" s="499">
        <v>1.06</v>
      </c>
      <c r="F197" s="500">
        <f>F195*E197</f>
        <v>20.479199999999999</v>
      </c>
      <c r="G197" s="490"/>
      <c r="H197" s="491"/>
      <c r="I197" s="491"/>
      <c r="J197" s="491"/>
      <c r="K197" s="492"/>
      <c r="L197" s="491">
        <f>F197*K197</f>
        <v>0</v>
      </c>
      <c r="M197" s="1271">
        <f>H197+J197+L197</f>
        <v>0</v>
      </c>
      <c r="N197" s="1309"/>
      <c r="O197" s="1308"/>
    </row>
    <row r="198" spans="1:15" s="493" customFormat="1" ht="15.75">
      <c r="A198" s="1547"/>
      <c r="B198" s="185"/>
      <c r="C198" s="497" t="s">
        <v>867</v>
      </c>
      <c r="D198" s="498" t="s">
        <v>4</v>
      </c>
      <c r="E198" s="499">
        <f>0.18+0.09+0.97</f>
        <v>1.24</v>
      </c>
      <c r="F198" s="500">
        <f>F195*E198</f>
        <v>23.956799999999994</v>
      </c>
      <c r="G198" s="490"/>
      <c r="H198" s="491">
        <f>F198*G198</f>
        <v>0</v>
      </c>
      <c r="I198" s="491"/>
      <c r="J198" s="491"/>
      <c r="K198" s="492"/>
      <c r="L198" s="491"/>
      <c r="M198" s="1271">
        <f>H198+J198+L198</f>
        <v>0</v>
      </c>
      <c r="N198" s="1309"/>
      <c r="O198" s="1308"/>
    </row>
    <row r="199" spans="1:15" s="493" customFormat="1" ht="15.75">
      <c r="A199" s="1548"/>
      <c r="B199" s="185"/>
      <c r="C199" s="497" t="s">
        <v>19</v>
      </c>
      <c r="D199" s="498" t="s">
        <v>11</v>
      </c>
      <c r="E199" s="499">
        <v>0.02</v>
      </c>
      <c r="F199" s="500">
        <f>F195*E199</f>
        <v>0.38639999999999997</v>
      </c>
      <c r="G199" s="490"/>
      <c r="H199" s="491">
        <f>F199*G199</f>
        <v>0</v>
      </c>
      <c r="I199" s="491"/>
      <c r="J199" s="491"/>
      <c r="K199" s="492"/>
      <c r="L199" s="491"/>
      <c r="M199" s="1271">
        <f>H199+J199+L199</f>
        <v>0</v>
      </c>
      <c r="N199" s="1309"/>
      <c r="O199" s="1308"/>
    </row>
    <row r="200" spans="1:15" s="493" customFormat="1" ht="31.5">
      <c r="A200" s="1418" t="s">
        <v>431</v>
      </c>
      <c r="B200" s="959" t="s">
        <v>395</v>
      </c>
      <c r="C200" s="152" t="s">
        <v>868</v>
      </c>
      <c r="D200" s="959" t="s">
        <v>4</v>
      </c>
      <c r="E200" s="509"/>
      <c r="F200" s="495">
        <f>( 0.6*0.3+0.3*(0.3+0))*F189</f>
        <v>74.52000000000001</v>
      </c>
      <c r="G200" s="491"/>
      <c r="H200" s="491"/>
      <c r="I200" s="491"/>
      <c r="J200" s="491"/>
      <c r="K200" s="491"/>
      <c r="L200" s="491"/>
      <c r="M200" s="1271"/>
      <c r="N200" s="1309"/>
      <c r="O200" s="1308"/>
    </row>
    <row r="201" spans="1:15" s="493" customFormat="1" ht="15.75">
      <c r="A201" s="1419"/>
      <c r="B201" s="959"/>
      <c r="C201" s="157" t="s">
        <v>1784</v>
      </c>
      <c r="D201" s="203" t="s">
        <v>4</v>
      </c>
      <c r="E201" s="510">
        <v>1</v>
      </c>
      <c r="F201" s="511">
        <f>E201*F200</f>
        <v>74.52000000000001</v>
      </c>
      <c r="G201" s="491"/>
      <c r="H201" s="491"/>
      <c r="I201" s="491"/>
      <c r="J201" s="491">
        <f>F201*I201</f>
        <v>0</v>
      </c>
      <c r="K201" s="491"/>
      <c r="L201" s="491"/>
      <c r="M201" s="1271">
        <f t="shared" ref="M201:M208" si="21">H201+J201+L201</f>
        <v>0</v>
      </c>
      <c r="N201" s="1309"/>
      <c r="O201" s="1308"/>
    </row>
    <row r="202" spans="1:15" s="493" customFormat="1" ht="15.75">
      <c r="A202" s="1419"/>
      <c r="B202" s="959"/>
      <c r="C202" s="157" t="s">
        <v>14</v>
      </c>
      <c r="D202" s="203" t="s">
        <v>11</v>
      </c>
      <c r="E202" s="510">
        <v>0.92</v>
      </c>
      <c r="F202" s="511">
        <f>E202*F200</f>
        <v>68.558400000000006</v>
      </c>
      <c r="G202" s="491"/>
      <c r="H202" s="491"/>
      <c r="I202" s="491"/>
      <c r="J202" s="491"/>
      <c r="K202" s="491"/>
      <c r="L202" s="491">
        <f>F202*K202</f>
        <v>0</v>
      </c>
      <c r="M202" s="1271">
        <f t="shared" si="21"/>
        <v>0</v>
      </c>
      <c r="N202" s="1309"/>
      <c r="O202" s="1308"/>
    </row>
    <row r="203" spans="1:15" s="493" customFormat="1" ht="15.75">
      <c r="A203" s="1419"/>
      <c r="B203" s="959"/>
      <c r="C203" s="157" t="s">
        <v>869</v>
      </c>
      <c r="D203" s="203" t="s">
        <v>319</v>
      </c>
      <c r="E203" s="510">
        <v>1.0149999999999999</v>
      </c>
      <c r="F203" s="511">
        <f>E203*F200</f>
        <v>75.637799999999999</v>
      </c>
      <c r="G203" s="491"/>
      <c r="H203" s="491">
        <f t="shared" ref="H203:H208" si="22">F203*G203</f>
        <v>0</v>
      </c>
      <c r="I203" s="491"/>
      <c r="J203" s="491"/>
      <c r="K203" s="491"/>
      <c r="L203" s="491"/>
      <c r="M203" s="1271">
        <f t="shared" si="21"/>
        <v>0</v>
      </c>
      <c r="N203" s="1309"/>
      <c r="O203" s="1308"/>
    </row>
    <row r="204" spans="1:15" s="493" customFormat="1" ht="15.75">
      <c r="A204" s="1419"/>
      <c r="B204" s="959"/>
      <c r="C204" s="157" t="s">
        <v>870</v>
      </c>
      <c r="D204" s="203" t="s">
        <v>234</v>
      </c>
      <c r="E204" s="510">
        <v>0.70299999999999996</v>
      </c>
      <c r="F204" s="511">
        <f>E204*F200</f>
        <v>52.387560000000001</v>
      </c>
      <c r="G204" s="491"/>
      <c r="H204" s="491">
        <f t="shared" si="22"/>
        <v>0</v>
      </c>
      <c r="I204" s="491"/>
      <c r="J204" s="491"/>
      <c r="K204" s="491"/>
      <c r="L204" s="491"/>
      <c r="M204" s="1271">
        <f t="shared" si="21"/>
        <v>0</v>
      </c>
      <c r="N204" s="1309"/>
      <c r="O204" s="1308"/>
    </row>
    <row r="205" spans="1:15" s="493" customFormat="1" ht="15.75">
      <c r="A205" s="1419"/>
      <c r="B205" s="959"/>
      <c r="C205" s="157" t="s">
        <v>222</v>
      </c>
      <c r="D205" s="203" t="s">
        <v>319</v>
      </c>
      <c r="E205" s="510">
        <v>1.14E-2</v>
      </c>
      <c r="F205" s="511">
        <f>E205*F200</f>
        <v>0.84952800000000017</v>
      </c>
      <c r="G205" s="491"/>
      <c r="H205" s="491">
        <f t="shared" si="22"/>
        <v>0</v>
      </c>
      <c r="I205" s="491"/>
      <c r="J205" s="491"/>
      <c r="K205" s="491"/>
      <c r="L205" s="491"/>
      <c r="M205" s="1271">
        <f t="shared" si="21"/>
        <v>0</v>
      </c>
      <c r="N205" s="1309"/>
      <c r="O205" s="1308"/>
    </row>
    <row r="206" spans="1:15" s="493" customFormat="1" ht="15.75">
      <c r="A206" s="1419"/>
      <c r="B206" s="959"/>
      <c r="C206" s="129" t="s">
        <v>871</v>
      </c>
      <c r="D206" s="75" t="s">
        <v>218</v>
      </c>
      <c r="E206" s="512"/>
      <c r="F206" s="513">
        <f>( ((F189/0.15)+1)*((0.6+0.1)*2+0.6)+F189*(3*2+5) )*1.03*0.395/1000</f>
        <v>2.7332182999999999</v>
      </c>
      <c r="G206" s="491"/>
      <c r="H206" s="491">
        <f t="shared" si="22"/>
        <v>0</v>
      </c>
      <c r="I206" s="491"/>
      <c r="J206" s="491"/>
      <c r="K206" s="491"/>
      <c r="L206" s="491"/>
      <c r="M206" s="1271">
        <f t="shared" si="21"/>
        <v>0</v>
      </c>
      <c r="N206" s="1309"/>
      <c r="O206" s="1308"/>
    </row>
    <row r="207" spans="1:15" s="493" customFormat="1" ht="15.75">
      <c r="A207" s="1419"/>
      <c r="B207" s="959"/>
      <c r="C207" s="129" t="s">
        <v>872</v>
      </c>
      <c r="D207" s="75" t="s">
        <v>218</v>
      </c>
      <c r="E207" s="512"/>
      <c r="F207" s="513">
        <f>((F189/0.15)+1)*2*0.4*1.03*0.222/1000</f>
        <v>0.33677044800000006</v>
      </c>
      <c r="G207" s="491"/>
      <c r="H207" s="491">
        <f t="shared" si="22"/>
        <v>0</v>
      </c>
      <c r="I207" s="491"/>
      <c r="J207" s="491"/>
      <c r="K207" s="491"/>
      <c r="L207" s="491"/>
      <c r="M207" s="1271">
        <f t="shared" si="21"/>
        <v>0</v>
      </c>
      <c r="N207" s="1309"/>
      <c r="O207" s="1308"/>
    </row>
    <row r="208" spans="1:15" s="493" customFormat="1" ht="15.75">
      <c r="A208" s="1420"/>
      <c r="B208" s="959"/>
      <c r="C208" s="157" t="s">
        <v>26</v>
      </c>
      <c r="D208" s="203" t="s">
        <v>11</v>
      </c>
      <c r="E208" s="510">
        <v>0.6</v>
      </c>
      <c r="F208" s="511">
        <f>E208*F200</f>
        <v>44.712000000000003</v>
      </c>
      <c r="G208" s="491"/>
      <c r="H208" s="491">
        <f t="shared" si="22"/>
        <v>0</v>
      </c>
      <c r="I208" s="491"/>
      <c r="J208" s="491"/>
      <c r="K208" s="491"/>
      <c r="L208" s="491"/>
      <c r="M208" s="1271">
        <f t="shared" si="21"/>
        <v>0</v>
      </c>
      <c r="N208" s="1309"/>
      <c r="O208" s="1308"/>
    </row>
    <row r="209" spans="1:15" s="493" customFormat="1" ht="15.75">
      <c r="A209" s="1393" t="s">
        <v>38</v>
      </c>
      <c r="B209" s="42" t="s">
        <v>225</v>
      </c>
      <c r="C209" s="287" t="s">
        <v>873</v>
      </c>
      <c r="D209" s="447" t="s">
        <v>5</v>
      </c>
      <c r="E209" s="514"/>
      <c r="F209" s="515">
        <f>(0.6+0.15)*2*F189</f>
        <v>414</v>
      </c>
      <c r="G209" s="516"/>
      <c r="H209" s="517"/>
      <c r="I209" s="516"/>
      <c r="J209" s="517"/>
      <c r="K209" s="516"/>
      <c r="L209" s="516"/>
      <c r="M209" s="1313"/>
      <c r="N209" s="1309"/>
      <c r="O209" s="1308"/>
    </row>
    <row r="210" spans="1:15" s="643" customFormat="1" ht="15.75">
      <c r="A210" s="1394"/>
      <c r="B210" s="75"/>
      <c r="C210" s="153" t="s">
        <v>13</v>
      </c>
      <c r="D210" s="1231" t="s">
        <v>109</v>
      </c>
      <c r="E210" s="282">
        <v>0.33600000000000002</v>
      </c>
      <c r="F210" s="282">
        <f>F209*E210</f>
        <v>139.10400000000001</v>
      </c>
      <c r="G210" s="80"/>
      <c r="H210" s="77"/>
      <c r="I210" s="637"/>
      <c r="J210" s="77">
        <f>F210*I210</f>
        <v>0</v>
      </c>
      <c r="K210" s="81"/>
      <c r="L210" s="77"/>
      <c r="M210" s="1252">
        <f t="shared" ref="M210:M213" si="23">H210+J210+L210</f>
        <v>0</v>
      </c>
      <c r="N210" s="1255"/>
      <c r="O210" s="1256"/>
    </row>
    <row r="211" spans="1:15" s="643" customFormat="1" ht="15.75">
      <c r="A211" s="1394"/>
      <c r="B211" s="75"/>
      <c r="C211" s="149" t="s">
        <v>14</v>
      </c>
      <c r="D211" s="635" t="s">
        <v>11</v>
      </c>
      <c r="E211" s="282">
        <v>1.4999999999999999E-2</v>
      </c>
      <c r="F211" s="282">
        <f>F209*E211</f>
        <v>6.21</v>
      </c>
      <c r="G211" s="80"/>
      <c r="H211" s="77"/>
      <c r="I211" s="81"/>
      <c r="J211" s="77"/>
      <c r="K211" s="81"/>
      <c r="L211" s="77">
        <f>F211*K211</f>
        <v>0</v>
      </c>
      <c r="M211" s="1252">
        <f t="shared" si="23"/>
        <v>0</v>
      </c>
      <c r="N211" s="1255"/>
      <c r="O211" s="1256"/>
    </row>
    <row r="212" spans="1:15" s="643" customFormat="1" ht="15.75">
      <c r="A212" s="1394"/>
      <c r="B212" s="203"/>
      <c r="C212" s="153" t="s">
        <v>226</v>
      </c>
      <c r="D212" s="1231" t="s">
        <v>113</v>
      </c>
      <c r="E212" s="282">
        <v>2.4</v>
      </c>
      <c r="F212" s="282">
        <f>F209*E212</f>
        <v>993.59999999999991</v>
      </c>
      <c r="G212" s="80"/>
      <c r="H212" s="77">
        <f>F212*G212</f>
        <v>0</v>
      </c>
      <c r="I212" s="81"/>
      <c r="J212" s="77"/>
      <c r="K212" s="81"/>
      <c r="L212" s="77"/>
      <c r="M212" s="1252">
        <f t="shared" si="23"/>
        <v>0</v>
      </c>
      <c r="N212" s="1255"/>
      <c r="O212" s="1256"/>
    </row>
    <row r="213" spans="1:15" s="643" customFormat="1" ht="15.75">
      <c r="A213" s="1395"/>
      <c r="B213" s="75"/>
      <c r="C213" s="149" t="s">
        <v>26</v>
      </c>
      <c r="D213" s="144" t="s">
        <v>11</v>
      </c>
      <c r="E213" s="282">
        <v>2.2800000000000001E-2</v>
      </c>
      <c r="F213" s="282">
        <f>E213*F209</f>
        <v>9.4391999999999996</v>
      </c>
      <c r="G213" s="80"/>
      <c r="H213" s="77">
        <f>F213*G213</f>
        <v>0</v>
      </c>
      <c r="I213" s="81"/>
      <c r="J213" s="77"/>
      <c r="K213" s="81"/>
      <c r="L213" s="77"/>
      <c r="M213" s="1252">
        <f t="shared" si="23"/>
        <v>0</v>
      </c>
      <c r="N213" s="1255"/>
      <c r="O213" s="1256"/>
    </row>
    <row r="214" spans="1:15" s="493" customFormat="1" ht="15.75">
      <c r="A214" s="1393" t="s">
        <v>409</v>
      </c>
      <c r="B214" s="42" t="s">
        <v>503</v>
      </c>
      <c r="C214" s="956" t="s">
        <v>874</v>
      </c>
      <c r="D214" s="447" t="s">
        <v>4</v>
      </c>
      <c r="E214" s="520"/>
      <c r="F214" s="521">
        <f>0.3*0.15*2*F189</f>
        <v>24.84</v>
      </c>
      <c r="G214" s="517"/>
      <c r="H214" s="517"/>
      <c r="I214" s="517"/>
      <c r="J214" s="517"/>
      <c r="K214" s="517"/>
      <c r="L214" s="517"/>
      <c r="M214" s="1313"/>
      <c r="N214" s="1309"/>
      <c r="O214" s="1308"/>
    </row>
    <row r="215" spans="1:15" s="493" customFormat="1" ht="15.75">
      <c r="A215" s="1395"/>
      <c r="B215" s="42"/>
      <c r="C215" s="148" t="s">
        <v>13</v>
      </c>
      <c r="D215" s="447" t="s">
        <v>15</v>
      </c>
      <c r="E215" s="518">
        <v>1.21</v>
      </c>
      <c r="F215" s="519">
        <f>F214*E215</f>
        <v>30.0564</v>
      </c>
      <c r="G215" s="517"/>
      <c r="H215" s="517"/>
      <c r="I215" s="517"/>
      <c r="J215" s="517">
        <f>F215*I215</f>
        <v>0</v>
      </c>
      <c r="K215" s="517"/>
      <c r="L215" s="517"/>
      <c r="M215" s="1313">
        <f>H215+J215+L215</f>
        <v>0</v>
      </c>
      <c r="N215" s="1309"/>
      <c r="O215" s="1308"/>
    </row>
    <row r="216" spans="1:15" s="493" customFormat="1" ht="31.5" hidden="1">
      <c r="A216" s="1418" t="s">
        <v>432</v>
      </c>
      <c r="B216" s="965" t="s">
        <v>875</v>
      </c>
      <c r="C216" s="522" t="s">
        <v>887</v>
      </c>
      <c r="D216" s="523" t="s">
        <v>5</v>
      </c>
      <c r="E216" s="524"/>
      <c r="F216" s="525">
        <v>0</v>
      </c>
      <c r="G216" s="526"/>
      <c r="H216" s="526"/>
      <c r="I216" s="526"/>
      <c r="J216" s="526"/>
      <c r="K216" s="526"/>
      <c r="L216" s="526"/>
      <c r="M216" s="1318"/>
      <c r="N216" s="1309"/>
      <c r="O216" s="1308"/>
    </row>
    <row r="217" spans="1:15" s="493" customFormat="1" ht="15.75" hidden="1">
      <c r="A217" s="1419"/>
      <c r="B217" s="266"/>
      <c r="C217" s="527" t="s">
        <v>13</v>
      </c>
      <c r="D217" s="528" t="s">
        <v>15</v>
      </c>
      <c r="E217" s="529">
        <v>1.42</v>
      </c>
      <c r="F217" s="530">
        <f>F216*E217</f>
        <v>0</v>
      </c>
      <c r="G217" s="491"/>
      <c r="H217" s="491"/>
      <c r="I217" s="491">
        <v>7.8</v>
      </c>
      <c r="J217" s="491">
        <f>F217*I217</f>
        <v>0</v>
      </c>
      <c r="K217" s="491"/>
      <c r="L217" s="491"/>
      <c r="M217" s="1271">
        <f t="shared" ref="M217:M229" si="24">H217+J217+L217</f>
        <v>0</v>
      </c>
      <c r="N217" s="1309"/>
      <c r="O217" s="1308"/>
    </row>
    <row r="218" spans="1:15" s="493" customFormat="1" ht="15.75" hidden="1">
      <c r="A218" s="1419"/>
      <c r="B218" s="266" t="s">
        <v>388</v>
      </c>
      <c r="C218" s="270" t="s">
        <v>876</v>
      </c>
      <c r="D218" s="184" t="s">
        <v>16</v>
      </c>
      <c r="E218" s="524">
        <v>0</v>
      </c>
      <c r="F218" s="531">
        <f>F216*E218</f>
        <v>0</v>
      </c>
      <c r="G218" s="491"/>
      <c r="H218" s="491"/>
      <c r="I218" s="491"/>
      <c r="J218" s="491"/>
      <c r="K218" s="491">
        <v>9.1999999999999993</v>
      </c>
      <c r="L218" s="491">
        <f>F218*K218</f>
        <v>0</v>
      </c>
      <c r="M218" s="1271">
        <f t="shared" si="24"/>
        <v>0</v>
      </c>
      <c r="N218" s="1309"/>
      <c r="O218" s="1308"/>
    </row>
    <row r="219" spans="1:15" s="493" customFormat="1" ht="15.75" hidden="1">
      <c r="A219" s="1419"/>
      <c r="B219" s="266"/>
      <c r="C219" s="270" t="s">
        <v>21</v>
      </c>
      <c r="D219" s="184" t="s">
        <v>11</v>
      </c>
      <c r="E219" s="524">
        <v>6.9000000000000006E-2</v>
      </c>
      <c r="F219" s="531">
        <f>F216*E219</f>
        <v>0</v>
      </c>
      <c r="G219" s="491"/>
      <c r="H219" s="491"/>
      <c r="I219" s="491"/>
      <c r="J219" s="491"/>
      <c r="K219" s="491">
        <v>4</v>
      </c>
      <c r="L219" s="491">
        <f>F219*K219</f>
        <v>0</v>
      </c>
      <c r="M219" s="1271">
        <f t="shared" si="24"/>
        <v>0</v>
      </c>
      <c r="N219" s="1309"/>
      <c r="O219" s="1308"/>
    </row>
    <row r="220" spans="1:15" s="493" customFormat="1" ht="15.75" hidden="1">
      <c r="A220" s="1419"/>
      <c r="B220" s="266"/>
      <c r="C220" s="270" t="s">
        <v>100</v>
      </c>
      <c r="D220" s="184" t="s">
        <v>4</v>
      </c>
      <c r="E220" s="524">
        <v>3.6499999999999998E-2</v>
      </c>
      <c r="F220" s="531">
        <f>F216*E220</f>
        <v>0</v>
      </c>
      <c r="G220" s="491">
        <v>105</v>
      </c>
      <c r="H220" s="491">
        <f>F220*G220</f>
        <v>0</v>
      </c>
      <c r="I220" s="491"/>
      <c r="J220" s="491"/>
      <c r="K220" s="491"/>
      <c r="L220" s="491"/>
      <c r="M220" s="1271">
        <f t="shared" si="24"/>
        <v>0</v>
      </c>
      <c r="N220" s="1309"/>
      <c r="O220" s="1308"/>
    </row>
    <row r="221" spans="1:15" s="493" customFormat="1" ht="15.75" hidden="1">
      <c r="A221" s="1419"/>
      <c r="B221" s="266"/>
      <c r="C221" s="270" t="s">
        <v>877</v>
      </c>
      <c r="D221" s="184" t="s">
        <v>5</v>
      </c>
      <c r="E221" s="524">
        <v>1.08</v>
      </c>
      <c r="F221" s="531">
        <f>F216*E221</f>
        <v>0</v>
      </c>
      <c r="G221" s="491">
        <v>4.8</v>
      </c>
      <c r="H221" s="491">
        <f>F221*G221</f>
        <v>0</v>
      </c>
      <c r="I221" s="491"/>
      <c r="J221" s="491"/>
      <c r="K221" s="491"/>
      <c r="L221" s="491"/>
      <c r="M221" s="1271">
        <f t="shared" si="24"/>
        <v>0</v>
      </c>
      <c r="N221" s="1309"/>
      <c r="O221" s="1308"/>
    </row>
    <row r="222" spans="1:15" s="493" customFormat="1" ht="15.75" hidden="1">
      <c r="A222" s="1419"/>
      <c r="B222" s="266"/>
      <c r="C222" s="270" t="s">
        <v>878</v>
      </c>
      <c r="D222" s="184" t="s">
        <v>6</v>
      </c>
      <c r="E222" s="524">
        <v>0.12</v>
      </c>
      <c r="F222" s="531">
        <f>F216*E222</f>
        <v>0</v>
      </c>
      <c r="G222" s="491">
        <v>4</v>
      </c>
      <c r="H222" s="491">
        <f>F222*G222</f>
        <v>0</v>
      </c>
      <c r="I222" s="491"/>
      <c r="J222" s="491"/>
      <c r="K222" s="491"/>
      <c r="L222" s="491"/>
      <c r="M222" s="1271">
        <f t="shared" si="24"/>
        <v>0</v>
      </c>
      <c r="N222" s="1309"/>
      <c r="O222" s="1308"/>
    </row>
    <row r="223" spans="1:15" s="493" customFormat="1" ht="15.75" hidden="1">
      <c r="A223" s="1420"/>
      <c r="B223" s="266"/>
      <c r="C223" s="270" t="s">
        <v>19</v>
      </c>
      <c r="D223" s="184" t="s">
        <v>11</v>
      </c>
      <c r="E223" s="524">
        <v>1E-3</v>
      </c>
      <c r="F223" s="531">
        <f>F216*E223</f>
        <v>0</v>
      </c>
      <c r="G223" s="491">
        <v>4</v>
      </c>
      <c r="H223" s="491">
        <f>F223*G223</f>
        <v>0</v>
      </c>
      <c r="I223" s="491"/>
      <c r="J223" s="491"/>
      <c r="K223" s="491"/>
      <c r="L223" s="491"/>
      <c r="M223" s="1271">
        <f t="shared" si="24"/>
        <v>0</v>
      </c>
      <c r="N223" s="1309"/>
      <c r="O223" s="1308"/>
    </row>
    <row r="224" spans="1:15" s="493" customFormat="1" ht="47.25" hidden="1">
      <c r="A224" s="1418" t="s">
        <v>39</v>
      </c>
      <c r="B224" s="266" t="s">
        <v>32</v>
      </c>
      <c r="C224" s="311" t="s">
        <v>888</v>
      </c>
      <c r="D224" s="184" t="s">
        <v>5</v>
      </c>
      <c r="E224" s="524"/>
      <c r="F224" s="532">
        <v>0</v>
      </c>
      <c r="G224" s="491"/>
      <c r="H224" s="491"/>
      <c r="I224" s="491"/>
      <c r="J224" s="491"/>
      <c r="K224" s="491"/>
      <c r="L224" s="491"/>
      <c r="M224" s="1271"/>
      <c r="N224" s="1309"/>
      <c r="O224" s="1308"/>
    </row>
    <row r="225" spans="1:15" s="493" customFormat="1" ht="15.75" hidden="1">
      <c r="A225" s="1419"/>
      <c r="B225" s="266"/>
      <c r="C225" s="527" t="s">
        <v>13</v>
      </c>
      <c r="D225" s="528" t="s">
        <v>15</v>
      </c>
      <c r="E225" s="529">
        <v>0.65800000000000003</v>
      </c>
      <c r="F225" s="530">
        <f>F224*E225</f>
        <v>0</v>
      </c>
      <c r="G225" s="491"/>
      <c r="H225" s="491"/>
      <c r="I225" s="491">
        <v>7.8</v>
      </c>
      <c r="J225" s="491">
        <f>F225*I225</f>
        <v>0</v>
      </c>
      <c r="K225" s="491"/>
      <c r="L225" s="491"/>
      <c r="M225" s="1271">
        <f t="shared" si="24"/>
        <v>0</v>
      </c>
      <c r="N225" s="1309"/>
      <c r="O225" s="1308"/>
    </row>
    <row r="226" spans="1:15" s="493" customFormat="1" ht="15.75" hidden="1">
      <c r="A226" s="1419"/>
      <c r="B226" s="266"/>
      <c r="C226" s="270" t="s">
        <v>25</v>
      </c>
      <c r="D226" s="184" t="s">
        <v>11</v>
      </c>
      <c r="E226" s="524">
        <v>0.01</v>
      </c>
      <c r="F226" s="533">
        <f>F224*E226</f>
        <v>0</v>
      </c>
      <c r="G226" s="491"/>
      <c r="H226" s="491"/>
      <c r="I226" s="491"/>
      <c r="J226" s="491"/>
      <c r="K226" s="491">
        <v>4</v>
      </c>
      <c r="L226" s="491">
        <f>F226*K226</f>
        <v>0</v>
      </c>
      <c r="M226" s="1271">
        <f t="shared" si="24"/>
        <v>0</v>
      </c>
      <c r="N226" s="1309"/>
      <c r="O226" s="1308"/>
    </row>
    <row r="227" spans="1:15" s="493" customFormat="1" ht="15.75" hidden="1">
      <c r="A227" s="1419"/>
      <c r="B227" s="266"/>
      <c r="C227" s="270" t="s">
        <v>879</v>
      </c>
      <c r="D227" s="184" t="s">
        <v>6</v>
      </c>
      <c r="E227" s="524">
        <v>0.63</v>
      </c>
      <c r="F227" s="533">
        <f>F224*E227</f>
        <v>0</v>
      </c>
      <c r="G227" s="491">
        <v>10.5</v>
      </c>
      <c r="H227" s="491">
        <f>F227*G227</f>
        <v>0</v>
      </c>
      <c r="I227" s="491"/>
      <c r="J227" s="491"/>
      <c r="K227" s="491"/>
      <c r="L227" s="491"/>
      <c r="M227" s="1271">
        <f t="shared" si="24"/>
        <v>0</v>
      </c>
      <c r="N227" s="1309"/>
      <c r="O227" s="1308"/>
    </row>
    <row r="228" spans="1:15" s="493" customFormat="1" ht="15.75" hidden="1">
      <c r="A228" s="1419"/>
      <c r="B228" s="266"/>
      <c r="C228" s="270" t="s">
        <v>292</v>
      </c>
      <c r="D228" s="184" t="s">
        <v>6</v>
      </c>
      <c r="E228" s="524">
        <v>0.79</v>
      </c>
      <c r="F228" s="533">
        <f>F224*E228</f>
        <v>0</v>
      </c>
      <c r="G228" s="491">
        <v>2</v>
      </c>
      <c r="H228" s="491">
        <f>F228*G228</f>
        <v>0</v>
      </c>
      <c r="I228" s="491"/>
      <c r="J228" s="491"/>
      <c r="K228" s="491"/>
      <c r="L228" s="491"/>
      <c r="M228" s="1271">
        <f t="shared" si="24"/>
        <v>0</v>
      </c>
      <c r="N228" s="1309"/>
      <c r="O228" s="1308"/>
    </row>
    <row r="229" spans="1:15" s="493" customFormat="1" ht="15.75" hidden="1">
      <c r="A229" s="1420"/>
      <c r="B229" s="266"/>
      <c r="C229" s="270" t="s">
        <v>19</v>
      </c>
      <c r="D229" s="184" t="s">
        <v>11</v>
      </c>
      <c r="E229" s="524">
        <v>1.6E-2</v>
      </c>
      <c r="F229" s="533">
        <f>F224*E229</f>
        <v>0</v>
      </c>
      <c r="G229" s="491">
        <v>4</v>
      </c>
      <c r="H229" s="491">
        <f>F229*G229</f>
        <v>0</v>
      </c>
      <c r="I229" s="491"/>
      <c r="J229" s="491"/>
      <c r="K229" s="491"/>
      <c r="L229" s="491"/>
      <c r="M229" s="1271">
        <f t="shared" si="24"/>
        <v>0</v>
      </c>
      <c r="N229" s="1309"/>
      <c r="O229" s="1308"/>
    </row>
    <row r="230" spans="1:15" s="493" customFormat="1" ht="31.5">
      <c r="A230" s="1418" t="s">
        <v>433</v>
      </c>
      <c r="B230" s="1567" t="s">
        <v>883</v>
      </c>
      <c r="C230" s="829" t="s">
        <v>884</v>
      </c>
      <c r="D230" s="266" t="s">
        <v>111</v>
      </c>
      <c r="E230" s="524"/>
      <c r="F230" s="532">
        <f>F189</f>
        <v>276</v>
      </c>
      <c r="G230" s="491"/>
      <c r="H230" s="491"/>
      <c r="I230" s="491"/>
      <c r="J230" s="491"/>
      <c r="K230" s="491"/>
      <c r="L230" s="491"/>
      <c r="M230" s="1271"/>
      <c r="N230" s="1309"/>
      <c r="O230" s="1308"/>
    </row>
    <row r="231" spans="1:15" s="493" customFormat="1" ht="15.75">
      <c r="A231" s="1419"/>
      <c r="B231" s="1568"/>
      <c r="C231" s="830"/>
      <c r="D231" s="266" t="s">
        <v>5</v>
      </c>
      <c r="E231" s="534"/>
      <c r="F231" s="532">
        <f>F230*1.2</f>
        <v>331.2</v>
      </c>
      <c r="G231" s="491"/>
      <c r="H231" s="491"/>
      <c r="I231" s="491"/>
      <c r="J231" s="491"/>
      <c r="K231" s="491"/>
      <c r="L231" s="491"/>
      <c r="M231" s="1271"/>
      <c r="N231" s="1309"/>
      <c r="O231" s="1308"/>
    </row>
    <row r="232" spans="1:15" s="493" customFormat="1" ht="15.75">
      <c r="A232" s="1419"/>
      <c r="B232" s="266"/>
      <c r="C232" s="270" t="s">
        <v>1857</v>
      </c>
      <c r="D232" s="963" t="s">
        <v>5</v>
      </c>
      <c r="E232" s="534">
        <v>1</v>
      </c>
      <c r="F232" s="533">
        <f>F231*E232</f>
        <v>331.2</v>
      </c>
      <c r="G232" s="491"/>
      <c r="H232" s="491"/>
      <c r="I232" s="491"/>
      <c r="J232" s="491">
        <f>F232*I232</f>
        <v>0</v>
      </c>
      <c r="K232" s="491"/>
      <c r="L232" s="491"/>
      <c r="M232" s="1271">
        <f t="shared" ref="M232:M238" si="25">H232+J232+L232</f>
        <v>0</v>
      </c>
      <c r="N232" s="1309"/>
      <c r="O232" s="1308"/>
    </row>
    <row r="233" spans="1:15" s="493" customFormat="1" ht="15.75">
      <c r="A233" s="1419"/>
      <c r="B233" s="959" t="s">
        <v>415</v>
      </c>
      <c r="C233" s="153" t="s">
        <v>396</v>
      </c>
      <c r="D233" s="963" t="s">
        <v>212</v>
      </c>
      <c r="E233" s="529">
        <f>20.5/100</f>
        <v>0.20499999999999999</v>
      </c>
      <c r="F233" s="535">
        <f>F231*E233</f>
        <v>67.895999999999987</v>
      </c>
      <c r="G233" s="491"/>
      <c r="H233" s="491"/>
      <c r="I233" s="491"/>
      <c r="J233" s="491"/>
      <c r="K233" s="491"/>
      <c r="L233" s="491">
        <f>F233*K233</f>
        <v>0</v>
      </c>
      <c r="M233" s="1271">
        <f t="shared" si="25"/>
        <v>0</v>
      </c>
      <c r="N233" s="1309"/>
      <c r="O233" s="1308"/>
    </row>
    <row r="234" spans="1:15" s="493" customFormat="1" ht="15.75">
      <c r="A234" s="1419"/>
      <c r="B234" s="959"/>
      <c r="C234" s="153" t="s">
        <v>14</v>
      </c>
      <c r="D234" s="963" t="s">
        <v>11</v>
      </c>
      <c r="E234" s="529">
        <f>4*0.01</f>
        <v>0.04</v>
      </c>
      <c r="F234" s="535">
        <f>F231*E234</f>
        <v>13.247999999999999</v>
      </c>
      <c r="G234" s="491"/>
      <c r="H234" s="491"/>
      <c r="I234" s="491"/>
      <c r="J234" s="491"/>
      <c r="K234" s="491"/>
      <c r="L234" s="491">
        <f>F234*K234</f>
        <v>0</v>
      </c>
      <c r="M234" s="1271">
        <f t="shared" si="25"/>
        <v>0</v>
      </c>
      <c r="N234" s="1309"/>
      <c r="O234" s="1308"/>
    </row>
    <row r="235" spans="1:15" s="493" customFormat="1" ht="15.75">
      <c r="A235" s="1419"/>
      <c r="B235" s="959"/>
      <c r="C235" s="537" t="s">
        <v>1853</v>
      </c>
      <c r="D235" s="962" t="s">
        <v>319</v>
      </c>
      <c r="E235" s="529">
        <f>1.41*0.01</f>
        <v>1.41E-2</v>
      </c>
      <c r="F235" s="535">
        <f>F231*E235</f>
        <v>4.6699199999999994</v>
      </c>
      <c r="G235" s="491"/>
      <c r="H235" s="491">
        <f>F235*G235</f>
        <v>0</v>
      </c>
      <c r="I235" s="491"/>
      <c r="J235" s="491"/>
      <c r="K235" s="491"/>
      <c r="L235" s="491"/>
      <c r="M235" s="1271">
        <f t="shared" si="25"/>
        <v>0</v>
      </c>
      <c r="N235" s="1309"/>
      <c r="O235" s="1308"/>
    </row>
    <row r="236" spans="1:15" s="493" customFormat="1" ht="15.75">
      <c r="A236" s="1419"/>
      <c r="B236" s="266"/>
      <c r="C236" s="270" t="s">
        <v>397</v>
      </c>
      <c r="D236" s="184" t="str">
        <f>D231</f>
        <v>kvm</v>
      </c>
      <c r="E236" s="524">
        <v>1</v>
      </c>
      <c r="F236" s="533">
        <f>F231*E236</f>
        <v>331.2</v>
      </c>
      <c r="G236" s="491"/>
      <c r="H236" s="491">
        <f>F236*G236</f>
        <v>0</v>
      </c>
      <c r="I236" s="491"/>
      <c r="J236" s="491"/>
      <c r="K236" s="491"/>
      <c r="L236" s="491"/>
      <c r="M236" s="1271">
        <f t="shared" si="25"/>
        <v>0</v>
      </c>
      <c r="N236" s="1309"/>
      <c r="O236" s="1308"/>
    </row>
    <row r="237" spans="1:15" s="493" customFormat="1" ht="15.75">
      <c r="A237" s="1419"/>
      <c r="B237" s="959"/>
      <c r="C237" s="537" t="s">
        <v>398</v>
      </c>
      <c r="D237" s="963" t="s">
        <v>113</v>
      </c>
      <c r="E237" s="529">
        <f>0.002*1000*0.01</f>
        <v>0.02</v>
      </c>
      <c r="F237" s="535">
        <f>F231*E237</f>
        <v>6.6239999999999997</v>
      </c>
      <c r="G237" s="491"/>
      <c r="H237" s="491">
        <f>F237*G237</f>
        <v>0</v>
      </c>
      <c r="I237" s="491"/>
      <c r="J237" s="491"/>
      <c r="K237" s="491"/>
      <c r="L237" s="491"/>
      <c r="M237" s="1271">
        <f t="shared" si="25"/>
        <v>0</v>
      </c>
      <c r="N237" s="1309"/>
      <c r="O237" s="1308"/>
    </row>
    <row r="238" spans="1:15" s="493" customFormat="1" ht="15.75">
      <c r="A238" s="1420"/>
      <c r="B238" s="959"/>
      <c r="C238" s="153" t="s">
        <v>26</v>
      </c>
      <c r="D238" s="963" t="s">
        <v>11</v>
      </c>
      <c r="E238" s="529">
        <f>6*0.01</f>
        <v>0.06</v>
      </c>
      <c r="F238" s="535">
        <f>F231*E238</f>
        <v>19.872</v>
      </c>
      <c r="G238" s="491"/>
      <c r="H238" s="491">
        <f>F238*G238</f>
        <v>0</v>
      </c>
      <c r="I238" s="491"/>
      <c r="J238" s="491"/>
      <c r="K238" s="491"/>
      <c r="L238" s="491"/>
      <c r="M238" s="1271">
        <f t="shared" si="25"/>
        <v>0</v>
      </c>
      <c r="N238" s="1309"/>
      <c r="O238" s="1308"/>
    </row>
    <row r="239" spans="1:15" s="309" customFormat="1" ht="47.25" hidden="1">
      <c r="A239" s="1418" t="s">
        <v>64</v>
      </c>
      <c r="B239" s="266" t="s">
        <v>880</v>
      </c>
      <c r="C239" s="311" t="s">
        <v>881</v>
      </c>
      <c r="D239" s="184" t="s">
        <v>5</v>
      </c>
      <c r="E239" s="524"/>
      <c r="F239" s="532">
        <f>(0+0)*F189</f>
        <v>0</v>
      </c>
      <c r="G239" s="491"/>
      <c r="H239" s="491"/>
      <c r="I239" s="491"/>
      <c r="J239" s="491"/>
      <c r="K239" s="491"/>
      <c r="L239" s="491"/>
      <c r="M239" s="1271"/>
      <c r="N239" s="1301"/>
      <c r="O239" s="1301"/>
    </row>
    <row r="240" spans="1:15" s="309" customFormat="1" ht="15.75" hidden="1">
      <c r="A240" s="1419"/>
      <c r="B240" s="266"/>
      <c r="C240" s="527" t="s">
        <v>13</v>
      </c>
      <c r="D240" s="528" t="s">
        <v>15</v>
      </c>
      <c r="E240" s="510">
        <v>7.6</v>
      </c>
      <c r="F240" s="530">
        <f>F239*E240</f>
        <v>0</v>
      </c>
      <c r="G240" s="491"/>
      <c r="H240" s="491"/>
      <c r="I240" s="491">
        <v>7.8</v>
      </c>
      <c r="J240" s="491">
        <f>F240*I240</f>
        <v>0</v>
      </c>
      <c r="K240" s="491"/>
      <c r="L240" s="491"/>
      <c r="M240" s="1271">
        <f>H240+J240+L240</f>
        <v>0</v>
      </c>
      <c r="N240" s="1301"/>
      <c r="O240" s="1301"/>
    </row>
    <row r="241" spans="1:15" s="309" customFormat="1" ht="15.75" hidden="1">
      <c r="A241" s="1419"/>
      <c r="B241" s="266"/>
      <c r="C241" s="270" t="s">
        <v>25</v>
      </c>
      <c r="D241" s="184" t="s">
        <v>11</v>
      </c>
      <c r="E241" s="510">
        <v>0.2</v>
      </c>
      <c r="F241" s="533">
        <f>F239*E241</f>
        <v>0</v>
      </c>
      <c r="G241" s="491"/>
      <c r="H241" s="491"/>
      <c r="I241" s="491"/>
      <c r="J241" s="491"/>
      <c r="K241" s="491">
        <v>4</v>
      </c>
      <c r="L241" s="491">
        <f>F241*K241</f>
        <v>0</v>
      </c>
      <c r="M241" s="1271">
        <f>H241+J241+L241</f>
        <v>0</v>
      </c>
      <c r="N241" s="1301"/>
      <c r="O241" s="1301"/>
    </row>
    <row r="242" spans="1:15" s="309" customFormat="1" ht="15.75" hidden="1">
      <c r="A242" s="1419"/>
      <c r="B242" s="266"/>
      <c r="C242" s="270" t="s">
        <v>882</v>
      </c>
      <c r="D242" s="184" t="s">
        <v>5</v>
      </c>
      <c r="E242" s="510">
        <v>1</v>
      </c>
      <c r="F242" s="531">
        <f>F239*E242</f>
        <v>0</v>
      </c>
      <c r="G242" s="491">
        <v>44</v>
      </c>
      <c r="H242" s="491">
        <f>F242*G242</f>
        <v>0</v>
      </c>
      <c r="I242" s="491"/>
      <c r="J242" s="491"/>
      <c r="K242" s="491"/>
      <c r="L242" s="491"/>
      <c r="M242" s="1271">
        <f>H242+J242+L242</f>
        <v>0</v>
      </c>
      <c r="N242" s="1301"/>
      <c r="O242" s="1301"/>
    </row>
    <row r="243" spans="1:15" s="309" customFormat="1" ht="15.75" hidden="1">
      <c r="A243" s="1419"/>
      <c r="B243" s="266"/>
      <c r="C243" s="270" t="s">
        <v>101</v>
      </c>
      <c r="D243" s="184" t="s">
        <v>4</v>
      </c>
      <c r="E243" s="510">
        <v>3.5999999999999997E-2</v>
      </c>
      <c r="F243" s="531">
        <f>F239*E243</f>
        <v>0</v>
      </c>
      <c r="G243" s="491">
        <v>123</v>
      </c>
      <c r="H243" s="491">
        <f>F243*G243</f>
        <v>0</v>
      </c>
      <c r="I243" s="491"/>
      <c r="J243" s="491"/>
      <c r="K243" s="491"/>
      <c r="L243" s="491"/>
      <c r="M243" s="1271">
        <f>H243+J243+L243</f>
        <v>0</v>
      </c>
      <c r="N243" s="1301"/>
      <c r="O243" s="1301"/>
    </row>
    <row r="244" spans="1:15" s="309" customFormat="1" ht="15.75" hidden="1">
      <c r="A244" s="1420"/>
      <c r="B244" s="266"/>
      <c r="C244" s="270" t="s">
        <v>19</v>
      </c>
      <c r="D244" s="184" t="s">
        <v>11</v>
      </c>
      <c r="E244" s="510">
        <v>0.09</v>
      </c>
      <c r="F244" s="531">
        <f>F239*E244</f>
        <v>0</v>
      </c>
      <c r="G244" s="491">
        <v>4</v>
      </c>
      <c r="H244" s="491">
        <f>F244*G244</f>
        <v>0</v>
      </c>
      <c r="I244" s="491"/>
      <c r="J244" s="491"/>
      <c r="K244" s="491"/>
      <c r="L244" s="491"/>
      <c r="M244" s="1271">
        <f>H244+J244+L244</f>
        <v>0</v>
      </c>
      <c r="N244" s="1301"/>
      <c r="O244" s="1301"/>
    </row>
    <row r="245" spans="1:15" s="309" customFormat="1" ht="31.5" hidden="1">
      <c r="A245" s="1555" t="s">
        <v>39</v>
      </c>
      <c r="B245" s="1571" t="s">
        <v>1155</v>
      </c>
      <c r="C245" s="134" t="s">
        <v>1156</v>
      </c>
      <c r="D245" s="42" t="s">
        <v>1</v>
      </c>
      <c r="E245" s="981"/>
      <c r="F245" s="707">
        <v>0</v>
      </c>
      <c r="G245" s="1076"/>
      <c r="H245" s="1076"/>
      <c r="I245" s="1076"/>
      <c r="J245" s="1076"/>
      <c r="K245" s="1076"/>
      <c r="L245" s="1076"/>
      <c r="M245" s="1319"/>
      <c r="N245" s="1301"/>
      <c r="O245" s="1301"/>
    </row>
    <row r="246" spans="1:15" s="309" customFormat="1" ht="15.75" hidden="1">
      <c r="A246" s="1556"/>
      <c r="B246" s="1572"/>
      <c r="C246" s="687"/>
      <c r="D246" s="42" t="s">
        <v>5</v>
      </c>
      <c r="E246" s="981"/>
      <c r="F246" s="707">
        <f>F245*0.4</f>
        <v>0</v>
      </c>
      <c r="G246" s="1076"/>
      <c r="H246" s="1076"/>
      <c r="I246" s="1076"/>
      <c r="J246" s="1076"/>
      <c r="K246" s="1076"/>
      <c r="L246" s="1076"/>
      <c r="M246" s="1319"/>
      <c r="N246" s="1301"/>
      <c r="O246" s="1301"/>
    </row>
    <row r="247" spans="1:15" s="309" customFormat="1" ht="15.75" hidden="1">
      <c r="A247" s="1556"/>
      <c r="B247" s="42"/>
      <c r="C247" s="641" t="s">
        <v>67</v>
      </c>
      <c r="D247" s="955" t="s">
        <v>109</v>
      </c>
      <c r="E247" s="1098">
        <v>6</v>
      </c>
      <c r="F247" s="639">
        <f>E247*F246</f>
        <v>0</v>
      </c>
      <c r="G247" s="180"/>
      <c r="H247" s="180"/>
      <c r="I247" s="180">
        <v>7.8</v>
      </c>
      <c r="J247" s="180">
        <f>F247*I247</f>
        <v>0</v>
      </c>
      <c r="K247" s="180"/>
      <c r="L247" s="180"/>
      <c r="M247" s="1251">
        <f>H247+J247+L247</f>
        <v>0</v>
      </c>
      <c r="N247" s="1301"/>
      <c r="O247" s="1301"/>
    </row>
    <row r="248" spans="1:15" s="309" customFormat="1" ht="15.75" hidden="1">
      <c r="A248" s="1556"/>
      <c r="B248" s="42"/>
      <c r="C248" s="148" t="s">
        <v>25</v>
      </c>
      <c r="D248" s="447" t="s">
        <v>11</v>
      </c>
      <c r="E248" s="280">
        <v>0.18</v>
      </c>
      <c r="F248" s="1234">
        <f>F246*E248</f>
        <v>0</v>
      </c>
      <c r="G248" s="827"/>
      <c r="H248" s="448"/>
      <c r="I248" s="448"/>
      <c r="J248" s="448"/>
      <c r="K248" s="828">
        <v>4</v>
      </c>
      <c r="L248" s="180">
        <f>F248*K248</f>
        <v>0</v>
      </c>
      <c r="M248" s="1251">
        <f>H248+J248+L248</f>
        <v>0</v>
      </c>
      <c r="N248" s="1301"/>
      <c r="O248" s="1301"/>
    </row>
    <row r="249" spans="1:15" s="309" customFormat="1" ht="15.75" hidden="1">
      <c r="A249" s="1556"/>
      <c r="B249" s="42"/>
      <c r="C249" s="148" t="s">
        <v>882</v>
      </c>
      <c r="D249" s="447" t="s">
        <v>5</v>
      </c>
      <c r="E249" s="280">
        <v>1.03</v>
      </c>
      <c r="F249" s="1234">
        <f>F245*E249</f>
        <v>0</v>
      </c>
      <c r="G249" s="827">
        <v>44</v>
      </c>
      <c r="H249" s="448">
        <f>F249*G249</f>
        <v>0</v>
      </c>
      <c r="I249" s="448"/>
      <c r="J249" s="448"/>
      <c r="K249" s="448"/>
      <c r="L249" s="448"/>
      <c r="M249" s="1251">
        <f>H249+J249+L249</f>
        <v>0</v>
      </c>
      <c r="N249" s="1301"/>
      <c r="O249" s="1301"/>
    </row>
    <row r="250" spans="1:15" s="309" customFormat="1" ht="15.75" hidden="1">
      <c r="A250" s="1556"/>
      <c r="B250" s="42"/>
      <c r="C250" s="148" t="s">
        <v>101</v>
      </c>
      <c r="D250" s="447" t="s">
        <v>4</v>
      </c>
      <c r="E250" s="280">
        <v>3.5999999999999997E-2</v>
      </c>
      <c r="F250" s="1234">
        <f>F246*E250</f>
        <v>0</v>
      </c>
      <c r="G250" s="827">
        <v>123</v>
      </c>
      <c r="H250" s="448">
        <f>F250*G250</f>
        <v>0</v>
      </c>
      <c r="I250" s="448"/>
      <c r="J250" s="448"/>
      <c r="K250" s="448"/>
      <c r="L250" s="448"/>
      <c r="M250" s="1251">
        <f>H250+J250+L250</f>
        <v>0</v>
      </c>
      <c r="N250" s="1301"/>
      <c r="O250" s="1301"/>
    </row>
    <row r="251" spans="1:15" s="309" customFormat="1" ht="15.75" hidden="1">
      <c r="A251" s="1557"/>
      <c r="B251" s="42"/>
      <c r="C251" s="148" t="s">
        <v>19</v>
      </c>
      <c r="D251" s="447" t="s">
        <v>11</v>
      </c>
      <c r="E251" s="280">
        <v>0.08</v>
      </c>
      <c r="F251" s="1234">
        <f>F246*E251</f>
        <v>0</v>
      </c>
      <c r="G251" s="827">
        <v>4</v>
      </c>
      <c r="H251" s="448">
        <f>F251*G251</f>
        <v>0</v>
      </c>
      <c r="I251" s="448"/>
      <c r="J251" s="448"/>
      <c r="K251" s="448"/>
      <c r="L251" s="448"/>
      <c r="M251" s="1251">
        <f>H251+J251+L251</f>
        <v>0</v>
      </c>
      <c r="N251" s="1301"/>
      <c r="O251" s="1301"/>
    </row>
    <row r="252" spans="1:15" s="309" customFormat="1" ht="31.5">
      <c r="A252" s="1423" t="s">
        <v>434</v>
      </c>
      <c r="B252" s="959" t="s">
        <v>399</v>
      </c>
      <c r="C252" s="152" t="s">
        <v>514</v>
      </c>
      <c r="D252" s="959" t="s">
        <v>2</v>
      </c>
      <c r="E252" s="509"/>
      <c r="F252" s="495">
        <v>3</v>
      </c>
      <c r="G252" s="516"/>
      <c r="H252" s="516"/>
      <c r="I252" s="516"/>
      <c r="J252" s="516"/>
      <c r="K252" s="516"/>
      <c r="L252" s="516"/>
      <c r="M252" s="1313"/>
      <c r="N252" s="1301"/>
      <c r="O252" s="1301"/>
    </row>
    <row r="253" spans="1:15" s="309" customFormat="1" ht="15.75">
      <c r="A253" s="1424"/>
      <c r="B253" s="262"/>
      <c r="C253" s="162" t="s">
        <v>1886</v>
      </c>
      <c r="D253" s="46" t="s">
        <v>5</v>
      </c>
      <c r="E253" s="538">
        <v>1</v>
      </c>
      <c r="F253" s="539">
        <f>F256</f>
        <v>6.1199999999999992</v>
      </c>
      <c r="G253" s="516"/>
      <c r="H253" s="516"/>
      <c r="I253" s="517"/>
      <c r="J253" s="516">
        <f>F253*I253</f>
        <v>0</v>
      </c>
      <c r="K253" s="516"/>
      <c r="L253" s="516"/>
      <c r="M253" s="1313">
        <f t="shared" ref="M253:M267" si="26">H253+J253+L253</f>
        <v>0</v>
      </c>
      <c r="N253" s="1301"/>
      <c r="O253" s="1301"/>
    </row>
    <row r="254" spans="1:15" s="309" customFormat="1" ht="15.75">
      <c r="A254" s="1424"/>
      <c r="B254" s="40" t="s">
        <v>415</v>
      </c>
      <c r="C254" s="160" t="s">
        <v>396</v>
      </c>
      <c r="D254" s="46" t="s">
        <v>212</v>
      </c>
      <c r="E254" s="538">
        <f>91.3/100</f>
        <v>0.91299999999999992</v>
      </c>
      <c r="F254" s="535">
        <f>F252*E254</f>
        <v>2.7389999999999999</v>
      </c>
      <c r="G254" s="516"/>
      <c r="H254" s="516"/>
      <c r="I254" s="516"/>
      <c r="J254" s="516"/>
      <c r="K254" s="517"/>
      <c r="L254" s="516">
        <f>F254*K254</f>
        <v>0</v>
      </c>
      <c r="M254" s="1313">
        <f t="shared" si="26"/>
        <v>0</v>
      </c>
      <c r="N254" s="1301"/>
      <c r="O254" s="1301"/>
    </row>
    <row r="255" spans="1:15" s="309" customFormat="1" ht="15.75">
      <c r="A255" s="1424"/>
      <c r="B255" s="40"/>
      <c r="C255" s="160" t="s">
        <v>14</v>
      </c>
      <c r="D255" s="46" t="s">
        <v>11</v>
      </c>
      <c r="E255" s="538">
        <f>70*0.01</f>
        <v>0.70000000000000007</v>
      </c>
      <c r="F255" s="535">
        <f>F252*E255</f>
        <v>2.1</v>
      </c>
      <c r="G255" s="516"/>
      <c r="H255" s="516"/>
      <c r="I255" s="516"/>
      <c r="J255" s="516"/>
      <c r="K255" s="517"/>
      <c r="L255" s="516">
        <f>F255*K255</f>
        <v>0</v>
      </c>
      <c r="M255" s="1313">
        <f t="shared" si="26"/>
        <v>0</v>
      </c>
      <c r="N255" s="1301"/>
      <c r="O255" s="1301"/>
    </row>
    <row r="256" spans="1:15" s="309" customFormat="1" ht="15.75">
      <c r="A256" s="1424"/>
      <c r="B256" s="262"/>
      <c r="C256" s="162" t="s">
        <v>414</v>
      </c>
      <c r="D256" s="24" t="s">
        <v>234</v>
      </c>
      <c r="E256" s="538"/>
      <c r="F256" s="495">
        <f>1*1.2*3*1.7</f>
        <v>6.1199999999999992</v>
      </c>
      <c r="G256" s="517"/>
      <c r="H256" s="516">
        <f>F256*G256</f>
        <v>0</v>
      </c>
      <c r="I256" s="516"/>
      <c r="J256" s="516"/>
      <c r="K256" s="516"/>
      <c r="L256" s="516"/>
      <c r="M256" s="1313">
        <f t="shared" si="26"/>
        <v>0</v>
      </c>
      <c r="N256" s="1301"/>
      <c r="O256" s="1301"/>
    </row>
    <row r="257" spans="1:15" s="309" customFormat="1" ht="15.75">
      <c r="A257" s="1424"/>
      <c r="B257" s="40"/>
      <c r="C257" s="162" t="s">
        <v>1853</v>
      </c>
      <c r="D257" s="24" t="s">
        <v>319</v>
      </c>
      <c r="E257" s="538">
        <f>29.7*0.01</f>
        <v>0.29699999999999999</v>
      </c>
      <c r="F257" s="535">
        <f>F252*E257</f>
        <v>0.89100000000000001</v>
      </c>
      <c r="G257" s="517"/>
      <c r="H257" s="516">
        <f>F257*G257</f>
        <v>0</v>
      </c>
      <c r="I257" s="516"/>
      <c r="J257" s="516"/>
      <c r="K257" s="516"/>
      <c r="L257" s="516"/>
      <c r="M257" s="1313">
        <f t="shared" si="26"/>
        <v>0</v>
      </c>
      <c r="N257" s="1301"/>
      <c r="O257" s="1301"/>
    </row>
    <row r="258" spans="1:15" s="309" customFormat="1" ht="15.75">
      <c r="A258" s="1424"/>
      <c r="B258" s="262"/>
      <c r="C258" s="162" t="s">
        <v>400</v>
      </c>
      <c r="D258" s="24" t="s">
        <v>233</v>
      </c>
      <c r="E258" s="538">
        <f>0.16*0.01</f>
        <v>1.6000000000000001E-3</v>
      </c>
      <c r="F258" s="539">
        <f>F252*E258</f>
        <v>4.8000000000000004E-3</v>
      </c>
      <c r="G258" s="517"/>
      <c r="H258" s="516">
        <f>F258*G258</f>
        <v>0</v>
      </c>
      <c r="I258" s="516"/>
      <c r="J258" s="516"/>
      <c r="K258" s="516"/>
      <c r="L258" s="516"/>
      <c r="M258" s="1313">
        <f t="shared" si="26"/>
        <v>0</v>
      </c>
      <c r="N258" s="1301"/>
      <c r="O258" s="1301"/>
    </row>
    <row r="259" spans="1:15" s="309" customFormat="1" ht="15.75">
      <c r="A259" s="1424"/>
      <c r="B259" s="262"/>
      <c r="C259" s="162" t="s">
        <v>401</v>
      </c>
      <c r="D259" s="24" t="s">
        <v>113</v>
      </c>
      <c r="E259" s="538">
        <v>0.2</v>
      </c>
      <c r="F259" s="539">
        <f>F252*E259</f>
        <v>0.60000000000000009</v>
      </c>
      <c r="G259" s="517"/>
      <c r="H259" s="516">
        <f>F259*G259</f>
        <v>0</v>
      </c>
      <c r="I259" s="516"/>
      <c r="J259" s="516"/>
      <c r="K259" s="516"/>
      <c r="L259" s="516"/>
      <c r="M259" s="1313">
        <f t="shared" si="26"/>
        <v>0</v>
      </c>
      <c r="N259" s="1301"/>
      <c r="O259" s="1301"/>
    </row>
    <row r="260" spans="1:15" s="309" customFormat="1" ht="15.75">
      <c r="A260" s="1425"/>
      <c r="B260" s="40"/>
      <c r="C260" s="160" t="s">
        <v>26</v>
      </c>
      <c r="D260" s="46" t="s">
        <v>11</v>
      </c>
      <c r="E260" s="538">
        <f>20*0.01</f>
        <v>0.2</v>
      </c>
      <c r="F260" s="535">
        <f>F252*E260</f>
        <v>0.60000000000000009</v>
      </c>
      <c r="G260" s="517"/>
      <c r="H260" s="516">
        <f>F260*G260</f>
        <v>0</v>
      </c>
      <c r="I260" s="516"/>
      <c r="J260" s="516"/>
      <c r="K260" s="516"/>
      <c r="L260" s="516"/>
      <c r="M260" s="1313">
        <f t="shared" si="26"/>
        <v>0</v>
      </c>
      <c r="N260" s="1301"/>
      <c r="O260" s="1301"/>
    </row>
    <row r="261" spans="1:15" s="309" customFormat="1" ht="15.75" hidden="1">
      <c r="A261" s="1418" t="s">
        <v>69</v>
      </c>
      <c r="B261" s="959" t="s">
        <v>403</v>
      </c>
      <c r="C261" s="152" t="s">
        <v>413</v>
      </c>
      <c r="D261" s="959" t="s">
        <v>2</v>
      </c>
      <c r="E261" s="509"/>
      <c r="F261" s="515">
        <v>0</v>
      </c>
      <c r="G261" s="491"/>
      <c r="H261" s="491"/>
      <c r="I261" s="491"/>
      <c r="J261" s="491"/>
      <c r="K261" s="491"/>
      <c r="L261" s="491"/>
      <c r="M261" s="1271">
        <f t="shared" si="26"/>
        <v>0</v>
      </c>
      <c r="N261" s="1301"/>
      <c r="O261" s="1301"/>
    </row>
    <row r="262" spans="1:15" s="309" customFormat="1" ht="15.75" hidden="1">
      <c r="A262" s="1419"/>
      <c r="B262" s="960"/>
      <c r="C262" s="537" t="s">
        <v>13</v>
      </c>
      <c r="D262" s="963" t="s">
        <v>15</v>
      </c>
      <c r="E262" s="529">
        <f>733*0.01</f>
        <v>7.33</v>
      </c>
      <c r="F262" s="539">
        <f>F261*E262</f>
        <v>0</v>
      </c>
      <c r="G262" s="491"/>
      <c r="H262" s="491"/>
      <c r="I262" s="491">
        <v>7.8</v>
      </c>
      <c r="J262" s="491">
        <f>F262*I262</f>
        <v>0</v>
      </c>
      <c r="K262" s="491"/>
      <c r="L262" s="491"/>
      <c r="M262" s="1271">
        <f t="shared" si="26"/>
        <v>0</v>
      </c>
      <c r="N262" s="1301"/>
      <c r="O262" s="1301"/>
    </row>
    <row r="263" spans="1:15" s="309" customFormat="1" ht="15.75" hidden="1">
      <c r="A263" s="1419"/>
      <c r="B263" s="959"/>
      <c r="C263" s="153" t="s">
        <v>14</v>
      </c>
      <c r="D263" s="963" t="s">
        <v>11</v>
      </c>
      <c r="E263" s="529">
        <f>11*0.01</f>
        <v>0.11</v>
      </c>
      <c r="F263" s="535">
        <f>F261*E263</f>
        <v>0</v>
      </c>
      <c r="G263" s="491"/>
      <c r="H263" s="491"/>
      <c r="I263" s="491"/>
      <c r="J263" s="491"/>
      <c r="K263" s="491">
        <v>4</v>
      </c>
      <c r="L263" s="491">
        <f>F263*K263</f>
        <v>0</v>
      </c>
      <c r="M263" s="1271">
        <f t="shared" si="26"/>
        <v>0</v>
      </c>
      <c r="N263" s="1301"/>
      <c r="O263" s="1301"/>
    </row>
    <row r="264" spans="1:15" s="309" customFormat="1" ht="15.75" hidden="1">
      <c r="A264" s="1419"/>
      <c r="B264" s="960"/>
      <c r="C264" s="537" t="s">
        <v>302</v>
      </c>
      <c r="D264" s="960" t="s">
        <v>279</v>
      </c>
      <c r="E264" s="529"/>
      <c r="F264" s="495">
        <v>0</v>
      </c>
      <c r="G264" s="491">
        <v>150</v>
      </c>
      <c r="H264" s="491">
        <f>F264*G264</f>
        <v>0</v>
      </c>
      <c r="I264" s="491"/>
      <c r="J264" s="491"/>
      <c r="K264" s="491"/>
      <c r="L264" s="491"/>
      <c r="M264" s="1271">
        <f t="shared" si="26"/>
        <v>0</v>
      </c>
      <c r="N264" s="1301"/>
      <c r="O264" s="1301"/>
    </row>
    <row r="265" spans="1:15" s="309" customFormat="1" ht="15.75" hidden="1">
      <c r="A265" s="1419"/>
      <c r="B265" s="959"/>
      <c r="C265" s="537" t="s">
        <v>513</v>
      </c>
      <c r="D265" s="962" t="s">
        <v>319</v>
      </c>
      <c r="E265" s="529">
        <f>5.1*0.01</f>
        <v>5.0999999999999997E-2</v>
      </c>
      <c r="F265" s="535">
        <f>E265*F261</f>
        <v>0</v>
      </c>
      <c r="G265" s="491">
        <v>108</v>
      </c>
      <c r="H265" s="491">
        <f>F265*G265</f>
        <v>0</v>
      </c>
      <c r="I265" s="491"/>
      <c r="J265" s="491"/>
      <c r="K265" s="491"/>
      <c r="L265" s="491"/>
      <c r="M265" s="1271">
        <f t="shared" si="26"/>
        <v>0</v>
      </c>
      <c r="N265" s="1301"/>
      <c r="O265" s="1301"/>
    </row>
    <row r="266" spans="1:15" s="309" customFormat="1" ht="15.75" hidden="1">
      <c r="A266" s="1419"/>
      <c r="B266" s="960"/>
      <c r="C266" s="537" t="s">
        <v>238</v>
      </c>
      <c r="D266" s="962" t="s">
        <v>113</v>
      </c>
      <c r="E266" s="529">
        <v>0.2</v>
      </c>
      <c r="F266" s="539">
        <f>F261*E266</f>
        <v>0</v>
      </c>
      <c r="G266" s="491">
        <v>4.58</v>
      </c>
      <c r="H266" s="491">
        <f>F266*G266</f>
        <v>0</v>
      </c>
      <c r="I266" s="491"/>
      <c r="J266" s="491"/>
      <c r="K266" s="491"/>
      <c r="L266" s="491"/>
      <c r="M266" s="1271">
        <f t="shared" si="26"/>
        <v>0</v>
      </c>
      <c r="N266" s="1301"/>
      <c r="O266" s="1301"/>
    </row>
    <row r="267" spans="1:15" s="309" customFormat="1" ht="15.75" hidden="1">
      <c r="A267" s="1420"/>
      <c r="B267" s="959"/>
      <c r="C267" s="153" t="s">
        <v>26</v>
      </c>
      <c r="D267" s="963" t="s">
        <v>11</v>
      </c>
      <c r="E267" s="529">
        <f>2*0.01</f>
        <v>0.02</v>
      </c>
      <c r="F267" s="535">
        <f>F261*E267</f>
        <v>0</v>
      </c>
      <c r="G267" s="491">
        <v>4</v>
      </c>
      <c r="H267" s="491">
        <f>F267*G267</f>
        <v>0</v>
      </c>
      <c r="I267" s="491"/>
      <c r="J267" s="491"/>
      <c r="K267" s="491"/>
      <c r="L267" s="491"/>
      <c r="M267" s="1271">
        <f t="shared" si="26"/>
        <v>0</v>
      </c>
      <c r="N267" s="1301"/>
      <c r="O267" s="1301"/>
    </row>
    <row r="268" spans="1:15" s="309" customFormat="1" ht="31.5">
      <c r="A268" s="1418" t="s">
        <v>272</v>
      </c>
      <c r="B268" s="266" t="s">
        <v>343</v>
      </c>
      <c r="C268" s="311" t="s">
        <v>402</v>
      </c>
      <c r="D268" s="266" t="s">
        <v>279</v>
      </c>
      <c r="E268" s="534"/>
      <c r="F268" s="532">
        <f>F231*2+F256*2+F264*2</f>
        <v>674.64</v>
      </c>
      <c r="G268" s="491"/>
      <c r="H268" s="491"/>
      <c r="I268" s="491"/>
      <c r="J268" s="491"/>
      <c r="K268" s="491"/>
      <c r="L268" s="491"/>
      <c r="M268" s="1271"/>
      <c r="N268" s="1301"/>
      <c r="O268" s="1301"/>
    </row>
    <row r="269" spans="1:15" s="309" customFormat="1" ht="15.75">
      <c r="A269" s="1419"/>
      <c r="B269" s="965"/>
      <c r="C269" s="527" t="s">
        <v>1887</v>
      </c>
      <c r="D269" s="528" t="s">
        <v>5</v>
      </c>
      <c r="E269" s="529">
        <v>1</v>
      </c>
      <c r="F269" s="530">
        <f>F268*E269</f>
        <v>674.64</v>
      </c>
      <c r="G269" s="491"/>
      <c r="H269" s="491"/>
      <c r="I269" s="491"/>
      <c r="J269" s="491">
        <f>F269*I269</f>
        <v>0</v>
      </c>
      <c r="K269" s="491"/>
      <c r="L269" s="491"/>
      <c r="M269" s="1271">
        <f>H269+J269+L269</f>
        <v>0</v>
      </c>
      <c r="N269" s="1301"/>
      <c r="O269" s="1301"/>
    </row>
    <row r="270" spans="1:15" s="309" customFormat="1" ht="15.75">
      <c r="A270" s="1419"/>
      <c r="B270" s="266"/>
      <c r="C270" s="270" t="s">
        <v>14</v>
      </c>
      <c r="D270" s="184" t="s">
        <v>11</v>
      </c>
      <c r="E270" s="524">
        <f>0.03*0.01</f>
        <v>2.9999999999999997E-4</v>
      </c>
      <c r="F270" s="531">
        <f>F268*E270</f>
        <v>0.20239199999999999</v>
      </c>
      <c r="G270" s="491"/>
      <c r="H270" s="491"/>
      <c r="I270" s="491"/>
      <c r="J270" s="491"/>
      <c r="K270" s="491"/>
      <c r="L270" s="491">
        <f>F270*K270</f>
        <v>0</v>
      </c>
      <c r="M270" s="1271">
        <f>H270+J270+L270</f>
        <v>0</v>
      </c>
      <c r="N270" s="1301"/>
      <c r="O270" s="1301"/>
    </row>
    <row r="271" spans="1:15" s="309" customFormat="1" ht="15.75">
      <c r="A271" s="1419"/>
      <c r="B271" s="266"/>
      <c r="C271" s="270" t="s">
        <v>345</v>
      </c>
      <c r="D271" s="523" t="s">
        <v>113</v>
      </c>
      <c r="E271" s="534">
        <v>0.35</v>
      </c>
      <c r="F271" s="533">
        <f>E271*F268</f>
        <v>236.12399999999997</v>
      </c>
      <c r="G271" s="491"/>
      <c r="H271" s="491">
        <f>F271*G271</f>
        <v>0</v>
      </c>
      <c r="I271" s="491"/>
      <c r="J271" s="491"/>
      <c r="K271" s="491"/>
      <c r="L271" s="491"/>
      <c r="M271" s="1271">
        <f>H271+J271+L271</f>
        <v>0</v>
      </c>
      <c r="N271" s="1301"/>
      <c r="O271" s="1301"/>
    </row>
    <row r="272" spans="1:15" s="309" customFormat="1" ht="15.75">
      <c r="A272" s="1419"/>
      <c r="B272" s="266"/>
      <c r="C272" s="270" t="s">
        <v>1107</v>
      </c>
      <c r="D272" s="523" t="s">
        <v>113</v>
      </c>
      <c r="E272" s="534">
        <v>2.7E-2</v>
      </c>
      <c r="F272" s="533">
        <f>E272*F268</f>
        <v>18.21528</v>
      </c>
      <c r="G272" s="491"/>
      <c r="H272" s="491">
        <f>F272*G272</f>
        <v>0</v>
      </c>
      <c r="I272" s="491"/>
      <c r="J272" s="491"/>
      <c r="K272" s="491"/>
      <c r="L272" s="491"/>
      <c r="M272" s="1271">
        <f>H272+J272+L272</f>
        <v>0</v>
      </c>
      <c r="N272" s="1301"/>
      <c r="O272" s="1301"/>
    </row>
    <row r="273" spans="1:15" s="309" customFormat="1" ht="15.75">
      <c r="A273" s="1420"/>
      <c r="B273" s="266"/>
      <c r="C273" s="270" t="s">
        <v>26</v>
      </c>
      <c r="D273" s="184" t="s">
        <v>11</v>
      </c>
      <c r="E273" s="524">
        <v>1.9E-3</v>
      </c>
      <c r="F273" s="531">
        <f>F268*E273</f>
        <v>1.2818160000000001</v>
      </c>
      <c r="G273" s="491"/>
      <c r="H273" s="491">
        <f>F273*G273</f>
        <v>0</v>
      </c>
      <c r="I273" s="491"/>
      <c r="J273" s="491"/>
      <c r="K273" s="491"/>
      <c r="L273" s="491"/>
      <c r="M273" s="1271">
        <f>H273+J273+L273</f>
        <v>0</v>
      </c>
      <c r="N273" s="1301"/>
      <c r="O273" s="1301"/>
    </row>
    <row r="274" spans="1:15" customFormat="1" ht="16.5">
      <c r="A274" s="183"/>
      <c r="B274" s="602"/>
      <c r="C274" s="603"/>
      <c r="D274" s="604"/>
      <c r="E274" s="987"/>
      <c r="F274" s="595"/>
      <c r="G274" s="556"/>
      <c r="H274" s="80"/>
      <c r="I274" s="80"/>
      <c r="J274" s="80"/>
      <c r="K274" s="557"/>
      <c r="L274" s="80"/>
      <c r="M274" s="1272"/>
      <c r="N274" s="1306"/>
      <c r="O274" s="1296"/>
    </row>
    <row r="275" spans="1:15" ht="31.5">
      <c r="A275" s="606"/>
      <c r="B275" s="606"/>
      <c r="C275" s="607" t="s">
        <v>1517</v>
      </c>
      <c r="D275" s="606"/>
      <c r="E275" s="1100"/>
      <c r="F275" s="608"/>
      <c r="G275" s="302"/>
      <c r="H275" s="302"/>
      <c r="I275" s="302"/>
      <c r="J275" s="302"/>
      <c r="K275" s="302"/>
      <c r="L275" s="302"/>
      <c r="M275" s="1320"/>
    </row>
    <row r="276" spans="1:15" ht="31.5">
      <c r="A276" s="1573" t="s">
        <v>429</v>
      </c>
      <c r="B276" s="1113" t="s">
        <v>343</v>
      </c>
      <c r="C276" s="1066" t="s">
        <v>1518</v>
      </c>
      <c r="D276" s="450" t="s">
        <v>5</v>
      </c>
      <c r="E276" s="1114"/>
      <c r="F276" s="1115">
        <f>140*1.7</f>
        <v>238</v>
      </c>
      <c r="G276" s="302"/>
      <c r="H276" s="302"/>
      <c r="I276" s="302"/>
      <c r="J276" s="302"/>
      <c r="K276" s="302"/>
      <c r="L276" s="302"/>
      <c r="M276" s="1320"/>
    </row>
    <row r="277" spans="1:15" ht="15.75">
      <c r="A277" s="1574"/>
      <c r="B277" s="1065"/>
      <c r="C277" s="527" t="s">
        <v>1887</v>
      </c>
      <c r="D277" s="528" t="s">
        <v>5</v>
      </c>
      <c r="E277" s="529">
        <v>1</v>
      </c>
      <c r="F277" s="530">
        <f>F276*E277</f>
        <v>238</v>
      </c>
      <c r="G277" s="491"/>
      <c r="H277" s="491"/>
      <c r="I277" s="491"/>
      <c r="J277" s="491">
        <f>F277*I277</f>
        <v>0</v>
      </c>
      <c r="K277" s="491"/>
      <c r="L277" s="491"/>
      <c r="M277" s="1271">
        <f>H277+J277+L277</f>
        <v>0</v>
      </c>
    </row>
    <row r="278" spans="1:15" ht="15.75">
      <c r="A278" s="1574"/>
      <c r="B278" s="266"/>
      <c r="C278" s="270" t="s">
        <v>14</v>
      </c>
      <c r="D278" s="184" t="s">
        <v>11</v>
      </c>
      <c r="E278" s="524">
        <f>0.03*0.01</f>
        <v>2.9999999999999997E-4</v>
      </c>
      <c r="F278" s="531">
        <f>F276*E278</f>
        <v>7.1399999999999991E-2</v>
      </c>
      <c r="G278" s="491"/>
      <c r="H278" s="491"/>
      <c r="I278" s="491"/>
      <c r="J278" s="491"/>
      <c r="K278" s="491"/>
      <c r="L278" s="491">
        <f>F278*K278</f>
        <v>0</v>
      </c>
      <c r="M278" s="1271">
        <f>H278+J278+L278</f>
        <v>0</v>
      </c>
    </row>
    <row r="279" spans="1:15" ht="15.75">
      <c r="A279" s="1574"/>
      <c r="B279" s="266"/>
      <c r="C279" s="270" t="s">
        <v>345</v>
      </c>
      <c r="D279" s="523" t="s">
        <v>113</v>
      </c>
      <c r="E279" s="534">
        <v>0.35</v>
      </c>
      <c r="F279" s="533">
        <f>E279*F276</f>
        <v>83.3</v>
      </c>
      <c r="G279" s="491"/>
      <c r="H279" s="491">
        <f>F279*G279</f>
        <v>0</v>
      </c>
      <c r="I279" s="491"/>
      <c r="J279" s="491"/>
      <c r="K279" s="491"/>
      <c r="L279" s="491"/>
      <c r="M279" s="1271">
        <f>H279+J279+L279</f>
        <v>0</v>
      </c>
    </row>
    <row r="280" spans="1:15" ht="15.75">
      <c r="A280" s="1574"/>
      <c r="B280" s="266"/>
      <c r="C280" s="270" t="s">
        <v>1107</v>
      </c>
      <c r="D280" s="523" t="s">
        <v>113</v>
      </c>
      <c r="E280" s="534">
        <v>2.7E-2</v>
      </c>
      <c r="F280" s="533">
        <f>E280*F276</f>
        <v>6.4260000000000002</v>
      </c>
      <c r="G280" s="491"/>
      <c r="H280" s="491">
        <f>F280*G280</f>
        <v>0</v>
      </c>
      <c r="I280" s="491"/>
      <c r="J280" s="491"/>
      <c r="K280" s="491"/>
      <c r="L280" s="491"/>
      <c r="M280" s="1271">
        <f>H280+J280+L280</f>
        <v>0</v>
      </c>
    </row>
    <row r="281" spans="1:15" ht="15.75">
      <c r="A281" s="1575"/>
      <c r="B281" s="266"/>
      <c r="C281" s="270" t="s">
        <v>26</v>
      </c>
      <c r="D281" s="184" t="s">
        <v>11</v>
      </c>
      <c r="E281" s="524">
        <v>1.9E-3</v>
      </c>
      <c r="F281" s="531">
        <f>F276*E281</f>
        <v>0.45219999999999999</v>
      </c>
      <c r="G281" s="491"/>
      <c r="H281" s="491">
        <f>F281*G281</f>
        <v>0</v>
      </c>
      <c r="I281" s="491"/>
      <c r="J281" s="491"/>
      <c r="K281" s="491"/>
      <c r="L281" s="491"/>
      <c r="M281" s="1271">
        <f>H281+J281+L281</f>
        <v>0</v>
      </c>
    </row>
    <row r="282" spans="1:15">
      <c r="A282" s="1078"/>
      <c r="B282" s="1078"/>
      <c r="C282" s="1077"/>
      <c r="D282" s="1078"/>
      <c r="E282" s="1079"/>
      <c r="F282" s="424"/>
      <c r="G282" s="302"/>
      <c r="H282" s="302"/>
      <c r="I282" s="302"/>
      <c r="J282" s="302"/>
      <c r="K282" s="302"/>
      <c r="L282" s="302"/>
      <c r="M282" s="1320"/>
    </row>
    <row r="283" spans="1:15" s="4" customFormat="1" ht="20.25" customHeight="1">
      <c r="A283" s="1369"/>
      <c r="B283" s="1068"/>
      <c r="C283" s="164" t="s">
        <v>952</v>
      </c>
      <c r="D283" s="536"/>
      <c r="E283" s="879"/>
      <c r="F283" s="97"/>
      <c r="G283" s="80"/>
      <c r="H283" s="80"/>
      <c r="I283" s="80"/>
      <c r="J283" s="80"/>
      <c r="K283" s="80"/>
      <c r="L283" s="80"/>
      <c r="M283" s="1272"/>
      <c r="N283" s="1310"/>
      <c r="O283" s="1311"/>
    </row>
    <row r="284" spans="1:15" s="4" customFormat="1" ht="15.75">
      <c r="A284" s="1493" t="s">
        <v>429</v>
      </c>
      <c r="B284" s="184" t="s">
        <v>404</v>
      </c>
      <c r="C284" s="311" t="s">
        <v>405</v>
      </c>
      <c r="D284" s="266" t="s">
        <v>279</v>
      </c>
      <c r="E284" s="117"/>
      <c r="F284" s="119">
        <v>63</v>
      </c>
      <c r="G284" s="80"/>
      <c r="H284" s="80"/>
      <c r="I284" s="80"/>
      <c r="J284" s="80"/>
      <c r="K284" s="80"/>
      <c r="L284" s="80"/>
      <c r="M284" s="1272"/>
      <c r="N284" s="1310"/>
      <c r="O284" s="1311"/>
    </row>
    <row r="285" spans="1:15" s="4" customFormat="1" ht="15.75">
      <c r="A285" s="1507"/>
      <c r="B285" s="184"/>
      <c r="C285" s="270" t="s">
        <v>1889</v>
      </c>
      <c r="D285" s="963" t="s">
        <v>5</v>
      </c>
      <c r="E285" s="120">
        <v>1</v>
      </c>
      <c r="F285" s="118">
        <f>F284*E285</f>
        <v>63</v>
      </c>
      <c r="G285" s="80"/>
      <c r="H285" s="80"/>
      <c r="I285" s="80"/>
      <c r="J285" s="80">
        <f>F285*I285</f>
        <v>0</v>
      </c>
      <c r="K285" s="80"/>
      <c r="L285" s="80"/>
      <c r="M285" s="1272">
        <f>H285+J285+L285</f>
        <v>0</v>
      </c>
      <c r="N285" s="1310"/>
      <c r="O285" s="1311"/>
    </row>
    <row r="286" spans="1:15" s="4" customFormat="1" ht="15.75">
      <c r="A286" s="1494"/>
      <c r="B286" s="184" t="s">
        <v>34</v>
      </c>
      <c r="C286" s="270" t="s">
        <v>1888</v>
      </c>
      <c r="D286" s="184" t="s">
        <v>5</v>
      </c>
      <c r="E286" s="120">
        <v>1.05</v>
      </c>
      <c r="F286" s="118">
        <f>E286*F284</f>
        <v>66.150000000000006</v>
      </c>
      <c r="G286" s="80"/>
      <c r="H286" s="80">
        <f>F286*G286</f>
        <v>0</v>
      </c>
      <c r="I286" s="80"/>
      <c r="J286" s="80"/>
      <c r="K286" s="80"/>
      <c r="L286" s="80"/>
      <c r="M286" s="1272">
        <f>H286+J286+L286</f>
        <v>0</v>
      </c>
      <c r="N286" s="1310"/>
      <c r="O286" s="1311"/>
    </row>
    <row r="287" spans="1:15" ht="15.75">
      <c r="A287" s="447"/>
      <c r="B287" s="850"/>
      <c r="C287" s="207"/>
      <c r="D287" s="850"/>
      <c r="E287" s="221"/>
      <c r="F287" s="269"/>
      <c r="G287" s="77"/>
      <c r="H287" s="77"/>
      <c r="I287" s="77"/>
      <c r="J287" s="77"/>
      <c r="K287" s="77"/>
      <c r="L287" s="77"/>
      <c r="M287" s="1252"/>
    </row>
    <row r="288" spans="1:15" ht="21" customHeight="1">
      <c r="A288" s="548"/>
      <c r="B288" s="484"/>
      <c r="C288" s="104" t="s">
        <v>953</v>
      </c>
      <c r="D288" s="238"/>
      <c r="E288" s="421"/>
      <c r="F288" s="1349"/>
      <c r="G288" s="1350"/>
      <c r="H288" s="1350">
        <f>SUM(H7:H287)</f>
        <v>0</v>
      </c>
      <c r="I288" s="1350"/>
      <c r="J288" s="1350">
        <f>SUM(J7:J287)</f>
        <v>0</v>
      </c>
      <c r="K288" s="1350"/>
      <c r="L288" s="1350">
        <f>SUM(L7:L287)</f>
        <v>0</v>
      </c>
      <c r="M288" s="1351">
        <f>SUM(M7:M287)</f>
        <v>0</v>
      </c>
      <c r="N288" s="1312">
        <f>H288+J288+L288</f>
        <v>0</v>
      </c>
    </row>
    <row r="289" spans="1:13" ht="15.75">
      <c r="A289" s="953"/>
      <c r="B289" s="338"/>
      <c r="C289" s="352" t="s">
        <v>785</v>
      </c>
      <c r="D289" s="338"/>
      <c r="E289" s="353"/>
      <c r="F289" s="354"/>
      <c r="G289" s="1289"/>
      <c r="H289" s="1289"/>
      <c r="I289" s="1289"/>
      <c r="J289" s="1289"/>
      <c r="K289" s="1289"/>
      <c r="L289" s="1289"/>
      <c r="M289" s="1279">
        <f>H288*F289</f>
        <v>0</v>
      </c>
    </row>
    <row r="290" spans="1:13" ht="15.75">
      <c r="A290" s="953"/>
      <c r="B290" s="338"/>
      <c r="C290" s="335" t="s">
        <v>54</v>
      </c>
      <c r="D290" s="338"/>
      <c r="E290" s="353"/>
      <c r="F290" s="357"/>
      <c r="G290" s="1289"/>
      <c r="H290" s="1289"/>
      <c r="I290" s="1289"/>
      <c r="J290" s="1289"/>
      <c r="K290" s="1289"/>
      <c r="L290" s="1289"/>
      <c r="M290" s="1279">
        <f>M288+M289</f>
        <v>0</v>
      </c>
    </row>
    <row r="291" spans="1:13" ht="15.75">
      <c r="A291" s="358"/>
      <c r="B291" s="359"/>
      <c r="C291" s="52" t="s">
        <v>63</v>
      </c>
      <c r="D291" s="36"/>
      <c r="E291" s="360"/>
      <c r="F291" s="361"/>
      <c r="G291" s="1290"/>
      <c r="H291" s="1290"/>
      <c r="I291" s="1290"/>
      <c r="J291" s="1290"/>
      <c r="K291" s="1290"/>
      <c r="L291" s="1290"/>
      <c r="M291" s="1280">
        <f>M290*F291</f>
        <v>0</v>
      </c>
    </row>
    <row r="292" spans="1:13" ht="15.75">
      <c r="A292" s="362"/>
      <c r="B292" s="363"/>
      <c r="C292" s="335" t="s">
        <v>54</v>
      </c>
      <c r="D292" s="37"/>
      <c r="E292" s="218"/>
      <c r="F292" s="364"/>
      <c r="G292" s="1291"/>
      <c r="H292" s="1291"/>
      <c r="I292" s="1291"/>
      <c r="J292" s="1291"/>
      <c r="K292" s="1291"/>
      <c r="L292" s="1291"/>
      <c r="M292" s="1281">
        <f>M290+M291</f>
        <v>0</v>
      </c>
    </row>
    <row r="293" spans="1:13" ht="15.75">
      <c r="A293" s="362"/>
      <c r="B293" s="363"/>
      <c r="C293" s="53" t="s">
        <v>46</v>
      </c>
      <c r="D293" s="37"/>
      <c r="E293" s="218"/>
      <c r="F293" s="365"/>
      <c r="G293" s="1291"/>
      <c r="H293" s="1291"/>
      <c r="I293" s="1291"/>
      <c r="J293" s="1291"/>
      <c r="K293" s="1291"/>
      <c r="L293" s="1291"/>
      <c r="M293" s="1281">
        <f>M292*F293</f>
        <v>0</v>
      </c>
    </row>
    <row r="294" spans="1:13" ht="20.25" customHeight="1">
      <c r="A294" s="1353"/>
      <c r="B294" s="1354"/>
      <c r="C294" s="1341" t="s">
        <v>962</v>
      </c>
      <c r="D294" s="1355"/>
      <c r="E294" s="1356"/>
      <c r="F294" s="1357"/>
      <c r="G294" s="1358"/>
      <c r="H294" s="1358"/>
      <c r="I294" s="1358"/>
      <c r="J294" s="1358"/>
      <c r="K294" s="1358"/>
      <c r="L294" s="1358"/>
      <c r="M294" s="1352">
        <f>M292+M293</f>
        <v>0</v>
      </c>
    </row>
    <row r="295" spans="1:13" ht="15.75">
      <c r="B295" s="38"/>
      <c r="C295" s="172"/>
      <c r="D295" s="72"/>
      <c r="E295" s="217"/>
    </row>
    <row r="296" spans="1:13" ht="15.75">
      <c r="B296" s="38"/>
      <c r="C296" s="1328"/>
      <c r="D296" s="18"/>
      <c r="E296" s="28"/>
      <c r="F296" s="206"/>
      <c r="G296" s="1228"/>
      <c r="H296" s="1228"/>
      <c r="I296" s="228"/>
      <c r="J296" s="228"/>
    </row>
    <row r="297" spans="1:13" ht="15.75">
      <c r="B297" s="38"/>
      <c r="C297" s="172"/>
      <c r="D297" s="72"/>
      <c r="E297" s="217"/>
    </row>
    <row r="298" spans="1:13" ht="15.75">
      <c r="B298" s="727"/>
      <c r="C298" s="705"/>
      <c r="D298" s="727"/>
      <c r="E298" s="998"/>
    </row>
  </sheetData>
  <mergeCells count="62">
    <mergeCell ref="A139:A146"/>
    <mergeCell ref="A147:A154"/>
    <mergeCell ref="A155:A157"/>
    <mergeCell ref="A158:A165"/>
    <mergeCell ref="A276:A281"/>
    <mergeCell ref="B230:B231"/>
    <mergeCell ref="A284:A286"/>
    <mergeCell ref="A183:A188"/>
    <mergeCell ref="A230:A238"/>
    <mergeCell ref="A252:A260"/>
    <mergeCell ref="A209:A213"/>
    <mergeCell ref="A214:A215"/>
    <mergeCell ref="A216:A223"/>
    <mergeCell ref="A224:A229"/>
    <mergeCell ref="A239:A244"/>
    <mergeCell ref="A261:A267"/>
    <mergeCell ref="A268:A273"/>
    <mergeCell ref="B245:B246"/>
    <mergeCell ref="A72:A73"/>
    <mergeCell ref="A245:A251"/>
    <mergeCell ref="A54:A59"/>
    <mergeCell ref="A166:A170"/>
    <mergeCell ref="A173:A174"/>
    <mergeCell ref="A175:A176"/>
    <mergeCell ref="A178:A182"/>
    <mergeCell ref="A96:A100"/>
    <mergeCell ref="A101:A107"/>
    <mergeCell ref="A108:A112"/>
    <mergeCell ref="A190:A191"/>
    <mergeCell ref="A192:A194"/>
    <mergeCell ref="A195:A199"/>
    <mergeCell ref="A200:A208"/>
    <mergeCell ref="A126:A135"/>
    <mergeCell ref="A136:A138"/>
    <mergeCell ref="A1:M1"/>
    <mergeCell ref="A2:M2"/>
    <mergeCell ref="A3:M3"/>
    <mergeCell ref="A4:A5"/>
    <mergeCell ref="B4:B5"/>
    <mergeCell ref="C4:C5"/>
    <mergeCell ref="D4:D5"/>
    <mergeCell ref="G4:H4"/>
    <mergeCell ref="K4:L4"/>
    <mergeCell ref="M4:M5"/>
    <mergeCell ref="I4:J4"/>
    <mergeCell ref="E4:F4"/>
    <mergeCell ref="A9:A10"/>
    <mergeCell ref="A11:A15"/>
    <mergeCell ref="A16:A24"/>
    <mergeCell ref="A25:A29"/>
    <mergeCell ref="A123:A125"/>
    <mergeCell ref="A120:A122"/>
    <mergeCell ref="A60:A69"/>
    <mergeCell ref="A30:A31"/>
    <mergeCell ref="A32:A34"/>
    <mergeCell ref="A35:A53"/>
    <mergeCell ref="A74:A76"/>
    <mergeCell ref="A91:A92"/>
    <mergeCell ref="A93:A94"/>
    <mergeCell ref="A77:A81"/>
    <mergeCell ref="A82:A89"/>
    <mergeCell ref="A113:A117"/>
  </mergeCells>
  <conditionalFormatting sqref="C81:D81">
    <cfRule type="cellIs" dxfId="2" priority="5" stopIfTrue="1" operator="equal">
      <formula>8223.307275</formula>
    </cfRule>
  </conditionalFormatting>
  <conditionalFormatting sqref="G173:M173">
    <cfRule type="cellIs" dxfId="1" priority="3" stopIfTrue="1" operator="equal">
      <formula>8223.307275</formula>
    </cfRule>
  </conditionalFormatting>
  <conditionalFormatting sqref="C182:D182">
    <cfRule type="cellIs" dxfId="0" priority="2" stopIfTrue="1" operator="equal">
      <formula>8223.307275</formula>
    </cfRule>
  </conditionalFormatting>
  <pageMargins left="0.55118110236220474" right="7.874015748031496E-2" top="0.47244094488188981" bottom="0.43307086614173229" header="0.27559055118110237" footer="0.31496062992125984"/>
  <pageSetup paperSize="9" scale="80" orientation="landscape" r:id="rId1"/>
  <headerFooter>
    <oddHeader>&amp;R&amp;P--&amp;N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99"/>
  </sheetPr>
  <dimension ref="A1:O46"/>
  <sheetViews>
    <sheetView tabSelected="1" zoomScaleNormal="100" workbookViewId="0">
      <pane xSplit="3" ySplit="6" topLeftCell="D32" activePane="bottomRight" state="frozen"/>
      <selection pane="topRight" activeCell="D1" sqref="D1"/>
      <selection pane="bottomLeft" activeCell="A7" sqref="A7"/>
      <selection pane="bottomRight" activeCell="M37" sqref="M37"/>
    </sheetView>
  </sheetViews>
  <sheetFormatPr defaultColWidth="8.875" defaultRowHeight="15"/>
  <cols>
    <col min="1" max="1" width="7.75" style="19" customWidth="1"/>
    <col min="2" max="2" width="11.25" style="19" customWidth="1"/>
    <col min="3" max="3" width="45.5" style="54" customWidth="1"/>
    <col min="4" max="4" width="8.375" style="19" customWidth="1"/>
    <col min="5" max="5" width="12.625" style="27" customWidth="1"/>
    <col min="6" max="6" width="9.625" style="21" customWidth="1"/>
    <col min="7" max="7" width="11.875" style="212" customWidth="1"/>
    <col min="8" max="8" width="10.25" style="212" customWidth="1"/>
    <col min="9" max="9" width="11.75" style="212" customWidth="1"/>
    <col min="10" max="10" width="8.5" style="212" customWidth="1"/>
    <col min="11" max="11" width="12" style="212" customWidth="1"/>
    <col min="12" max="12" width="13.375" style="212" customWidth="1"/>
    <col min="13" max="13" width="15.125" style="1265" customWidth="1"/>
    <col min="14" max="14" width="26" style="1265" hidden="1" customWidth="1"/>
    <col min="15" max="15" width="43.375" style="1295" hidden="1" customWidth="1"/>
    <col min="16" max="16384" width="8.875" style="9"/>
  </cols>
  <sheetData>
    <row r="1" spans="1:14" ht="28.5" customHeight="1">
      <c r="A1" s="1437" t="str">
        <f>krebsiti!A3</f>
        <v>q.borjomi fexburTis centraluri stadioni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321" t="s">
        <v>1482</v>
      </c>
    </row>
    <row r="2" spans="1:14" ht="15.75">
      <c r="A2" s="1437" t="s">
        <v>423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</row>
    <row r="3" spans="1:14" ht="24" customHeight="1">
      <c r="A3" s="1576" t="s">
        <v>422</v>
      </c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</row>
    <row r="4" spans="1:14" ht="28.5" customHeight="1">
      <c r="A4" s="1470" t="s">
        <v>0</v>
      </c>
      <c r="B4" s="1472" t="s">
        <v>789</v>
      </c>
      <c r="C4" s="1472" t="s">
        <v>790</v>
      </c>
      <c r="D4" s="1472" t="s">
        <v>791</v>
      </c>
      <c r="E4" s="1444" t="s">
        <v>209</v>
      </c>
      <c r="F4" s="1445"/>
      <c r="G4" s="1440" t="s">
        <v>208</v>
      </c>
      <c r="H4" s="1441"/>
      <c r="I4" s="1440" t="s">
        <v>792</v>
      </c>
      <c r="J4" s="1441"/>
      <c r="K4" s="1440" t="s">
        <v>17</v>
      </c>
      <c r="L4" s="1441"/>
      <c r="M4" s="1442" t="s">
        <v>425</v>
      </c>
    </row>
    <row r="5" spans="1:14" ht="28.5" customHeight="1">
      <c r="A5" s="1471"/>
      <c r="B5" s="1473"/>
      <c r="C5" s="1473"/>
      <c r="D5" s="1473"/>
      <c r="E5" s="1234" t="s">
        <v>210</v>
      </c>
      <c r="F5" s="1234" t="s">
        <v>9</v>
      </c>
      <c r="G5" s="448" t="s">
        <v>793</v>
      </c>
      <c r="H5" s="448" t="s">
        <v>9</v>
      </c>
      <c r="I5" s="448" t="s">
        <v>793</v>
      </c>
      <c r="J5" s="448" t="s">
        <v>9</v>
      </c>
      <c r="K5" s="448" t="s">
        <v>793</v>
      </c>
      <c r="L5" s="448" t="s">
        <v>9</v>
      </c>
      <c r="M5" s="1443"/>
    </row>
    <row r="6" spans="1:14" ht="15.75">
      <c r="A6" s="929">
        <v>1</v>
      </c>
      <c r="B6" s="281">
        <v>2</v>
      </c>
      <c r="C6" s="964">
        <v>3</v>
      </c>
      <c r="D6" s="964">
        <v>4</v>
      </c>
      <c r="E6" s="1234">
        <v>5</v>
      </c>
      <c r="F6" s="1234">
        <v>6</v>
      </c>
      <c r="G6" s="1347">
        <v>7</v>
      </c>
      <c r="H6" s="1347">
        <v>8</v>
      </c>
      <c r="I6" s="1347">
        <v>9</v>
      </c>
      <c r="J6" s="1347">
        <v>10</v>
      </c>
      <c r="K6" s="1347">
        <v>11</v>
      </c>
      <c r="L6" s="1347">
        <v>12</v>
      </c>
      <c r="M6" s="1348">
        <v>13</v>
      </c>
    </row>
    <row r="7" spans="1:14" ht="31.5">
      <c r="A7" s="621" t="s">
        <v>958</v>
      </c>
      <c r="B7" s="622"/>
      <c r="C7" s="623" t="s">
        <v>959</v>
      </c>
      <c r="D7" s="624"/>
      <c r="E7" s="625"/>
      <c r="F7" s="379"/>
      <c r="G7" s="1226"/>
      <c r="H7" s="448"/>
      <c r="I7" s="1226"/>
      <c r="J7" s="448"/>
      <c r="K7" s="448"/>
      <c r="L7" s="448"/>
      <c r="M7" s="1251"/>
    </row>
    <row r="8" spans="1:14" ht="15.75" hidden="1">
      <c r="A8" s="1536">
        <v>1</v>
      </c>
      <c r="B8" s="963" t="s">
        <v>749</v>
      </c>
      <c r="C8" s="966" t="s">
        <v>437</v>
      </c>
      <c r="D8" s="959" t="s">
        <v>438</v>
      </c>
      <c r="E8" s="232"/>
      <c r="F8" s="299">
        <v>0</v>
      </c>
      <c r="G8" s="341"/>
      <c r="H8" s="77"/>
      <c r="I8" s="341"/>
      <c r="J8" s="77"/>
      <c r="K8" s="80"/>
      <c r="L8" s="448"/>
      <c r="M8" s="1251"/>
    </row>
    <row r="9" spans="1:14" ht="15.75" hidden="1">
      <c r="A9" s="1537"/>
      <c r="B9" s="963" t="s">
        <v>34</v>
      </c>
      <c r="C9" s="127" t="s">
        <v>13</v>
      </c>
      <c r="D9" s="963" t="s">
        <v>438</v>
      </c>
      <c r="E9" s="232">
        <v>1</v>
      </c>
      <c r="F9" s="299">
        <f>F8*E9</f>
        <v>0</v>
      </c>
      <c r="G9" s="341"/>
      <c r="H9" s="77"/>
      <c r="I9" s="80">
        <v>15</v>
      </c>
      <c r="J9" s="77">
        <f>F9*I9</f>
        <v>0</v>
      </c>
      <c r="K9" s="341"/>
      <c r="L9" s="448"/>
      <c r="M9" s="1251">
        <f>H9+J9+L9</f>
        <v>0</v>
      </c>
    </row>
    <row r="10" spans="1:14" ht="15.75" hidden="1">
      <c r="A10" s="1537"/>
      <c r="B10" s="963"/>
      <c r="C10" s="127" t="s">
        <v>25</v>
      </c>
      <c r="D10" s="963" t="s">
        <v>11</v>
      </c>
      <c r="E10" s="232">
        <v>1.27</v>
      </c>
      <c r="F10" s="299">
        <f>F8*E10</f>
        <v>0</v>
      </c>
      <c r="G10" s="341"/>
      <c r="H10" s="77"/>
      <c r="I10" s="302"/>
      <c r="J10" s="302"/>
      <c r="K10" s="341">
        <v>4</v>
      </c>
      <c r="L10" s="448">
        <f>F10*K10</f>
        <v>0</v>
      </c>
      <c r="M10" s="1251">
        <f t="shared" ref="M10:M30" si="0">H10+J10+L10</f>
        <v>0</v>
      </c>
    </row>
    <row r="11" spans="1:14" ht="31.5" hidden="1">
      <c r="A11" s="1537"/>
      <c r="B11" s="963"/>
      <c r="C11" s="127" t="s">
        <v>748</v>
      </c>
      <c r="D11" s="963" t="s">
        <v>438</v>
      </c>
      <c r="E11" s="232">
        <v>1</v>
      </c>
      <c r="F11" s="299">
        <f>F8*E11</f>
        <v>0</v>
      </c>
      <c r="G11" s="341">
        <f>80*3.5/1.18</f>
        <v>237.28813559322035</v>
      </c>
      <c r="H11" s="77">
        <f t="shared" ref="H11:H17" si="1">F11*G11</f>
        <v>0</v>
      </c>
      <c r="I11" s="341"/>
      <c r="J11" s="340"/>
      <c r="K11" s="341"/>
      <c r="L11" s="448"/>
      <c r="M11" s="1251">
        <f t="shared" si="0"/>
        <v>0</v>
      </c>
      <c r="N11" s="1265" t="s">
        <v>963</v>
      </c>
    </row>
    <row r="12" spans="1:14" ht="15.75" hidden="1">
      <c r="A12" s="1538"/>
      <c r="B12" s="963"/>
      <c r="C12" s="127" t="s">
        <v>19</v>
      </c>
      <c r="D12" s="963" t="s">
        <v>11</v>
      </c>
      <c r="E12" s="232">
        <v>2.1800000000000002</v>
      </c>
      <c r="F12" s="299">
        <f>F8*E12</f>
        <v>0</v>
      </c>
      <c r="G12" s="341">
        <v>4</v>
      </c>
      <c r="H12" s="77">
        <f t="shared" si="1"/>
        <v>0</v>
      </c>
      <c r="I12" s="341"/>
      <c r="J12" s="77"/>
      <c r="K12" s="341"/>
      <c r="L12" s="448"/>
      <c r="M12" s="1251">
        <f t="shared" si="0"/>
        <v>0</v>
      </c>
    </row>
    <row r="13" spans="1:14" ht="15.75" hidden="1">
      <c r="A13" s="1536">
        <v>2</v>
      </c>
      <c r="B13" s="963" t="s">
        <v>749</v>
      </c>
      <c r="C13" s="152" t="s">
        <v>756</v>
      </c>
      <c r="D13" s="959" t="s">
        <v>438</v>
      </c>
      <c r="E13" s="233"/>
      <c r="F13" s="299">
        <v>0</v>
      </c>
      <c r="G13" s="80"/>
      <c r="H13" s="77"/>
      <c r="I13" s="341"/>
      <c r="J13" s="77"/>
      <c r="K13" s="341"/>
      <c r="L13" s="448"/>
      <c r="M13" s="1251"/>
    </row>
    <row r="14" spans="1:14" ht="15.75" hidden="1">
      <c r="A14" s="1537"/>
      <c r="B14" s="963" t="s">
        <v>34</v>
      </c>
      <c r="C14" s="127" t="s">
        <v>13</v>
      </c>
      <c r="D14" s="963" t="s">
        <v>438</v>
      </c>
      <c r="E14" s="232">
        <v>1</v>
      </c>
      <c r="F14" s="299">
        <f>F13*E14</f>
        <v>0</v>
      </c>
      <c r="G14" s="80"/>
      <c r="H14" s="77"/>
      <c r="I14" s="341">
        <v>15</v>
      </c>
      <c r="J14" s="77">
        <f>F14*I14</f>
        <v>0</v>
      </c>
      <c r="K14" s="341"/>
      <c r="L14" s="448"/>
      <c r="M14" s="1251">
        <f t="shared" si="0"/>
        <v>0</v>
      </c>
    </row>
    <row r="15" spans="1:14" ht="15.75" hidden="1">
      <c r="A15" s="1537"/>
      <c r="B15" s="963"/>
      <c r="C15" s="127" t="s">
        <v>25</v>
      </c>
      <c r="D15" s="963" t="s">
        <v>11</v>
      </c>
      <c r="E15" s="232">
        <v>1.27</v>
      </c>
      <c r="F15" s="299">
        <f>F13*E15</f>
        <v>0</v>
      </c>
      <c r="G15" s="80"/>
      <c r="H15" s="77"/>
      <c r="I15" s="341"/>
      <c r="J15" s="77"/>
      <c r="K15" s="341">
        <v>4</v>
      </c>
      <c r="L15" s="448">
        <f>F15*K15</f>
        <v>0</v>
      </c>
      <c r="M15" s="1251">
        <f t="shared" si="0"/>
        <v>0</v>
      </c>
    </row>
    <row r="16" spans="1:14" ht="31.5" hidden="1">
      <c r="A16" s="1537"/>
      <c r="B16" s="963"/>
      <c r="C16" s="127" t="s">
        <v>748</v>
      </c>
      <c r="D16" s="963" t="s">
        <v>438</v>
      </c>
      <c r="E16" s="232">
        <v>1</v>
      </c>
      <c r="F16" s="299">
        <f>F13*E16</f>
        <v>0</v>
      </c>
      <c r="G16" s="80">
        <f>150*3.5/1.18</f>
        <v>444.91525423728814</v>
      </c>
      <c r="H16" s="77">
        <f t="shared" si="1"/>
        <v>0</v>
      </c>
      <c r="I16" s="341"/>
      <c r="J16" s="77"/>
      <c r="K16" s="341"/>
      <c r="L16" s="448"/>
      <c r="M16" s="1251">
        <f t="shared" si="0"/>
        <v>0</v>
      </c>
      <c r="N16" s="1265" t="s">
        <v>1190</v>
      </c>
    </row>
    <row r="17" spans="1:15" ht="15.75" hidden="1">
      <c r="A17" s="1538"/>
      <c r="B17" s="963"/>
      <c r="C17" s="127" t="s">
        <v>19</v>
      </c>
      <c r="D17" s="963" t="s">
        <v>11</v>
      </c>
      <c r="E17" s="232">
        <v>2.1800000000000002</v>
      </c>
      <c r="F17" s="299">
        <f>F13*E17</f>
        <v>0</v>
      </c>
      <c r="G17" s="80">
        <v>4</v>
      </c>
      <c r="H17" s="77">
        <f t="shared" si="1"/>
        <v>0</v>
      </c>
      <c r="I17" s="341"/>
      <c r="J17" s="77"/>
      <c r="K17" s="341"/>
      <c r="L17" s="448"/>
      <c r="M17" s="1251">
        <f t="shared" si="0"/>
        <v>0</v>
      </c>
    </row>
    <row r="18" spans="1:15" ht="31.5" hidden="1">
      <c r="A18" s="1536">
        <v>3</v>
      </c>
      <c r="B18" s="963" t="s">
        <v>747</v>
      </c>
      <c r="C18" s="152" t="s">
        <v>755</v>
      </c>
      <c r="D18" s="959" t="s">
        <v>438</v>
      </c>
      <c r="E18" s="233"/>
      <c r="F18" s="299">
        <v>0</v>
      </c>
      <c r="G18" s="80"/>
      <c r="H18" s="77"/>
      <c r="I18" s="341"/>
      <c r="J18" s="77"/>
      <c r="K18" s="341"/>
      <c r="L18" s="448"/>
      <c r="M18" s="1251"/>
    </row>
    <row r="19" spans="1:15" ht="15.75" hidden="1">
      <c r="A19" s="1537"/>
      <c r="B19" s="963" t="s">
        <v>34</v>
      </c>
      <c r="C19" s="127" t="s">
        <v>13</v>
      </c>
      <c r="D19" s="963" t="s">
        <v>438</v>
      </c>
      <c r="E19" s="232">
        <v>1</v>
      </c>
      <c r="F19" s="299">
        <f>F18*E19</f>
        <v>0</v>
      </c>
      <c r="G19" s="80"/>
      <c r="H19" s="77"/>
      <c r="I19" s="341">
        <v>25</v>
      </c>
      <c r="J19" s="77">
        <f>F19*I19</f>
        <v>0</v>
      </c>
      <c r="K19" s="341"/>
      <c r="L19" s="448"/>
      <c r="M19" s="1251">
        <f t="shared" si="0"/>
        <v>0</v>
      </c>
    </row>
    <row r="20" spans="1:15" ht="15.75" hidden="1">
      <c r="A20" s="1537"/>
      <c r="B20" s="963"/>
      <c r="C20" s="127" t="s">
        <v>25</v>
      </c>
      <c r="D20" s="963" t="s">
        <v>11</v>
      </c>
      <c r="E20" s="232">
        <v>1.31</v>
      </c>
      <c r="F20" s="299">
        <f>F18*E20</f>
        <v>0</v>
      </c>
      <c r="G20" s="80"/>
      <c r="H20" s="77"/>
      <c r="I20" s="341"/>
      <c r="J20" s="77"/>
      <c r="K20" s="341">
        <v>4</v>
      </c>
      <c r="L20" s="448">
        <f>F20*K20</f>
        <v>0</v>
      </c>
      <c r="M20" s="1251">
        <f t="shared" si="0"/>
        <v>0</v>
      </c>
    </row>
    <row r="21" spans="1:15" ht="31.5" hidden="1">
      <c r="A21" s="1537"/>
      <c r="B21" s="963"/>
      <c r="C21" s="127" t="s">
        <v>748</v>
      </c>
      <c r="D21" s="963" t="s">
        <v>438</v>
      </c>
      <c r="E21" s="232">
        <v>1</v>
      </c>
      <c r="F21" s="299">
        <f>F18*E21</f>
        <v>0</v>
      </c>
      <c r="G21" s="80">
        <f>200*3.5/1.18</f>
        <v>593.22033898305085</v>
      </c>
      <c r="H21" s="77">
        <f t="shared" ref="H21:H30" si="2">F21*G21</f>
        <v>0</v>
      </c>
      <c r="I21" s="341"/>
      <c r="J21" s="77"/>
      <c r="K21" s="341"/>
      <c r="L21" s="448"/>
      <c r="M21" s="1251">
        <f t="shared" si="0"/>
        <v>0</v>
      </c>
      <c r="N21" s="1265" t="s">
        <v>1191</v>
      </c>
    </row>
    <row r="22" spans="1:15" ht="15.75" hidden="1">
      <c r="A22" s="1538"/>
      <c r="B22" s="963"/>
      <c r="C22" s="127" t="s">
        <v>19</v>
      </c>
      <c r="D22" s="963" t="s">
        <v>11</v>
      </c>
      <c r="E22" s="232">
        <v>2.15</v>
      </c>
      <c r="F22" s="299">
        <f>F18*E22</f>
        <v>0</v>
      </c>
      <c r="G22" s="80">
        <v>4</v>
      </c>
      <c r="H22" s="77">
        <f t="shared" si="2"/>
        <v>0</v>
      </c>
      <c r="I22" s="341"/>
      <c r="J22" s="77"/>
      <c r="K22" s="341"/>
      <c r="L22" s="448"/>
      <c r="M22" s="1251">
        <f t="shared" si="0"/>
        <v>0</v>
      </c>
    </row>
    <row r="23" spans="1:15" ht="81.75" customHeight="1">
      <c r="A23" s="1438">
        <v>4</v>
      </c>
      <c r="B23" s="1103" t="s">
        <v>750</v>
      </c>
      <c r="C23" s="1040" t="s">
        <v>1338</v>
      </c>
      <c r="D23" s="175" t="s">
        <v>65</v>
      </c>
      <c r="E23" s="25"/>
      <c r="F23" s="20">
        <v>1</v>
      </c>
      <c r="G23" s="329"/>
      <c r="H23" s="77"/>
      <c r="I23" s="341"/>
      <c r="J23" s="77"/>
      <c r="K23" s="330"/>
      <c r="L23" s="448"/>
      <c r="M23" s="1251"/>
    </row>
    <row r="24" spans="1:15" ht="21.75" customHeight="1">
      <c r="A24" s="1469"/>
      <c r="B24" s="175"/>
      <c r="C24" s="127" t="s">
        <v>1790</v>
      </c>
      <c r="D24" s="963" t="s">
        <v>65</v>
      </c>
      <c r="E24" s="232">
        <v>1</v>
      </c>
      <c r="F24" s="299">
        <f>F23*E24</f>
        <v>1</v>
      </c>
      <c r="G24" s="176"/>
      <c r="H24" s="77"/>
      <c r="I24" s="341">
        <f>G26*0.1</f>
        <v>0</v>
      </c>
      <c r="J24" s="77">
        <f>F24*I24</f>
        <v>0</v>
      </c>
      <c r="K24" s="331"/>
      <c r="L24" s="448"/>
      <c r="M24" s="1251">
        <f t="shared" si="0"/>
        <v>0</v>
      </c>
    </row>
    <row r="25" spans="1:15" ht="20.25" customHeight="1">
      <c r="A25" s="1469"/>
      <c r="B25" s="175"/>
      <c r="C25" s="127" t="s">
        <v>751</v>
      </c>
      <c r="D25" s="963" t="s">
        <v>11</v>
      </c>
      <c r="E25" s="232">
        <f>3.3+4.02</f>
        <v>7.3199999999999994</v>
      </c>
      <c r="F25" s="299">
        <f>F23*E25</f>
        <v>7.3199999999999994</v>
      </c>
      <c r="G25" s="176"/>
      <c r="H25" s="77"/>
      <c r="I25" s="341"/>
      <c r="J25" s="77"/>
      <c r="K25" s="331"/>
      <c r="L25" s="448">
        <f>F25*K25</f>
        <v>0</v>
      </c>
      <c r="M25" s="1251">
        <f t="shared" si="0"/>
        <v>0</v>
      </c>
    </row>
    <row r="26" spans="1:15" ht="75">
      <c r="A26" s="1439"/>
      <c r="B26" s="175"/>
      <c r="C26" s="1102" t="s">
        <v>1338</v>
      </c>
      <c r="D26" s="963" t="s">
        <v>65</v>
      </c>
      <c r="E26" s="232">
        <v>1</v>
      </c>
      <c r="F26" s="299">
        <f>F23*E26</f>
        <v>1</v>
      </c>
      <c r="G26" s="176"/>
      <c r="H26" s="77">
        <f t="shared" si="2"/>
        <v>0</v>
      </c>
      <c r="I26" s="341"/>
      <c r="J26" s="77"/>
      <c r="K26" s="331"/>
      <c r="L26" s="448"/>
      <c r="M26" s="1251">
        <f t="shared" si="0"/>
        <v>0</v>
      </c>
      <c r="N26" s="1265" t="s">
        <v>1892</v>
      </c>
    </row>
    <row r="27" spans="1:15" ht="24.75" customHeight="1">
      <c r="A27" s="951"/>
      <c r="B27" s="175"/>
      <c r="C27" s="127" t="s">
        <v>957</v>
      </c>
      <c r="D27" s="963" t="s">
        <v>11</v>
      </c>
      <c r="E27" s="232">
        <f>14.7+0.88</f>
        <v>15.58</v>
      </c>
      <c r="F27" s="299">
        <f>F23*E27</f>
        <v>15.58</v>
      </c>
      <c r="G27" s="300"/>
      <c r="H27" s="77">
        <f t="shared" si="2"/>
        <v>0</v>
      </c>
      <c r="I27" s="341"/>
      <c r="J27" s="77"/>
      <c r="K27" s="331"/>
      <c r="L27" s="448"/>
      <c r="M27" s="1251">
        <f t="shared" si="0"/>
        <v>0</v>
      </c>
    </row>
    <row r="28" spans="1:15" ht="33.75" customHeight="1">
      <c r="A28" s="951" t="s">
        <v>38</v>
      </c>
      <c r="B28" s="175"/>
      <c r="C28" s="225" t="s">
        <v>1194</v>
      </c>
      <c r="D28" s="175" t="s">
        <v>65</v>
      </c>
      <c r="E28" s="25"/>
      <c r="F28" s="84">
        <v>1</v>
      </c>
      <c r="G28" s="300"/>
      <c r="H28" s="77">
        <f t="shared" si="2"/>
        <v>0</v>
      </c>
      <c r="I28" s="341"/>
      <c r="J28" s="77">
        <f>F28*I28</f>
        <v>0</v>
      </c>
      <c r="K28" s="301"/>
      <c r="L28" s="448"/>
      <c r="M28" s="1251">
        <f t="shared" si="0"/>
        <v>0</v>
      </c>
      <c r="N28" s="1265" t="s">
        <v>1893</v>
      </c>
      <c r="O28" s="1322" t="s">
        <v>1890</v>
      </c>
    </row>
    <row r="29" spans="1:15" ht="36" customHeight="1">
      <c r="A29" s="951" t="s">
        <v>409</v>
      </c>
      <c r="B29" s="175"/>
      <c r="C29" s="225" t="s">
        <v>1920</v>
      </c>
      <c r="D29" s="175" t="s">
        <v>65</v>
      </c>
      <c r="E29" s="25"/>
      <c r="F29" s="84">
        <v>3</v>
      </c>
      <c r="G29" s="300"/>
      <c r="H29" s="77">
        <f t="shared" si="2"/>
        <v>0</v>
      </c>
      <c r="I29" s="341"/>
      <c r="J29" s="77">
        <f>F29*I29</f>
        <v>0</v>
      </c>
      <c r="K29" s="301"/>
      <c r="L29" s="448"/>
      <c r="M29" s="1251">
        <f t="shared" si="0"/>
        <v>0</v>
      </c>
      <c r="N29" s="1265" t="s">
        <v>1891</v>
      </c>
    </row>
    <row r="30" spans="1:15" ht="119.25" customHeight="1">
      <c r="A30" s="1224" t="s">
        <v>432</v>
      </c>
      <c r="B30" s="175"/>
      <c r="C30" s="225" t="s">
        <v>1919</v>
      </c>
      <c r="D30" s="175" t="s">
        <v>65</v>
      </c>
      <c r="E30" s="25"/>
      <c r="F30" s="84"/>
      <c r="G30" s="300"/>
      <c r="H30" s="77"/>
      <c r="I30" s="341"/>
      <c r="J30" s="77"/>
      <c r="K30" s="301"/>
      <c r="L30" s="448"/>
      <c r="M30" s="1251"/>
      <c r="O30" s="1322" t="s">
        <v>1894</v>
      </c>
    </row>
    <row r="31" spans="1:15" ht="34.5" customHeight="1">
      <c r="A31" s="1385"/>
      <c r="B31" s="175"/>
      <c r="C31" s="1577" t="s">
        <v>1916</v>
      </c>
      <c r="D31" s="175" t="s">
        <v>65</v>
      </c>
      <c r="E31" s="25"/>
      <c r="F31" s="84">
        <v>1890</v>
      </c>
      <c r="G31" s="300"/>
      <c r="H31" s="77">
        <f t="shared" ref="H31:H33" si="3">F31*G31</f>
        <v>0</v>
      </c>
      <c r="I31" s="341"/>
      <c r="J31" s="77">
        <f t="shared" ref="J31:J33" si="4">F31*I31</f>
        <v>0</v>
      </c>
      <c r="K31" s="301"/>
      <c r="L31" s="448"/>
      <c r="M31" s="1251">
        <f t="shared" ref="M31:M33" si="5">H31+J31+L31</f>
        <v>0</v>
      </c>
      <c r="O31" s="1322"/>
    </row>
    <row r="32" spans="1:15" ht="34.5" customHeight="1">
      <c r="A32" s="1385"/>
      <c r="B32" s="175"/>
      <c r="C32" s="1577" t="s">
        <v>1917</v>
      </c>
      <c r="D32" s="175" t="s">
        <v>65</v>
      </c>
      <c r="E32" s="25"/>
      <c r="F32" s="84">
        <v>70</v>
      </c>
      <c r="G32" s="300"/>
      <c r="H32" s="77">
        <f t="shared" si="3"/>
        <v>0</v>
      </c>
      <c r="I32" s="341"/>
      <c r="J32" s="77">
        <f t="shared" si="4"/>
        <v>0</v>
      </c>
      <c r="K32" s="301"/>
      <c r="L32" s="448"/>
      <c r="M32" s="1251">
        <f t="shared" si="5"/>
        <v>0</v>
      </c>
      <c r="O32" s="1322"/>
    </row>
    <row r="33" spans="1:15" ht="34.5" customHeight="1">
      <c r="A33" s="1385"/>
      <c r="B33" s="175"/>
      <c r="C33" s="1577" t="s">
        <v>1918</v>
      </c>
      <c r="D33" s="175" t="s">
        <v>65</v>
      </c>
      <c r="E33" s="25"/>
      <c r="F33" s="84">
        <v>40</v>
      </c>
      <c r="G33" s="300"/>
      <c r="H33" s="77">
        <f t="shared" si="3"/>
        <v>0</v>
      </c>
      <c r="I33" s="341"/>
      <c r="J33" s="77">
        <f t="shared" si="4"/>
        <v>0</v>
      </c>
      <c r="K33" s="301"/>
      <c r="L33" s="448"/>
      <c r="M33" s="1251">
        <f t="shared" si="5"/>
        <v>0</v>
      </c>
      <c r="O33" s="1322"/>
    </row>
    <row r="34" spans="1:15" ht="19.5" customHeight="1">
      <c r="A34" s="951"/>
      <c r="B34" s="175"/>
      <c r="C34" s="225"/>
      <c r="D34" s="175"/>
      <c r="E34" s="25"/>
      <c r="F34" s="84"/>
      <c r="G34" s="300"/>
      <c r="H34" s="340"/>
      <c r="I34" s="341"/>
      <c r="J34" s="448"/>
      <c r="K34" s="301"/>
      <c r="L34" s="448"/>
      <c r="M34" s="1259"/>
    </row>
    <row r="35" spans="1:15" ht="22.5" customHeight="1">
      <c r="A35" s="548"/>
      <c r="B35" s="484"/>
      <c r="C35" s="104" t="s">
        <v>960</v>
      </c>
      <c r="D35" s="238"/>
      <c r="E35" s="421"/>
      <c r="F35" s="1349"/>
      <c r="G35" s="1350"/>
      <c r="H35" s="1350">
        <f>SUM(H8:H34)</f>
        <v>0</v>
      </c>
      <c r="I35" s="1350"/>
      <c r="J35" s="1350">
        <f>SUM(J8:J34)</f>
        <v>0</v>
      </c>
      <c r="K35" s="1350"/>
      <c r="L35" s="1350">
        <f>SUM(L8:L34)</f>
        <v>0</v>
      </c>
      <c r="M35" s="1351">
        <f>SUM(M8:M34)</f>
        <v>0</v>
      </c>
      <c r="N35" s="1312">
        <f>H35+J35+L35</f>
        <v>0</v>
      </c>
    </row>
    <row r="36" spans="1:15" s="333" customFormat="1" ht="21.75" customHeight="1">
      <c r="A36" s="953"/>
      <c r="B36" s="338"/>
      <c r="C36" s="352" t="s">
        <v>785</v>
      </c>
      <c r="D36" s="338"/>
      <c r="E36" s="353"/>
      <c r="F36" s="354"/>
      <c r="G36" s="1289"/>
      <c r="H36" s="1289"/>
      <c r="I36" s="1289"/>
      <c r="J36" s="1289"/>
      <c r="K36" s="1289"/>
      <c r="L36" s="1289"/>
      <c r="M36" s="1279">
        <f>H35*F36</f>
        <v>0</v>
      </c>
      <c r="N36" s="1268"/>
      <c r="O36" s="1301"/>
    </row>
    <row r="37" spans="1:15" s="333" customFormat="1" ht="22.5" customHeight="1">
      <c r="A37" s="953"/>
      <c r="B37" s="338"/>
      <c r="C37" s="335" t="s">
        <v>54</v>
      </c>
      <c r="D37" s="338"/>
      <c r="E37" s="353"/>
      <c r="F37" s="357"/>
      <c r="G37" s="1289"/>
      <c r="H37" s="1289"/>
      <c r="I37" s="1289"/>
      <c r="J37" s="1289"/>
      <c r="K37" s="1289"/>
      <c r="L37" s="1289"/>
      <c r="M37" s="1279">
        <f>M35+M36</f>
        <v>0</v>
      </c>
      <c r="N37" s="1268"/>
      <c r="O37" s="1301"/>
    </row>
    <row r="38" spans="1:15" ht="31.5">
      <c r="A38" s="358"/>
      <c r="B38" s="359"/>
      <c r="C38" s="52" t="s">
        <v>1505</v>
      </c>
      <c r="D38" s="36"/>
      <c r="E38" s="360"/>
      <c r="F38" s="479"/>
      <c r="G38" s="1290"/>
      <c r="H38" s="1290"/>
      <c r="I38" s="1290"/>
      <c r="J38" s="1290"/>
      <c r="K38" s="1290"/>
      <c r="L38" s="1290"/>
      <c r="M38" s="1280">
        <f>J35*F38</f>
        <v>0</v>
      </c>
    </row>
    <row r="39" spans="1:15" ht="23.25" customHeight="1">
      <c r="A39" s="362"/>
      <c r="B39" s="363"/>
      <c r="C39" s="335" t="s">
        <v>54</v>
      </c>
      <c r="D39" s="37"/>
      <c r="E39" s="218"/>
      <c r="F39" s="364"/>
      <c r="G39" s="1291"/>
      <c r="H39" s="1291"/>
      <c r="I39" s="1291"/>
      <c r="J39" s="1291"/>
      <c r="K39" s="1291"/>
      <c r="L39" s="1291"/>
      <c r="M39" s="1281">
        <f>M37+M38</f>
        <v>0</v>
      </c>
    </row>
    <row r="40" spans="1:15" ht="36.75" customHeight="1">
      <c r="A40" s="362"/>
      <c r="B40" s="363"/>
      <c r="C40" s="53" t="s">
        <v>1506</v>
      </c>
      <c r="D40" s="37"/>
      <c r="E40" s="218"/>
      <c r="F40" s="620"/>
      <c r="G40" s="1291"/>
      <c r="H40" s="1291"/>
      <c r="I40" s="1291"/>
      <c r="J40" s="1291"/>
      <c r="K40" s="1291"/>
      <c r="L40" s="1291"/>
      <c r="M40" s="1281">
        <f>(M39-H35)*F40</f>
        <v>0</v>
      </c>
    </row>
    <row r="41" spans="1:15" ht="26.25" customHeight="1">
      <c r="A41" s="1353"/>
      <c r="B41" s="1354"/>
      <c r="C41" s="1341" t="s">
        <v>961</v>
      </c>
      <c r="D41" s="1355"/>
      <c r="E41" s="1356"/>
      <c r="F41" s="1357"/>
      <c r="G41" s="1358"/>
      <c r="H41" s="1358"/>
      <c r="I41" s="1358"/>
      <c r="J41" s="1358"/>
      <c r="K41" s="1358"/>
      <c r="L41" s="1358"/>
      <c r="M41" s="1352">
        <f>M39+M40</f>
        <v>0</v>
      </c>
    </row>
    <row r="42" spans="1:15" ht="15.75">
      <c r="A42" s="229"/>
      <c r="B42" s="229"/>
      <c r="C42" s="98"/>
      <c r="D42" s="229"/>
      <c r="E42" s="231"/>
      <c r="F42" s="226"/>
      <c r="G42" s="227"/>
      <c r="H42" s="227"/>
      <c r="I42" s="227"/>
      <c r="J42" s="227"/>
      <c r="K42" s="227"/>
      <c r="L42" s="227"/>
      <c r="M42" s="1323"/>
    </row>
    <row r="43" spans="1:15" ht="15.75">
      <c r="B43" s="38"/>
      <c r="C43" s="1328"/>
      <c r="D43" s="18"/>
      <c r="E43" s="28"/>
      <c r="F43" s="206"/>
      <c r="G43" s="1228"/>
      <c r="H43" s="1228"/>
      <c r="I43" s="228"/>
      <c r="J43" s="228"/>
      <c r="K43" s="1228"/>
      <c r="L43" s="1228"/>
      <c r="M43" s="1249"/>
    </row>
    <row r="44" spans="1:15" ht="15.75">
      <c r="B44" s="38"/>
      <c r="C44" s="98"/>
      <c r="D44" s="229"/>
      <c r="E44" s="231"/>
    </row>
    <row r="45" spans="1:15" ht="15.75">
      <c r="B45" s="727"/>
      <c r="C45" s="705"/>
      <c r="D45" s="727"/>
      <c r="E45" s="998"/>
    </row>
    <row r="46" spans="1:15" ht="15.75">
      <c r="A46" s="229"/>
      <c r="B46" s="229"/>
      <c r="C46" s="98"/>
      <c r="D46" s="229"/>
      <c r="E46" s="231"/>
      <c r="F46" s="226"/>
      <c r="G46" s="227"/>
      <c r="H46" s="227"/>
      <c r="I46" s="227"/>
      <c r="J46" s="227"/>
      <c r="K46" s="227"/>
      <c r="L46" s="227"/>
      <c r="M46" s="1323"/>
    </row>
  </sheetData>
  <mergeCells count="16">
    <mergeCell ref="A13:A17"/>
    <mergeCell ref="A18:A22"/>
    <mergeCell ref="A23:A26"/>
    <mergeCell ref="M4:M5"/>
    <mergeCell ref="A8:A12"/>
    <mergeCell ref="E4:F4"/>
    <mergeCell ref="A1:M1"/>
    <mergeCell ref="A2:M2"/>
    <mergeCell ref="A3:M3"/>
    <mergeCell ref="A4:A5"/>
    <mergeCell ref="B4:B5"/>
    <mergeCell ref="C4:C5"/>
    <mergeCell ref="D4:D5"/>
    <mergeCell ref="G4:H4"/>
    <mergeCell ref="I4:J4"/>
    <mergeCell ref="K4:L4"/>
  </mergeCells>
  <pageMargins left="0.43307086614173229" right="0.11811023622047245" top="0.86614173228346458" bottom="0.70866141732283472" header="0.62992125984251968" footer="0.51181102362204722"/>
  <pageSetup paperSize="9" scale="80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krebsiti</vt:lpstr>
      <vt:lpstr>#1</vt:lpstr>
      <vt:lpstr>#2</vt:lpstr>
      <vt:lpstr>#3</vt:lpstr>
      <vt:lpstr>#4</vt:lpstr>
      <vt:lpstr>#5</vt:lpstr>
      <vt:lpstr>#6</vt:lpstr>
      <vt:lpstr>#7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krebsiti!Print_Area</vt:lpstr>
      <vt:lpstr>'#1'!Print_Titles</vt:lpstr>
      <vt:lpstr>'#2'!Print_Titles</vt:lpstr>
      <vt:lpstr>'#3'!Print_Titles</vt:lpstr>
      <vt:lpstr>'#4'!Print_Titles</vt:lpstr>
      <vt:lpstr>'#5'!Print_Titles</vt:lpstr>
      <vt:lpstr>'#6'!Print_Titles</vt:lpstr>
      <vt:lpstr>'#7'!Print_Titles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2024-01-15T13:18:13Z</dcterms:modified>
</cp:coreProperties>
</file>